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O:\TU DELFT\Siva Papers\Chapter 3 - Biohubs TEE and LCA\Excel sheet for Chapter 4\New folder\"/>
    </mc:Choice>
  </mc:AlternateContent>
  <xr:revisionPtr revIDLastSave="0" documentId="13_ncr:1_{837820E5-CDEF-4BA9-9215-97ACB1871F8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15" i="1" l="1"/>
  <c r="AG120" i="1"/>
  <c r="K182" i="1" l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K181" i="1"/>
  <c r="J181" i="1"/>
  <c r="I181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I180" i="1"/>
  <c r="J180" i="1"/>
  <c r="K180" i="1"/>
  <c r="H180" i="1"/>
  <c r="C180" i="1"/>
  <c r="AD140" i="1"/>
  <c r="AC14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14" i="1"/>
  <c r="AC131" i="1"/>
  <c r="AC132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14" i="1"/>
  <c r="AE163" i="1"/>
  <c r="AD163" i="1"/>
  <c r="AC163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96" i="1"/>
  <c r="AC137" i="1" l="1"/>
  <c r="V103" i="1"/>
  <c r="V104" i="1"/>
  <c r="V111" i="1"/>
  <c r="V112" i="1"/>
  <c r="V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X96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X51" i="1"/>
  <c r="AO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X6" i="1"/>
  <c r="S117" i="1"/>
  <c r="O117" i="1"/>
  <c r="P117" i="1"/>
  <c r="Q117" i="1"/>
  <c r="R117" i="1"/>
  <c r="N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17" i="1"/>
  <c r="V97" i="1"/>
  <c r="V98" i="1"/>
  <c r="V99" i="1"/>
  <c r="V100" i="1"/>
  <c r="V101" i="1"/>
  <c r="V102" i="1"/>
  <c r="V105" i="1"/>
  <c r="V106" i="1"/>
  <c r="V107" i="1"/>
  <c r="V108" i="1"/>
  <c r="V109" i="1"/>
  <c r="V110" i="1"/>
  <c r="V113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96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17" i="1"/>
  <c r="I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17" i="1"/>
  <c r="H71" i="1"/>
  <c r="O71" i="1" s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17" i="1"/>
  <c r="P71" i="1"/>
  <c r="Q71" i="1"/>
  <c r="R71" i="1"/>
  <c r="N71" i="1"/>
  <c r="S26" i="1"/>
  <c r="O26" i="1"/>
  <c r="P26" i="1"/>
  <c r="Q26" i="1"/>
  <c r="R26" i="1"/>
  <c r="N26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51" i="1"/>
  <c r="L88" i="1"/>
  <c r="K88" i="1"/>
  <c r="J88" i="1"/>
  <c r="I88" i="1"/>
  <c r="H88" i="1"/>
  <c r="G88" i="1"/>
  <c r="K87" i="1"/>
  <c r="L87" i="1" s="1"/>
  <c r="J87" i="1"/>
  <c r="I87" i="1"/>
  <c r="H87" i="1"/>
  <c r="G87" i="1"/>
  <c r="K86" i="1"/>
  <c r="L86" i="1" s="1"/>
  <c r="J86" i="1"/>
  <c r="I86" i="1"/>
  <c r="H86" i="1"/>
  <c r="G86" i="1"/>
  <c r="L85" i="1"/>
  <c r="K85" i="1"/>
  <c r="J85" i="1"/>
  <c r="I85" i="1"/>
  <c r="H85" i="1"/>
  <c r="G85" i="1"/>
  <c r="L84" i="1"/>
  <c r="K84" i="1"/>
  <c r="J84" i="1"/>
  <c r="I84" i="1"/>
  <c r="H84" i="1"/>
  <c r="G84" i="1"/>
  <c r="K83" i="1"/>
  <c r="L83" i="1" s="1"/>
  <c r="J83" i="1"/>
  <c r="I83" i="1"/>
  <c r="H83" i="1"/>
  <c r="G83" i="1"/>
  <c r="K82" i="1"/>
  <c r="L82" i="1" s="1"/>
  <c r="J82" i="1"/>
  <c r="I82" i="1"/>
  <c r="H82" i="1"/>
  <c r="G82" i="1"/>
  <c r="L81" i="1"/>
  <c r="K81" i="1"/>
  <c r="J81" i="1"/>
  <c r="I81" i="1"/>
  <c r="H81" i="1"/>
  <c r="G81" i="1"/>
  <c r="L80" i="1"/>
  <c r="K80" i="1"/>
  <c r="J80" i="1"/>
  <c r="I80" i="1"/>
  <c r="H80" i="1"/>
  <c r="G80" i="1"/>
  <c r="K79" i="1"/>
  <c r="L79" i="1" s="1"/>
  <c r="J79" i="1"/>
  <c r="I79" i="1"/>
  <c r="H79" i="1"/>
  <c r="G79" i="1"/>
  <c r="K78" i="1"/>
  <c r="L78" i="1" s="1"/>
  <c r="J78" i="1"/>
  <c r="I78" i="1"/>
  <c r="H78" i="1"/>
  <c r="G78" i="1"/>
  <c r="L77" i="1"/>
  <c r="K77" i="1"/>
  <c r="J77" i="1"/>
  <c r="I77" i="1"/>
  <c r="H77" i="1"/>
  <c r="G77" i="1"/>
  <c r="L76" i="1"/>
  <c r="K76" i="1"/>
  <c r="J76" i="1"/>
  <c r="I76" i="1"/>
  <c r="H76" i="1"/>
  <c r="G76" i="1"/>
  <c r="K75" i="1"/>
  <c r="L75" i="1" s="1"/>
  <c r="J75" i="1"/>
  <c r="I75" i="1"/>
  <c r="H75" i="1"/>
  <c r="G75" i="1"/>
  <c r="K74" i="1"/>
  <c r="L74" i="1" s="1"/>
  <c r="J74" i="1"/>
  <c r="I74" i="1"/>
  <c r="H74" i="1"/>
  <c r="G74" i="1"/>
  <c r="L73" i="1"/>
  <c r="K73" i="1"/>
  <c r="J73" i="1"/>
  <c r="I73" i="1"/>
  <c r="H73" i="1"/>
  <c r="G73" i="1"/>
  <c r="L72" i="1"/>
  <c r="K72" i="1"/>
  <c r="J72" i="1"/>
  <c r="I72" i="1"/>
  <c r="H72" i="1"/>
  <c r="G72" i="1"/>
  <c r="K71" i="1"/>
  <c r="J71" i="1"/>
  <c r="I71" i="1"/>
  <c r="G71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2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26" i="1"/>
  <c r="J43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26" i="1"/>
  <c r="L71" i="1" l="1"/>
  <c r="L26" i="1"/>
</calcChain>
</file>

<file path=xl/sharedStrings.xml><?xml version="1.0" encoding="utf-8"?>
<sst xmlns="http://schemas.openxmlformats.org/spreadsheetml/2006/main" count="504" uniqueCount="79">
  <si>
    <t>Impact category</t>
  </si>
  <si>
    <t>Unit</t>
  </si>
  <si>
    <t>Global warming</t>
  </si>
  <si>
    <t>kg CO2 eq</t>
  </si>
  <si>
    <t>Stratospheric ozone depletion</t>
  </si>
  <si>
    <t>kg CFC11 eq</t>
  </si>
  <si>
    <t>Ionizing radiation</t>
  </si>
  <si>
    <t>kBq Co-60 eq</t>
  </si>
  <si>
    <t>Ozone formation, Human health</t>
  </si>
  <si>
    <t>kg NOx eq</t>
  </si>
  <si>
    <t>Fine particulate matter formation</t>
  </si>
  <si>
    <t>kg PM2.5 eq</t>
  </si>
  <si>
    <t>Ozone formation, Terrestrial ecosystems</t>
  </si>
  <si>
    <t>Terrestrial acidification</t>
  </si>
  <si>
    <t>kg SO2 eq</t>
  </si>
  <si>
    <t>Freshwater eutrophication</t>
  </si>
  <si>
    <t>kg P eq</t>
  </si>
  <si>
    <t>Marine eutrophication</t>
  </si>
  <si>
    <t>kg N eq</t>
  </si>
  <si>
    <t>Terrestrial ecotoxicity</t>
  </si>
  <si>
    <t>kg 1,4-DCB</t>
  </si>
  <si>
    <t>Freshwater ecotoxicity</t>
  </si>
  <si>
    <t>Marine ecotoxicity</t>
  </si>
  <si>
    <t>Human carcinogenic toxicity</t>
  </si>
  <si>
    <t>Human non-carcinogenic toxicity</t>
  </si>
  <si>
    <t>Land use</t>
  </si>
  <si>
    <t>m2a crop eq</t>
  </si>
  <si>
    <t>Mineral resource scarcity</t>
  </si>
  <si>
    <t>kg Cu eq</t>
  </si>
  <si>
    <t>Fossil resource scarcity</t>
  </si>
  <si>
    <t>kg oil eq</t>
  </si>
  <si>
    <t>Water consumption</t>
  </si>
  <si>
    <t>m3</t>
  </si>
  <si>
    <t>Spain</t>
  </si>
  <si>
    <t xml:space="preserve"> Avoided emissions due to pruning valorisation</t>
  </si>
  <si>
    <t>Pruning transport from field to pre-processing facility</t>
  </si>
  <si>
    <t>Pruning chipping process</t>
  </si>
  <si>
    <t>Pruning chips transportation to HTL facility</t>
  </si>
  <si>
    <t>Feedstock related emissions</t>
  </si>
  <si>
    <t xml:space="preserve">Emissions due to water consumption </t>
  </si>
  <si>
    <t>Emissions due to electricity generation in CHP</t>
  </si>
  <si>
    <t>Emissions saved due to electricity selling in grid due to system allocation</t>
  </si>
  <si>
    <t>Emissions due to biocrude transport to upgrading site</t>
  </si>
  <si>
    <t xml:space="preserve">HTL stage </t>
  </si>
  <si>
    <t>Emissions due to solid waste disposal</t>
  </si>
  <si>
    <t>Emissions due to liquid waste disposal</t>
  </si>
  <si>
    <t>Emissions due to gas waste disposal</t>
  </si>
  <si>
    <t>Waste disposal</t>
  </si>
  <si>
    <t xml:space="preserve">Emissions due to green hydrogen consumption </t>
  </si>
  <si>
    <t>Emissions due to upgrading catalyst consumption</t>
  </si>
  <si>
    <t xml:space="preserve">Emissions due to "drop-in" biofuel  transport </t>
  </si>
  <si>
    <t xml:space="preserve">Emissions due to combustion </t>
  </si>
  <si>
    <t>Upgrading stage</t>
  </si>
  <si>
    <t>End stage</t>
  </si>
  <si>
    <t xml:space="preserve">total emissions </t>
  </si>
  <si>
    <t>Total</t>
  </si>
  <si>
    <t>per kg</t>
  </si>
  <si>
    <t>per MJ</t>
  </si>
  <si>
    <t>Colombia</t>
  </si>
  <si>
    <t>Emissions associated with pruning</t>
  </si>
  <si>
    <t>Emissions associated with Coffee Pulp</t>
  </si>
  <si>
    <t>Emissions due to HTL catalyst consumption</t>
  </si>
  <si>
    <t>Total biofuel produced</t>
  </si>
  <si>
    <t>Namibia</t>
  </si>
  <si>
    <t>Emissions associated with Acacia</t>
  </si>
  <si>
    <t xml:space="preserve">Colombia </t>
  </si>
  <si>
    <t>Emissions due to biomass valorisation</t>
  </si>
  <si>
    <t>Biomass transport from field to pre-processing facility</t>
  </si>
  <si>
    <t>Biomass pre-processing</t>
  </si>
  <si>
    <t>Pre-processed biomass transportation to HTL facility</t>
  </si>
  <si>
    <t>Emissions associated with Biomass</t>
  </si>
  <si>
    <t xml:space="preserve">Spain </t>
  </si>
  <si>
    <t>kg/kg</t>
  </si>
  <si>
    <t>MJ/kg</t>
  </si>
  <si>
    <t xml:space="preserve">SSD MGO </t>
  </si>
  <si>
    <t>SSD MGO</t>
  </si>
  <si>
    <t>g per kg</t>
  </si>
  <si>
    <t>g per MJ</t>
  </si>
  <si>
    <t>MGO (reference)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</si>
</sst>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49889761751096"/>
          <c:y val="4.4616182436670059E-2"/>
          <c:w val="0.44732600334217215"/>
          <c:h val="0.929788616242345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Sheet1!$AB$146</c:f>
              <c:strCache>
                <c:ptCount val="1"/>
                <c:pt idx="0">
                  <c:v>Emissions associated with Biomass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Sheet1!$AC$146:$AE$146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-1.9446838464407513E-2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38-425C-9542-11A2579CC1A1}"/>
            </c:ext>
          </c:extLst>
        </c:ser>
        <c:ser>
          <c:idx val="1"/>
          <c:order val="1"/>
          <c:tx>
            <c:strRef>
              <c:f>Sheet1!$AB$147</c:f>
              <c:strCache>
                <c:ptCount val="1"/>
                <c:pt idx="0">
                  <c:v>Emissions due to biomass valorisation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Sheet1!$AC$147:$AE$147</c:f>
              <c:numCache>
                <c:formatCode>General</c:formatCode>
                <c:ptCount val="3"/>
                <c:pt idx="0">
                  <c:v>1.32877698176417E-3</c:v>
                </c:pt>
                <c:pt idx="1">
                  <c:v>-0.13048697207826199</c:v>
                </c:pt>
                <c:pt idx="2">
                  <c:v>2.412215202205813E-3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38-425C-9542-11A2579CC1A1}"/>
            </c:ext>
          </c:extLst>
        </c:ser>
        <c:ser>
          <c:idx val="2"/>
          <c:order val="2"/>
          <c:tx>
            <c:strRef>
              <c:f>Sheet1!$AB$148</c:f>
              <c:strCache>
                <c:ptCount val="1"/>
                <c:pt idx="0">
                  <c:v>Biomass transport from field to pre-processing facility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Sheet1!$AC$148:$AE$148</c:f>
              <c:numCache>
                <c:formatCode>General</c:formatCode>
                <c:ptCount val="3"/>
                <c:pt idx="0">
                  <c:v>6.3826583312199322E-4</c:v>
                </c:pt>
                <c:pt idx="1">
                  <c:v>0</c:v>
                </c:pt>
                <c:pt idx="2">
                  <c:v>5.2605005881949541E-3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38-425C-9542-11A2579CC1A1}"/>
            </c:ext>
          </c:extLst>
        </c:ser>
        <c:ser>
          <c:idx val="3"/>
          <c:order val="3"/>
          <c:tx>
            <c:strRef>
              <c:f>Sheet1!$AB$149</c:f>
              <c:strCache>
                <c:ptCount val="1"/>
                <c:pt idx="0">
                  <c:v>Biomass pre-processing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Sheet1!$AC$149:$AE$149</c:f>
              <c:numCache>
                <c:formatCode>General</c:formatCode>
                <c:ptCount val="3"/>
                <c:pt idx="0">
                  <c:v>1.5862251807579461E-3</c:v>
                </c:pt>
                <c:pt idx="1">
                  <c:v>0</c:v>
                </c:pt>
                <c:pt idx="2">
                  <c:v>3.4218363371164365E-3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38-425C-9542-11A2579CC1A1}"/>
            </c:ext>
          </c:extLst>
        </c:ser>
        <c:ser>
          <c:idx val="4"/>
          <c:order val="4"/>
          <c:tx>
            <c:strRef>
              <c:f>Sheet1!$AB$150</c:f>
              <c:strCache>
                <c:ptCount val="1"/>
                <c:pt idx="0">
                  <c:v>Pre-processed biomass transportation to HTL facility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Sheet1!$AC$150:$AE$150</c:f>
              <c:numCache>
                <c:formatCode>General</c:formatCode>
                <c:ptCount val="3"/>
                <c:pt idx="0">
                  <c:v>1.3483327981456518E-3</c:v>
                </c:pt>
                <c:pt idx="1">
                  <c:v>6.84181008498595E-3</c:v>
                </c:pt>
                <c:pt idx="2">
                  <c:v>5.6752773923184428E-3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638-425C-9542-11A2579CC1A1}"/>
            </c:ext>
          </c:extLst>
        </c:ser>
        <c:ser>
          <c:idx val="5"/>
          <c:order val="5"/>
          <c:tx>
            <c:strRef>
              <c:f>Sheet1!$AB$151</c:f>
              <c:strCache>
                <c:ptCount val="1"/>
                <c:pt idx="0">
                  <c:v>Emissions due to water consumption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Sheet1!$AC$151:$AE$151</c:f>
              <c:numCache>
                <c:formatCode>General</c:formatCode>
                <c:ptCount val="3"/>
                <c:pt idx="0">
                  <c:v>1.782434159886054E-4</c:v>
                </c:pt>
                <c:pt idx="1">
                  <c:v>1.3752959181730885E-3</c:v>
                </c:pt>
                <c:pt idx="2">
                  <c:v>1.5433271795282514E-3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638-425C-9542-11A2579CC1A1}"/>
            </c:ext>
          </c:extLst>
        </c:ser>
        <c:ser>
          <c:idx val="6"/>
          <c:order val="6"/>
          <c:tx>
            <c:strRef>
              <c:f>Sheet1!$AB$152</c:f>
              <c:strCache>
                <c:ptCount val="1"/>
                <c:pt idx="0">
                  <c:v>Emissions due to HTL catalyst consumption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Sheet1!$AC$152:$AE$152</c:f>
              <c:numCache>
                <c:formatCode>General</c:formatCode>
                <c:ptCount val="3"/>
                <c:pt idx="0">
                  <c:v>1.4948253848484016E-2</c:v>
                </c:pt>
                <c:pt idx="1">
                  <c:v>0</c:v>
                </c:pt>
                <c:pt idx="2">
                  <c:v>2.3837768576941136E-2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638-425C-9542-11A2579CC1A1}"/>
            </c:ext>
          </c:extLst>
        </c:ser>
        <c:ser>
          <c:idx val="7"/>
          <c:order val="7"/>
          <c:tx>
            <c:strRef>
              <c:f>Sheet1!$AB$153</c:f>
              <c:strCache>
                <c:ptCount val="1"/>
                <c:pt idx="0">
                  <c:v>Emissions due to electricity generation in CHP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Sheet1!$AC$153:$AE$153</c:f>
              <c:numCache>
                <c:formatCode>General</c:formatCode>
                <c:ptCount val="3"/>
                <c:pt idx="0">
                  <c:v>3.8067798839430233E-4</c:v>
                </c:pt>
                <c:pt idx="1">
                  <c:v>1.807144543555413E-3</c:v>
                </c:pt>
                <c:pt idx="2">
                  <c:v>4.0341003296151968E-3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638-425C-9542-11A2579CC1A1}"/>
            </c:ext>
          </c:extLst>
        </c:ser>
        <c:ser>
          <c:idx val="8"/>
          <c:order val="8"/>
          <c:tx>
            <c:strRef>
              <c:f>Sheet1!$AB$154</c:f>
              <c:strCache>
                <c:ptCount val="1"/>
                <c:pt idx="0">
                  <c:v>Emissions saved due to electricity selling in grid due to system allocation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Sheet1!$AC$154:$AE$154</c:f>
              <c:numCache>
                <c:formatCode>General</c:formatCode>
                <c:ptCount val="3"/>
                <c:pt idx="0">
                  <c:v>-1.46066079446885E-3</c:v>
                </c:pt>
                <c:pt idx="1">
                  <c:v>-1.6470210228588099E-2</c:v>
                </c:pt>
                <c:pt idx="2">
                  <c:v>-6.9551161328744407E-2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638-425C-9542-11A2579CC1A1}"/>
            </c:ext>
          </c:extLst>
        </c:ser>
        <c:ser>
          <c:idx val="9"/>
          <c:order val="9"/>
          <c:tx>
            <c:strRef>
              <c:f>Sheet1!$AB$155</c:f>
              <c:strCache>
                <c:ptCount val="1"/>
                <c:pt idx="0">
                  <c:v>Emissions due to solid waste disposal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Sheet1!$AC$155:$AE$155</c:f>
              <c:numCache>
                <c:formatCode>General</c:formatCode>
                <c:ptCount val="3"/>
                <c:pt idx="0">
                  <c:v>2.9920885793681246E-6</c:v>
                </c:pt>
                <c:pt idx="1">
                  <c:v>2.5352556684139635E-4</c:v>
                </c:pt>
                <c:pt idx="2">
                  <c:v>1.3051234263100324E-4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638-425C-9542-11A2579CC1A1}"/>
            </c:ext>
          </c:extLst>
        </c:ser>
        <c:ser>
          <c:idx val="10"/>
          <c:order val="10"/>
          <c:tx>
            <c:strRef>
              <c:f>Sheet1!$AB$156</c:f>
              <c:strCache>
                <c:ptCount val="1"/>
                <c:pt idx="0">
                  <c:v>Emissions due to liquid waste disposal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Sheet1!$AC$156:$AE$156</c:f>
              <c:numCache>
                <c:formatCode>General</c:formatCode>
                <c:ptCount val="3"/>
                <c:pt idx="0">
                  <c:v>2.2211285745225157E-4</c:v>
                </c:pt>
                <c:pt idx="1">
                  <c:v>1.0108141703181195E-3</c:v>
                </c:pt>
                <c:pt idx="2">
                  <c:v>5.3180495198443495E-4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638-425C-9542-11A2579CC1A1}"/>
            </c:ext>
          </c:extLst>
        </c:ser>
        <c:ser>
          <c:idx val="11"/>
          <c:order val="11"/>
          <c:tx>
            <c:strRef>
              <c:f>Sheet1!$AB$157</c:f>
              <c:strCache>
                <c:ptCount val="1"/>
                <c:pt idx="0">
                  <c:v>Emissions due to gas waste disposal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Sheet1!$AC$157:$AE$157</c:f>
              <c:numCache>
                <c:formatCode>General</c:formatCode>
                <c:ptCount val="3"/>
                <c:pt idx="0">
                  <c:v>1.4411349100378198E-3</c:v>
                </c:pt>
                <c:pt idx="1">
                  <c:v>4.7264542148778323E-3</c:v>
                </c:pt>
                <c:pt idx="2">
                  <c:v>2.6428051306246732E-3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638-425C-9542-11A2579CC1A1}"/>
            </c:ext>
          </c:extLst>
        </c:ser>
        <c:ser>
          <c:idx val="12"/>
          <c:order val="12"/>
          <c:tx>
            <c:strRef>
              <c:f>Sheet1!$AB$158</c:f>
              <c:strCache>
                <c:ptCount val="1"/>
                <c:pt idx="0">
                  <c:v>Emissions due to biocrude transport to upgrading site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Sheet1!$AC$158:$AE$158</c:f>
              <c:numCache>
                <c:formatCode>General</c:formatCode>
                <c:ptCount val="3"/>
                <c:pt idx="0">
                  <c:v>1.9060763246228924E-3</c:v>
                </c:pt>
                <c:pt idx="1">
                  <c:v>5.0350289721819768E-3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638-425C-9542-11A2579CC1A1}"/>
            </c:ext>
          </c:extLst>
        </c:ser>
        <c:ser>
          <c:idx val="13"/>
          <c:order val="13"/>
          <c:tx>
            <c:strRef>
              <c:f>Sheet1!$AB$159</c:f>
              <c:strCache>
                <c:ptCount val="1"/>
                <c:pt idx="0">
                  <c:v>Emissions due to green hydrogen consumption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Sheet1!$AC$159:$AE$159</c:f>
              <c:numCache>
                <c:formatCode>General</c:formatCode>
                <c:ptCount val="3"/>
                <c:pt idx="0">
                  <c:v>2.8437318554396856E-3</c:v>
                </c:pt>
                <c:pt idx="1">
                  <c:v>3.0110828498204393E-3</c:v>
                </c:pt>
                <c:pt idx="2">
                  <c:v>3.4909662960421434E-3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638-425C-9542-11A2579CC1A1}"/>
            </c:ext>
          </c:extLst>
        </c:ser>
        <c:ser>
          <c:idx val="14"/>
          <c:order val="14"/>
          <c:tx>
            <c:strRef>
              <c:f>Sheet1!$AB$160</c:f>
              <c:strCache>
                <c:ptCount val="1"/>
                <c:pt idx="0">
                  <c:v>Emissions due to upgrading catalyst consumption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Sheet1!$AC$160:$AE$160</c:f>
              <c:numCache>
                <c:formatCode>General</c:formatCode>
                <c:ptCount val="3"/>
                <c:pt idx="0">
                  <c:v>3.8484103146873433E-4</c:v>
                </c:pt>
                <c:pt idx="1">
                  <c:v>4.3822710810044821E-4</c:v>
                </c:pt>
                <c:pt idx="2">
                  <c:v>6.6266248758156644E-4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38-425C-9542-11A2579CC1A1}"/>
            </c:ext>
          </c:extLst>
        </c:ser>
        <c:ser>
          <c:idx val="15"/>
          <c:order val="15"/>
          <c:tx>
            <c:strRef>
              <c:f>Sheet1!$AB$161</c:f>
              <c:strCache>
                <c:ptCount val="1"/>
                <c:pt idx="0">
                  <c:v>Emissions due to "drop-in" biofuel  transport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Sheet1!$AC$161:$AE$161</c:f>
              <c:numCache>
                <c:formatCode>General</c:formatCode>
                <c:ptCount val="3"/>
                <c:pt idx="0">
                  <c:v>4.8230638824153033E-6</c:v>
                </c:pt>
                <c:pt idx="1">
                  <c:v>4.9185346379878052E-5</c:v>
                </c:pt>
                <c:pt idx="2">
                  <c:v>1.1239008289032645E-5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638-425C-9542-11A2579CC1A1}"/>
            </c:ext>
          </c:extLst>
        </c:ser>
        <c:ser>
          <c:idx val="16"/>
          <c:order val="16"/>
          <c:tx>
            <c:strRef>
              <c:f>Sheet1!$AB$162</c:f>
              <c:strCache>
                <c:ptCount val="1"/>
                <c:pt idx="0">
                  <c:v>Emissions due to combustion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Sheet1!$AC$162:$AE$162</c:f>
              <c:numCache>
                <c:formatCode>General</c:formatCode>
                <c:ptCount val="3"/>
                <c:pt idx="0">
                  <c:v>1.5E-3</c:v>
                </c:pt>
                <c:pt idx="1">
                  <c:v>1.5E-3</c:v>
                </c:pt>
                <c:pt idx="2">
                  <c:v>1.5E-3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638-425C-9542-11A2579CC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4457808"/>
        <c:axId val="1874458768"/>
      </c:barChart>
      <c:scatterChart>
        <c:scatterStyle val="lineMarker"/>
        <c:varyColors val="0"/>
        <c:ser>
          <c:idx val="17"/>
          <c:order val="17"/>
          <c:tx>
            <c:strRef>
              <c:f>Sheet1!$AB$163</c:f>
              <c:strCache>
                <c:ptCount val="1"/>
                <c:pt idx="0">
                  <c:v>Total</c:v>
                </c:pt>
              </c:strCache>
            </c:strRef>
          </c:tx>
          <c:spPr>
            <a:ln w="349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8425">
                <a:solidFill>
                  <a:srgbClr val="C00000"/>
                </a:solidFill>
              </a:ln>
              <a:effectLst/>
            </c:spPr>
          </c:marker>
          <c:xVal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xVal>
          <c:yVal>
            <c:numRef>
              <c:f>Sheet1!$AC$163:$AE$163</c:f>
              <c:numCache>
                <c:formatCode>General</c:formatCode>
                <c:ptCount val="3"/>
                <c:pt idx="0">
                  <c:v>1.0900634740173273E-2</c:v>
                </c:pt>
                <c:pt idx="1">
                  <c:v>-4.3368335282068855E-2</c:v>
                </c:pt>
                <c:pt idx="2">
                  <c:v>-7.2424666011548519E-3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638-425C-9542-11A2579CC1A1}"/>
            </c:ext>
          </c:extLst>
        </c:ser>
        <c:ser>
          <c:idx val="18"/>
          <c:order val="18"/>
          <c:tx>
            <c:strRef>
              <c:f>Sheet1!$AB$164</c:f>
              <c:strCache>
                <c:ptCount val="1"/>
                <c:pt idx="0">
                  <c:v>SSD MGO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63500">
                <a:solidFill>
                  <a:srgbClr val="7030A0"/>
                </a:solidFill>
              </a:ln>
              <a:effectLst/>
            </c:spPr>
          </c:marker>
          <c:xVal>
            <c:strRef>
              <c:f>Sheet1!$AC$145:$AE$145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xVal>
          <c:yVal>
            <c:numRef>
              <c:f>Sheet1!$AC$164:$AE$164</c:f>
              <c:numCache>
                <c:formatCode>General</c:formatCode>
                <c:ptCount val="3"/>
                <c:pt idx="0">
                  <c:v>0.10497618348316944</c:v>
                </c:pt>
                <c:pt idx="1">
                  <c:v>0.10497618348316944</c:v>
                </c:pt>
                <c:pt idx="2">
                  <c:v>0.10497618348316944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638-425C-9542-11A2579CC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57808"/>
        <c:axId val="1874458768"/>
      </c:scatterChart>
      <c:catAx>
        <c:axId val="187445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74458768"/>
        <c:crosses val="autoZero"/>
        <c:auto val="1"/>
        <c:lblAlgn val="ctr"/>
        <c:lblOffset val="100"/>
        <c:noMultiLvlLbl val="0"/>
      </c:catAx>
      <c:valAx>
        <c:axId val="187445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800" b="1"/>
                  <a:t>Stagewise</a:t>
                </a:r>
                <a:r>
                  <a:rPr lang="nl-NL" sz="1800" b="1" baseline="0"/>
                  <a:t> GWP contributions in</a:t>
                </a:r>
              </a:p>
              <a:p>
                <a:pPr>
                  <a:defRPr sz="1800" b="1"/>
                </a:pPr>
                <a:r>
                  <a:rPr lang="nl-NL" sz="1800" b="1" baseline="0"/>
                  <a:t> kg -CO2eq/ MJ of drop-in marine biofuel </a:t>
                </a:r>
                <a:endParaRPr lang="nl-NL" sz="1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7445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201930380620913"/>
          <c:y val="0"/>
          <c:w val="0.42601654858579163"/>
          <c:h val="0.999510598687456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57614564626632"/>
          <c:y val="2.9128045595712318E-2"/>
          <c:w val="0.44543282034679421"/>
          <c:h val="0.901480901530734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Sheet1!$AB$114</c:f>
              <c:strCache>
                <c:ptCount val="1"/>
                <c:pt idx="0">
                  <c:v>Emissions associated with Biomass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Sheet1!$AC$114:$AE$114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03-4CA6-9DE5-392D0D42D434}"/>
            </c:ext>
          </c:extLst>
        </c:ser>
        <c:ser>
          <c:idx val="1"/>
          <c:order val="1"/>
          <c:tx>
            <c:strRef>
              <c:f>Sheet1!$AB$115</c:f>
              <c:strCache>
                <c:ptCount val="1"/>
                <c:pt idx="0">
                  <c:v>Emissions due to biomass valorisation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Sheet1!$AC$115:$AE$115</c:f>
              <c:numCache>
                <c:formatCode>General</c:formatCode>
                <c:ptCount val="3"/>
                <c:pt idx="0">
                  <c:v>1.3287769817641699</c:v>
                </c:pt>
                <c:pt idx="1">
                  <c:v>-130.486972078262</c:v>
                </c:pt>
                <c:pt idx="2">
                  <c:v>-17.034623262201698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03-4CA6-9DE5-392D0D42D434}"/>
            </c:ext>
          </c:extLst>
        </c:ser>
        <c:ser>
          <c:idx val="2"/>
          <c:order val="2"/>
          <c:tx>
            <c:strRef>
              <c:f>Sheet1!$AB$116</c:f>
              <c:strCache>
                <c:ptCount val="1"/>
                <c:pt idx="0">
                  <c:v>Biomass transport from field to pre-processing facility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Sheet1!$AC$116:$AE$116</c:f>
              <c:numCache>
                <c:formatCode>General</c:formatCode>
                <c:ptCount val="3"/>
                <c:pt idx="0">
                  <c:v>0.63826583312199325</c:v>
                </c:pt>
                <c:pt idx="1">
                  <c:v>0</c:v>
                </c:pt>
                <c:pt idx="2">
                  <c:v>5.2605005881949545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03-4CA6-9DE5-392D0D42D434}"/>
            </c:ext>
          </c:extLst>
        </c:ser>
        <c:ser>
          <c:idx val="3"/>
          <c:order val="3"/>
          <c:tx>
            <c:strRef>
              <c:f>Sheet1!$AB$117</c:f>
              <c:strCache>
                <c:ptCount val="1"/>
                <c:pt idx="0">
                  <c:v>Biomass pre-processing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Sheet1!$AC$117:$AE$117</c:f>
              <c:numCache>
                <c:formatCode>General</c:formatCode>
                <c:ptCount val="3"/>
                <c:pt idx="0">
                  <c:v>1.5862251807579462</c:v>
                </c:pt>
                <c:pt idx="1">
                  <c:v>0</c:v>
                </c:pt>
                <c:pt idx="2">
                  <c:v>3.4218363371164364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03-4CA6-9DE5-392D0D42D434}"/>
            </c:ext>
          </c:extLst>
        </c:ser>
        <c:ser>
          <c:idx val="4"/>
          <c:order val="4"/>
          <c:tx>
            <c:strRef>
              <c:f>Sheet1!$AB$118</c:f>
              <c:strCache>
                <c:ptCount val="1"/>
                <c:pt idx="0">
                  <c:v>Pre-processed biomass transportation to HTL facility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Sheet1!$AC$118:$AE$118</c:f>
              <c:numCache>
                <c:formatCode>General</c:formatCode>
                <c:ptCount val="3"/>
                <c:pt idx="0">
                  <c:v>1.3483327981456519</c:v>
                </c:pt>
                <c:pt idx="1">
                  <c:v>6.8418100849859496</c:v>
                </c:pt>
                <c:pt idx="2">
                  <c:v>5.675277392318443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03-4CA6-9DE5-392D0D42D434}"/>
            </c:ext>
          </c:extLst>
        </c:ser>
        <c:ser>
          <c:idx val="5"/>
          <c:order val="5"/>
          <c:tx>
            <c:strRef>
              <c:f>Sheet1!$AB$119</c:f>
              <c:strCache>
                <c:ptCount val="1"/>
                <c:pt idx="0">
                  <c:v>Emissions due to water consumption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Sheet1!$AC$119:$AE$119</c:f>
              <c:numCache>
                <c:formatCode>General</c:formatCode>
                <c:ptCount val="3"/>
                <c:pt idx="0">
                  <c:v>0.17824341598860541</c:v>
                </c:pt>
                <c:pt idx="1">
                  <c:v>1.3752959181730884</c:v>
                </c:pt>
                <c:pt idx="2">
                  <c:v>1.5433271795282513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03-4CA6-9DE5-392D0D42D434}"/>
            </c:ext>
          </c:extLst>
        </c:ser>
        <c:ser>
          <c:idx val="6"/>
          <c:order val="6"/>
          <c:tx>
            <c:strRef>
              <c:f>Sheet1!$AB$120</c:f>
              <c:strCache>
                <c:ptCount val="1"/>
                <c:pt idx="0">
                  <c:v>Emissions due to HTL catalyst consumption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Sheet1!$AC$120:$AE$120</c:f>
              <c:numCache>
                <c:formatCode>General</c:formatCode>
                <c:ptCount val="3"/>
                <c:pt idx="0">
                  <c:v>14.948253848484015</c:v>
                </c:pt>
                <c:pt idx="1">
                  <c:v>0</c:v>
                </c:pt>
                <c:pt idx="2">
                  <c:v>23.837768576941137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03-4CA6-9DE5-392D0D42D434}"/>
            </c:ext>
          </c:extLst>
        </c:ser>
        <c:ser>
          <c:idx val="7"/>
          <c:order val="7"/>
          <c:tx>
            <c:strRef>
              <c:f>Sheet1!$AB$121</c:f>
              <c:strCache>
                <c:ptCount val="1"/>
                <c:pt idx="0">
                  <c:v>Emissions due to electricity generation in CHP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Sheet1!$AC$121:$AE$121</c:f>
              <c:numCache>
                <c:formatCode>General</c:formatCode>
                <c:ptCount val="3"/>
                <c:pt idx="0">
                  <c:v>0.38067798839430234</c:v>
                </c:pt>
                <c:pt idx="1">
                  <c:v>1.807144543555413</c:v>
                </c:pt>
                <c:pt idx="2">
                  <c:v>4.0341003296151969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B03-4CA6-9DE5-392D0D42D434}"/>
            </c:ext>
          </c:extLst>
        </c:ser>
        <c:ser>
          <c:idx val="8"/>
          <c:order val="8"/>
          <c:tx>
            <c:strRef>
              <c:f>Sheet1!$AB$122</c:f>
              <c:strCache>
                <c:ptCount val="1"/>
                <c:pt idx="0">
                  <c:v>Emissions saved due to electricity selling in grid due to system allocation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Sheet1!$AC$122:$AE$122</c:f>
              <c:numCache>
                <c:formatCode>General</c:formatCode>
                <c:ptCount val="3"/>
                <c:pt idx="0">
                  <c:v>-1.4606607944688499</c:v>
                </c:pt>
                <c:pt idx="1">
                  <c:v>-16.470210228588098</c:v>
                </c:pt>
                <c:pt idx="2">
                  <c:v>-69.551161328744413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B03-4CA6-9DE5-392D0D42D434}"/>
            </c:ext>
          </c:extLst>
        </c:ser>
        <c:ser>
          <c:idx val="9"/>
          <c:order val="9"/>
          <c:tx>
            <c:strRef>
              <c:f>Sheet1!$AB$123</c:f>
              <c:strCache>
                <c:ptCount val="1"/>
                <c:pt idx="0">
                  <c:v>Emissions due to solid waste disposal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Sheet1!$AC$123:$AE$123</c:f>
              <c:numCache>
                <c:formatCode>General</c:formatCode>
                <c:ptCount val="3"/>
                <c:pt idx="0">
                  <c:v>2.9920885793681246E-3</c:v>
                </c:pt>
                <c:pt idx="1">
                  <c:v>0.25352556684139638</c:v>
                </c:pt>
                <c:pt idx="2">
                  <c:v>0.13051234263100325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B03-4CA6-9DE5-392D0D42D434}"/>
            </c:ext>
          </c:extLst>
        </c:ser>
        <c:ser>
          <c:idx val="10"/>
          <c:order val="10"/>
          <c:tx>
            <c:strRef>
              <c:f>Sheet1!$AB$124</c:f>
              <c:strCache>
                <c:ptCount val="1"/>
                <c:pt idx="0">
                  <c:v>Emissions due to liquid waste disposal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Sheet1!$AC$124:$AE$124</c:f>
              <c:numCache>
                <c:formatCode>General</c:formatCode>
                <c:ptCount val="3"/>
                <c:pt idx="0">
                  <c:v>0.22211285745225157</c:v>
                </c:pt>
                <c:pt idx="1">
                  <c:v>1.0108141703181195</c:v>
                </c:pt>
                <c:pt idx="2">
                  <c:v>0.53180495198443489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B03-4CA6-9DE5-392D0D42D434}"/>
            </c:ext>
          </c:extLst>
        </c:ser>
        <c:ser>
          <c:idx val="11"/>
          <c:order val="11"/>
          <c:tx>
            <c:strRef>
              <c:f>Sheet1!$AB$125</c:f>
              <c:strCache>
                <c:ptCount val="1"/>
                <c:pt idx="0">
                  <c:v>Emissions due to gas waste disposal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Sheet1!$AC$125:$AE$125</c:f>
              <c:numCache>
                <c:formatCode>General</c:formatCode>
                <c:ptCount val="3"/>
                <c:pt idx="0">
                  <c:v>1.4411349100378197</c:v>
                </c:pt>
                <c:pt idx="1">
                  <c:v>4.7264542148778323</c:v>
                </c:pt>
                <c:pt idx="2">
                  <c:v>2.6428051306246734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B03-4CA6-9DE5-392D0D42D434}"/>
            </c:ext>
          </c:extLst>
        </c:ser>
        <c:ser>
          <c:idx val="12"/>
          <c:order val="12"/>
          <c:tx>
            <c:strRef>
              <c:f>Sheet1!$AB$126</c:f>
              <c:strCache>
                <c:ptCount val="1"/>
                <c:pt idx="0">
                  <c:v>Emissions due to biocrude transport to upgrading site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Sheet1!$AC$126:$AE$126</c:f>
              <c:numCache>
                <c:formatCode>General</c:formatCode>
                <c:ptCount val="3"/>
                <c:pt idx="0">
                  <c:v>1.9060763246228924</c:v>
                </c:pt>
                <c:pt idx="1">
                  <c:v>5.0350289721819772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B03-4CA6-9DE5-392D0D42D434}"/>
            </c:ext>
          </c:extLst>
        </c:ser>
        <c:ser>
          <c:idx val="13"/>
          <c:order val="13"/>
          <c:tx>
            <c:strRef>
              <c:f>Sheet1!$AB$127</c:f>
              <c:strCache>
                <c:ptCount val="1"/>
                <c:pt idx="0">
                  <c:v>Emissions due to green hydrogen consumption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Sheet1!$AC$127:$AE$127</c:f>
              <c:numCache>
                <c:formatCode>General</c:formatCode>
                <c:ptCount val="3"/>
                <c:pt idx="0">
                  <c:v>2.8437318554396858</c:v>
                </c:pt>
                <c:pt idx="1">
                  <c:v>3.0110828498204394</c:v>
                </c:pt>
                <c:pt idx="2">
                  <c:v>3.4909662960421435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B03-4CA6-9DE5-392D0D42D434}"/>
            </c:ext>
          </c:extLst>
        </c:ser>
        <c:ser>
          <c:idx val="14"/>
          <c:order val="14"/>
          <c:tx>
            <c:strRef>
              <c:f>Sheet1!$AB$128</c:f>
              <c:strCache>
                <c:ptCount val="1"/>
                <c:pt idx="0">
                  <c:v>Emissions due to upgrading catalyst consumption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Sheet1!$AC$128:$AE$128</c:f>
              <c:numCache>
                <c:formatCode>General</c:formatCode>
                <c:ptCount val="3"/>
                <c:pt idx="0">
                  <c:v>0.38484103146873433</c:v>
                </c:pt>
                <c:pt idx="1">
                  <c:v>0.43822710810044818</c:v>
                </c:pt>
                <c:pt idx="2">
                  <c:v>0.66266248758156643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03-4CA6-9DE5-392D0D42D434}"/>
            </c:ext>
          </c:extLst>
        </c:ser>
        <c:ser>
          <c:idx val="15"/>
          <c:order val="15"/>
          <c:tx>
            <c:strRef>
              <c:f>Sheet1!$AB$129</c:f>
              <c:strCache>
                <c:ptCount val="1"/>
                <c:pt idx="0">
                  <c:v>Emissions due to "drop-in" biofuel  transport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Sheet1!$AC$129:$AE$129</c:f>
              <c:numCache>
                <c:formatCode>General</c:formatCode>
                <c:ptCount val="3"/>
                <c:pt idx="0">
                  <c:v>4.823063882415303E-3</c:v>
                </c:pt>
                <c:pt idx="1">
                  <c:v>4.918534637987805E-2</c:v>
                </c:pt>
                <c:pt idx="2">
                  <c:v>1.1239008289032645E-2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B03-4CA6-9DE5-392D0D42D434}"/>
            </c:ext>
          </c:extLst>
        </c:ser>
        <c:ser>
          <c:idx val="16"/>
          <c:order val="16"/>
          <c:tx>
            <c:strRef>
              <c:f>Sheet1!$AB$130</c:f>
              <c:strCache>
                <c:ptCount val="1"/>
                <c:pt idx="0">
                  <c:v>Emissions due to combustion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cat>
          <c:val>
            <c:numRef>
              <c:f>Sheet1!$AC$130:$AE$130</c:f>
              <c:numCache>
                <c:formatCode>General</c:formatCode>
                <c:ptCount val="3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B03-4CA6-9DE5-392D0D42D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5965679"/>
        <c:axId val="1475961359"/>
      </c:barChart>
      <c:scatterChart>
        <c:scatterStyle val="lineMarker"/>
        <c:varyColors val="0"/>
        <c:ser>
          <c:idx val="17"/>
          <c:order val="17"/>
          <c:tx>
            <c:strRef>
              <c:f>Sheet1!$AB$131</c:f>
              <c:strCache>
                <c:ptCount val="1"/>
                <c:pt idx="0">
                  <c:v>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63500">
                <a:solidFill>
                  <a:srgbClr val="C00000"/>
                </a:solidFill>
              </a:ln>
              <a:effectLst/>
            </c:spPr>
          </c:marker>
          <c:xVal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xVal>
          <c:yVal>
            <c:numRef>
              <c:f>Sheet1!$AC$131:$AE$131</c:f>
              <c:numCache>
                <c:formatCode>General</c:formatCode>
                <c:ptCount val="3"/>
                <c:pt idx="0">
                  <c:v>10.900634740173272</c:v>
                </c:pt>
                <c:pt idx="1">
                  <c:v>-43.368335282068855</c:v>
                </c:pt>
                <c:pt idx="2">
                  <c:v>-7.2424666011548515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B03-4CA6-9DE5-392D0D42D434}"/>
            </c:ext>
          </c:extLst>
        </c:ser>
        <c:ser>
          <c:idx val="18"/>
          <c:order val="18"/>
          <c:tx>
            <c:strRef>
              <c:f>Sheet1!$AB$132</c:f>
              <c:strCache>
                <c:ptCount val="1"/>
                <c:pt idx="0">
                  <c:v>SSD MGO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7030A0"/>
                </a:solidFill>
                <a:ln w="63500">
                  <a:solidFill>
                    <a:srgbClr val="7030A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8B03-4CA6-9DE5-392D0D42D434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rgbClr val="7030A0"/>
                </a:solidFill>
                <a:ln w="63500">
                  <a:solidFill>
                    <a:srgbClr val="7030A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8B03-4CA6-9DE5-392D0D42D434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7030A0"/>
                </a:solidFill>
                <a:ln w="63500">
                  <a:solidFill>
                    <a:srgbClr val="7030A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8B03-4CA6-9DE5-392D0D42D434}"/>
              </c:ext>
            </c:extLst>
          </c:dPt>
          <c:xVal>
            <c:strRef>
              <c:f>Sheet1!$AC$113:$AE$113</c:f>
              <c:strCache>
                <c:ptCount val="3"/>
                <c:pt idx="0">
                  <c:v>Spain </c:v>
                </c:pt>
                <c:pt idx="1">
                  <c:v>Colombia</c:v>
                </c:pt>
                <c:pt idx="2">
                  <c:v>Namibia</c:v>
                </c:pt>
              </c:strCache>
            </c:strRef>
          </c:xVal>
          <c:yVal>
            <c:numRef>
              <c:f>Sheet1!$AC$132:$AE$132</c:f>
              <c:numCache>
                <c:formatCode>General</c:formatCode>
                <c:ptCount val="3"/>
                <c:pt idx="0">
                  <c:v>104.97618348316944</c:v>
                </c:pt>
                <c:pt idx="1">
                  <c:v>104.97618348316944</c:v>
                </c:pt>
                <c:pt idx="2">
                  <c:v>104.97618348316944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B03-4CA6-9DE5-392D0D42D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5965679"/>
        <c:axId val="1475961359"/>
      </c:scatterChart>
      <c:catAx>
        <c:axId val="1475965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75961359"/>
        <c:crosses val="autoZero"/>
        <c:auto val="1"/>
        <c:lblAlgn val="ctr"/>
        <c:lblOffset val="100"/>
        <c:noMultiLvlLbl val="0"/>
      </c:catAx>
      <c:valAx>
        <c:axId val="1475961359"/>
        <c:scaling>
          <c:orientation val="minMax"/>
          <c:max val="12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8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Stagewise GWP contributions in</a:t>
                </a:r>
              </a:p>
              <a:p>
                <a:pPr>
                  <a:defRPr/>
                </a:pPr>
                <a:r>
                  <a:rPr lang="nl-NL" sz="18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g -CO2eq/ MJ of drop-in marine biofuel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75965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761853157426722"/>
          <c:y val="5.5708169092787523E-2"/>
          <c:w val="0.43579581679754281"/>
          <c:h val="0.888583661814424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57097</xdr:colOff>
      <xdr:row>137</xdr:row>
      <xdr:rowOff>140341</xdr:rowOff>
    </xdr:from>
    <xdr:to>
      <xdr:col>53</xdr:col>
      <xdr:colOff>94449</xdr:colOff>
      <xdr:row>169</xdr:row>
      <xdr:rowOff>108857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FF664B-2D81-1B9F-1D75-A5374F16E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68034</xdr:colOff>
      <xdr:row>108</xdr:row>
      <xdr:rowOff>90713</xdr:rowOff>
    </xdr:from>
    <xdr:to>
      <xdr:col>53</xdr:col>
      <xdr:colOff>90715</xdr:colOff>
      <xdr:row>136</xdr:row>
      <xdr:rowOff>90714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66D39B-A78E-90FA-FBB2-F97B052494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97"/>
  <sheetViews>
    <sheetView tabSelected="1" topLeftCell="AD112" zoomScale="85" zoomScaleNormal="85" workbookViewId="0">
      <selection activeCell="AH112" sqref="AH112"/>
    </sheetView>
  </sheetViews>
  <sheetFormatPr defaultRowHeight="14.5" x14ac:dyDescent="0.35"/>
  <cols>
    <col min="1" max="1" width="40.54296875" customWidth="1"/>
    <col min="2" max="2" width="22.26953125" customWidth="1"/>
    <col min="3" max="3" width="14.54296875" bestFit="1" customWidth="1"/>
    <col min="4" max="4" width="12.54296875" bestFit="1" customWidth="1"/>
    <col min="5" max="5" width="14.90625" customWidth="1"/>
    <col min="6" max="6" width="12.453125" bestFit="1" customWidth="1"/>
    <col min="7" max="10" width="10.81640625" bestFit="1" customWidth="1"/>
    <col min="12" max="12" width="10.81640625" bestFit="1" customWidth="1"/>
    <col min="20" max="20" width="10.81640625" bestFit="1" customWidth="1"/>
    <col min="28" max="28" width="66.36328125" customWidth="1"/>
  </cols>
  <sheetData>
    <row r="1" spans="1:41" x14ac:dyDescent="0.35">
      <c r="A1" t="s">
        <v>33</v>
      </c>
      <c r="T1" t="s">
        <v>62</v>
      </c>
      <c r="U1">
        <v>58115188.052599043</v>
      </c>
    </row>
    <row r="2" spans="1:41" x14ac:dyDescent="0.35">
      <c r="C2" t="s">
        <v>59</v>
      </c>
      <c r="D2" t="s">
        <v>66</v>
      </c>
      <c r="E2" t="s">
        <v>67</v>
      </c>
      <c r="F2" t="s">
        <v>68</v>
      </c>
      <c r="G2" t="s">
        <v>69</v>
      </c>
      <c r="H2" t="s">
        <v>39</v>
      </c>
      <c r="I2" t="s">
        <v>61</v>
      </c>
      <c r="J2" t="s">
        <v>40</v>
      </c>
      <c r="K2" t="s">
        <v>41</v>
      </c>
      <c r="L2" t="s">
        <v>44</v>
      </c>
      <c r="M2" t="s">
        <v>45</v>
      </c>
      <c r="N2" t="s">
        <v>46</v>
      </c>
      <c r="O2" t="s">
        <v>42</v>
      </c>
      <c r="P2" t="s">
        <v>48</v>
      </c>
      <c r="Q2" t="s">
        <v>49</v>
      </c>
      <c r="R2" t="s">
        <v>50</v>
      </c>
      <c r="S2" t="s">
        <v>51</v>
      </c>
      <c r="T2" t="s">
        <v>54</v>
      </c>
      <c r="U2" t="s">
        <v>56</v>
      </c>
      <c r="V2" t="s">
        <v>57</v>
      </c>
      <c r="X2" t="s">
        <v>70</v>
      </c>
      <c r="Y2" t="s">
        <v>34</v>
      </c>
      <c r="Z2" t="s">
        <v>35</v>
      </c>
      <c r="AA2" t="s">
        <v>36</v>
      </c>
      <c r="AB2" t="s">
        <v>37</v>
      </c>
      <c r="AC2" t="s">
        <v>39</v>
      </c>
      <c r="AD2" t="s">
        <v>61</v>
      </c>
      <c r="AE2" t="s">
        <v>40</v>
      </c>
      <c r="AF2" t="s">
        <v>41</v>
      </c>
      <c r="AG2" t="s">
        <v>44</v>
      </c>
      <c r="AH2" t="s">
        <v>45</v>
      </c>
      <c r="AI2" t="s">
        <v>46</v>
      </c>
      <c r="AJ2" t="s">
        <v>42</v>
      </c>
      <c r="AK2" t="s">
        <v>48</v>
      </c>
      <c r="AL2" t="s">
        <v>49</v>
      </c>
      <c r="AM2" t="s">
        <v>50</v>
      </c>
      <c r="AN2" t="s">
        <v>51</v>
      </c>
    </row>
    <row r="5" spans="1:41" x14ac:dyDescent="0.35">
      <c r="A5" t="s">
        <v>0</v>
      </c>
      <c r="B5" t="s">
        <v>1</v>
      </c>
    </row>
    <row r="6" spans="1:41" x14ac:dyDescent="0.35">
      <c r="A6" t="s">
        <v>2</v>
      </c>
      <c r="B6" t="s">
        <v>3</v>
      </c>
      <c r="C6">
        <v>0</v>
      </c>
      <c r="D6">
        <v>-3322868.0032584043</v>
      </c>
      <c r="E6">
        <v>1596109.1617032208</v>
      </c>
      <c r="F6">
        <v>3966667.8242013915</v>
      </c>
      <c r="G6">
        <v>3371771.1656576814</v>
      </c>
      <c r="H6">
        <v>445732.69397974352</v>
      </c>
      <c r="I6">
        <v>37381046.706397228</v>
      </c>
      <c r="J6">
        <v>951960.12915635051</v>
      </c>
      <c r="K6">
        <v>3652669.3976220451</v>
      </c>
      <c r="L6">
        <v>7482.3055634943375</v>
      </c>
      <c r="M6">
        <v>555436.85454311431</v>
      </c>
      <c r="N6">
        <v>3603841.0859477525</v>
      </c>
      <c r="O6">
        <v>4766518.4735882897</v>
      </c>
      <c r="P6">
        <v>7111310.4169983817</v>
      </c>
      <c r="Q6">
        <v>962370.6365763772</v>
      </c>
      <c r="R6">
        <v>12061.019172134831</v>
      </c>
      <c r="S6">
        <v>3751044.8128550057</v>
      </c>
      <c r="T6">
        <f>((C6-D6+SUM(E6,F6,G6,H6,I6,J6,L6,M6,N6,O6,P6,Q6)-K6)*0.3649)+SUM(R6,S6)</f>
        <v>27259179.599302664</v>
      </c>
      <c r="U6">
        <v>0.46905431286965577</v>
      </c>
      <c r="V6">
        <v>10.900634740173269</v>
      </c>
      <c r="X6">
        <f>C6/($U$1*43.03)</f>
        <v>0</v>
      </c>
      <c r="Y6">
        <f t="shared" ref="Y6:AO6" si="0">D6/($U$1*43.03)</f>
        <v>-1.3287769817641663E-3</v>
      </c>
      <c r="Z6">
        <f t="shared" si="0"/>
        <v>6.3826583312199322E-4</v>
      </c>
      <c r="AA6">
        <f t="shared" si="0"/>
        <v>1.5862251807579461E-3</v>
      </c>
      <c r="AB6">
        <f t="shared" si="0"/>
        <v>1.3483327981456518E-3</v>
      </c>
      <c r="AC6">
        <f t="shared" si="0"/>
        <v>1.782434159886054E-4</v>
      </c>
      <c r="AD6">
        <f t="shared" si="0"/>
        <v>1.4948253848484016E-2</v>
      </c>
      <c r="AE6">
        <f t="shared" si="0"/>
        <v>3.8067798839430233E-4</v>
      </c>
      <c r="AF6">
        <f t="shared" si="0"/>
        <v>1.4606607944688543E-3</v>
      </c>
      <c r="AG6">
        <f t="shared" si="0"/>
        <v>2.9920885793681246E-6</v>
      </c>
      <c r="AH6">
        <f t="shared" si="0"/>
        <v>2.2211285745225157E-4</v>
      </c>
      <c r="AI6">
        <f t="shared" si="0"/>
        <v>1.4411349100378198E-3</v>
      </c>
      <c r="AJ6">
        <f t="shared" si="0"/>
        <v>1.9060763246228924E-3</v>
      </c>
      <c r="AK6">
        <f t="shared" si="0"/>
        <v>2.8437318554396856E-3</v>
      </c>
      <c r="AL6">
        <f t="shared" si="0"/>
        <v>3.8484103146873433E-4</v>
      </c>
      <c r="AM6">
        <f t="shared" si="0"/>
        <v>4.8230638824153033E-6</v>
      </c>
      <c r="AN6">
        <f t="shared" si="0"/>
        <v>1.5E-3</v>
      </c>
      <c r="AO6">
        <f t="shared" si="0"/>
        <v>1.0900634740173266E-2</v>
      </c>
    </row>
    <row r="7" spans="1:41" x14ac:dyDescent="0.35">
      <c r="A7" t="s">
        <v>4</v>
      </c>
      <c r="B7" t="s">
        <v>5</v>
      </c>
      <c r="C7">
        <v>0</v>
      </c>
      <c r="D7">
        <v>-7.1687382973960148</v>
      </c>
      <c r="E7">
        <v>0.70857760242615897</v>
      </c>
      <c r="F7">
        <v>2.1976316972812171</v>
      </c>
      <c r="G7">
        <v>2.5446625583058839</v>
      </c>
      <c r="H7">
        <v>0.22995973787482915</v>
      </c>
      <c r="I7">
        <v>20.130508665825808</v>
      </c>
      <c r="J7">
        <v>6.4127238567777756</v>
      </c>
      <c r="K7">
        <v>-3.9469411709145779</v>
      </c>
      <c r="L7">
        <v>4.9186834541526383E-3</v>
      </c>
      <c r="M7">
        <v>1.612187160052498</v>
      </c>
      <c r="N7">
        <v>0</v>
      </c>
      <c r="O7">
        <v>3.516817666770681</v>
      </c>
      <c r="P7">
        <v>0.42170162769054176</v>
      </c>
      <c r="Q7">
        <v>1.6169658482932061</v>
      </c>
      <c r="R7">
        <v>6.0769481308044961E-3</v>
      </c>
      <c r="S7">
        <v>0</v>
      </c>
      <c r="T7">
        <f t="shared" ref="T7:T23" si="1">((C7-D7+SUM(E7,F7,G7,H7,I7,J7,L7,M7,N7,O7,P7,Q7)-K7)*0.3649)+SUM(R7,S7)</f>
        <v>18.438027833841616</v>
      </c>
      <c r="U7">
        <v>3.1726693918900645E-7</v>
      </c>
      <c r="V7">
        <v>7.3731568484547154E-6</v>
      </c>
    </row>
    <row r="8" spans="1:41" x14ac:dyDescent="0.35">
      <c r="A8" t="s">
        <v>6</v>
      </c>
      <c r="B8" t="s">
        <v>7</v>
      </c>
      <c r="C8">
        <v>0</v>
      </c>
      <c r="D8">
        <v>-187559.44224633597</v>
      </c>
      <c r="E8">
        <v>43354.035569683554</v>
      </c>
      <c r="F8">
        <v>1921527.3986615103</v>
      </c>
      <c r="G8">
        <v>77987.751335810375</v>
      </c>
      <c r="H8">
        <v>141726.29438475642</v>
      </c>
      <c r="I8">
        <v>9569264.1210134216</v>
      </c>
      <c r="J8">
        <v>19237.482738738221</v>
      </c>
      <c r="K8">
        <v>2940613.0351592945</v>
      </c>
      <c r="L8">
        <v>276.55814459368281</v>
      </c>
      <c r="M8">
        <v>63818.50749161368</v>
      </c>
      <c r="N8">
        <v>590.90077825435685</v>
      </c>
      <c r="O8">
        <v>112592.51010843918</v>
      </c>
      <c r="P8">
        <v>0</v>
      </c>
      <c r="Q8">
        <v>52303.608732308392</v>
      </c>
      <c r="R8">
        <v>3850.5672822480833</v>
      </c>
      <c r="S8">
        <v>0</v>
      </c>
      <c r="T8">
        <f t="shared" si="1"/>
        <v>3379038.9399814969</v>
      </c>
      <c r="U8">
        <v>5.814381839258935E-2</v>
      </c>
      <c r="V8">
        <v>1.3512390981312887</v>
      </c>
    </row>
    <row r="9" spans="1:41" x14ac:dyDescent="0.35">
      <c r="A9" t="s">
        <v>8</v>
      </c>
      <c r="B9" t="s">
        <v>9</v>
      </c>
      <c r="C9">
        <v>0</v>
      </c>
      <c r="D9">
        <v>2227268.3766752398</v>
      </c>
      <c r="E9">
        <v>10418.880437770085</v>
      </c>
      <c r="F9">
        <v>7401.5722110849911</v>
      </c>
      <c r="G9">
        <v>10965.860091261249</v>
      </c>
      <c r="H9">
        <v>1070.7449678774133</v>
      </c>
      <c r="I9">
        <v>76993.677618606423</v>
      </c>
      <c r="J9">
        <v>22517.81789418207</v>
      </c>
      <c r="K9">
        <v>-7499.0744024086498</v>
      </c>
      <c r="L9">
        <v>58.585791634259778</v>
      </c>
      <c r="M9">
        <v>2088.2708098759203</v>
      </c>
      <c r="N9">
        <v>12359.745272338383</v>
      </c>
      <c r="O9">
        <v>9527.5391415089562</v>
      </c>
      <c r="P9">
        <v>0</v>
      </c>
      <c r="Q9">
        <v>6871.5499541963964</v>
      </c>
      <c r="R9">
        <v>43.747756722995234</v>
      </c>
      <c r="S9">
        <v>0</v>
      </c>
      <c r="T9">
        <f t="shared" si="1"/>
        <v>-751465.99893757945</v>
      </c>
      <c r="U9">
        <v>-1.293063008343775E-2</v>
      </c>
      <c r="V9">
        <v>-0.30050267449309204</v>
      </c>
    </row>
    <row r="10" spans="1:41" x14ac:dyDescent="0.35">
      <c r="A10" t="s">
        <v>10</v>
      </c>
      <c r="B10" t="s">
        <v>11</v>
      </c>
      <c r="C10">
        <v>0</v>
      </c>
      <c r="D10">
        <v>220923.38149207842</v>
      </c>
      <c r="E10">
        <v>3934.7063760360252</v>
      </c>
      <c r="F10">
        <v>6054.9385901367186</v>
      </c>
      <c r="G10">
        <v>3690.8629029647136</v>
      </c>
      <c r="H10">
        <v>792.99966993297437</v>
      </c>
      <c r="I10">
        <v>55513.50238088319</v>
      </c>
      <c r="J10">
        <v>5391.7681703980252</v>
      </c>
      <c r="K10">
        <v>5171.1877675225778</v>
      </c>
      <c r="L10">
        <v>15.423659199575379</v>
      </c>
      <c r="M10">
        <v>1534.6494753497877</v>
      </c>
      <c r="N10">
        <v>15249.238489695226</v>
      </c>
      <c r="O10">
        <v>5111.7579076554939</v>
      </c>
      <c r="P10">
        <v>0</v>
      </c>
      <c r="Q10">
        <v>56114.458284930421</v>
      </c>
      <c r="R10">
        <v>21.881797751630966</v>
      </c>
      <c r="S10">
        <v>0</v>
      </c>
      <c r="T10">
        <f t="shared" si="1"/>
        <v>-26502.795299546015</v>
      </c>
      <c r="U10">
        <v>-4.5603905257191626E-4</v>
      </c>
      <c r="V10">
        <v>-1.0598165293328288E-2</v>
      </c>
    </row>
    <row r="11" spans="1:41" x14ac:dyDescent="0.35">
      <c r="A11" t="s">
        <v>12</v>
      </c>
      <c r="B11" t="s">
        <v>9</v>
      </c>
      <c r="C11">
        <v>0</v>
      </c>
      <c r="D11">
        <v>2335475.7472019717</v>
      </c>
      <c r="E11">
        <v>10650.076062425249</v>
      </c>
      <c r="F11">
        <v>7494.4070343387411</v>
      </c>
      <c r="G11">
        <v>11263.158758355234</v>
      </c>
      <c r="H11">
        <v>1101.4430294315678</v>
      </c>
      <c r="I11">
        <v>78230.695290504751</v>
      </c>
      <c r="J11">
        <v>22888.201411816164</v>
      </c>
      <c r="K11">
        <v>-7781.2594716287767</v>
      </c>
      <c r="L11">
        <v>59.792554772019045</v>
      </c>
      <c r="M11">
        <v>2124.7062057741769</v>
      </c>
      <c r="N11">
        <v>12394.775142334251</v>
      </c>
      <c r="O11">
        <v>10105.449068158316</v>
      </c>
      <c r="P11">
        <v>0</v>
      </c>
      <c r="Q11">
        <v>6999.0379404076721</v>
      </c>
      <c r="R11">
        <v>44.743089416457423</v>
      </c>
      <c r="S11">
        <v>4391830.4395995792</v>
      </c>
      <c r="T11">
        <f t="shared" si="1"/>
        <v>3602091.9189538294</v>
      </c>
      <c r="U11">
        <v>6.1981936902512288E-2</v>
      </c>
      <c r="V11">
        <v>1.4404354381248499</v>
      </c>
    </row>
    <row r="12" spans="1:41" x14ac:dyDescent="0.35">
      <c r="A12" t="s">
        <v>13</v>
      </c>
      <c r="B12" t="s">
        <v>14</v>
      </c>
      <c r="C12">
        <v>0</v>
      </c>
      <c r="D12">
        <v>716873.82973960147</v>
      </c>
      <c r="E12">
        <v>7297.4778849992226</v>
      </c>
      <c r="F12">
        <v>15018.495158983844</v>
      </c>
      <c r="G12">
        <v>8389.1678828517743</v>
      </c>
      <c r="H12">
        <v>1768.5742012308147</v>
      </c>
      <c r="I12">
        <v>142732.92330735954</v>
      </c>
      <c r="J12">
        <v>17503.862867461365</v>
      </c>
      <c r="K12">
        <v>10008.895788846556</v>
      </c>
      <c r="L12">
        <v>34.011724294234632</v>
      </c>
      <c r="M12">
        <v>4199.2194420870264</v>
      </c>
      <c r="N12">
        <v>51139.637088926196</v>
      </c>
      <c r="O12">
        <v>9961.7957427318634</v>
      </c>
      <c r="P12">
        <v>0</v>
      </c>
      <c r="Q12">
        <v>188784.56498704982</v>
      </c>
      <c r="R12">
        <v>47.232167204533866</v>
      </c>
      <c r="S12">
        <v>7680.7108072745359</v>
      </c>
      <c r="T12">
        <f t="shared" si="1"/>
        <v>-94463.394988769287</v>
      </c>
      <c r="U12">
        <v>-1.6254510766320169E-3</v>
      </c>
      <c r="V12">
        <v>-3.7774833293795419E-2</v>
      </c>
    </row>
    <row r="13" spans="1:41" x14ac:dyDescent="0.35">
      <c r="A13" t="s">
        <v>15</v>
      </c>
      <c r="B13" t="s">
        <v>16</v>
      </c>
      <c r="C13">
        <v>0</v>
      </c>
      <c r="D13">
        <v>-689.82198710791829</v>
      </c>
      <c r="E13">
        <v>424.7706790663413</v>
      </c>
      <c r="F13">
        <v>3789.2341186943199</v>
      </c>
      <c r="G13">
        <v>247.75471466958484</v>
      </c>
      <c r="H13">
        <v>329.59334009787142</v>
      </c>
      <c r="I13">
        <v>24950.961547299252</v>
      </c>
      <c r="J13">
        <v>207.87125410949255</v>
      </c>
      <c r="K13">
        <v>1538.3101112023014</v>
      </c>
      <c r="L13">
        <v>0.56533934388718676</v>
      </c>
      <c r="M13">
        <v>1274.1598813736832</v>
      </c>
      <c r="N13">
        <v>0</v>
      </c>
      <c r="O13">
        <v>353.13219563027741</v>
      </c>
      <c r="P13">
        <v>0</v>
      </c>
      <c r="Q13">
        <v>1429.3365991023318</v>
      </c>
      <c r="R13">
        <v>8.7953768334936964</v>
      </c>
      <c r="S13">
        <v>0</v>
      </c>
      <c r="T13">
        <f t="shared" si="1"/>
        <v>11743.574901710788</v>
      </c>
      <c r="U13">
        <v>2.0207410997417541E-4</v>
      </c>
      <c r="V13">
        <v>4.696121542509305E-3</v>
      </c>
    </row>
    <row r="14" spans="1:41" x14ac:dyDescent="0.35">
      <c r="A14" t="s">
        <v>17</v>
      </c>
      <c r="B14" t="s">
        <v>18</v>
      </c>
      <c r="C14">
        <v>0</v>
      </c>
      <c r="D14">
        <v>-108.65823457059368</v>
      </c>
      <c r="E14">
        <v>31.537545341627624</v>
      </c>
      <c r="F14">
        <v>269.58650164291339</v>
      </c>
      <c r="G14">
        <v>21.271393703675141</v>
      </c>
      <c r="H14">
        <v>31.432103777792154</v>
      </c>
      <c r="I14">
        <v>1659.8523943429866</v>
      </c>
      <c r="J14">
        <v>25.254441590296356</v>
      </c>
      <c r="K14">
        <v>137.91476153524087</v>
      </c>
      <c r="L14">
        <v>4.9508194583665691E-2</v>
      </c>
      <c r="M14">
        <v>6571.6599433246975</v>
      </c>
      <c r="N14">
        <v>0</v>
      </c>
      <c r="O14">
        <v>28.979660507620064</v>
      </c>
      <c r="P14">
        <v>8871.4103431450585</v>
      </c>
      <c r="Q14">
        <v>95.697540269797344</v>
      </c>
      <c r="R14">
        <v>0.6604344131444887</v>
      </c>
      <c r="S14">
        <v>0</v>
      </c>
      <c r="T14">
        <f t="shared" si="1"/>
        <v>6414.6810067681436</v>
      </c>
      <c r="U14">
        <v>1.1037873612251461E-4</v>
      </c>
      <c r="V14">
        <v>2.5651577067746828E-3</v>
      </c>
    </row>
    <row r="15" spans="1:41" x14ac:dyDescent="0.35">
      <c r="A15" t="s">
        <v>19</v>
      </c>
      <c r="B15" t="s">
        <v>20</v>
      </c>
      <c r="C15">
        <v>0</v>
      </c>
      <c r="D15">
        <v>51849365.044059224</v>
      </c>
      <c r="E15">
        <v>6342098.3220458608</v>
      </c>
      <c r="F15">
        <v>5160853.7130194642</v>
      </c>
      <c r="G15">
        <v>60198793.881410621</v>
      </c>
      <c r="H15">
        <v>1344481.6285515516</v>
      </c>
      <c r="I15">
        <v>205447312.79749539</v>
      </c>
      <c r="J15">
        <v>24124519.962483328</v>
      </c>
      <c r="K15">
        <v>-18908104.104847439</v>
      </c>
      <c r="L15">
        <v>76597.726241413475</v>
      </c>
      <c r="M15">
        <v>3375697.8523393087</v>
      </c>
      <c r="N15">
        <v>122908.89745216526</v>
      </c>
      <c r="O15">
        <v>121313341.81030788</v>
      </c>
      <c r="P15">
        <v>0</v>
      </c>
      <c r="Q15">
        <v>48710407.92374412</v>
      </c>
      <c r="R15">
        <v>23836.030661849949</v>
      </c>
      <c r="S15">
        <v>0</v>
      </c>
      <c r="T15">
        <f t="shared" si="1"/>
        <v>161775158.51050025</v>
      </c>
      <c r="U15">
        <v>2.7836984432379426</v>
      </c>
      <c r="V15">
        <v>64.692039117776957</v>
      </c>
    </row>
    <row r="16" spans="1:41" x14ac:dyDescent="0.35">
      <c r="A16" t="s">
        <v>21</v>
      </c>
      <c r="B16" t="s">
        <v>20</v>
      </c>
      <c r="C16">
        <v>0</v>
      </c>
      <c r="D16">
        <v>141571.30977247475</v>
      </c>
      <c r="E16">
        <v>116955.99364579577</v>
      </c>
      <c r="F16">
        <v>183802.62869764137</v>
      </c>
      <c r="G16">
        <v>78858.1799518185</v>
      </c>
      <c r="H16">
        <v>23480.410599509076</v>
      </c>
      <c r="I16">
        <v>3951448.3273945441</v>
      </c>
      <c r="J16">
        <v>50893.474184980158</v>
      </c>
      <c r="K16">
        <v>47359.044668481583</v>
      </c>
      <c r="L16">
        <v>140.62269128530821</v>
      </c>
      <c r="M16">
        <v>60719.308624378318</v>
      </c>
      <c r="N16">
        <v>8.9955062628034002E-2</v>
      </c>
      <c r="O16">
        <v>91822.283608866361</v>
      </c>
      <c r="P16">
        <v>0</v>
      </c>
      <c r="Q16">
        <v>994676.10309437581</v>
      </c>
      <c r="R16">
        <v>598.44846431767928</v>
      </c>
      <c r="S16">
        <v>0</v>
      </c>
      <c r="T16">
        <f t="shared" si="1"/>
        <v>1957873.5415801818</v>
      </c>
      <c r="U16">
        <v>3.3689532929122502E-2</v>
      </c>
      <c r="V16">
        <v>0.78293127885481062</v>
      </c>
    </row>
    <row r="17" spans="1:22" x14ac:dyDescent="0.35">
      <c r="A17" t="s">
        <v>22</v>
      </c>
      <c r="B17" t="s">
        <v>20</v>
      </c>
      <c r="C17">
        <v>0</v>
      </c>
      <c r="D17">
        <v>379627.52493128576</v>
      </c>
      <c r="E17">
        <v>149601.80759542651</v>
      </c>
      <c r="F17">
        <v>243791.63940884775</v>
      </c>
      <c r="G17">
        <v>135401.14523981046</v>
      </c>
      <c r="H17">
        <v>31744.621503060702</v>
      </c>
      <c r="I17">
        <v>5105378.8000994716</v>
      </c>
      <c r="J17">
        <v>82413.541965950717</v>
      </c>
      <c r="K17">
        <v>50335.03920398387</v>
      </c>
      <c r="L17">
        <v>225.99205355022181</v>
      </c>
      <c r="M17">
        <v>79570.863287216882</v>
      </c>
      <c r="N17">
        <v>21.375460426463537</v>
      </c>
      <c r="O17">
        <v>183959.76026868098</v>
      </c>
      <c r="P17">
        <v>0</v>
      </c>
      <c r="Q17">
        <v>1272540.0713743761</v>
      </c>
      <c r="R17">
        <v>789.79347963855719</v>
      </c>
      <c r="S17">
        <v>0</v>
      </c>
      <c r="T17">
        <f t="shared" si="1"/>
        <v>2502065.0995285921</v>
      </c>
      <c r="U17">
        <v>4.3053549052685103E-2</v>
      </c>
      <c r="V17">
        <v>1.0005472705713478</v>
      </c>
    </row>
    <row r="18" spans="1:22" x14ac:dyDescent="0.35">
      <c r="A18" t="s">
        <v>23</v>
      </c>
      <c r="B18" t="s">
        <v>20</v>
      </c>
      <c r="C18">
        <v>0</v>
      </c>
      <c r="D18">
        <v>689821.98710791836</v>
      </c>
      <c r="E18">
        <v>126465.76724309854</v>
      </c>
      <c r="F18">
        <v>291372.91421281855</v>
      </c>
      <c r="G18">
        <v>70647.85540075085</v>
      </c>
      <c r="H18">
        <v>152008.77055437391</v>
      </c>
      <c r="I18">
        <v>2033851.2505501213</v>
      </c>
      <c r="J18">
        <v>44129.861920564923</v>
      </c>
      <c r="K18">
        <v>126787.22423250297</v>
      </c>
      <c r="L18">
        <v>186.59433386568111</v>
      </c>
      <c r="M18">
        <v>119262.05853678405</v>
      </c>
      <c r="N18">
        <v>6.1988835236744295</v>
      </c>
      <c r="O18">
        <v>90604.069397986575</v>
      </c>
      <c r="P18">
        <v>0</v>
      </c>
      <c r="Q18">
        <v>160450.02399135681</v>
      </c>
      <c r="R18">
        <v>1801.2216104291313</v>
      </c>
      <c r="S18">
        <v>0</v>
      </c>
      <c r="T18">
        <f t="shared" si="1"/>
        <v>830991.2800900212</v>
      </c>
      <c r="U18">
        <v>1.4299037961262476E-2</v>
      </c>
      <c r="V18">
        <v>0.33230392659220254</v>
      </c>
    </row>
    <row r="19" spans="1:22" x14ac:dyDescent="0.35">
      <c r="A19" t="s">
        <v>24</v>
      </c>
      <c r="B19" t="s">
        <v>20</v>
      </c>
      <c r="C19">
        <v>0</v>
      </c>
      <c r="D19">
        <v>3706102440.5405812</v>
      </c>
      <c r="E19">
        <v>5275756.5532543715</v>
      </c>
      <c r="F19">
        <v>5170373.8420690857</v>
      </c>
      <c r="G19">
        <v>2469337.4739574739</v>
      </c>
      <c r="H19">
        <v>607341.4971290814</v>
      </c>
      <c r="I19">
        <v>67630154.392145529</v>
      </c>
      <c r="J19">
        <v>5247931.2618744215</v>
      </c>
      <c r="K19">
        <v>-1545481.1158981314</v>
      </c>
      <c r="L19">
        <v>3810.2173282450303</v>
      </c>
      <c r="M19">
        <v>3472254.8962245961</v>
      </c>
      <c r="N19">
        <v>2208.7975774012352</v>
      </c>
      <c r="O19">
        <v>3344392.9407339757</v>
      </c>
      <c r="P19">
        <v>0</v>
      </c>
      <c r="Q19">
        <v>14410774.282316504</v>
      </c>
      <c r="R19">
        <v>14021.90188584126</v>
      </c>
      <c r="S19">
        <v>0</v>
      </c>
      <c r="T19">
        <f t="shared" si="1"/>
        <v>-1312503043.3293636</v>
      </c>
      <c r="U19">
        <v>-22.584509958763963</v>
      </c>
      <c r="V19">
        <v>-524.85498393595083</v>
      </c>
    </row>
    <row r="20" spans="1:22" x14ac:dyDescent="0.35">
      <c r="A20" t="s">
        <v>25</v>
      </c>
      <c r="B20" t="s">
        <v>26</v>
      </c>
      <c r="C20">
        <v>0</v>
      </c>
      <c r="D20">
        <v>-112716.01096534614</v>
      </c>
      <c r="E20">
        <v>127361.01439647423</v>
      </c>
      <c r="F20">
        <v>142217.8835779299</v>
      </c>
      <c r="G20">
        <v>143612.96133581619</v>
      </c>
      <c r="H20">
        <v>14619.020228791815</v>
      </c>
      <c r="I20">
        <v>1974578.794192645</v>
      </c>
      <c r="J20">
        <v>10202959.846222881</v>
      </c>
      <c r="K20">
        <v>-10053136.521026874</v>
      </c>
      <c r="L20">
        <v>983.87687961406266</v>
      </c>
      <c r="M20">
        <v>33181.641722225162</v>
      </c>
      <c r="N20">
        <v>0</v>
      </c>
      <c r="O20">
        <v>376318.68613790744</v>
      </c>
      <c r="P20">
        <v>0</v>
      </c>
      <c r="Q20">
        <v>44207.26423193657</v>
      </c>
      <c r="R20">
        <v>355.2120820151153</v>
      </c>
      <c r="S20">
        <v>0</v>
      </c>
      <c r="T20">
        <f t="shared" si="1"/>
        <v>8475483.7578651533</v>
      </c>
      <c r="U20">
        <v>0.14583939314098304</v>
      </c>
      <c r="V20">
        <v>3.3892492015101801</v>
      </c>
    </row>
    <row r="21" spans="1:22" x14ac:dyDescent="0.35">
      <c r="A21" t="s">
        <v>27</v>
      </c>
      <c r="B21" t="s">
        <v>28</v>
      </c>
      <c r="C21">
        <v>0</v>
      </c>
      <c r="D21">
        <v>-46889.860561583992</v>
      </c>
      <c r="E21">
        <v>22064.412763032436</v>
      </c>
      <c r="F21">
        <v>10909.620803627529</v>
      </c>
      <c r="G21">
        <v>12875.541830088227</v>
      </c>
      <c r="H21">
        <v>5950.6866697077803</v>
      </c>
      <c r="I21">
        <v>241554.7796860362</v>
      </c>
      <c r="J21">
        <v>5176.9563948150599</v>
      </c>
      <c r="K21">
        <v>1943.9465272046457</v>
      </c>
      <c r="L21">
        <v>24.259870550180409</v>
      </c>
      <c r="M21">
        <v>11888.519732207311</v>
      </c>
      <c r="N21">
        <v>0</v>
      </c>
      <c r="O21">
        <v>13953.515037043107</v>
      </c>
      <c r="P21">
        <v>0</v>
      </c>
      <c r="Q21">
        <v>275620.50212255144</v>
      </c>
      <c r="R21">
        <v>124.52044651832571</v>
      </c>
      <c r="S21">
        <v>0</v>
      </c>
      <c r="T21">
        <f t="shared" si="1"/>
        <v>235472.14274019806</v>
      </c>
      <c r="U21">
        <v>4.0518176165424483E-3</v>
      </c>
      <c r="V21">
        <v>9.4162621811351335E-2</v>
      </c>
    </row>
    <row r="22" spans="1:22" x14ac:dyDescent="0.35">
      <c r="A22" t="s">
        <v>29</v>
      </c>
      <c r="B22" t="s">
        <v>30</v>
      </c>
      <c r="C22">
        <v>0</v>
      </c>
      <c r="D22">
        <v>-1095599.6265831646</v>
      </c>
      <c r="E22">
        <v>432513.71787571156</v>
      </c>
      <c r="F22">
        <v>1043248.1655320643</v>
      </c>
      <c r="G22">
        <v>1159349.178445193</v>
      </c>
      <c r="H22">
        <v>117434.28869706071</v>
      </c>
      <c r="I22">
        <v>10974272.711259367</v>
      </c>
      <c r="J22">
        <v>256246.65196897139</v>
      </c>
      <c r="K22">
        <v>964084.28159223706</v>
      </c>
      <c r="L22">
        <v>4230.8331316508684</v>
      </c>
      <c r="M22">
        <v>119025.50113034429</v>
      </c>
      <c r="N22">
        <v>0</v>
      </c>
      <c r="O22">
        <v>1767315.1728502729</v>
      </c>
      <c r="P22">
        <v>0</v>
      </c>
      <c r="Q22">
        <v>228304.91959163145</v>
      </c>
      <c r="R22">
        <v>3189.5995302855008</v>
      </c>
      <c r="S22">
        <v>0</v>
      </c>
      <c r="T22">
        <f t="shared" si="1"/>
        <v>5926777.8710794542</v>
      </c>
      <c r="U22">
        <v>0.10198328646403466</v>
      </c>
      <c r="V22">
        <v>2.3700508125501898</v>
      </c>
    </row>
    <row r="23" spans="1:22" x14ac:dyDescent="0.35">
      <c r="A23" t="s">
        <v>31</v>
      </c>
      <c r="B23" t="s">
        <v>32</v>
      </c>
      <c r="C23">
        <v>0</v>
      </c>
      <c r="D23">
        <v>-55005.413351088915</v>
      </c>
      <c r="E23">
        <v>7144.3851207681164</v>
      </c>
      <c r="F23">
        <v>66739.34420440199</v>
      </c>
      <c r="G23">
        <v>5370.6221132770033</v>
      </c>
      <c r="H23">
        <v>1308718.2742826103</v>
      </c>
      <c r="I23">
        <v>570202.90618659859</v>
      </c>
      <c r="J23">
        <v>3000.6217331940074</v>
      </c>
      <c r="K23">
        <v>43118.280113049121</v>
      </c>
      <c r="L23">
        <v>170.05171844267011</v>
      </c>
      <c r="M23">
        <v>-1001934.9932204623</v>
      </c>
      <c r="N23">
        <v>0</v>
      </c>
      <c r="O23">
        <v>8832.2369971609987</v>
      </c>
      <c r="P23">
        <v>8327500.8919365266</v>
      </c>
      <c r="Q23">
        <v>10020.560362510379</v>
      </c>
      <c r="R23">
        <v>177.89625554031889</v>
      </c>
      <c r="S23">
        <v>0</v>
      </c>
      <c r="T23">
        <f t="shared" si="1"/>
        <v>3400189.1237077429</v>
      </c>
      <c r="U23">
        <v>5.8507753956337387E-2</v>
      </c>
      <c r="V23">
        <v>1.3596968151600601</v>
      </c>
    </row>
    <row r="24" spans="1:22" x14ac:dyDescent="0.35">
      <c r="P24">
        <v>0.3649</v>
      </c>
    </row>
    <row r="25" spans="1:22" x14ac:dyDescent="0.35">
      <c r="A25" t="s">
        <v>0</v>
      </c>
      <c r="B25" t="s">
        <v>1</v>
      </c>
      <c r="G25" t="s">
        <v>38</v>
      </c>
      <c r="H25" t="s">
        <v>43</v>
      </c>
      <c r="I25" t="s">
        <v>47</v>
      </c>
      <c r="J25" t="s">
        <v>52</v>
      </c>
      <c r="K25" t="s">
        <v>53</v>
      </c>
      <c r="N25" t="s">
        <v>38</v>
      </c>
      <c r="O25" t="s">
        <v>43</v>
      </c>
      <c r="P25" t="s">
        <v>47</v>
      </c>
      <c r="Q25" t="s">
        <v>52</v>
      </c>
      <c r="R25" t="s">
        <v>53</v>
      </c>
    </row>
    <row r="26" spans="1:22" x14ac:dyDescent="0.35">
      <c r="A26" t="s">
        <v>2</v>
      </c>
      <c r="B26" t="s">
        <v>3</v>
      </c>
      <c r="G26">
        <f>SUM(E6:G6)-D6</f>
        <v>12257416.154820699</v>
      </c>
      <c r="H26">
        <f>SUM(H6,I6,J6)-K6</f>
        <v>35126070.131911278</v>
      </c>
      <c r="I26">
        <f t="shared" ref="I26:I43" si="2">SUM(L6:N6)</f>
        <v>4166760.2460543611</v>
      </c>
      <c r="J26">
        <f>SUM(O6:Q6)</f>
        <v>12840199.527163047</v>
      </c>
      <c r="K26">
        <f>SUM(R6:S6)</f>
        <v>3763105.8320271405</v>
      </c>
      <c r="L26">
        <f>(SUM(G26:J26)*0.3649)+K26</f>
        <v>27259179.599302672</v>
      </c>
      <c r="N26">
        <f>G26/($U$1*43.03)</f>
        <v>4.9016007937897578E-3</v>
      </c>
      <c r="O26">
        <f t="shared" ref="O26:S26" si="3">H26/($U$1*43.03)</f>
        <v>1.4046514458398069E-2</v>
      </c>
      <c r="P26">
        <f t="shared" si="3"/>
        <v>1.6662398560694394E-3</v>
      </c>
      <c r="Q26">
        <f t="shared" si="3"/>
        <v>5.1346492115313114E-3</v>
      </c>
      <c r="R26">
        <f t="shared" si="3"/>
        <v>1.5048230638824154E-3</v>
      </c>
      <c r="S26">
        <f t="shared" si="3"/>
        <v>1.0900634740173267E-2</v>
      </c>
    </row>
    <row r="27" spans="1:22" x14ac:dyDescent="0.35">
      <c r="A27" t="s">
        <v>4</v>
      </c>
      <c r="B27" t="s">
        <v>5</v>
      </c>
      <c r="G27">
        <f t="shared" ref="G27:G43" si="4">SUM(E7:G7)-D7</f>
        <v>12.619610155409275</v>
      </c>
      <c r="H27">
        <f t="shared" ref="H27:H43" si="5">SUM(H7,I7,J7)-K7</f>
        <v>30.720133431392988</v>
      </c>
      <c r="I27">
        <f t="shared" si="2"/>
        <v>1.6171058435066505</v>
      </c>
      <c r="J27">
        <f t="shared" ref="J27:J43" si="6">SUM(O7:Q7)</f>
        <v>5.5554851427544287</v>
      </c>
      <c r="K27">
        <f t="shared" ref="K27:K43" si="7">SUM(R7:S7)</f>
        <v>6.0769481308044961E-3</v>
      </c>
      <c r="L27">
        <f t="shared" ref="L27:L43" si="8">(SUM(G27:J27)*0.3649)+K27</f>
        <v>18.438027833841616</v>
      </c>
    </row>
    <row r="28" spans="1:22" x14ac:dyDescent="0.35">
      <c r="A28" t="s">
        <v>6</v>
      </c>
      <c r="B28" t="s">
        <v>7</v>
      </c>
      <c r="G28">
        <f t="shared" si="4"/>
        <v>2230428.6278133402</v>
      </c>
      <c r="H28">
        <f t="shared" si="5"/>
        <v>6789614.862977623</v>
      </c>
      <c r="I28">
        <f t="shared" si="2"/>
        <v>64685.96641446172</v>
      </c>
      <c r="J28">
        <f t="shared" si="6"/>
        <v>164896.11884074757</v>
      </c>
      <c r="K28">
        <f t="shared" si="7"/>
        <v>3850.5672822480833</v>
      </c>
      <c r="L28">
        <f t="shared" si="8"/>
        <v>3379038.9399814969</v>
      </c>
    </row>
    <row r="29" spans="1:22" x14ac:dyDescent="0.35">
      <c r="A29" t="s">
        <v>8</v>
      </c>
      <c r="B29" t="s">
        <v>9</v>
      </c>
      <c r="G29">
        <f t="shared" si="4"/>
        <v>-2198482.0639351234</v>
      </c>
      <c r="H29">
        <f t="shared" si="5"/>
        <v>108081.31488307455</v>
      </c>
      <c r="I29">
        <f t="shared" si="2"/>
        <v>14506.601873848564</v>
      </c>
      <c r="J29">
        <f t="shared" si="6"/>
        <v>16399.089095705353</v>
      </c>
      <c r="K29">
        <f t="shared" si="7"/>
        <v>43.747756722995234</v>
      </c>
      <c r="L29">
        <f t="shared" si="8"/>
        <v>-751465.99893757945</v>
      </c>
    </row>
    <row r="30" spans="1:22" x14ac:dyDescent="0.35">
      <c r="A30" t="s">
        <v>10</v>
      </c>
      <c r="B30" t="s">
        <v>11</v>
      </c>
      <c r="G30">
        <f t="shared" si="4"/>
        <v>-207242.87362294097</v>
      </c>
      <c r="H30">
        <f t="shared" si="5"/>
        <v>56527.082453691612</v>
      </c>
      <c r="I30">
        <f t="shared" si="2"/>
        <v>16799.31162424459</v>
      </c>
      <c r="J30">
        <f t="shared" si="6"/>
        <v>61226.216192585911</v>
      </c>
      <c r="K30">
        <f t="shared" si="7"/>
        <v>21.881797751630966</v>
      </c>
      <c r="L30">
        <f t="shared" si="8"/>
        <v>-26502.795299546015</v>
      </c>
    </row>
    <row r="31" spans="1:22" x14ac:dyDescent="0.35">
      <c r="A31" t="s">
        <v>12</v>
      </c>
      <c r="B31" t="s">
        <v>9</v>
      </c>
      <c r="G31">
        <f t="shared" si="4"/>
        <v>-2306068.1053468524</v>
      </c>
      <c r="H31">
        <f t="shared" si="5"/>
        <v>110001.59920338125</v>
      </c>
      <c r="I31">
        <f t="shared" si="2"/>
        <v>14579.273902880446</v>
      </c>
      <c r="J31">
        <f t="shared" si="6"/>
        <v>17104.487008565986</v>
      </c>
      <c r="K31">
        <f t="shared" si="7"/>
        <v>4391875.1826889953</v>
      </c>
      <c r="L31">
        <f t="shared" si="8"/>
        <v>3602091.9189538294</v>
      </c>
    </row>
    <row r="32" spans="1:22" x14ac:dyDescent="0.35">
      <c r="A32" t="s">
        <v>13</v>
      </c>
      <c r="B32" t="s">
        <v>14</v>
      </c>
      <c r="G32">
        <f t="shared" si="4"/>
        <v>-686168.68881276657</v>
      </c>
      <c r="H32">
        <f t="shared" si="5"/>
        <v>151996.46458720515</v>
      </c>
      <c r="I32">
        <f t="shared" si="2"/>
        <v>55372.868255307454</v>
      </c>
      <c r="J32">
        <f t="shared" si="6"/>
        <v>198746.36072978168</v>
      </c>
      <c r="K32">
        <f t="shared" si="7"/>
        <v>7727.9429744790696</v>
      </c>
      <c r="L32">
        <f t="shared" si="8"/>
        <v>-94463.394988769258</v>
      </c>
    </row>
    <row r="33" spans="1:12" x14ac:dyDescent="0.35">
      <c r="A33" t="s">
        <v>15</v>
      </c>
      <c r="B33" t="s">
        <v>16</v>
      </c>
      <c r="G33">
        <f t="shared" si="4"/>
        <v>5151.5814995381643</v>
      </c>
      <c r="H33">
        <f t="shared" si="5"/>
        <v>23950.116030304314</v>
      </c>
      <c r="I33">
        <f t="shared" si="2"/>
        <v>1274.7252207175704</v>
      </c>
      <c r="J33">
        <f t="shared" si="6"/>
        <v>1782.4687947326092</v>
      </c>
      <c r="K33">
        <f t="shared" si="7"/>
        <v>8.7953768334936964</v>
      </c>
      <c r="L33">
        <f t="shared" si="8"/>
        <v>11743.574901710785</v>
      </c>
    </row>
    <row r="34" spans="1:12" x14ac:dyDescent="0.35">
      <c r="A34" t="s">
        <v>17</v>
      </c>
      <c r="B34" t="s">
        <v>18</v>
      </c>
      <c r="G34">
        <f t="shared" si="4"/>
        <v>431.05367525880979</v>
      </c>
      <c r="H34">
        <f t="shared" si="5"/>
        <v>1578.6241781758345</v>
      </c>
      <c r="I34">
        <f t="shared" si="2"/>
        <v>6571.7094515192812</v>
      </c>
      <c r="J34">
        <f t="shared" si="6"/>
        <v>8996.0875439224765</v>
      </c>
      <c r="K34">
        <f t="shared" si="7"/>
        <v>0.6604344131444887</v>
      </c>
      <c r="L34">
        <f t="shared" si="8"/>
        <v>6414.6810067681436</v>
      </c>
    </row>
    <row r="35" spans="1:12" x14ac:dyDescent="0.35">
      <c r="A35" t="s">
        <v>19</v>
      </c>
      <c r="B35" t="s">
        <v>20</v>
      </c>
      <c r="G35">
        <f t="shared" si="4"/>
        <v>19852380.872416727</v>
      </c>
      <c r="H35">
        <f t="shared" si="5"/>
        <v>249824418.49337769</v>
      </c>
      <c r="I35">
        <f t="shared" si="2"/>
        <v>3575204.4760328876</v>
      </c>
      <c r="J35">
        <f t="shared" si="6"/>
        <v>170023749.734052</v>
      </c>
      <c r="K35">
        <f t="shared" si="7"/>
        <v>23836.030661849949</v>
      </c>
      <c r="L35">
        <f t="shared" si="8"/>
        <v>161775158.51050022</v>
      </c>
    </row>
    <row r="36" spans="1:12" x14ac:dyDescent="0.35">
      <c r="A36" t="s">
        <v>21</v>
      </c>
      <c r="B36" t="s">
        <v>20</v>
      </c>
      <c r="G36">
        <f t="shared" si="4"/>
        <v>238045.4925227809</v>
      </c>
      <c r="H36">
        <f t="shared" si="5"/>
        <v>3978463.1675105519</v>
      </c>
      <c r="I36">
        <f t="shared" si="2"/>
        <v>60860.021270726254</v>
      </c>
      <c r="J36">
        <f t="shared" si="6"/>
        <v>1086498.3867032421</v>
      </c>
      <c r="K36">
        <f t="shared" si="7"/>
        <v>598.44846431767928</v>
      </c>
      <c r="L36">
        <f t="shared" si="8"/>
        <v>1957873.541580182</v>
      </c>
    </row>
    <row r="37" spans="1:12" x14ac:dyDescent="0.35">
      <c r="A37" t="s">
        <v>22</v>
      </c>
      <c r="B37" t="s">
        <v>20</v>
      </c>
      <c r="G37">
        <f t="shared" si="4"/>
        <v>149167.06731279893</v>
      </c>
      <c r="H37">
        <f t="shared" si="5"/>
        <v>5169201.9243644988</v>
      </c>
      <c r="I37">
        <f t="shared" si="2"/>
        <v>79818.230801193567</v>
      </c>
      <c r="J37">
        <f t="shared" si="6"/>
        <v>1456499.8316430571</v>
      </c>
      <c r="K37">
        <f t="shared" si="7"/>
        <v>789.79347963855719</v>
      </c>
      <c r="L37">
        <f t="shared" si="8"/>
        <v>2502065.0995285916</v>
      </c>
    </row>
    <row r="38" spans="1:12" x14ac:dyDescent="0.35">
      <c r="A38" t="s">
        <v>23</v>
      </c>
      <c r="B38" t="s">
        <v>20</v>
      </c>
      <c r="G38">
        <f t="shared" si="4"/>
        <v>-201335.45025125041</v>
      </c>
      <c r="H38">
        <f t="shared" si="5"/>
        <v>2103202.6587925572</v>
      </c>
      <c r="I38">
        <f t="shared" si="2"/>
        <v>119454.8517541734</v>
      </c>
      <c r="J38">
        <f t="shared" si="6"/>
        <v>251054.09338934338</v>
      </c>
      <c r="K38">
        <f t="shared" si="7"/>
        <v>1801.2216104291313</v>
      </c>
      <c r="L38">
        <f t="shared" si="8"/>
        <v>830991.2800900212</v>
      </c>
    </row>
    <row r="39" spans="1:12" x14ac:dyDescent="0.35">
      <c r="A39" t="s">
        <v>24</v>
      </c>
      <c r="B39" t="s">
        <v>20</v>
      </c>
      <c r="G39">
        <f t="shared" si="4"/>
        <v>-3693186972.6713004</v>
      </c>
      <c r="H39">
        <f t="shared" si="5"/>
        <v>75030908.267047167</v>
      </c>
      <c r="I39">
        <f t="shared" si="2"/>
        <v>3478273.911130242</v>
      </c>
      <c r="J39">
        <f t="shared" si="6"/>
        <v>17755167.223050479</v>
      </c>
      <c r="K39">
        <f t="shared" si="7"/>
        <v>14021.90188584126</v>
      </c>
      <c r="L39">
        <f t="shared" si="8"/>
        <v>-1312503043.3293636</v>
      </c>
    </row>
    <row r="40" spans="1:12" x14ac:dyDescent="0.35">
      <c r="A40" t="s">
        <v>25</v>
      </c>
      <c r="B40" t="s">
        <v>26</v>
      </c>
      <c r="G40">
        <f t="shared" si="4"/>
        <v>525907.87027556647</v>
      </c>
      <c r="H40">
        <f t="shared" si="5"/>
        <v>22245294.181671195</v>
      </c>
      <c r="I40">
        <f t="shared" si="2"/>
        <v>34165.518601839227</v>
      </c>
      <c r="J40">
        <f t="shared" si="6"/>
        <v>420525.95036984398</v>
      </c>
      <c r="K40">
        <f t="shared" si="7"/>
        <v>355.2120820151153</v>
      </c>
      <c r="L40">
        <f t="shared" si="8"/>
        <v>8475483.7578651551</v>
      </c>
    </row>
    <row r="41" spans="1:12" x14ac:dyDescent="0.35">
      <c r="A41" t="s">
        <v>27</v>
      </c>
      <c r="B41" t="s">
        <v>28</v>
      </c>
      <c r="G41">
        <f t="shared" si="4"/>
        <v>92739.435958332178</v>
      </c>
      <c r="H41">
        <f t="shared" si="5"/>
        <v>250738.4762233544</v>
      </c>
      <c r="I41">
        <f t="shared" si="2"/>
        <v>11912.779602757491</v>
      </c>
      <c r="J41">
        <f t="shared" si="6"/>
        <v>289574.01715959457</v>
      </c>
      <c r="K41">
        <f t="shared" si="7"/>
        <v>124.52044651832571</v>
      </c>
      <c r="L41">
        <f t="shared" si="8"/>
        <v>235472.14274019806</v>
      </c>
    </row>
    <row r="42" spans="1:12" x14ac:dyDescent="0.35">
      <c r="A42" t="s">
        <v>29</v>
      </c>
      <c r="B42" t="s">
        <v>30</v>
      </c>
      <c r="G42">
        <f t="shared" si="4"/>
        <v>3730710.6884361333</v>
      </c>
      <c r="H42">
        <f t="shared" si="5"/>
        <v>10383869.370333161</v>
      </c>
      <c r="I42">
        <f t="shared" si="2"/>
        <v>123256.33426199516</v>
      </c>
      <c r="J42">
        <f t="shared" si="6"/>
        <v>1995620.0924419044</v>
      </c>
      <c r="K42">
        <f t="shared" si="7"/>
        <v>3189.5995302855008</v>
      </c>
      <c r="L42">
        <f t="shared" si="8"/>
        <v>5926777.8710794533</v>
      </c>
    </row>
    <row r="43" spans="1:12" x14ac:dyDescent="0.35">
      <c r="A43" t="s">
        <v>31</v>
      </c>
      <c r="B43" t="s">
        <v>32</v>
      </c>
      <c r="G43">
        <f t="shared" si="4"/>
        <v>134259.76478953601</v>
      </c>
      <c r="H43">
        <f t="shared" si="5"/>
        <v>1838803.5220893538</v>
      </c>
      <c r="I43">
        <f t="shared" si="2"/>
        <v>-1001764.9415020196</v>
      </c>
      <c r="J43">
        <f t="shared" si="6"/>
        <v>8346353.6892961981</v>
      </c>
      <c r="K43">
        <f t="shared" si="7"/>
        <v>177.89625554031889</v>
      </c>
      <c r="L43">
        <f t="shared" si="8"/>
        <v>3400189.1237077429</v>
      </c>
    </row>
    <row r="47" spans="1:12" x14ac:dyDescent="0.35">
      <c r="A47" t="s">
        <v>58</v>
      </c>
    </row>
    <row r="49" spans="1:41" x14ac:dyDescent="0.35">
      <c r="T49" t="s">
        <v>62</v>
      </c>
      <c r="U49">
        <v>5577843.0458983677</v>
      </c>
    </row>
    <row r="50" spans="1:41" x14ac:dyDescent="0.35">
      <c r="A50" t="s">
        <v>0</v>
      </c>
      <c r="B50" t="s">
        <v>1</v>
      </c>
      <c r="C50" t="s">
        <v>60</v>
      </c>
      <c r="D50" t="s">
        <v>66</v>
      </c>
      <c r="E50" t="s">
        <v>67</v>
      </c>
      <c r="F50" t="s">
        <v>68</v>
      </c>
      <c r="G50" t="s">
        <v>69</v>
      </c>
      <c r="H50" t="s">
        <v>39</v>
      </c>
      <c r="I50" t="s">
        <v>61</v>
      </c>
      <c r="J50" t="s">
        <v>40</v>
      </c>
      <c r="K50" t="s">
        <v>41</v>
      </c>
      <c r="L50" t="s">
        <v>44</v>
      </c>
      <c r="M50" t="s">
        <v>45</v>
      </c>
      <c r="N50" t="s">
        <v>46</v>
      </c>
      <c r="O50" t="s">
        <v>42</v>
      </c>
      <c r="P50" t="s">
        <v>48</v>
      </c>
      <c r="Q50" t="s">
        <v>49</v>
      </c>
      <c r="R50" t="s">
        <v>50</v>
      </c>
      <c r="S50" t="s">
        <v>51</v>
      </c>
      <c r="T50" t="s">
        <v>54</v>
      </c>
      <c r="U50" t="s">
        <v>56</v>
      </c>
      <c r="V50" t="s">
        <v>57</v>
      </c>
      <c r="X50" t="s">
        <v>70</v>
      </c>
      <c r="Y50" t="s">
        <v>66</v>
      </c>
      <c r="Z50" t="s">
        <v>67</v>
      </c>
      <c r="AA50" t="s">
        <v>68</v>
      </c>
      <c r="AB50" t="s">
        <v>69</v>
      </c>
      <c r="AC50" t="s">
        <v>39</v>
      </c>
      <c r="AD50" t="s">
        <v>61</v>
      </c>
      <c r="AE50" t="s">
        <v>40</v>
      </c>
      <c r="AF50" t="s">
        <v>41</v>
      </c>
      <c r="AG50" t="s">
        <v>44</v>
      </c>
      <c r="AH50" t="s">
        <v>45</v>
      </c>
      <c r="AI50" t="s">
        <v>46</v>
      </c>
      <c r="AJ50" t="s">
        <v>42</v>
      </c>
      <c r="AK50" t="s">
        <v>48</v>
      </c>
      <c r="AL50" t="s">
        <v>49</v>
      </c>
      <c r="AM50" t="s">
        <v>50</v>
      </c>
      <c r="AN50" t="s">
        <v>51</v>
      </c>
      <c r="AO50" t="s">
        <v>54</v>
      </c>
    </row>
    <row r="51" spans="1:41" x14ac:dyDescent="0.35">
      <c r="A51" t="s">
        <v>2</v>
      </c>
      <c r="B51" t="s">
        <v>3</v>
      </c>
      <c r="C51">
        <v>0</v>
      </c>
      <c r="D51">
        <v>31333333.333333332</v>
      </c>
      <c r="E51">
        <v>0</v>
      </c>
      <c r="F51">
        <v>0</v>
      </c>
      <c r="G51">
        <v>1642897.4677077313</v>
      </c>
      <c r="H51">
        <v>330244.50448773109</v>
      </c>
      <c r="I51">
        <v>0</v>
      </c>
      <c r="J51">
        <v>433942.649315021</v>
      </c>
      <c r="K51">
        <v>3954928.0586640146</v>
      </c>
      <c r="L51">
        <v>60878.116549438331</v>
      </c>
      <c r="M51">
        <v>242722.9081355216</v>
      </c>
      <c r="N51">
        <v>1134945.2212798845</v>
      </c>
      <c r="O51">
        <v>1209042.087617347</v>
      </c>
      <c r="P51">
        <v>723039.71136000007</v>
      </c>
      <c r="Q51">
        <v>105229.78528138831</v>
      </c>
      <c r="R51">
        <v>11810.687524512779</v>
      </c>
      <c r="S51">
        <v>360189.21468888706</v>
      </c>
      <c r="T51">
        <f>((C51-D51+SUM(E51,F51,G51,H51,I51,J51,L51,M51,N51,O51,P51,Q51)-K51)*0.3668)+SUM(R51,S51)</f>
        <v>-10413871.085075174</v>
      </c>
      <c r="U51">
        <v>-1.8669962580564394</v>
      </c>
      <c r="V51">
        <v>-43.368089618035761</v>
      </c>
      <c r="X51">
        <f>C51/($U$49*43.05)</f>
        <v>0</v>
      </c>
      <c r="Y51">
        <f t="shared" ref="Y51:AO51" si="9">D51/($U$49*43.05)</f>
        <v>0.13048697207826221</v>
      </c>
      <c r="Z51">
        <f t="shared" si="9"/>
        <v>0</v>
      </c>
      <c r="AA51">
        <f t="shared" si="9"/>
        <v>0</v>
      </c>
      <c r="AB51">
        <f t="shared" si="9"/>
        <v>6.84181008498595E-3</v>
      </c>
      <c r="AC51">
        <f t="shared" si="9"/>
        <v>1.3752959181730885E-3</v>
      </c>
      <c r="AD51">
        <f t="shared" si="9"/>
        <v>0</v>
      </c>
      <c r="AE51">
        <f t="shared" si="9"/>
        <v>1.807144543555413E-3</v>
      </c>
      <c r="AF51">
        <f t="shared" si="9"/>
        <v>1.6470210228588099E-2</v>
      </c>
      <c r="AG51">
        <f t="shared" si="9"/>
        <v>2.5352556684139635E-4</v>
      </c>
      <c r="AH51">
        <f t="shared" si="9"/>
        <v>1.0108141703181195E-3</v>
      </c>
      <c r="AI51">
        <f t="shared" si="9"/>
        <v>4.7264542148778323E-3</v>
      </c>
      <c r="AJ51">
        <f t="shared" si="9"/>
        <v>5.0350289721819768E-3</v>
      </c>
      <c r="AK51">
        <f t="shared" si="9"/>
        <v>3.0110828498204393E-3</v>
      </c>
      <c r="AL51">
        <f t="shared" si="9"/>
        <v>4.3822710810044821E-4</v>
      </c>
      <c r="AM51">
        <f t="shared" si="9"/>
        <v>4.9185346379878052E-5</v>
      </c>
      <c r="AN51">
        <f t="shared" si="9"/>
        <v>1.5E-3</v>
      </c>
      <c r="AO51">
        <f t="shared" si="9"/>
        <v>-4.3368335282068925E-2</v>
      </c>
    </row>
    <row r="52" spans="1:41" x14ac:dyDescent="0.35">
      <c r="A52" t="s">
        <v>4</v>
      </c>
      <c r="B52" t="s">
        <v>5</v>
      </c>
      <c r="C52">
        <v>0</v>
      </c>
      <c r="D52">
        <v>0</v>
      </c>
      <c r="E52">
        <v>0</v>
      </c>
      <c r="F52">
        <v>0</v>
      </c>
      <c r="G52">
        <v>1.1728335370093312</v>
      </c>
      <c r="H52">
        <v>0.14975432303636638</v>
      </c>
      <c r="I52">
        <v>0</v>
      </c>
      <c r="J52">
        <v>10.596850624669461</v>
      </c>
      <c r="K52">
        <v>-8.6622097737160928</v>
      </c>
      <c r="L52">
        <v>3.8994501355440629E-2</v>
      </c>
      <c r="M52">
        <v>0.61998691341507084</v>
      </c>
      <c r="N52">
        <v>0</v>
      </c>
      <c r="O52">
        <v>0.85984192963024475</v>
      </c>
      <c r="P52">
        <v>4.287634842048E-2</v>
      </c>
      <c r="Q52">
        <v>0.17680606884323619</v>
      </c>
      <c r="R52">
        <v>4.4389790950154252E-3</v>
      </c>
      <c r="S52">
        <v>0</v>
      </c>
      <c r="T52">
        <f t="shared" ref="T52:T68" si="10">((C52-D52+SUM(E52,F52,G52,H52,I52,J52,L52,M52,N52,O52,P52,Q52)-K52)*0.3668)+SUM(R52,S52)</f>
        <v>8.1914714736661267</v>
      </c>
      <c r="U52">
        <v>4.8018593717087417E-7</v>
      </c>
      <c r="V52">
        <v>1.1154144882017984E-5</v>
      </c>
    </row>
    <row r="53" spans="1:41" x14ac:dyDescent="0.35">
      <c r="A53" t="s">
        <v>6</v>
      </c>
      <c r="B53" t="s">
        <v>7</v>
      </c>
      <c r="C53">
        <v>0</v>
      </c>
      <c r="D53">
        <v>0</v>
      </c>
      <c r="E53">
        <v>0</v>
      </c>
      <c r="F53">
        <v>0</v>
      </c>
      <c r="G53">
        <v>28100.906787427877</v>
      </c>
      <c r="H53">
        <v>6504.0164605461723</v>
      </c>
      <c r="I53">
        <v>0</v>
      </c>
      <c r="J53">
        <v>3844.9158545587002</v>
      </c>
      <c r="K53">
        <v>8723.6905898307705</v>
      </c>
      <c r="L53">
        <v>1570.6328281887738</v>
      </c>
      <c r="M53">
        <v>10193.061723819881</v>
      </c>
      <c r="N53">
        <v>186.09034042742189</v>
      </c>
      <c r="O53">
        <v>20372.355068815083</v>
      </c>
      <c r="P53">
        <v>0</v>
      </c>
      <c r="Q53">
        <v>5719.1037498012329</v>
      </c>
      <c r="R53">
        <v>766.2429183258148</v>
      </c>
      <c r="S53">
        <v>0</v>
      </c>
      <c r="T53">
        <f t="shared" si="10"/>
        <v>25623.322385998912</v>
      </c>
      <c r="U53">
        <v>1.5020452782864616E-3</v>
      </c>
      <c r="V53">
        <v>3.4890714942774952E-2</v>
      </c>
    </row>
    <row r="54" spans="1:41" x14ac:dyDescent="0.35">
      <c r="A54" t="s">
        <v>8</v>
      </c>
      <c r="B54" t="s">
        <v>9</v>
      </c>
      <c r="C54">
        <v>0</v>
      </c>
      <c r="D54">
        <v>0</v>
      </c>
      <c r="E54">
        <v>0</v>
      </c>
      <c r="F54">
        <v>0</v>
      </c>
      <c r="G54">
        <v>2469.3566516256001</v>
      </c>
      <c r="H54">
        <v>811.40903012303625</v>
      </c>
      <c r="I54">
        <v>0</v>
      </c>
      <c r="J54">
        <v>33535.146504303266</v>
      </c>
      <c r="K54">
        <v>-25457.927333054839</v>
      </c>
      <c r="L54">
        <v>470.90059483532576</v>
      </c>
      <c r="M54">
        <v>898.78945062090725</v>
      </c>
      <c r="N54">
        <v>3892.4118734797235</v>
      </c>
      <c r="O54">
        <v>1982.4539988407735</v>
      </c>
      <c r="P54">
        <v>0</v>
      </c>
      <c r="Q54">
        <v>751.36511729286667</v>
      </c>
      <c r="R54">
        <v>39.128868986904983</v>
      </c>
      <c r="S54">
        <v>0</v>
      </c>
      <c r="T54">
        <f t="shared" si="10"/>
        <v>25814.077040258777</v>
      </c>
      <c r="U54">
        <v>1.513227126731932E-3</v>
      </c>
      <c r="V54">
        <v>3.5150455905503648E-2</v>
      </c>
    </row>
    <row r="55" spans="1:41" x14ac:dyDescent="0.35">
      <c r="A55" t="s">
        <v>10</v>
      </c>
      <c r="B55" t="s">
        <v>11</v>
      </c>
      <c r="C55">
        <v>0</v>
      </c>
      <c r="D55">
        <v>0</v>
      </c>
      <c r="E55">
        <v>0</v>
      </c>
      <c r="F55">
        <v>0</v>
      </c>
      <c r="G55">
        <v>1449.1712383707375</v>
      </c>
      <c r="H55">
        <v>607.35765216401296</v>
      </c>
      <c r="I55">
        <v>0</v>
      </c>
      <c r="J55">
        <v>25686.307402407048</v>
      </c>
      <c r="K55">
        <v>-19143.64514948193</v>
      </c>
      <c r="L55">
        <v>132.59674697134437</v>
      </c>
      <c r="M55">
        <v>700.39528659825385</v>
      </c>
      <c r="N55">
        <v>4802.3899887043444</v>
      </c>
      <c r="O55">
        <v>1145.0615727176628</v>
      </c>
      <c r="P55">
        <v>0</v>
      </c>
      <c r="Q55">
        <v>6135.7985916022008</v>
      </c>
      <c r="R55">
        <v>26.593047095985789</v>
      </c>
      <c r="S55">
        <v>0</v>
      </c>
      <c r="T55">
        <f t="shared" si="10"/>
        <v>21962.232074219621</v>
      </c>
      <c r="U55">
        <v>1.287431087736865E-3</v>
      </c>
      <c r="V55">
        <v>2.990548403569954E-2</v>
      </c>
    </row>
    <row r="56" spans="1:41" x14ac:dyDescent="0.35">
      <c r="A56" t="s">
        <v>12</v>
      </c>
      <c r="B56" t="s">
        <v>9</v>
      </c>
      <c r="C56">
        <v>0</v>
      </c>
      <c r="D56">
        <v>0</v>
      </c>
      <c r="E56">
        <v>0</v>
      </c>
      <c r="F56">
        <v>0</v>
      </c>
      <c r="G56">
        <v>2592.9854336613312</v>
      </c>
      <c r="H56">
        <v>835.81647790243528</v>
      </c>
      <c r="I56">
        <v>0</v>
      </c>
      <c r="J56">
        <v>33924.692697805469</v>
      </c>
      <c r="K56">
        <v>-25735.235968454213</v>
      </c>
      <c r="L56">
        <v>480.27377164550865</v>
      </c>
      <c r="M56">
        <v>913.25530519925303</v>
      </c>
      <c r="N56">
        <v>3903.4437094030354</v>
      </c>
      <c r="O56">
        <v>2085.956207765435</v>
      </c>
      <c r="P56">
        <v>0</v>
      </c>
      <c r="Q56">
        <v>765.30520742559838</v>
      </c>
      <c r="R56">
        <v>39.826673985478202</v>
      </c>
      <c r="S56">
        <v>421719.82367816864</v>
      </c>
      <c r="T56">
        <f t="shared" si="10"/>
        <v>447889.36903318751</v>
      </c>
      <c r="U56">
        <v>2.6255512714935793E-2</v>
      </c>
      <c r="V56">
        <v>0.60988415133416485</v>
      </c>
    </row>
    <row r="57" spans="1:41" x14ac:dyDescent="0.35">
      <c r="A57" t="s">
        <v>13</v>
      </c>
      <c r="B57" t="s">
        <v>14</v>
      </c>
      <c r="C57">
        <v>0</v>
      </c>
      <c r="D57">
        <v>0</v>
      </c>
      <c r="E57">
        <v>0</v>
      </c>
      <c r="F57">
        <v>0</v>
      </c>
      <c r="G57">
        <v>3201.1383621984182</v>
      </c>
      <c r="H57">
        <v>1464.5821783500082</v>
      </c>
      <c r="I57">
        <v>0</v>
      </c>
      <c r="J57">
        <v>16559.256498333452</v>
      </c>
      <c r="K57">
        <v>3653.0113530225012</v>
      </c>
      <c r="L57">
        <v>295.79644762739406</v>
      </c>
      <c r="M57">
        <v>1711.7177067707471</v>
      </c>
      <c r="N57">
        <v>16105.229211792661</v>
      </c>
      <c r="O57">
        <v>2389.7567148703342</v>
      </c>
      <c r="P57">
        <v>0</v>
      </c>
      <c r="Q57">
        <v>20642.524286380729</v>
      </c>
      <c r="R57">
        <v>41.544250966849127</v>
      </c>
      <c r="S57">
        <v>737.53029674391166</v>
      </c>
      <c r="T57">
        <f t="shared" si="10"/>
        <v>22316.466499261656</v>
      </c>
      <c r="U57">
        <v>1.3081966321962797E-3</v>
      </c>
      <c r="V57">
        <v>3.0387842792015791E-2</v>
      </c>
    </row>
    <row r="58" spans="1:41" x14ac:dyDescent="0.35">
      <c r="A58" t="s">
        <v>15</v>
      </c>
      <c r="B58" t="s">
        <v>16</v>
      </c>
      <c r="C58">
        <v>0</v>
      </c>
      <c r="D58">
        <v>0</v>
      </c>
      <c r="E58">
        <v>0</v>
      </c>
      <c r="F58">
        <v>0</v>
      </c>
      <c r="G58">
        <v>151.48696466732625</v>
      </c>
      <c r="H58">
        <v>90.269119021870239</v>
      </c>
      <c r="I58">
        <v>0</v>
      </c>
      <c r="J58">
        <v>148.03398130529325</v>
      </c>
      <c r="K58">
        <v>557.87758086848885</v>
      </c>
      <c r="L58">
        <v>6.825672169936821</v>
      </c>
      <c r="M58">
        <v>482.66402235109166</v>
      </c>
      <c r="N58">
        <v>0</v>
      </c>
      <c r="O58">
        <v>103.25584276491995</v>
      </c>
      <c r="P58">
        <v>0</v>
      </c>
      <c r="Q58">
        <v>156.28987180390888</v>
      </c>
      <c r="R58">
        <v>4.9188820125855877</v>
      </c>
      <c r="S58">
        <v>0</v>
      </c>
      <c r="T58">
        <f t="shared" si="10"/>
        <v>218.01056924416235</v>
      </c>
      <c r="U58">
        <v>1.2779831126824853E-5</v>
      </c>
      <c r="V58">
        <v>2.9686018877641938E-4</v>
      </c>
    </row>
    <row r="59" spans="1:41" x14ac:dyDescent="0.35">
      <c r="A59" t="s">
        <v>17</v>
      </c>
      <c r="B59" t="s">
        <v>18</v>
      </c>
      <c r="C59">
        <v>0</v>
      </c>
      <c r="D59">
        <v>0</v>
      </c>
      <c r="E59">
        <v>0</v>
      </c>
      <c r="F59">
        <v>0</v>
      </c>
      <c r="G59">
        <v>23.887902468003436</v>
      </c>
      <c r="H59">
        <v>14.234447237470707</v>
      </c>
      <c r="I59">
        <v>0</v>
      </c>
      <c r="J59">
        <v>358.50641857585293</v>
      </c>
      <c r="K59">
        <v>-311.22322128844223</v>
      </c>
      <c r="L59">
        <v>0.51326776547147257</v>
      </c>
      <c r="M59">
        <v>2522.534992401806</v>
      </c>
      <c r="N59">
        <v>0</v>
      </c>
      <c r="O59">
        <v>8.3500546894187533</v>
      </c>
      <c r="P59">
        <v>901.99718444736004</v>
      </c>
      <c r="Q59">
        <v>10.463984697592728</v>
      </c>
      <c r="R59">
        <v>0.36010782138683101</v>
      </c>
      <c r="S59">
        <v>0</v>
      </c>
      <c r="T59">
        <f t="shared" si="10"/>
        <v>1523.2078763273832</v>
      </c>
      <c r="U59">
        <v>8.9290795033546369E-5</v>
      </c>
      <c r="V59">
        <v>2.0741183515341783E-3</v>
      </c>
    </row>
    <row r="60" spans="1:41" x14ac:dyDescent="0.35">
      <c r="A60" t="s">
        <v>19</v>
      </c>
      <c r="B60" t="s">
        <v>20</v>
      </c>
      <c r="C60">
        <v>0</v>
      </c>
      <c r="D60">
        <v>0</v>
      </c>
      <c r="E60">
        <v>0</v>
      </c>
      <c r="F60">
        <v>0</v>
      </c>
      <c r="G60">
        <v>20282652.081857376</v>
      </c>
      <c r="H60">
        <v>1125818.9850981857</v>
      </c>
      <c r="I60">
        <v>0</v>
      </c>
      <c r="J60">
        <v>24217141.736238956</v>
      </c>
      <c r="K60">
        <v>-20384973.072648644</v>
      </c>
      <c r="L60">
        <v>501612.4185731982</v>
      </c>
      <c r="M60">
        <v>1296560.6947852157</v>
      </c>
      <c r="N60">
        <v>38707.27440231439</v>
      </c>
      <c r="O60">
        <v>21132541.05165004</v>
      </c>
      <c r="P60">
        <v>0</v>
      </c>
      <c r="Q60">
        <v>5326207.5669924375</v>
      </c>
      <c r="R60">
        <v>17514.901924730711</v>
      </c>
      <c r="S60">
        <v>0</v>
      </c>
      <c r="T60">
        <f t="shared" si="10"/>
        <v>34609034.520732701</v>
      </c>
      <c r="U60">
        <v>2.0287895436231405</v>
      </c>
      <c r="V60">
        <v>47.126354091129862</v>
      </c>
    </row>
    <row r="61" spans="1:41" x14ac:dyDescent="0.35">
      <c r="A61" t="s">
        <v>21</v>
      </c>
      <c r="B61" t="s">
        <v>20</v>
      </c>
      <c r="C61">
        <v>0</v>
      </c>
      <c r="D61">
        <v>0</v>
      </c>
      <c r="E61">
        <v>0</v>
      </c>
      <c r="F61">
        <v>0</v>
      </c>
      <c r="G61">
        <v>66265.509425675627</v>
      </c>
      <c r="H61">
        <v>16858.812427075849</v>
      </c>
      <c r="I61">
        <v>0</v>
      </c>
      <c r="J61">
        <v>62397.167600409128</v>
      </c>
      <c r="K61">
        <v>-24169.75647703194</v>
      </c>
      <c r="L61">
        <v>1273.6704649897943</v>
      </c>
      <c r="M61">
        <v>23350.341290324712</v>
      </c>
      <c r="N61">
        <v>2.8329237062563434E-2</v>
      </c>
      <c r="O61">
        <v>28450.231610294504</v>
      </c>
      <c r="P61">
        <v>0</v>
      </c>
      <c r="Q61">
        <v>108762.20530326029</v>
      </c>
      <c r="R61">
        <v>381.45563194860347</v>
      </c>
      <c r="S61">
        <v>0</v>
      </c>
      <c r="T61">
        <f t="shared" si="10"/>
        <v>121985.82440204865</v>
      </c>
      <c r="U61">
        <v>7.1508371149875448E-3</v>
      </c>
      <c r="V61">
        <v>0.16610539175348538</v>
      </c>
    </row>
    <row r="62" spans="1:41" x14ac:dyDescent="0.35">
      <c r="A62" t="s">
        <v>22</v>
      </c>
      <c r="B62" t="s">
        <v>20</v>
      </c>
      <c r="C62">
        <v>0</v>
      </c>
      <c r="D62">
        <v>0</v>
      </c>
      <c r="E62">
        <v>0</v>
      </c>
      <c r="F62">
        <v>0</v>
      </c>
      <c r="G62">
        <v>93386.781161136867</v>
      </c>
      <c r="H62">
        <v>22447.237587178006</v>
      </c>
      <c r="I62">
        <v>0</v>
      </c>
      <c r="J62">
        <v>93285.626243324528</v>
      </c>
      <c r="K62">
        <v>-39517.39602552048</v>
      </c>
      <c r="L62">
        <v>1940.1007866936266</v>
      </c>
      <c r="M62">
        <v>30627.994126600617</v>
      </c>
      <c r="N62">
        <v>6.731699896054681</v>
      </c>
      <c r="O62">
        <v>48552.689666637656</v>
      </c>
      <c r="P62">
        <v>0</v>
      </c>
      <c r="Q62">
        <v>139145.05844553647</v>
      </c>
      <c r="R62">
        <v>503.87188142338402</v>
      </c>
      <c r="S62">
        <v>0</v>
      </c>
      <c r="T62">
        <f t="shared" si="10"/>
        <v>172499.91893578129</v>
      </c>
      <c r="U62">
        <v>1.0111984956569288E-2</v>
      </c>
      <c r="V62">
        <v>0.23488931374144686</v>
      </c>
    </row>
    <row r="63" spans="1:41" x14ac:dyDescent="0.35">
      <c r="A63" t="s">
        <v>23</v>
      </c>
      <c r="B63" t="s">
        <v>20</v>
      </c>
      <c r="C63">
        <v>0</v>
      </c>
      <c r="D63">
        <v>0</v>
      </c>
      <c r="E63">
        <v>0</v>
      </c>
      <c r="F63">
        <v>0</v>
      </c>
      <c r="G63">
        <v>40290.208124217061</v>
      </c>
      <c r="H63">
        <v>110682.0201336179</v>
      </c>
      <c r="I63">
        <v>0</v>
      </c>
      <c r="J63">
        <v>22084.479252253979</v>
      </c>
      <c r="K63">
        <v>57007.248406011087</v>
      </c>
      <c r="L63">
        <v>1766.0676942529815</v>
      </c>
      <c r="M63">
        <v>45854.441143742471</v>
      </c>
      <c r="N63">
        <v>1.9521929698558584</v>
      </c>
      <c r="O63">
        <v>26533.32823733805</v>
      </c>
      <c r="P63">
        <v>0</v>
      </c>
      <c r="Q63">
        <v>17544.30250809517</v>
      </c>
      <c r="R63">
        <v>1192.2133283532899</v>
      </c>
      <c r="S63">
        <v>0</v>
      </c>
      <c r="T63">
        <f t="shared" si="10"/>
        <v>77394.748591312018</v>
      </c>
      <c r="U63">
        <v>4.5368982880319457E-3</v>
      </c>
      <c r="V63">
        <v>0.10538671981491164</v>
      </c>
    </row>
    <row r="64" spans="1:41" x14ac:dyDescent="0.35">
      <c r="A64" t="s">
        <v>24</v>
      </c>
      <c r="B64" t="s">
        <v>20</v>
      </c>
      <c r="C64">
        <v>0</v>
      </c>
      <c r="D64">
        <v>0</v>
      </c>
      <c r="E64">
        <v>0</v>
      </c>
      <c r="F64">
        <v>0</v>
      </c>
      <c r="G64">
        <v>957221.62799294991</v>
      </c>
      <c r="H64">
        <v>322237.77907168603</v>
      </c>
      <c r="I64">
        <v>0</v>
      </c>
      <c r="J64">
        <v>7065840.4091048865</v>
      </c>
      <c r="K64">
        <v>-5693558.8677026099</v>
      </c>
      <c r="L64">
        <v>32926.403233920384</v>
      </c>
      <c r="M64">
        <v>1341622.8731906118</v>
      </c>
      <c r="N64">
        <v>695.60898925898471</v>
      </c>
      <c r="O64">
        <v>899852.48243431747</v>
      </c>
      <c r="P64">
        <v>0</v>
      </c>
      <c r="Q64">
        <v>1575736.6505501936</v>
      </c>
      <c r="R64">
        <v>9232.2309237381924</v>
      </c>
      <c r="S64">
        <v>0</v>
      </c>
      <c r="T64">
        <f t="shared" si="10"/>
        <v>6571171.514116535</v>
      </c>
      <c r="U64">
        <v>0.38520358361190632</v>
      </c>
      <c r="V64">
        <v>8.9478184346551988</v>
      </c>
    </row>
    <row r="65" spans="1:22" x14ac:dyDescent="0.35">
      <c r="A65" t="s">
        <v>25</v>
      </c>
      <c r="B65" t="s">
        <v>26</v>
      </c>
      <c r="C65">
        <v>0</v>
      </c>
      <c r="D65">
        <v>0</v>
      </c>
      <c r="E65">
        <v>0</v>
      </c>
      <c r="F65">
        <v>0</v>
      </c>
      <c r="G65">
        <v>48684.140673288006</v>
      </c>
      <c r="H65">
        <v>4434.3259260031527</v>
      </c>
      <c r="I65">
        <v>0</v>
      </c>
      <c r="J65">
        <v>386000.41635686957</v>
      </c>
      <c r="K65">
        <v>-373164.44600872818</v>
      </c>
      <c r="L65">
        <v>7268.0986454185368</v>
      </c>
      <c r="M65">
        <v>12062.22490185786</v>
      </c>
      <c r="N65">
        <v>0</v>
      </c>
      <c r="O65">
        <v>49872.896947006251</v>
      </c>
      <c r="P65">
        <v>0</v>
      </c>
      <c r="Q65">
        <v>4833.8142771619041</v>
      </c>
      <c r="R65">
        <v>172.52060389916451</v>
      </c>
      <c r="S65">
        <v>0</v>
      </c>
      <c r="T65">
        <f t="shared" si="10"/>
        <v>325274.83002238622</v>
      </c>
      <c r="U65">
        <v>1.9067685163121507E-2</v>
      </c>
      <c r="V65">
        <v>0.44291951598423945</v>
      </c>
    </row>
    <row r="66" spans="1:22" x14ac:dyDescent="0.35">
      <c r="A66" t="s">
        <v>27</v>
      </c>
      <c r="B66" t="s">
        <v>28</v>
      </c>
      <c r="C66">
        <v>0</v>
      </c>
      <c r="D66">
        <v>0</v>
      </c>
      <c r="E66">
        <v>0</v>
      </c>
      <c r="F66">
        <v>0</v>
      </c>
      <c r="G66">
        <v>7482.7878643471249</v>
      </c>
      <c r="H66">
        <v>5435.4677597894115</v>
      </c>
      <c r="I66">
        <v>0</v>
      </c>
      <c r="J66">
        <v>2086.8022557279287</v>
      </c>
      <c r="K66">
        <v>509.53900945442336</v>
      </c>
      <c r="L66">
        <v>192.94510442819319</v>
      </c>
      <c r="M66">
        <v>4539.8884980504354</v>
      </c>
      <c r="N66">
        <v>0</v>
      </c>
      <c r="O66">
        <v>4600.9213568096002</v>
      </c>
      <c r="P66">
        <v>0</v>
      </c>
      <c r="Q66">
        <v>30137.542808542137</v>
      </c>
      <c r="R66">
        <v>78.655182814735696</v>
      </c>
      <c r="S66">
        <v>0</v>
      </c>
      <c r="T66">
        <f t="shared" si="10"/>
        <v>19873.683525721321</v>
      </c>
      <c r="U66">
        <v>1.1649999096987594E-3</v>
      </c>
      <c r="V66">
        <v>2.706155423225922E-2</v>
      </c>
    </row>
    <row r="67" spans="1:22" x14ac:dyDescent="0.35">
      <c r="A67" t="s">
        <v>29</v>
      </c>
      <c r="B67" t="s">
        <v>30</v>
      </c>
      <c r="C67">
        <v>0</v>
      </c>
      <c r="D67">
        <v>0</v>
      </c>
      <c r="E67">
        <v>0</v>
      </c>
      <c r="F67">
        <v>0</v>
      </c>
      <c r="G67">
        <v>543627.04266202368</v>
      </c>
      <c r="H67">
        <v>82257.912440726737</v>
      </c>
      <c r="I67">
        <v>0</v>
      </c>
      <c r="J67">
        <v>44826.49248336981</v>
      </c>
      <c r="K67">
        <v>1006822.027787029</v>
      </c>
      <c r="L67">
        <v>32241.011678258736</v>
      </c>
      <c r="M67">
        <v>53756.012036918393</v>
      </c>
      <c r="N67">
        <v>0</v>
      </c>
      <c r="O67">
        <v>409950.75235099229</v>
      </c>
      <c r="P67">
        <v>0</v>
      </c>
      <c r="Q67">
        <v>24963.851508166135</v>
      </c>
      <c r="R67">
        <v>2950.7991233190205</v>
      </c>
      <c r="S67">
        <v>0</v>
      </c>
      <c r="T67">
        <f t="shared" si="10"/>
        <v>70735.823299891999</v>
      </c>
      <c r="U67">
        <v>4.1465511246545819E-3</v>
      </c>
      <c r="V67">
        <v>9.6319422175483893E-2</v>
      </c>
    </row>
    <row r="68" spans="1:22" x14ac:dyDescent="0.35">
      <c r="A68" t="s">
        <v>31</v>
      </c>
      <c r="B68" t="s">
        <v>32</v>
      </c>
      <c r="C68">
        <v>0</v>
      </c>
      <c r="D68">
        <v>0</v>
      </c>
      <c r="E68">
        <v>0</v>
      </c>
      <c r="F68">
        <v>0</v>
      </c>
      <c r="G68">
        <v>2747.9816475429939</v>
      </c>
      <c r="H68">
        <v>588919.87182701274</v>
      </c>
      <c r="I68">
        <v>0</v>
      </c>
      <c r="J68">
        <v>155940.88442468998</v>
      </c>
      <c r="K68">
        <v>-104625.02266506929</v>
      </c>
      <c r="L68">
        <v>1199.8533966454736</v>
      </c>
      <c r="M68">
        <v>-384011.03127707739</v>
      </c>
      <c r="N68">
        <v>0</v>
      </c>
      <c r="O68">
        <v>2002.682053830865</v>
      </c>
      <c r="P68">
        <v>846695.40326400008</v>
      </c>
      <c r="Q68">
        <v>1095.6915924797877</v>
      </c>
      <c r="R68">
        <v>81.922462109888656</v>
      </c>
      <c r="S68">
        <v>0</v>
      </c>
      <c r="T68">
        <f t="shared" si="10"/>
        <v>483970.4831612602</v>
      </c>
      <c r="U68">
        <v>2.8370460703343568E-2</v>
      </c>
      <c r="V68">
        <v>0.65901186302772519</v>
      </c>
    </row>
    <row r="69" spans="1:22" x14ac:dyDescent="0.35">
      <c r="P69">
        <v>0.36680000000000001</v>
      </c>
    </row>
    <row r="70" spans="1:22" x14ac:dyDescent="0.35">
      <c r="G70" t="s">
        <v>38</v>
      </c>
      <c r="H70" t="s">
        <v>43</v>
      </c>
      <c r="I70" t="s">
        <v>47</v>
      </c>
      <c r="J70" t="s">
        <v>52</v>
      </c>
      <c r="K70" t="s">
        <v>53</v>
      </c>
    </row>
    <row r="71" spans="1:22" x14ac:dyDescent="0.35">
      <c r="A71" t="s">
        <v>0</v>
      </c>
      <c r="B71" t="s">
        <v>1</v>
      </c>
      <c r="G71">
        <f>SUM(E51:G51)-D51</f>
        <v>-29690435.865625601</v>
      </c>
      <c r="H71">
        <f>SUM(H51,I51,J51)-K51</f>
        <v>-3190740.9048612625</v>
      </c>
      <c r="I71">
        <f t="shared" ref="I71:I88" si="11">SUM(L51:N51)</f>
        <v>1438546.2459648442</v>
      </c>
      <c r="J71">
        <f>SUM(O51:Q51)</f>
        <v>2037311.5842587354</v>
      </c>
      <c r="K71">
        <f>SUM(R51:S51)</f>
        <v>371999.90221339982</v>
      </c>
      <c r="L71">
        <f>(SUM(G71:J71)*0.3668)+K71</f>
        <v>-10413871.085075174</v>
      </c>
      <c r="N71">
        <f>(G71/($U$49*43.05))</f>
        <v>-0.12364516199327626</v>
      </c>
      <c r="O71">
        <f>(H71/($U$49*43.05))</f>
        <v>-1.3287769766859596E-2</v>
      </c>
      <c r="P71">
        <f>(I71/($U$49*43.05))</f>
        <v>5.9907939520373477E-3</v>
      </c>
      <c r="Q71">
        <f>(J71/($U$49*43.05))</f>
        <v>8.4843389301028655E-3</v>
      </c>
      <c r="R71">
        <f>(K71/($U$49*43.05))</f>
        <v>1.5491853463798779E-3</v>
      </c>
    </row>
    <row r="72" spans="1:22" x14ac:dyDescent="0.35">
      <c r="A72" t="s">
        <v>2</v>
      </c>
      <c r="B72" t="s">
        <v>3</v>
      </c>
      <c r="G72">
        <f t="shared" ref="G72:G88" si="12">SUM(E52:G52)-D52</f>
        <v>1.1728335370093312</v>
      </c>
      <c r="H72">
        <f t="shared" ref="H72:H88" si="13">SUM(H52,I52,J52)-K52</f>
        <v>19.408814721421919</v>
      </c>
      <c r="I72">
        <f t="shared" si="11"/>
        <v>0.65898141477051142</v>
      </c>
      <c r="J72">
        <f t="shared" ref="J72:J88" si="14">SUM(O52:Q52)</f>
        <v>1.079524346893961</v>
      </c>
      <c r="K72">
        <f t="shared" ref="K72:K88" si="15">SUM(R52:S52)</f>
        <v>4.4389790950154252E-3</v>
      </c>
      <c r="L72">
        <f t="shared" ref="L72:L88" si="16">(SUM(G72:J72)*0.3649)+K72</f>
        <v>8.1490631810279446</v>
      </c>
    </row>
    <row r="73" spans="1:22" x14ac:dyDescent="0.35">
      <c r="A73" t="s">
        <v>4</v>
      </c>
      <c r="B73" t="s">
        <v>5</v>
      </c>
      <c r="G73">
        <f t="shared" si="12"/>
        <v>28100.906787427877</v>
      </c>
      <c r="H73">
        <f t="shared" si="13"/>
        <v>1625.2417252741016</v>
      </c>
      <c r="I73">
        <f t="shared" si="11"/>
        <v>11949.784892436077</v>
      </c>
      <c r="J73">
        <f t="shared" si="14"/>
        <v>26091.458818616316</v>
      </c>
      <c r="K73">
        <f t="shared" si="15"/>
        <v>766.2429183258148</v>
      </c>
      <c r="L73">
        <f t="shared" si="16"/>
        <v>25494.564340773784</v>
      </c>
    </row>
    <row r="74" spans="1:22" x14ac:dyDescent="0.35">
      <c r="A74" t="s">
        <v>6</v>
      </c>
      <c r="B74" t="s">
        <v>7</v>
      </c>
      <c r="G74">
        <f t="shared" si="12"/>
        <v>2469.3566516256001</v>
      </c>
      <c r="H74">
        <f t="shared" si="13"/>
        <v>59804.482867481143</v>
      </c>
      <c r="I74">
        <f t="shared" si="11"/>
        <v>5262.1019189359567</v>
      </c>
      <c r="J74">
        <f t="shared" si="14"/>
        <v>2733.8191161336399</v>
      </c>
      <c r="K74">
        <f t="shared" si="15"/>
        <v>39.128868986904983</v>
      </c>
      <c r="L74">
        <f t="shared" si="16"/>
        <v>25680.564495205854</v>
      </c>
    </row>
    <row r="75" spans="1:22" x14ac:dyDescent="0.35">
      <c r="A75" t="s">
        <v>8</v>
      </c>
      <c r="B75" t="s">
        <v>9</v>
      </c>
      <c r="G75">
        <f t="shared" si="12"/>
        <v>1449.1712383707375</v>
      </c>
      <c r="H75">
        <f t="shared" si="13"/>
        <v>45437.310204052992</v>
      </c>
      <c r="I75">
        <f t="shared" si="11"/>
        <v>5635.3820222739423</v>
      </c>
      <c r="J75">
        <f t="shared" si="14"/>
        <v>7280.8601643198635</v>
      </c>
      <c r="K75">
        <f t="shared" si="15"/>
        <v>26.593047095985789</v>
      </c>
      <c r="L75">
        <f t="shared" si="16"/>
        <v>21848.606899324484</v>
      </c>
    </row>
    <row r="76" spans="1:22" x14ac:dyDescent="0.35">
      <c r="A76" t="s">
        <v>10</v>
      </c>
      <c r="B76" t="s">
        <v>11</v>
      </c>
      <c r="G76">
        <f t="shared" si="12"/>
        <v>2592.9854336613312</v>
      </c>
      <c r="H76">
        <f t="shared" si="13"/>
        <v>60495.745144162123</v>
      </c>
      <c r="I76">
        <f t="shared" si="11"/>
        <v>5296.9727862477976</v>
      </c>
      <c r="J76">
        <f t="shared" si="14"/>
        <v>2851.2614151910334</v>
      </c>
      <c r="K76">
        <f t="shared" si="15"/>
        <v>421759.6503521541</v>
      </c>
      <c r="L76">
        <f t="shared" si="16"/>
        <v>447754.01880010689</v>
      </c>
    </row>
    <row r="77" spans="1:22" x14ac:dyDescent="0.35">
      <c r="A77" t="s">
        <v>12</v>
      </c>
      <c r="B77" t="s">
        <v>9</v>
      </c>
      <c r="G77">
        <f t="shared" si="12"/>
        <v>3201.1383621984182</v>
      </c>
      <c r="H77">
        <f t="shared" si="13"/>
        <v>14370.827323660958</v>
      </c>
      <c r="I77">
        <f t="shared" si="11"/>
        <v>18112.743366190803</v>
      </c>
      <c r="J77">
        <f t="shared" si="14"/>
        <v>23032.281001251064</v>
      </c>
      <c r="K77">
        <f t="shared" si="15"/>
        <v>779.07454771076084</v>
      </c>
      <c r="L77">
        <f t="shared" si="16"/>
        <v>22204.904218160384</v>
      </c>
    </row>
    <row r="78" spans="1:22" x14ac:dyDescent="0.35">
      <c r="A78" t="s">
        <v>13</v>
      </c>
      <c r="B78" t="s">
        <v>14</v>
      </c>
      <c r="G78">
        <f t="shared" si="12"/>
        <v>151.48696466732625</v>
      </c>
      <c r="H78">
        <f t="shared" si="13"/>
        <v>-319.57448054132533</v>
      </c>
      <c r="I78">
        <f t="shared" si="11"/>
        <v>489.48969452102847</v>
      </c>
      <c r="J78">
        <f t="shared" si="14"/>
        <v>259.54571456882883</v>
      </c>
      <c r="K78">
        <f t="shared" si="15"/>
        <v>4.9188820125855877</v>
      </c>
      <c r="L78">
        <f t="shared" si="16"/>
        <v>216.90676824705221</v>
      </c>
    </row>
    <row r="79" spans="1:22" x14ac:dyDescent="0.35">
      <c r="A79" t="s">
        <v>15</v>
      </c>
      <c r="B79" t="s">
        <v>16</v>
      </c>
      <c r="G79">
        <f t="shared" si="12"/>
        <v>23.887902468003436</v>
      </c>
      <c r="H79">
        <f t="shared" si="13"/>
        <v>683.96408710176593</v>
      </c>
      <c r="I79">
        <f t="shared" si="11"/>
        <v>2523.0482601672775</v>
      </c>
      <c r="J79">
        <f t="shared" si="14"/>
        <v>920.8112238343715</v>
      </c>
      <c r="K79">
        <f t="shared" si="15"/>
        <v>0.36010782138683101</v>
      </c>
      <c r="L79">
        <f t="shared" si="16"/>
        <v>1515.3196245275976</v>
      </c>
    </row>
    <row r="80" spans="1:22" x14ac:dyDescent="0.35">
      <c r="A80" t="s">
        <v>17</v>
      </c>
      <c r="B80" t="s">
        <v>18</v>
      </c>
      <c r="G80">
        <f t="shared" si="12"/>
        <v>20282652.081857376</v>
      </c>
      <c r="H80">
        <f t="shared" si="13"/>
        <v>45727933.793985784</v>
      </c>
      <c r="I80">
        <f t="shared" si="11"/>
        <v>1836880.3877607281</v>
      </c>
      <c r="J80">
        <f t="shared" si="14"/>
        <v>26458748.618642479</v>
      </c>
      <c r="K80">
        <f t="shared" si="15"/>
        <v>17514.901924730711</v>
      </c>
      <c r="L80">
        <f t="shared" si="16"/>
        <v>34429852.712456428</v>
      </c>
    </row>
    <row r="81" spans="1:41" x14ac:dyDescent="0.35">
      <c r="A81" t="s">
        <v>19</v>
      </c>
      <c r="B81" t="s">
        <v>20</v>
      </c>
      <c r="G81">
        <f t="shared" si="12"/>
        <v>66265.509425675627</v>
      </c>
      <c r="H81">
        <f t="shared" si="13"/>
        <v>103425.73650451691</v>
      </c>
      <c r="I81">
        <f t="shared" si="11"/>
        <v>24624.040084551569</v>
      </c>
      <c r="J81">
        <f t="shared" si="14"/>
        <v>137212.43691355479</v>
      </c>
      <c r="K81">
        <f t="shared" si="15"/>
        <v>381.45563194860347</v>
      </c>
      <c r="L81">
        <f t="shared" si="16"/>
        <v>121355.92172848486</v>
      </c>
    </row>
    <row r="82" spans="1:41" x14ac:dyDescent="0.35">
      <c r="A82" t="s">
        <v>21</v>
      </c>
      <c r="B82" t="s">
        <v>20</v>
      </c>
      <c r="G82">
        <f t="shared" si="12"/>
        <v>93386.781161136867</v>
      </c>
      <c r="H82">
        <f t="shared" si="13"/>
        <v>155250.25985602301</v>
      </c>
      <c r="I82">
        <f t="shared" si="11"/>
        <v>32574.8266131903</v>
      </c>
      <c r="J82">
        <f t="shared" si="14"/>
        <v>187697.74811217413</v>
      </c>
      <c r="K82">
        <f t="shared" si="15"/>
        <v>503.87188142338402</v>
      </c>
      <c r="L82">
        <f t="shared" si="16"/>
        <v>171608.99066587049</v>
      </c>
    </row>
    <row r="83" spans="1:41" x14ac:dyDescent="0.35">
      <c r="A83" t="s">
        <v>22</v>
      </c>
      <c r="B83" t="s">
        <v>20</v>
      </c>
      <c r="G83">
        <f t="shared" si="12"/>
        <v>40290.208124217061</v>
      </c>
      <c r="H83">
        <f t="shared" si="13"/>
        <v>75759.250979860779</v>
      </c>
      <c r="I83">
        <f t="shared" si="11"/>
        <v>47622.461030965307</v>
      </c>
      <c r="J83">
        <f t="shared" si="14"/>
        <v>44077.63074543322</v>
      </c>
      <c r="K83">
        <f t="shared" si="15"/>
        <v>1192.2133283532899</v>
      </c>
      <c r="L83">
        <f t="shared" si="16"/>
        <v>77000.024444639115</v>
      </c>
    </row>
    <row r="84" spans="1:41" x14ac:dyDescent="0.35">
      <c r="A84" t="s">
        <v>23</v>
      </c>
      <c r="B84" t="s">
        <v>20</v>
      </c>
      <c r="G84">
        <f t="shared" si="12"/>
        <v>957221.62799294991</v>
      </c>
      <c r="H84">
        <f t="shared" si="13"/>
        <v>13081637.055879183</v>
      </c>
      <c r="I84">
        <f t="shared" si="11"/>
        <v>1375244.8854137913</v>
      </c>
      <c r="J84">
        <f t="shared" si="14"/>
        <v>2475589.1329845111</v>
      </c>
      <c r="K84">
        <f t="shared" si="15"/>
        <v>9232.2309237381924</v>
      </c>
      <c r="L84">
        <f t="shared" si="16"/>
        <v>6537181.0979822213</v>
      </c>
    </row>
    <row r="85" spans="1:41" x14ac:dyDescent="0.35">
      <c r="A85" t="s">
        <v>24</v>
      </c>
      <c r="B85" t="s">
        <v>20</v>
      </c>
      <c r="G85">
        <f t="shared" si="12"/>
        <v>48684.140673288006</v>
      </c>
      <c r="H85">
        <f t="shared" si="13"/>
        <v>763599.18829160091</v>
      </c>
      <c r="I85">
        <f t="shared" si="11"/>
        <v>19330.323547276399</v>
      </c>
      <c r="J85">
        <f t="shared" si="14"/>
        <v>54706.711224168153</v>
      </c>
      <c r="K85">
        <f t="shared" si="15"/>
        <v>172.52060389916451</v>
      </c>
      <c r="L85">
        <f t="shared" si="16"/>
        <v>323590.82133128727</v>
      </c>
    </row>
    <row r="86" spans="1:41" x14ac:dyDescent="0.35">
      <c r="A86" t="s">
        <v>25</v>
      </c>
      <c r="B86" t="s">
        <v>26</v>
      </c>
      <c r="G86">
        <f t="shared" si="12"/>
        <v>7482.7878643471249</v>
      </c>
      <c r="H86">
        <f t="shared" si="13"/>
        <v>7012.731006062917</v>
      </c>
      <c r="I86">
        <f t="shared" si="11"/>
        <v>4732.8336024786286</v>
      </c>
      <c r="J86">
        <f t="shared" si="14"/>
        <v>34738.464165351739</v>
      </c>
      <c r="K86">
        <f t="shared" si="15"/>
        <v>78.655182814735696</v>
      </c>
      <c r="L86">
        <f t="shared" si="16"/>
        <v>19771.146574108661</v>
      </c>
    </row>
    <row r="87" spans="1:41" x14ac:dyDescent="0.35">
      <c r="A87" t="s">
        <v>27</v>
      </c>
      <c r="B87" t="s">
        <v>28</v>
      </c>
      <c r="G87">
        <f t="shared" si="12"/>
        <v>543627.04266202368</v>
      </c>
      <c r="H87">
        <f t="shared" si="13"/>
        <v>-879737.62286293251</v>
      </c>
      <c r="I87">
        <f t="shared" si="11"/>
        <v>85997.023715177129</v>
      </c>
      <c r="J87">
        <f t="shared" si="14"/>
        <v>434914.60385915841</v>
      </c>
      <c r="K87">
        <f t="shared" si="15"/>
        <v>2950.7991233190205</v>
      </c>
      <c r="L87">
        <f t="shared" si="16"/>
        <v>70384.701309882439</v>
      </c>
    </row>
    <row r="88" spans="1:41" x14ac:dyDescent="0.35">
      <c r="A88" t="s">
        <v>29</v>
      </c>
      <c r="B88" t="s">
        <v>30</v>
      </c>
      <c r="G88">
        <f t="shared" si="12"/>
        <v>2747.9816475429939</v>
      </c>
      <c r="H88">
        <f t="shared" si="13"/>
        <v>849485.77891677211</v>
      </c>
      <c r="I88">
        <f t="shared" si="11"/>
        <v>-382811.17788043193</v>
      </c>
      <c r="J88">
        <f t="shared" si="14"/>
        <v>849793.77691031073</v>
      </c>
      <c r="K88">
        <f t="shared" si="15"/>
        <v>81.922462109888656</v>
      </c>
      <c r="L88">
        <f t="shared" si="16"/>
        <v>481463.97207803128</v>
      </c>
    </row>
    <row r="89" spans="1:41" x14ac:dyDescent="0.35">
      <c r="A89" t="s">
        <v>31</v>
      </c>
      <c r="B89" t="s">
        <v>32</v>
      </c>
    </row>
    <row r="92" spans="1:41" x14ac:dyDescent="0.35">
      <c r="A92" t="s">
        <v>63</v>
      </c>
    </row>
    <row r="94" spans="1:41" x14ac:dyDescent="0.35">
      <c r="T94" t="s">
        <v>62</v>
      </c>
      <c r="U94">
        <v>17058864.20831864</v>
      </c>
    </row>
    <row r="95" spans="1:41" x14ac:dyDescent="0.35">
      <c r="A95" t="s">
        <v>0</v>
      </c>
      <c r="B95" t="s">
        <v>1</v>
      </c>
      <c r="C95" t="s">
        <v>64</v>
      </c>
      <c r="D95" t="s">
        <v>66</v>
      </c>
      <c r="E95" t="s">
        <v>67</v>
      </c>
      <c r="F95" t="s">
        <v>68</v>
      </c>
      <c r="G95" t="s">
        <v>69</v>
      </c>
      <c r="H95" t="s">
        <v>39</v>
      </c>
      <c r="I95" t="s">
        <v>61</v>
      </c>
      <c r="J95" t="s">
        <v>40</v>
      </c>
      <c r="K95" t="s">
        <v>41</v>
      </c>
      <c r="L95" t="s">
        <v>44</v>
      </c>
      <c r="M95" t="s">
        <v>45</v>
      </c>
      <c r="N95" t="s">
        <v>46</v>
      </c>
      <c r="O95" t="s">
        <v>42</v>
      </c>
      <c r="P95" t="s">
        <v>48</v>
      </c>
      <c r="Q95" t="s">
        <v>49</v>
      </c>
      <c r="R95" t="s">
        <v>50</v>
      </c>
      <c r="S95" t="s">
        <v>51</v>
      </c>
      <c r="T95" t="s">
        <v>54</v>
      </c>
      <c r="U95" t="s">
        <v>76</v>
      </c>
      <c r="V95" t="s">
        <v>77</v>
      </c>
      <c r="X95" t="s">
        <v>70</v>
      </c>
      <c r="Y95" t="s">
        <v>66</v>
      </c>
      <c r="Z95" t="s">
        <v>67</v>
      </c>
      <c r="AA95" t="s">
        <v>68</v>
      </c>
      <c r="AB95" t="s">
        <v>69</v>
      </c>
      <c r="AC95" t="s">
        <v>39</v>
      </c>
      <c r="AD95" t="s">
        <v>61</v>
      </c>
      <c r="AE95" t="s">
        <v>40</v>
      </c>
      <c r="AF95" t="s">
        <v>41</v>
      </c>
      <c r="AG95" t="s">
        <v>44</v>
      </c>
      <c r="AH95" t="s">
        <v>45</v>
      </c>
      <c r="AI95" t="s">
        <v>46</v>
      </c>
      <c r="AJ95" t="s">
        <v>42</v>
      </c>
      <c r="AK95" t="s">
        <v>48</v>
      </c>
      <c r="AL95" t="s">
        <v>49</v>
      </c>
      <c r="AM95" t="s">
        <v>50</v>
      </c>
      <c r="AN95" t="s">
        <v>51</v>
      </c>
      <c r="AO95" t="s">
        <v>54</v>
      </c>
    </row>
    <row r="96" spans="1:41" x14ac:dyDescent="0.35">
      <c r="A96" t="s">
        <v>2</v>
      </c>
      <c r="B96" t="s">
        <v>3</v>
      </c>
      <c r="C96">
        <v>-12500000.000000011</v>
      </c>
      <c r="D96">
        <v>1550518.8713712776</v>
      </c>
      <c r="E96">
        <v>3381334.0648037503</v>
      </c>
      <c r="F96">
        <v>2199481.1286287224</v>
      </c>
      <c r="G96">
        <v>3647943.4708022061</v>
      </c>
      <c r="H96">
        <v>992016.76300296839</v>
      </c>
      <c r="I96">
        <v>15322393.290669151</v>
      </c>
      <c r="J96">
        <v>2593030.9552620812</v>
      </c>
      <c r="K96">
        <v>44705956.610916547</v>
      </c>
      <c r="L96">
        <v>83890.463011425323</v>
      </c>
      <c r="M96">
        <v>341832.52521853935</v>
      </c>
      <c r="N96">
        <v>1698737.005157456</v>
      </c>
      <c r="O96">
        <v>0</v>
      </c>
      <c r="P96">
        <v>2243916.3456000001</v>
      </c>
      <c r="Q96">
        <v>425944.87067550974</v>
      </c>
      <c r="R96">
        <v>7224.1873078770595</v>
      </c>
      <c r="S96">
        <v>964167.00505416945</v>
      </c>
      <c r="T96">
        <f>((SUM(C96,D96,E96,F96,G96,H96,I96,J96,L96,M96,N96,O96,P96,Q96)-K96)*0.2476)+SUM(R96,S96)</f>
        <v>-4655298.2213602094</v>
      </c>
      <c r="U96">
        <f>T96*1000/$U$94</f>
        <v>-272.89614153151444</v>
      </c>
      <c r="V96">
        <f>U96/37.68</f>
        <v>-7.2424666011548418</v>
      </c>
      <c r="X96">
        <f>C96/($U$94*37.68)</f>
        <v>-1.9446838464407513E-2</v>
      </c>
      <c r="Y96">
        <f t="shared" ref="Y96:AO96" si="17">D96/($U$94*37.68)</f>
        <v>2.412215202205813E-3</v>
      </c>
      <c r="Z96">
        <f t="shared" si="17"/>
        <v>5.2605005881949541E-3</v>
      </c>
      <c r="AA96">
        <f t="shared" si="17"/>
        <v>3.4218363371164365E-3</v>
      </c>
      <c r="AB96">
        <f t="shared" si="17"/>
        <v>5.6752773923184428E-3</v>
      </c>
      <c r="AC96">
        <f t="shared" si="17"/>
        <v>1.5433271795282514E-3</v>
      </c>
      <c r="AD96">
        <f t="shared" si="17"/>
        <v>2.3837768576941136E-2</v>
      </c>
      <c r="AE96">
        <f t="shared" si="17"/>
        <v>4.0341003296151968E-3</v>
      </c>
      <c r="AF96">
        <f t="shared" si="17"/>
        <v>6.9551161328744365E-2</v>
      </c>
      <c r="AG96">
        <f t="shared" si="17"/>
        <v>1.3051234263100324E-4</v>
      </c>
      <c r="AH96">
        <f t="shared" si="17"/>
        <v>5.3180495198443495E-4</v>
      </c>
      <c r="AI96">
        <f t="shared" si="17"/>
        <v>2.6428051306246732E-3</v>
      </c>
      <c r="AJ96">
        <f t="shared" si="17"/>
        <v>0</v>
      </c>
      <c r="AK96">
        <f t="shared" si="17"/>
        <v>3.4909662960421434E-3</v>
      </c>
      <c r="AL96">
        <f t="shared" si="17"/>
        <v>6.6266248758156644E-4</v>
      </c>
      <c r="AM96">
        <f t="shared" si="17"/>
        <v>1.1239008289032645E-5</v>
      </c>
      <c r="AN96">
        <f t="shared" si="17"/>
        <v>1.5E-3</v>
      </c>
      <c r="AO96">
        <f t="shared" si="17"/>
        <v>-7.2424666011548424E-3</v>
      </c>
    </row>
    <row r="97" spans="1:44" x14ac:dyDescent="0.35">
      <c r="A97" t="s">
        <v>4</v>
      </c>
      <c r="B97" t="s">
        <v>5</v>
      </c>
      <c r="C97">
        <v>0</v>
      </c>
      <c r="D97">
        <v>0</v>
      </c>
      <c r="E97">
        <v>1.7031507381366902</v>
      </c>
      <c r="F97">
        <v>1.2185667315915225</v>
      </c>
      <c r="G97">
        <v>2.1775147430872841</v>
      </c>
      <c r="H97">
        <v>0.65991615082753874</v>
      </c>
      <c r="I97">
        <v>4.8859328827675155</v>
      </c>
      <c r="J97">
        <v>19.719813078077262</v>
      </c>
      <c r="K97">
        <v>17.69444132232638</v>
      </c>
      <c r="L97">
        <v>5.3734690871242927E-2</v>
      </c>
      <c r="M97">
        <v>0.87314252224100708</v>
      </c>
      <c r="N97">
        <v>0</v>
      </c>
      <c r="O97">
        <v>0</v>
      </c>
      <c r="P97">
        <v>0.13306452958080001</v>
      </c>
      <c r="Q97">
        <v>0.71566845762059461</v>
      </c>
      <c r="R97">
        <v>2.7151693219878759E-3</v>
      </c>
      <c r="S97">
        <v>0</v>
      </c>
      <c r="T97">
        <f t="shared" ref="T97:T113" si="18">((SUM(C97,D97,E97,F97,G97,H97,I97,J97,L97,M97,N97,O97,P97,Q97)-K97)*0.2476)+SUM(R97,S97)</f>
        <v>3.5795604182548169</v>
      </c>
      <c r="U97">
        <f t="shared" ref="U97:U113" si="19">T97*1000/$U$94</f>
        <v>2.0983580000063945E-4</v>
      </c>
      <c r="V97">
        <f t="shared" ref="V97:V113" si="20">U97/37.68</f>
        <v>5.5688906581910686E-6</v>
      </c>
    </row>
    <row r="98" spans="1:44" x14ac:dyDescent="0.35">
      <c r="A98" t="s">
        <v>6</v>
      </c>
      <c r="B98" t="s">
        <v>7</v>
      </c>
      <c r="C98">
        <v>0</v>
      </c>
      <c r="D98">
        <v>0</v>
      </c>
      <c r="E98">
        <v>68028.28321968751</v>
      </c>
      <c r="F98">
        <v>1065469.4163481975</v>
      </c>
      <c r="G98">
        <v>179008.481884743</v>
      </c>
      <c r="H98">
        <v>39654.034744913683</v>
      </c>
      <c r="I98">
        <v>581374.77214848832</v>
      </c>
      <c r="J98">
        <v>42249.184970997274</v>
      </c>
      <c r="K98">
        <v>2104806.1196663729</v>
      </c>
      <c r="L98">
        <v>2164.3428319714717</v>
      </c>
      <c r="M98">
        <v>14355.134649327607</v>
      </c>
      <c r="N98">
        <v>278.5319869710728</v>
      </c>
      <c r="O98">
        <v>0</v>
      </c>
      <c r="P98">
        <v>0</v>
      </c>
      <c r="Q98">
        <v>23149.55694887046</v>
      </c>
      <c r="R98">
        <v>468.68417726159277</v>
      </c>
      <c r="S98">
        <v>0</v>
      </c>
      <c r="T98">
        <f t="shared" si="18"/>
        <v>-21586.132293952356</v>
      </c>
      <c r="U98">
        <f t="shared" si="19"/>
        <v>-1.2653909445756668</v>
      </c>
      <c r="V98">
        <f t="shared" si="20"/>
        <v>-3.358256222334572E-2</v>
      </c>
    </row>
    <row r="99" spans="1:44" x14ac:dyDescent="0.35">
      <c r="A99" t="s">
        <v>8</v>
      </c>
      <c r="B99" t="s">
        <v>9</v>
      </c>
      <c r="C99">
        <v>0</v>
      </c>
      <c r="D99">
        <v>0</v>
      </c>
      <c r="E99">
        <v>25008.219245497254</v>
      </c>
      <c r="F99">
        <v>4104.1042814674747</v>
      </c>
      <c r="G99">
        <v>15766.725453203699</v>
      </c>
      <c r="H99">
        <v>3847.5623860270293</v>
      </c>
      <c r="I99">
        <v>42276.757318833239</v>
      </c>
      <c r="J99">
        <v>120008.63765497171</v>
      </c>
      <c r="K99">
        <v>88498.477257372564</v>
      </c>
      <c r="L99">
        <v>648.90425611328396</v>
      </c>
      <c r="M99">
        <v>1265.7868592031987</v>
      </c>
      <c r="N99">
        <v>5825.9940346175199</v>
      </c>
      <c r="O99">
        <v>0</v>
      </c>
      <c r="P99">
        <v>0</v>
      </c>
      <c r="Q99">
        <v>3041.3453458980298</v>
      </c>
      <c r="R99">
        <v>23.933769996039608</v>
      </c>
      <c r="S99">
        <v>0</v>
      </c>
      <c r="T99">
        <f t="shared" si="18"/>
        <v>33027.914321622702</v>
      </c>
      <c r="U99">
        <f t="shared" si="19"/>
        <v>1.9361144984973186</v>
      </c>
      <c r="V99">
        <f t="shared" si="20"/>
        <v>5.1383081170311005E-2</v>
      </c>
    </row>
    <row r="100" spans="1:44" x14ac:dyDescent="0.35">
      <c r="A100" t="s">
        <v>10</v>
      </c>
      <c r="B100" t="s">
        <v>11</v>
      </c>
      <c r="C100">
        <v>0</v>
      </c>
      <c r="D100">
        <v>0</v>
      </c>
      <c r="E100">
        <v>6283.0106489029504</v>
      </c>
      <c r="F100">
        <v>3357.4082212676249</v>
      </c>
      <c r="G100">
        <v>8606.9583103634322</v>
      </c>
      <c r="H100">
        <v>2490.4426146331307</v>
      </c>
      <c r="I100">
        <v>41289.518657236964</v>
      </c>
      <c r="J100">
        <v>33898.283259826967</v>
      </c>
      <c r="K100">
        <v>102084.81276877789</v>
      </c>
      <c r="L100">
        <v>182.71922864436115</v>
      </c>
      <c r="M100">
        <v>986.38357338470678</v>
      </c>
      <c r="N100">
        <v>7188.0099885437157</v>
      </c>
      <c r="O100">
        <v>0</v>
      </c>
      <c r="P100">
        <v>0</v>
      </c>
      <c r="Q100">
        <v>24836.237483544679</v>
      </c>
      <c r="R100">
        <v>16.266043184181406</v>
      </c>
      <c r="S100">
        <v>0</v>
      </c>
      <c r="T100">
        <f t="shared" si="18"/>
        <v>6709.9238654546734</v>
      </c>
      <c r="U100">
        <f t="shared" si="19"/>
        <v>0.39333942655939691</v>
      </c>
      <c r="V100">
        <f t="shared" si="20"/>
        <v>1.0438944441597582E-2</v>
      </c>
    </row>
    <row r="101" spans="1:44" x14ac:dyDescent="0.35">
      <c r="A101" t="s">
        <v>12</v>
      </c>
      <c r="B101" t="s">
        <v>9</v>
      </c>
      <c r="C101">
        <v>0</v>
      </c>
      <c r="D101">
        <v>0</v>
      </c>
      <c r="E101">
        <v>25454.112008471751</v>
      </c>
      <c r="F101">
        <v>4155.5803442172755</v>
      </c>
      <c r="G101">
        <v>15955.206493353975</v>
      </c>
      <c r="H101">
        <v>3884.8625317448532</v>
      </c>
      <c r="I101">
        <v>42836.82024319427</v>
      </c>
      <c r="J101">
        <v>120922.88115920237</v>
      </c>
      <c r="K101">
        <v>88112.986807294132</v>
      </c>
      <c r="L101">
        <v>661.82055817817513</v>
      </c>
      <c r="M101">
        <v>1286.1594710754955</v>
      </c>
      <c r="N101">
        <v>5842.5060103202959</v>
      </c>
      <c r="O101">
        <v>0</v>
      </c>
      <c r="P101">
        <v>0</v>
      </c>
      <c r="Q101">
        <v>3097.7714791730691</v>
      </c>
      <c r="R101">
        <v>24.360593075018137</v>
      </c>
      <c r="S101">
        <v>1128874.2771461373</v>
      </c>
      <c r="T101">
        <f t="shared" si="18"/>
        <v>1162568.4577517416</v>
      </c>
      <c r="U101">
        <f t="shared" si="19"/>
        <v>68.150402251565083</v>
      </c>
      <c r="V101">
        <f t="shared" si="20"/>
        <v>1.8086624801370776</v>
      </c>
    </row>
    <row r="102" spans="1:44" x14ac:dyDescent="0.35">
      <c r="A102" t="s">
        <v>13</v>
      </c>
      <c r="B102" t="s">
        <v>14</v>
      </c>
      <c r="C102">
        <v>0</v>
      </c>
      <c r="D102">
        <v>0</v>
      </c>
      <c r="E102">
        <v>15711.389971520024</v>
      </c>
      <c r="F102">
        <v>8327.6185822888492</v>
      </c>
      <c r="G102">
        <v>23930.345233251224</v>
      </c>
      <c r="H102">
        <v>7671.278246806356</v>
      </c>
      <c r="I102">
        <v>136679.92421891619</v>
      </c>
      <c r="J102">
        <v>50509.749107585172</v>
      </c>
      <c r="K102">
        <v>401204.07877966919</v>
      </c>
      <c r="L102">
        <v>407.60953779582485</v>
      </c>
      <c r="M102">
        <v>2410.6533275385614</v>
      </c>
      <c r="N102">
        <v>24105.611729668013</v>
      </c>
      <c r="O102">
        <v>0</v>
      </c>
      <c r="P102">
        <v>0</v>
      </c>
      <c r="Q102">
        <v>83555.97527892729</v>
      </c>
      <c r="R102">
        <v>25.411175253521201</v>
      </c>
      <c r="S102">
        <v>1974.2467246347283</v>
      </c>
      <c r="T102">
        <f t="shared" si="18"/>
        <v>-9858.8775699457801</v>
      </c>
      <c r="U102">
        <f t="shared" si="19"/>
        <v>-0.57793282422273839</v>
      </c>
      <c r="V102">
        <f t="shared" si="20"/>
        <v>-1.5337919963448471E-2</v>
      </c>
    </row>
    <row r="103" spans="1:44" x14ac:dyDescent="0.35">
      <c r="A103" t="s">
        <v>15</v>
      </c>
      <c r="B103" t="s">
        <v>16</v>
      </c>
      <c r="C103">
        <v>0</v>
      </c>
      <c r="D103">
        <v>0</v>
      </c>
      <c r="E103">
        <v>818.15161742623502</v>
      </c>
      <c r="F103">
        <v>2101.0957572940197</v>
      </c>
      <c r="G103">
        <v>1924.5704918406411</v>
      </c>
      <c r="H103">
        <v>596.04732158540628</v>
      </c>
      <c r="I103">
        <v>7822.281521705956</v>
      </c>
      <c r="J103">
        <v>652.47614120232265</v>
      </c>
      <c r="K103">
        <v>33563.345327822368</v>
      </c>
      <c r="L103">
        <v>9.4058231620091597</v>
      </c>
      <c r="M103">
        <v>679.74738297174122</v>
      </c>
      <c r="N103">
        <v>0</v>
      </c>
      <c r="O103">
        <v>0</v>
      </c>
      <c r="P103">
        <v>0</v>
      </c>
      <c r="Q103">
        <v>632.62382466518409</v>
      </c>
      <c r="R103">
        <v>3.0087092669680531</v>
      </c>
      <c r="S103">
        <v>0</v>
      </c>
      <c r="T103">
        <f t="shared" si="18"/>
        <v>-4534.7429831549189</v>
      </c>
      <c r="U103">
        <f t="shared" si="19"/>
        <v>-0.26582912717855989</v>
      </c>
      <c r="V103">
        <f t="shared" si="20"/>
        <v>-7.0549131416815253E-3</v>
      </c>
    </row>
    <row r="104" spans="1:44" x14ac:dyDescent="0.35">
      <c r="A104" t="s">
        <v>17</v>
      </c>
      <c r="B104" t="s">
        <v>18</v>
      </c>
      <c r="C104">
        <v>0</v>
      </c>
      <c r="D104">
        <v>0</v>
      </c>
      <c r="E104">
        <v>55.790393475953749</v>
      </c>
      <c r="F104">
        <v>149.48325626837752</v>
      </c>
      <c r="G104">
        <v>122.84489289217161</v>
      </c>
      <c r="H104">
        <v>45.837448835203453</v>
      </c>
      <c r="I104">
        <v>491.40987448394088</v>
      </c>
      <c r="J104">
        <v>65.369109455879723</v>
      </c>
      <c r="K104">
        <v>2012.0659353515089</v>
      </c>
      <c r="L104">
        <v>0.70728650843319751</v>
      </c>
      <c r="M104">
        <v>3552.5468651825458</v>
      </c>
      <c r="N104">
        <v>0</v>
      </c>
      <c r="O104">
        <v>0</v>
      </c>
      <c r="P104">
        <v>2799.3016069056002</v>
      </c>
      <c r="Q104">
        <v>42.35569422524479</v>
      </c>
      <c r="R104">
        <v>0.22026544579480958</v>
      </c>
      <c r="S104">
        <v>0</v>
      </c>
      <c r="T104">
        <f t="shared" si="18"/>
        <v>1315.8627954833387</v>
      </c>
      <c r="U104">
        <f t="shared" si="19"/>
        <v>7.7136600620905757E-2</v>
      </c>
      <c r="V104">
        <f t="shared" si="20"/>
        <v>2.047149698007053E-3</v>
      </c>
      <c r="AB104" t="s">
        <v>70</v>
      </c>
      <c r="AC104" t="s">
        <v>66</v>
      </c>
      <c r="AD104" t="s">
        <v>67</v>
      </c>
      <c r="AE104" t="s">
        <v>68</v>
      </c>
      <c r="AF104" t="s">
        <v>69</v>
      </c>
      <c r="AG104" t="s">
        <v>39</v>
      </c>
      <c r="AH104" t="s">
        <v>61</v>
      </c>
      <c r="AI104" t="s">
        <v>40</v>
      </c>
      <c r="AJ104" t="s">
        <v>41</v>
      </c>
      <c r="AK104" t="s">
        <v>44</v>
      </c>
      <c r="AL104" t="s">
        <v>45</v>
      </c>
      <c r="AM104" t="s">
        <v>46</v>
      </c>
      <c r="AN104" t="s">
        <v>42</v>
      </c>
      <c r="AO104" t="s">
        <v>48</v>
      </c>
      <c r="AP104" t="s">
        <v>49</v>
      </c>
      <c r="AQ104" t="s">
        <v>50</v>
      </c>
      <c r="AR104" t="s">
        <v>51</v>
      </c>
    </row>
    <row r="105" spans="1:44" x14ac:dyDescent="0.35">
      <c r="A105" t="s">
        <v>19</v>
      </c>
      <c r="B105" t="s">
        <v>20</v>
      </c>
      <c r="C105">
        <v>0</v>
      </c>
      <c r="D105">
        <v>0</v>
      </c>
      <c r="E105">
        <v>50730557.813294999</v>
      </c>
      <c r="F105">
        <v>2861646.3118348252</v>
      </c>
      <c r="G105">
        <v>13241398.544140387</v>
      </c>
      <c r="H105">
        <v>1927806.8718652544</v>
      </c>
      <c r="I105">
        <v>133866902.37800154</v>
      </c>
      <c r="J105">
        <v>66230615.275905415</v>
      </c>
      <c r="K105">
        <v>-21684727.081864469</v>
      </c>
      <c r="L105">
        <v>691225.36030189856</v>
      </c>
      <c r="M105">
        <v>1825977.6953153294</v>
      </c>
      <c r="N105">
        <v>57935.3771117207</v>
      </c>
      <c r="O105">
        <v>0</v>
      </c>
      <c r="P105">
        <v>0</v>
      </c>
      <c r="Q105">
        <v>21559207.663942356</v>
      </c>
      <c r="R105">
        <v>10713.257117398067</v>
      </c>
      <c r="S105">
        <v>0</v>
      </c>
      <c r="T105">
        <f t="shared" si="18"/>
        <v>77924986.149615347</v>
      </c>
      <c r="U105">
        <f t="shared" si="19"/>
        <v>4568.0055364773789</v>
      </c>
      <c r="V105">
        <f t="shared" si="20"/>
        <v>121.23156943942088</v>
      </c>
      <c r="AA105" t="s">
        <v>71</v>
      </c>
      <c r="AB105">
        <v>0</v>
      </c>
      <c r="AC105">
        <v>-1.3287769817641663E-3</v>
      </c>
      <c r="AD105">
        <v>6.3826583312199322E-4</v>
      </c>
      <c r="AE105">
        <v>1.5862251807579461E-3</v>
      </c>
      <c r="AF105">
        <v>1.3483327981456518E-3</v>
      </c>
      <c r="AG105">
        <v>1.782434159886054E-4</v>
      </c>
      <c r="AH105">
        <v>1.4948253848484016E-2</v>
      </c>
      <c r="AI105">
        <v>3.8067798839430233E-4</v>
      </c>
      <c r="AJ105">
        <v>1.4606607944688543E-3</v>
      </c>
      <c r="AK105">
        <v>2.9920885793681246E-6</v>
      </c>
      <c r="AL105">
        <v>2.2211285745225157E-4</v>
      </c>
      <c r="AM105">
        <v>1.4411349100378198E-3</v>
      </c>
      <c r="AN105">
        <v>1.9060763246228924E-3</v>
      </c>
      <c r="AO105">
        <v>2.8437318554396856E-3</v>
      </c>
      <c r="AP105">
        <v>3.8484103146873433E-4</v>
      </c>
      <c r="AQ105">
        <v>4.8230638824153033E-6</v>
      </c>
      <c r="AR105">
        <v>1.5E-3</v>
      </c>
    </row>
    <row r="106" spans="1:44" x14ac:dyDescent="0.35">
      <c r="A106" t="s">
        <v>21</v>
      </c>
      <c r="B106" t="s">
        <v>20</v>
      </c>
      <c r="C106">
        <v>0</v>
      </c>
      <c r="D106">
        <v>0</v>
      </c>
      <c r="E106">
        <v>98634.23014977925</v>
      </c>
      <c r="F106">
        <v>101916.8811530635</v>
      </c>
      <c r="G106">
        <v>174375.57216754349</v>
      </c>
      <c r="H106">
        <v>33378.256304064045</v>
      </c>
      <c r="I106">
        <v>2327049.2439254196</v>
      </c>
      <c r="J106">
        <v>152184.26603105801</v>
      </c>
      <c r="K106">
        <v>1026045.1520355401</v>
      </c>
      <c r="L106">
        <v>1755.1266545048368</v>
      </c>
      <c r="M106">
        <v>32884.848773852922</v>
      </c>
      <c r="N106">
        <v>4.2401978900607186E-2</v>
      </c>
      <c r="O106">
        <v>0</v>
      </c>
      <c r="P106">
        <v>0</v>
      </c>
      <c r="Q106">
        <v>440243.25763281889</v>
      </c>
      <c r="R106">
        <v>233.32315998725096</v>
      </c>
      <c r="S106">
        <v>0</v>
      </c>
      <c r="T106">
        <f t="shared" si="18"/>
        <v>578720.16267404263</v>
      </c>
      <c r="U106">
        <f t="shared" si="19"/>
        <v>33.924894155135696</v>
      </c>
      <c r="V106">
        <f t="shared" si="20"/>
        <v>0.90034220156941869</v>
      </c>
      <c r="AA106" t="s">
        <v>58</v>
      </c>
      <c r="AB106">
        <v>0</v>
      </c>
      <c r="AC106">
        <v>0.13048697207826221</v>
      </c>
      <c r="AD106">
        <v>0</v>
      </c>
      <c r="AE106">
        <v>0</v>
      </c>
      <c r="AF106">
        <v>6.84181008498595E-3</v>
      </c>
      <c r="AG106">
        <v>1.3752959181730885E-3</v>
      </c>
      <c r="AH106">
        <v>0</v>
      </c>
      <c r="AI106">
        <v>1.807144543555413E-3</v>
      </c>
      <c r="AJ106">
        <v>1.6470210228588099E-2</v>
      </c>
      <c r="AK106">
        <v>2.5352556684139635E-4</v>
      </c>
      <c r="AL106">
        <v>1.0108141703181195E-3</v>
      </c>
      <c r="AM106">
        <v>4.7264542148778323E-3</v>
      </c>
      <c r="AN106">
        <v>5.0350289721819768E-3</v>
      </c>
      <c r="AO106">
        <v>3.0110828498204393E-3</v>
      </c>
      <c r="AP106">
        <v>4.3822710810044821E-4</v>
      </c>
      <c r="AQ106">
        <v>4.9185346379878052E-5</v>
      </c>
      <c r="AR106">
        <v>1.5E-3</v>
      </c>
    </row>
    <row r="107" spans="1:44" x14ac:dyDescent="0.35">
      <c r="A107" t="s">
        <v>22</v>
      </c>
      <c r="B107" t="s">
        <v>20</v>
      </c>
      <c r="C107">
        <v>0</v>
      </c>
      <c r="D107">
        <v>0</v>
      </c>
      <c r="E107">
        <v>156811.20896299175</v>
      </c>
      <c r="F107">
        <v>135180.24043396552</v>
      </c>
      <c r="G107">
        <v>231848.57639788423</v>
      </c>
      <c r="H107">
        <v>45700.298337917389</v>
      </c>
      <c r="I107">
        <v>2996375.573087065</v>
      </c>
      <c r="J107">
        <v>243997.60275624486</v>
      </c>
      <c r="K107">
        <v>1397367.9360576244</v>
      </c>
      <c r="L107">
        <v>2673.472218089843</v>
      </c>
      <c r="M107">
        <v>43134.142776621942</v>
      </c>
      <c r="N107">
        <v>10.075717758560129</v>
      </c>
      <c r="O107">
        <v>0</v>
      </c>
      <c r="P107">
        <v>0</v>
      </c>
      <c r="Q107">
        <v>563225.74227662955</v>
      </c>
      <c r="R107">
        <v>308.2009275937649</v>
      </c>
      <c r="S107">
        <v>0</v>
      </c>
      <c r="T107">
        <f t="shared" si="18"/>
        <v>748453.63656190166</v>
      </c>
      <c r="U107">
        <f t="shared" si="19"/>
        <v>43.874763725296752</v>
      </c>
      <c r="V107">
        <f t="shared" si="20"/>
        <v>1.1644045574654127</v>
      </c>
      <c r="AA107" t="s">
        <v>63</v>
      </c>
      <c r="AB107">
        <v>-1.9446838464407513E-2</v>
      </c>
      <c r="AC107">
        <v>2.412215202205813E-3</v>
      </c>
      <c r="AD107">
        <v>5.2605005881949541E-3</v>
      </c>
      <c r="AE107">
        <v>3.4218363371164365E-3</v>
      </c>
      <c r="AF107">
        <v>5.6752773923184428E-3</v>
      </c>
      <c r="AG107">
        <v>1.5433271795282514E-3</v>
      </c>
      <c r="AH107">
        <v>2.3837768576941136E-2</v>
      </c>
      <c r="AI107">
        <v>4.0341003296151968E-3</v>
      </c>
      <c r="AJ107">
        <v>6.9551161328744365E-2</v>
      </c>
      <c r="AK107">
        <v>1.3051234263100324E-4</v>
      </c>
      <c r="AL107">
        <v>5.3180495198443495E-4</v>
      </c>
      <c r="AM107">
        <v>2.6428051306246732E-3</v>
      </c>
      <c r="AN107">
        <v>0</v>
      </c>
      <c r="AO107">
        <v>3.4909662960421434E-3</v>
      </c>
      <c r="AP107">
        <v>6.6266248758156644E-4</v>
      </c>
      <c r="AQ107">
        <v>1.1239008289032645E-5</v>
      </c>
      <c r="AR107">
        <v>1.5E-3</v>
      </c>
    </row>
    <row r="108" spans="1:44" x14ac:dyDescent="0.35">
      <c r="A108" t="s">
        <v>23</v>
      </c>
      <c r="B108" t="s">
        <v>20</v>
      </c>
      <c r="C108">
        <v>0</v>
      </c>
      <c r="D108">
        <v>0</v>
      </c>
      <c r="E108">
        <v>126462.29409674826</v>
      </c>
      <c r="F108">
        <v>161563.62332499473</v>
      </c>
      <c r="G108">
        <v>342976.86554299202</v>
      </c>
      <c r="H108">
        <v>190550.9318143673</v>
      </c>
      <c r="I108">
        <v>837409.61743363901</v>
      </c>
      <c r="J108">
        <v>139724.06977863048</v>
      </c>
      <c r="K108">
        <v>3067885.7697387617</v>
      </c>
      <c r="L108">
        <v>2433.6534206029055</v>
      </c>
      <c r="M108">
        <v>64577.915323504094</v>
      </c>
      <c r="N108">
        <v>2.921958149982439</v>
      </c>
      <c r="O108">
        <v>0</v>
      </c>
      <c r="P108">
        <v>0</v>
      </c>
      <c r="Q108">
        <v>71015.118418419224</v>
      </c>
      <c r="R108">
        <v>729.23548075386077</v>
      </c>
      <c r="S108">
        <v>0</v>
      </c>
      <c r="T108">
        <f t="shared" si="18"/>
        <v>-279348.14915522042</v>
      </c>
      <c r="U108">
        <f t="shared" si="19"/>
        <v>-16.37554210783847</v>
      </c>
      <c r="V108">
        <f t="shared" si="20"/>
        <v>-0.43459506655622265</v>
      </c>
    </row>
    <row r="109" spans="1:44" x14ac:dyDescent="0.35">
      <c r="A109" t="s">
        <v>24</v>
      </c>
      <c r="B109" t="s">
        <v>20</v>
      </c>
      <c r="C109">
        <v>0</v>
      </c>
      <c r="D109">
        <v>0</v>
      </c>
      <c r="E109">
        <v>3154617.811315475</v>
      </c>
      <c r="F109">
        <v>2866925.1365599502</v>
      </c>
      <c r="G109">
        <v>4225781.4120214535</v>
      </c>
      <c r="H109">
        <v>1112317.7230949199</v>
      </c>
      <c r="I109">
        <v>39010899.352282107</v>
      </c>
      <c r="J109">
        <v>16140104.298983512</v>
      </c>
      <c r="K109">
        <v>38853779.153232262</v>
      </c>
      <c r="L109">
        <v>45372.809954646298</v>
      </c>
      <c r="M109">
        <v>1889439.8479176061</v>
      </c>
      <c r="N109">
        <v>1041.1575017178816</v>
      </c>
      <c r="O109">
        <v>0</v>
      </c>
      <c r="P109">
        <v>0</v>
      </c>
      <c r="Q109">
        <v>6378203.1108636344</v>
      </c>
      <c r="R109">
        <v>5647.0349693220669</v>
      </c>
      <c r="S109">
        <v>0</v>
      </c>
      <c r="T109">
        <f t="shared" si="18"/>
        <v>8912047.6953675821</v>
      </c>
      <c r="U109">
        <f t="shared" si="19"/>
        <v>522.42913634435774</v>
      </c>
      <c r="V109">
        <f t="shared" si="20"/>
        <v>13.864892153512679</v>
      </c>
    </row>
    <row r="110" spans="1:44" x14ac:dyDescent="0.35">
      <c r="A110" t="s">
        <v>25</v>
      </c>
      <c r="B110" t="s">
        <v>26</v>
      </c>
      <c r="C110">
        <v>0</v>
      </c>
      <c r="D110">
        <v>0</v>
      </c>
      <c r="E110">
        <v>278699.74373248505</v>
      </c>
      <c r="F110">
        <v>78858.519277739251</v>
      </c>
      <c r="G110">
        <v>239719.70015385977</v>
      </c>
      <c r="H110">
        <v>12162.547987971026</v>
      </c>
      <c r="I110">
        <v>1222068.9977490164</v>
      </c>
      <c r="J110">
        <v>30680812.155159086</v>
      </c>
      <c r="K110">
        <v>-30195286.743761022</v>
      </c>
      <c r="L110">
        <v>10015.489885954754</v>
      </c>
      <c r="M110">
        <v>16987.522231127208</v>
      </c>
      <c r="N110">
        <v>0</v>
      </c>
      <c r="O110">
        <v>0</v>
      </c>
      <c r="P110">
        <v>0</v>
      </c>
      <c r="Q110">
        <v>19566.118011639795</v>
      </c>
      <c r="R110">
        <v>105.52486080500582</v>
      </c>
      <c r="S110">
        <v>0</v>
      </c>
      <c r="T110">
        <f t="shared" si="18"/>
        <v>15538039.883257201</v>
      </c>
      <c r="U110">
        <f t="shared" si="19"/>
        <v>910.848441813622</v>
      </c>
      <c r="V110">
        <f t="shared" si="20"/>
        <v>24.173260133057909</v>
      </c>
    </row>
    <row r="111" spans="1:44" x14ac:dyDescent="0.35">
      <c r="A111" t="s">
        <v>27</v>
      </c>
      <c r="B111" t="s">
        <v>28</v>
      </c>
      <c r="C111">
        <v>0</v>
      </c>
      <c r="D111">
        <v>0</v>
      </c>
      <c r="E111">
        <v>14484.789807038525</v>
      </c>
      <c r="F111">
        <v>6049.2852291973995</v>
      </c>
      <c r="G111">
        <v>22106.616896014311</v>
      </c>
      <c r="H111">
        <v>5781.5481533599332</v>
      </c>
      <c r="I111">
        <v>316765.00264898723</v>
      </c>
      <c r="J111">
        <v>13498.988310041381</v>
      </c>
      <c r="K111">
        <v>2629.1761151385185</v>
      </c>
      <c r="L111">
        <v>265.87967998524215</v>
      </c>
      <c r="M111">
        <v>6393.6344592275018</v>
      </c>
      <c r="N111">
        <v>0</v>
      </c>
      <c r="O111">
        <v>0</v>
      </c>
      <c r="P111">
        <v>0</v>
      </c>
      <c r="Q111">
        <v>121989.52739222733</v>
      </c>
      <c r="R111">
        <v>48.110643195803618</v>
      </c>
      <c r="S111">
        <v>0</v>
      </c>
      <c r="T111">
        <f t="shared" si="18"/>
        <v>125013.34012692462</v>
      </c>
      <c r="U111">
        <f t="shared" si="19"/>
        <v>7.328350738964363</v>
      </c>
      <c r="V111">
        <f t="shared" si="20"/>
        <v>0.19448913850754679</v>
      </c>
    </row>
    <row r="112" spans="1:44" x14ac:dyDescent="0.35">
      <c r="A112" t="s">
        <v>29</v>
      </c>
      <c r="B112" t="s">
        <v>30</v>
      </c>
      <c r="C112">
        <v>0</v>
      </c>
      <c r="D112">
        <v>0</v>
      </c>
      <c r="E112">
        <v>1110813.5954345926</v>
      </c>
      <c r="F112">
        <v>578471.59234370256</v>
      </c>
      <c r="G112">
        <v>1019905.9238599369</v>
      </c>
      <c r="H112">
        <v>269968.98633637384</v>
      </c>
      <c r="I112">
        <v>3198679.9732923666</v>
      </c>
      <c r="J112">
        <v>654509.57858166948</v>
      </c>
      <c r="K112">
        <v>13292619.168818984</v>
      </c>
      <c r="L112">
        <v>44428.335680349664</v>
      </c>
      <c r="M112">
        <v>75705.888172690436</v>
      </c>
      <c r="N112">
        <v>0</v>
      </c>
      <c r="O112">
        <v>0</v>
      </c>
      <c r="P112">
        <v>0</v>
      </c>
      <c r="Q112">
        <v>101047.66890643007</v>
      </c>
      <c r="R112">
        <v>1804.9013260686877</v>
      </c>
      <c r="S112">
        <v>0</v>
      </c>
      <c r="T112">
        <f t="shared" si="18"/>
        <v>-1542993.1949237431</v>
      </c>
      <c r="U112">
        <f t="shared" si="19"/>
        <v>-90.451109527638607</v>
      </c>
      <c r="V112">
        <f t="shared" si="20"/>
        <v>-2.4005071530689652</v>
      </c>
    </row>
    <row r="113" spans="1:33" x14ac:dyDescent="0.35">
      <c r="A113" t="s">
        <v>31</v>
      </c>
      <c r="B113" t="s">
        <v>32</v>
      </c>
      <c r="C113">
        <v>0</v>
      </c>
      <c r="D113">
        <v>0</v>
      </c>
      <c r="E113">
        <v>10951.43564950675</v>
      </c>
      <c r="F113">
        <v>37006.357633234002</v>
      </c>
      <c r="G113">
        <v>17314.700688568013</v>
      </c>
      <c r="H113">
        <v>719651.78585768235</v>
      </c>
      <c r="I113">
        <v>539197.32756127021</v>
      </c>
      <c r="J113">
        <v>7092.6520916459931</v>
      </c>
      <c r="K113">
        <v>145258.37391484488</v>
      </c>
      <c r="L113">
        <v>1653.4062269925598</v>
      </c>
      <c r="M113">
        <v>-540811.9964512256</v>
      </c>
      <c r="N113">
        <v>0</v>
      </c>
      <c r="O113">
        <v>0</v>
      </c>
      <c r="P113">
        <v>2627675.3894400001</v>
      </c>
      <c r="Q113">
        <v>4435.0961318704803</v>
      </c>
      <c r="R113">
        <v>50.109124449866535</v>
      </c>
      <c r="S113">
        <v>0</v>
      </c>
      <c r="T113">
        <f t="shared" si="18"/>
        <v>811907.67567892955</v>
      </c>
      <c r="U113">
        <f t="shared" si="19"/>
        <v>47.594474389626029</v>
      </c>
      <c r="V113">
        <f t="shared" si="20"/>
        <v>1.2631229933552555</v>
      </c>
      <c r="AC113" t="s">
        <v>71</v>
      </c>
      <c r="AD113" t="s">
        <v>58</v>
      </c>
      <c r="AE113" t="s">
        <v>63</v>
      </c>
    </row>
    <row r="114" spans="1:33" x14ac:dyDescent="0.35">
      <c r="P114">
        <v>0.24759999999999999</v>
      </c>
      <c r="AB114" t="s">
        <v>70</v>
      </c>
      <c r="AC114">
        <f>AC146*1000</f>
        <v>0</v>
      </c>
      <c r="AD114">
        <f t="shared" ref="AD114" si="21">AD146*1000</f>
        <v>0</v>
      </c>
      <c r="AE114">
        <v>0</v>
      </c>
    </row>
    <row r="115" spans="1:33" x14ac:dyDescent="0.35">
      <c r="AB115" t="s">
        <v>66</v>
      </c>
      <c r="AC115">
        <f t="shared" ref="AC115:AE132" si="22">AC147*1000</f>
        <v>1.3287769817641699</v>
      </c>
      <c r="AD115">
        <f t="shared" si="22"/>
        <v>-130.486972078262</v>
      </c>
      <c r="AE115">
        <f>(AE147+AE146)*1000</f>
        <v>-17.034623262201698</v>
      </c>
    </row>
    <row r="116" spans="1:33" x14ac:dyDescent="0.35">
      <c r="A116" t="s">
        <v>0</v>
      </c>
      <c r="B116" t="s">
        <v>1</v>
      </c>
      <c r="G116" t="s">
        <v>38</v>
      </c>
      <c r="H116" t="s">
        <v>43</v>
      </c>
      <c r="I116" t="s">
        <v>47</v>
      </c>
      <c r="J116" t="s">
        <v>52</v>
      </c>
      <c r="K116" t="s">
        <v>53</v>
      </c>
      <c r="L116" t="s">
        <v>55</v>
      </c>
      <c r="AB116" t="s">
        <v>67</v>
      </c>
      <c r="AC116">
        <f t="shared" si="22"/>
        <v>0.63826583312199325</v>
      </c>
      <c r="AD116">
        <f t="shared" si="22"/>
        <v>0</v>
      </c>
      <c r="AE116">
        <f t="shared" si="22"/>
        <v>5.2605005881949545</v>
      </c>
    </row>
    <row r="117" spans="1:33" x14ac:dyDescent="0.35">
      <c r="A117" t="s">
        <v>2</v>
      </c>
      <c r="B117" t="s">
        <v>3</v>
      </c>
      <c r="G117">
        <f>SUM(C96:G96)</f>
        <v>-1720722.4643940558</v>
      </c>
      <c r="H117">
        <f>SUM(H96,I96,J96)-K96</f>
        <v>-25798515.601982348</v>
      </c>
      <c r="I117">
        <f>SUM(L96:N96)</f>
        <v>2124459.9933874207</v>
      </c>
      <c r="J117">
        <f>SUM(O96:Q96)</f>
        <v>2669861.2162755099</v>
      </c>
      <c r="K117">
        <f>SUM(R96,S96)</f>
        <v>971391.19236204657</v>
      </c>
      <c r="L117">
        <f>(SUM(G117:J117)*0.2476)+K117</f>
        <v>-4655298.2213602094</v>
      </c>
      <c r="N117">
        <f>(G117/($U$94*37.68))</f>
        <v>-2.6770089445718706E-3</v>
      </c>
      <c r="O117">
        <f t="shared" ref="O117:S117" si="23">(H117/($U$94*37.68))</f>
        <v>-4.0135965242659784E-2</v>
      </c>
      <c r="P117">
        <f t="shared" si="23"/>
        <v>3.3051224252401111E-3</v>
      </c>
      <c r="Q117">
        <f t="shared" si="23"/>
        <v>4.1536287836237097E-3</v>
      </c>
      <c r="R117">
        <f t="shared" si="23"/>
        <v>1.5112390082890328E-3</v>
      </c>
      <c r="S117">
        <f t="shared" si="23"/>
        <v>-7.2424666011548424E-3</v>
      </c>
      <c r="AB117" t="s">
        <v>68</v>
      </c>
      <c r="AC117">
        <f t="shared" si="22"/>
        <v>1.5862251807579462</v>
      </c>
      <c r="AD117">
        <f t="shared" si="22"/>
        <v>0</v>
      </c>
      <c r="AE117">
        <f t="shared" si="22"/>
        <v>3.4218363371164364</v>
      </c>
    </row>
    <row r="118" spans="1:33" x14ac:dyDescent="0.35">
      <c r="A118" t="s">
        <v>4</v>
      </c>
      <c r="B118" t="s">
        <v>5</v>
      </c>
      <c r="G118">
        <f t="shared" ref="G118:G134" si="24">SUM(C97:G97)</f>
        <v>5.0992322128154974</v>
      </c>
      <c r="H118">
        <f t="shared" ref="H118:H134" si="25">SUM(H97,I97,J97)-K97</f>
        <v>7.5712207893459365</v>
      </c>
      <c r="I118">
        <f t="shared" ref="I118:I134" si="26">SUM(L97:N97)</f>
        <v>0.92687721311225002</v>
      </c>
      <c r="J118">
        <f t="shared" ref="J118:J134" si="27">SUM(O97:Q97)</f>
        <v>0.84873298720139467</v>
      </c>
      <c r="K118">
        <f t="shared" ref="K118:K134" si="28">SUM(R97,S97)</f>
        <v>2.7151693219878759E-3</v>
      </c>
      <c r="L118">
        <f t="shared" ref="L118:L134" si="29">(SUM(G118:J118)*0.2476)+K118</f>
        <v>3.5795604182548173</v>
      </c>
      <c r="AB118" t="s">
        <v>69</v>
      </c>
      <c r="AC118">
        <f t="shared" si="22"/>
        <v>1.3483327981456519</v>
      </c>
      <c r="AD118">
        <f t="shared" si="22"/>
        <v>6.8418100849859496</v>
      </c>
      <c r="AE118">
        <f t="shared" si="22"/>
        <v>5.675277392318443</v>
      </c>
    </row>
    <row r="119" spans="1:33" x14ac:dyDescent="0.35">
      <c r="A119" t="s">
        <v>6</v>
      </c>
      <c r="B119" t="s">
        <v>7</v>
      </c>
      <c r="G119">
        <f t="shared" si="24"/>
        <v>1312506.181452628</v>
      </c>
      <c r="H119">
        <f t="shared" si="25"/>
        <v>-1441528.1278019736</v>
      </c>
      <c r="I119">
        <f t="shared" si="26"/>
        <v>16798.009468270153</v>
      </c>
      <c r="J119">
        <f t="shared" si="27"/>
        <v>23149.55694887046</v>
      </c>
      <c r="K119">
        <f t="shared" si="28"/>
        <v>468.68417726159277</v>
      </c>
      <c r="L119">
        <f t="shared" si="29"/>
        <v>-21586.132293952367</v>
      </c>
      <c r="AB119" t="s">
        <v>39</v>
      </c>
      <c r="AC119">
        <f t="shared" si="22"/>
        <v>0.17824341598860541</v>
      </c>
      <c r="AD119">
        <f t="shared" si="22"/>
        <v>1.3752959181730884</v>
      </c>
      <c r="AE119">
        <f t="shared" si="22"/>
        <v>1.5433271795282513</v>
      </c>
    </row>
    <row r="120" spans="1:33" x14ac:dyDescent="0.35">
      <c r="A120" t="s">
        <v>8</v>
      </c>
      <c r="B120" t="s">
        <v>9</v>
      </c>
      <c r="G120">
        <f t="shared" si="24"/>
        <v>44879.048980168423</v>
      </c>
      <c r="H120">
        <f t="shared" si="25"/>
        <v>77634.48010245942</v>
      </c>
      <c r="I120">
        <f t="shared" si="26"/>
        <v>7740.6851499340028</v>
      </c>
      <c r="J120">
        <f t="shared" si="27"/>
        <v>3041.3453458980298</v>
      </c>
      <c r="K120">
        <f t="shared" si="28"/>
        <v>23.933769996039608</v>
      </c>
      <c r="L120">
        <f t="shared" si="29"/>
        <v>33027.914321622702</v>
      </c>
      <c r="AB120" t="s">
        <v>61</v>
      </c>
      <c r="AC120">
        <f t="shared" si="22"/>
        <v>14.948253848484015</v>
      </c>
      <c r="AD120">
        <f t="shared" si="22"/>
        <v>0</v>
      </c>
      <c r="AE120">
        <f t="shared" si="22"/>
        <v>23.837768576941137</v>
      </c>
      <c r="AG120">
        <f>AE115+AE114</f>
        <v>-17.034623262201698</v>
      </c>
    </row>
    <row r="121" spans="1:33" x14ac:dyDescent="0.35">
      <c r="A121" t="s">
        <v>10</v>
      </c>
      <c r="B121" t="s">
        <v>11</v>
      </c>
      <c r="G121">
        <f t="shared" si="24"/>
        <v>18247.377180534007</v>
      </c>
      <c r="H121">
        <f t="shared" si="25"/>
        <v>-24406.568237080821</v>
      </c>
      <c r="I121">
        <f t="shared" si="26"/>
        <v>8357.1127905727844</v>
      </c>
      <c r="J121">
        <f t="shared" si="27"/>
        <v>24836.237483544679</v>
      </c>
      <c r="K121">
        <f t="shared" si="28"/>
        <v>16.266043184181406</v>
      </c>
      <c r="L121">
        <f t="shared" si="29"/>
        <v>6709.9238654546743</v>
      </c>
      <c r="AB121" t="s">
        <v>40</v>
      </c>
      <c r="AC121">
        <f t="shared" si="22"/>
        <v>0.38067798839430234</v>
      </c>
      <c r="AD121">
        <f t="shared" si="22"/>
        <v>1.807144543555413</v>
      </c>
      <c r="AE121">
        <f t="shared" si="22"/>
        <v>4.0341003296151969</v>
      </c>
    </row>
    <row r="122" spans="1:33" x14ac:dyDescent="0.35">
      <c r="A122" t="s">
        <v>12</v>
      </c>
      <c r="B122" t="s">
        <v>9</v>
      </c>
      <c r="G122">
        <f t="shared" si="24"/>
        <v>45564.898846043005</v>
      </c>
      <c r="H122">
        <f t="shared" si="25"/>
        <v>79531.577126847347</v>
      </c>
      <c r="I122">
        <f t="shared" si="26"/>
        <v>7790.486039573967</v>
      </c>
      <c r="J122">
        <f t="shared" si="27"/>
        <v>3097.7714791730691</v>
      </c>
      <c r="K122">
        <f t="shared" si="28"/>
        <v>1128898.6377392123</v>
      </c>
      <c r="L122">
        <f t="shared" si="29"/>
        <v>1162568.4577517416</v>
      </c>
      <c r="AB122" t="s">
        <v>41</v>
      </c>
      <c r="AC122">
        <f t="shared" si="22"/>
        <v>-1.4606607944688499</v>
      </c>
      <c r="AD122">
        <f t="shared" si="22"/>
        <v>-16.470210228588098</v>
      </c>
      <c r="AE122">
        <f t="shared" si="22"/>
        <v>-69.551161328744413</v>
      </c>
    </row>
    <row r="123" spans="1:33" x14ac:dyDescent="0.35">
      <c r="A123" t="s">
        <v>13</v>
      </c>
      <c r="B123" t="s">
        <v>14</v>
      </c>
      <c r="G123">
        <f t="shared" si="24"/>
        <v>47969.353787060099</v>
      </c>
      <c r="H123">
        <f t="shared" si="25"/>
        <v>-206343.12720636147</v>
      </c>
      <c r="I123">
        <f t="shared" si="26"/>
        <v>26923.874595002399</v>
      </c>
      <c r="J123">
        <f t="shared" si="27"/>
        <v>83555.97527892729</v>
      </c>
      <c r="K123">
        <f t="shared" si="28"/>
        <v>1999.6578998882494</v>
      </c>
      <c r="L123">
        <f t="shared" si="29"/>
        <v>-9858.8775699457838</v>
      </c>
      <c r="AB123" t="s">
        <v>44</v>
      </c>
      <c r="AC123">
        <f t="shared" si="22"/>
        <v>2.9920885793681246E-3</v>
      </c>
      <c r="AD123">
        <f t="shared" si="22"/>
        <v>0.25352556684139638</v>
      </c>
      <c r="AE123">
        <f t="shared" si="22"/>
        <v>0.13051234263100325</v>
      </c>
    </row>
    <row r="124" spans="1:33" x14ac:dyDescent="0.35">
      <c r="A124" t="s">
        <v>15</v>
      </c>
      <c r="B124" t="s">
        <v>16</v>
      </c>
      <c r="G124">
        <f t="shared" si="24"/>
        <v>4843.8178665608957</v>
      </c>
      <c r="H124">
        <f t="shared" si="25"/>
        <v>-24492.540343328685</v>
      </c>
      <c r="I124">
        <f t="shared" si="26"/>
        <v>689.15320613375036</v>
      </c>
      <c r="J124">
        <f t="shared" si="27"/>
        <v>632.62382466518409</v>
      </c>
      <c r="K124">
        <f t="shared" si="28"/>
        <v>3.0087092669680531</v>
      </c>
      <c r="L124">
        <f t="shared" si="29"/>
        <v>-4534.7429831549207</v>
      </c>
      <c r="AB124" t="s">
        <v>45</v>
      </c>
      <c r="AC124">
        <f t="shared" si="22"/>
        <v>0.22211285745225157</v>
      </c>
      <c r="AD124">
        <f t="shared" si="22"/>
        <v>1.0108141703181195</v>
      </c>
      <c r="AE124">
        <f t="shared" si="22"/>
        <v>0.53180495198443489</v>
      </c>
    </row>
    <row r="125" spans="1:33" x14ac:dyDescent="0.35">
      <c r="A125" t="s">
        <v>17</v>
      </c>
      <c r="B125" t="s">
        <v>18</v>
      </c>
      <c r="G125">
        <f t="shared" si="24"/>
        <v>328.11854263650287</v>
      </c>
      <c r="H125">
        <f t="shared" si="25"/>
        <v>-1409.4495025764847</v>
      </c>
      <c r="I125">
        <f t="shared" si="26"/>
        <v>3553.2541516909791</v>
      </c>
      <c r="J125">
        <f t="shared" si="27"/>
        <v>2841.6573011308451</v>
      </c>
      <c r="K125">
        <f t="shared" si="28"/>
        <v>0.22026544579480958</v>
      </c>
      <c r="L125">
        <f t="shared" si="29"/>
        <v>1315.8627954833389</v>
      </c>
      <c r="AB125" t="s">
        <v>46</v>
      </c>
      <c r="AC125">
        <f t="shared" si="22"/>
        <v>1.4411349100378197</v>
      </c>
      <c r="AD125">
        <f t="shared" si="22"/>
        <v>4.7264542148778323</v>
      </c>
      <c r="AE125">
        <f t="shared" si="22"/>
        <v>2.6428051306246734</v>
      </c>
    </row>
    <row r="126" spans="1:33" x14ac:dyDescent="0.35">
      <c r="A126" t="s">
        <v>19</v>
      </c>
      <c r="B126" t="s">
        <v>20</v>
      </c>
      <c r="G126">
        <f t="shared" si="24"/>
        <v>66833602.669270217</v>
      </c>
      <c r="H126">
        <f t="shared" si="25"/>
        <v>223710051.60763669</v>
      </c>
      <c r="I126">
        <f t="shared" si="26"/>
        <v>2575138.432728949</v>
      </c>
      <c r="J126">
        <f t="shared" si="27"/>
        <v>21559207.663942356</v>
      </c>
      <c r="K126">
        <f t="shared" si="28"/>
        <v>10713.257117398067</v>
      </c>
      <c r="L126">
        <f t="shared" si="29"/>
        <v>77924986.149615347</v>
      </c>
      <c r="AB126" t="s">
        <v>42</v>
      </c>
      <c r="AC126">
        <f t="shared" si="22"/>
        <v>1.9060763246228924</v>
      </c>
      <c r="AD126">
        <f t="shared" si="22"/>
        <v>5.0350289721819772</v>
      </c>
      <c r="AE126">
        <f t="shared" si="22"/>
        <v>0</v>
      </c>
    </row>
    <row r="127" spans="1:33" x14ac:dyDescent="0.35">
      <c r="A127" t="s">
        <v>21</v>
      </c>
      <c r="B127" t="s">
        <v>20</v>
      </c>
      <c r="G127">
        <f t="shared" si="24"/>
        <v>374926.6834703862</v>
      </c>
      <c r="H127">
        <f t="shared" si="25"/>
        <v>1486566.6142250015</v>
      </c>
      <c r="I127">
        <f t="shared" si="26"/>
        <v>34640.017830336656</v>
      </c>
      <c r="J127">
        <f t="shared" si="27"/>
        <v>440243.25763281889</v>
      </c>
      <c r="K127">
        <f t="shared" si="28"/>
        <v>233.32315998725096</v>
      </c>
      <c r="L127">
        <f t="shared" si="29"/>
        <v>578720.16267404251</v>
      </c>
      <c r="AB127" t="s">
        <v>48</v>
      </c>
      <c r="AC127">
        <f t="shared" si="22"/>
        <v>2.8437318554396858</v>
      </c>
      <c r="AD127">
        <f t="shared" si="22"/>
        <v>3.0110828498204394</v>
      </c>
      <c r="AE127">
        <f t="shared" si="22"/>
        <v>3.4909662960421435</v>
      </c>
    </row>
    <row r="128" spans="1:33" x14ac:dyDescent="0.35">
      <c r="A128" t="s">
        <v>22</v>
      </c>
      <c r="B128" t="s">
        <v>20</v>
      </c>
      <c r="G128">
        <f t="shared" si="24"/>
        <v>523840.02579484152</v>
      </c>
      <c r="H128">
        <f t="shared" si="25"/>
        <v>1888705.538123603</v>
      </c>
      <c r="I128">
        <f t="shared" si="26"/>
        <v>45817.69071247035</v>
      </c>
      <c r="J128">
        <f t="shared" si="27"/>
        <v>563225.74227662955</v>
      </c>
      <c r="K128">
        <f t="shared" si="28"/>
        <v>308.2009275937649</v>
      </c>
      <c r="L128">
        <f t="shared" si="29"/>
        <v>748453.63656190166</v>
      </c>
      <c r="AB128" t="s">
        <v>49</v>
      </c>
      <c r="AC128">
        <f t="shared" si="22"/>
        <v>0.38484103146873433</v>
      </c>
      <c r="AD128">
        <f t="shared" si="22"/>
        <v>0.43822710810044818</v>
      </c>
      <c r="AE128">
        <f t="shared" si="22"/>
        <v>0.66266248758156643</v>
      </c>
    </row>
    <row r="129" spans="1:31" x14ac:dyDescent="0.35">
      <c r="A129" t="s">
        <v>23</v>
      </c>
      <c r="B129" t="s">
        <v>20</v>
      </c>
      <c r="G129">
        <f t="shared" si="24"/>
        <v>631002.78296473506</v>
      </c>
      <c r="H129">
        <f t="shared" si="25"/>
        <v>-1900201.150712125</v>
      </c>
      <c r="I129">
        <f t="shared" si="26"/>
        <v>67014.490702256982</v>
      </c>
      <c r="J129">
        <f t="shared" si="27"/>
        <v>71015.118418419224</v>
      </c>
      <c r="K129">
        <f t="shared" si="28"/>
        <v>729.23548075386077</v>
      </c>
      <c r="L129">
        <f t="shared" si="29"/>
        <v>-279348.14915522042</v>
      </c>
      <c r="AB129" t="s">
        <v>50</v>
      </c>
      <c r="AC129">
        <f t="shared" si="22"/>
        <v>4.823063882415303E-3</v>
      </c>
      <c r="AD129">
        <f t="shared" si="22"/>
        <v>4.918534637987805E-2</v>
      </c>
      <c r="AE129">
        <f t="shared" si="22"/>
        <v>1.1239008289032645E-2</v>
      </c>
    </row>
    <row r="130" spans="1:31" x14ac:dyDescent="0.35">
      <c r="A130" t="s">
        <v>24</v>
      </c>
      <c r="B130" t="s">
        <v>20</v>
      </c>
      <c r="G130">
        <f t="shared" si="24"/>
        <v>10247324.35989688</v>
      </c>
      <c r="H130">
        <f t="shared" si="25"/>
        <v>17409542.221128277</v>
      </c>
      <c r="I130">
        <f t="shared" si="26"/>
        <v>1935853.8153739702</v>
      </c>
      <c r="J130">
        <f t="shared" si="27"/>
        <v>6378203.1108636344</v>
      </c>
      <c r="K130">
        <f t="shared" si="28"/>
        <v>5647.0349693220669</v>
      </c>
      <c r="L130">
        <f t="shared" si="29"/>
        <v>8912047.6953675803</v>
      </c>
      <c r="AB130" t="s">
        <v>51</v>
      </c>
      <c r="AC130">
        <f t="shared" si="22"/>
        <v>1.5</v>
      </c>
      <c r="AD130">
        <f t="shared" si="22"/>
        <v>1.5</v>
      </c>
      <c r="AE130">
        <f t="shared" si="22"/>
        <v>1.5</v>
      </c>
    </row>
    <row r="131" spans="1:31" x14ac:dyDescent="0.35">
      <c r="A131" t="s">
        <v>25</v>
      </c>
      <c r="B131" t="s">
        <v>26</v>
      </c>
      <c r="G131">
        <f t="shared" si="24"/>
        <v>597277.96316408413</v>
      </c>
      <c r="H131">
        <f t="shared" si="25"/>
        <v>62110330.444657095</v>
      </c>
      <c r="I131">
        <f t="shared" si="26"/>
        <v>27003.012117081962</v>
      </c>
      <c r="J131">
        <f t="shared" si="27"/>
        <v>19566.118011639795</v>
      </c>
      <c r="K131">
        <f t="shared" si="28"/>
        <v>105.52486080500582</v>
      </c>
      <c r="L131">
        <f t="shared" si="29"/>
        <v>15538039.883257199</v>
      </c>
      <c r="AB131" t="s">
        <v>55</v>
      </c>
      <c r="AC131">
        <f t="shared" si="22"/>
        <v>10.900634740173272</v>
      </c>
      <c r="AD131">
        <f t="shared" si="22"/>
        <v>-43.368335282068855</v>
      </c>
      <c r="AE131">
        <f t="shared" si="22"/>
        <v>-7.2424666011548515</v>
      </c>
    </row>
    <row r="132" spans="1:31" x14ac:dyDescent="0.35">
      <c r="A132" t="s">
        <v>27</v>
      </c>
      <c r="B132" t="s">
        <v>28</v>
      </c>
      <c r="G132">
        <f t="shared" si="24"/>
        <v>42640.691932250236</v>
      </c>
      <c r="H132">
        <f t="shared" si="25"/>
        <v>333416.36299724999</v>
      </c>
      <c r="I132">
        <f t="shared" si="26"/>
        <v>6659.5141392127443</v>
      </c>
      <c r="J132">
        <f t="shared" si="27"/>
        <v>121989.52739222733</v>
      </c>
      <c r="K132">
        <f t="shared" si="28"/>
        <v>48.110643195803618</v>
      </c>
      <c r="L132">
        <f t="shared" si="29"/>
        <v>125013.34012692461</v>
      </c>
      <c r="AB132" t="s">
        <v>75</v>
      </c>
      <c r="AC132">
        <f t="shared" si="22"/>
        <v>104.97618348316944</v>
      </c>
      <c r="AD132">
        <f t="shared" si="22"/>
        <v>104.97618348316944</v>
      </c>
      <c r="AE132">
        <f t="shared" si="22"/>
        <v>104.97618348316944</v>
      </c>
    </row>
    <row r="133" spans="1:31" x14ac:dyDescent="0.35">
      <c r="A133" t="s">
        <v>29</v>
      </c>
      <c r="B133" t="s">
        <v>30</v>
      </c>
      <c r="G133">
        <f t="shared" si="24"/>
        <v>2709191.1116382321</v>
      </c>
      <c r="H133">
        <f t="shared" si="25"/>
        <v>-9169460.6306085736</v>
      </c>
      <c r="I133">
        <f t="shared" si="26"/>
        <v>120134.22385304011</v>
      </c>
      <c r="J133">
        <f t="shared" si="27"/>
        <v>101047.66890643007</v>
      </c>
      <c r="K133">
        <f t="shared" si="28"/>
        <v>1804.9013260686877</v>
      </c>
      <c r="L133">
        <f t="shared" si="29"/>
        <v>-1542993.1949237429</v>
      </c>
    </row>
    <row r="134" spans="1:31" x14ac:dyDescent="0.35">
      <c r="A134" t="s">
        <v>31</v>
      </c>
      <c r="B134" t="s">
        <v>32</v>
      </c>
      <c r="G134">
        <f t="shared" si="24"/>
        <v>65272.493971308766</v>
      </c>
      <c r="H134">
        <f t="shared" si="25"/>
        <v>1120683.3915957538</v>
      </c>
      <c r="I134">
        <f t="shared" si="26"/>
        <v>-539158.59022423299</v>
      </c>
      <c r="J134">
        <f t="shared" si="27"/>
        <v>2632110.4855718706</v>
      </c>
      <c r="K134">
        <f t="shared" si="28"/>
        <v>50.109124449866535</v>
      </c>
      <c r="L134">
        <f t="shared" si="29"/>
        <v>811907.67567892955</v>
      </c>
    </row>
    <row r="135" spans="1:31" x14ac:dyDescent="0.35">
      <c r="AB135" t="s">
        <v>55</v>
      </c>
      <c r="AC135" s="1">
        <v>45.839903999999997</v>
      </c>
      <c r="AD135" t="s">
        <v>73</v>
      </c>
    </row>
    <row r="136" spans="1:31" x14ac:dyDescent="0.35">
      <c r="AB136" t="s">
        <v>75</v>
      </c>
      <c r="AC136">
        <v>4.0430000000000001</v>
      </c>
      <c r="AD136" t="s">
        <v>72</v>
      </c>
    </row>
    <row r="137" spans="1:31" x14ac:dyDescent="0.35">
      <c r="AB137" t="s">
        <v>74</v>
      </c>
      <c r="AC137">
        <f>AC136*1000/AC135</f>
        <v>88.198264987640471</v>
      </c>
    </row>
    <row r="140" spans="1:31" x14ac:dyDescent="0.35">
      <c r="AC140">
        <f>(AC120*P24)/AC131</f>
        <v>0.50039451456981054</v>
      </c>
      <c r="AD140">
        <f>AD115*P69/AD131</f>
        <v>1.1036305877780803</v>
      </c>
    </row>
    <row r="141" spans="1:31" x14ac:dyDescent="0.35">
      <c r="B141" t="s">
        <v>33</v>
      </c>
      <c r="C141" t="s">
        <v>65</v>
      </c>
      <c r="D141" t="s">
        <v>63</v>
      </c>
    </row>
    <row r="142" spans="1:31" x14ac:dyDescent="0.35">
      <c r="A142" t="s">
        <v>2</v>
      </c>
      <c r="B142">
        <v>10.900634740173269</v>
      </c>
      <c r="C142">
        <v>-43.368089618035761</v>
      </c>
      <c r="D142">
        <f>C142/37.68</f>
        <v>-1.1509577924107155</v>
      </c>
    </row>
    <row r="143" spans="1:31" x14ac:dyDescent="0.35">
      <c r="A143" t="s">
        <v>4</v>
      </c>
      <c r="B143">
        <v>7.3731568484547154E-6</v>
      </c>
      <c r="C143">
        <v>1.1154144882017984E-5</v>
      </c>
      <c r="D143">
        <f t="shared" ref="D143:D159" si="30">C143/37.68</f>
        <v>2.960229533444263E-7</v>
      </c>
    </row>
    <row r="144" spans="1:31" x14ac:dyDescent="0.35">
      <c r="A144" t="s">
        <v>6</v>
      </c>
      <c r="B144">
        <v>1.3512390981312887</v>
      </c>
      <c r="C144">
        <v>3.4890714942774952E-2</v>
      </c>
      <c r="D144">
        <f t="shared" si="30"/>
        <v>9.2597438807789153E-4</v>
      </c>
    </row>
    <row r="145" spans="1:31" x14ac:dyDescent="0.35">
      <c r="A145" t="s">
        <v>8</v>
      </c>
      <c r="B145">
        <v>-0.30050267449309204</v>
      </c>
      <c r="C145">
        <v>3.5150455905503648E-2</v>
      </c>
      <c r="D145">
        <f t="shared" si="30"/>
        <v>9.3286772572992698E-4</v>
      </c>
      <c r="AC145" t="s">
        <v>71</v>
      </c>
      <c r="AD145" t="s">
        <v>58</v>
      </c>
      <c r="AE145" t="s">
        <v>63</v>
      </c>
    </row>
    <row r="146" spans="1:31" x14ac:dyDescent="0.35">
      <c r="A146" t="s">
        <v>10</v>
      </c>
      <c r="B146">
        <v>-1.0598165293328288E-2</v>
      </c>
      <c r="C146">
        <v>2.990548403569954E-2</v>
      </c>
      <c r="D146">
        <f t="shared" si="30"/>
        <v>7.9366995848459507E-4</v>
      </c>
      <c r="AB146" t="s">
        <v>70</v>
      </c>
      <c r="AC146">
        <v>0</v>
      </c>
      <c r="AD146">
        <v>0</v>
      </c>
      <c r="AE146">
        <v>-1.9446838464407513E-2</v>
      </c>
    </row>
    <row r="147" spans="1:31" x14ac:dyDescent="0.35">
      <c r="A147" t="s">
        <v>12</v>
      </c>
      <c r="B147">
        <v>1.4404354381248499</v>
      </c>
      <c r="C147">
        <v>0.60988415133416485</v>
      </c>
      <c r="D147">
        <f t="shared" si="30"/>
        <v>1.6185885120333462E-2</v>
      </c>
      <c r="AB147" t="s">
        <v>66</v>
      </c>
      <c r="AC147">
        <v>1.32877698176417E-3</v>
      </c>
      <c r="AD147">
        <v>-0.13048697207826199</v>
      </c>
      <c r="AE147">
        <v>2.412215202205813E-3</v>
      </c>
    </row>
    <row r="148" spans="1:31" x14ac:dyDescent="0.35">
      <c r="A148" t="s">
        <v>13</v>
      </c>
      <c r="B148">
        <v>-3.7774833293795419E-2</v>
      </c>
      <c r="C148">
        <v>3.0387842792015791E-2</v>
      </c>
      <c r="D148">
        <f t="shared" si="30"/>
        <v>8.0647141167770149E-4</v>
      </c>
      <c r="AB148" t="s">
        <v>67</v>
      </c>
      <c r="AC148">
        <v>6.3826583312199322E-4</v>
      </c>
      <c r="AD148">
        <v>0</v>
      </c>
      <c r="AE148">
        <v>5.2605005881949541E-3</v>
      </c>
    </row>
    <row r="149" spans="1:31" x14ac:dyDescent="0.35">
      <c r="A149" t="s">
        <v>15</v>
      </c>
      <c r="B149">
        <v>4.696121542509305E-3</v>
      </c>
      <c r="C149">
        <v>2.9686018877641938E-4</v>
      </c>
      <c r="D149">
        <f t="shared" si="30"/>
        <v>7.8784551161470105E-6</v>
      </c>
      <c r="AB149" t="s">
        <v>68</v>
      </c>
      <c r="AC149">
        <v>1.5862251807579461E-3</v>
      </c>
      <c r="AD149">
        <v>0</v>
      </c>
      <c r="AE149">
        <v>3.4218363371164365E-3</v>
      </c>
    </row>
    <row r="150" spans="1:31" x14ac:dyDescent="0.35">
      <c r="A150" t="s">
        <v>17</v>
      </c>
      <c r="B150">
        <v>2.5651577067746828E-3</v>
      </c>
      <c r="C150">
        <v>2.0741183515341783E-3</v>
      </c>
      <c r="D150">
        <f t="shared" si="30"/>
        <v>5.5045603809293477E-5</v>
      </c>
      <c r="AB150" t="s">
        <v>69</v>
      </c>
      <c r="AC150">
        <v>1.3483327981456518E-3</v>
      </c>
      <c r="AD150">
        <v>6.84181008498595E-3</v>
      </c>
      <c r="AE150">
        <v>5.6752773923184428E-3</v>
      </c>
    </row>
    <row r="151" spans="1:31" x14ac:dyDescent="0.35">
      <c r="A151" t="s">
        <v>19</v>
      </c>
      <c r="B151">
        <v>64.692039117776957</v>
      </c>
      <c r="C151">
        <v>47.126354091129862</v>
      </c>
      <c r="D151">
        <f t="shared" si="30"/>
        <v>1.2506994185544018</v>
      </c>
      <c r="AB151" t="s">
        <v>39</v>
      </c>
      <c r="AC151">
        <v>1.782434159886054E-4</v>
      </c>
      <c r="AD151">
        <v>1.3752959181730885E-3</v>
      </c>
      <c r="AE151">
        <v>1.5433271795282514E-3</v>
      </c>
    </row>
    <row r="152" spans="1:31" x14ac:dyDescent="0.35">
      <c r="A152" t="s">
        <v>21</v>
      </c>
      <c r="B152">
        <v>0.78293127885481062</v>
      </c>
      <c r="C152">
        <v>0.16610539175348538</v>
      </c>
      <c r="D152">
        <f t="shared" si="30"/>
        <v>4.4083171909099095E-3</v>
      </c>
      <c r="AB152" t="s">
        <v>61</v>
      </c>
      <c r="AC152">
        <v>1.4948253848484016E-2</v>
      </c>
      <c r="AD152">
        <v>0</v>
      </c>
      <c r="AE152">
        <v>2.3837768576941136E-2</v>
      </c>
    </row>
    <row r="153" spans="1:31" x14ac:dyDescent="0.35">
      <c r="A153" t="s">
        <v>22</v>
      </c>
      <c r="B153">
        <v>1.0005472705713478</v>
      </c>
      <c r="C153">
        <v>0.23488931374144686</v>
      </c>
      <c r="D153">
        <f t="shared" si="30"/>
        <v>6.2337928275330908E-3</v>
      </c>
      <c r="AB153" t="s">
        <v>40</v>
      </c>
      <c r="AC153">
        <v>3.8067798839430233E-4</v>
      </c>
      <c r="AD153">
        <v>1.807144543555413E-3</v>
      </c>
      <c r="AE153">
        <v>4.0341003296151968E-3</v>
      </c>
    </row>
    <row r="154" spans="1:31" x14ac:dyDescent="0.35">
      <c r="A154" t="s">
        <v>23</v>
      </c>
      <c r="B154">
        <v>0.33230392659220254</v>
      </c>
      <c r="C154">
        <v>0.10538671981491164</v>
      </c>
      <c r="D154">
        <f t="shared" si="30"/>
        <v>2.7968874685486106E-3</v>
      </c>
      <c r="AB154" t="s">
        <v>41</v>
      </c>
      <c r="AC154">
        <v>-1.46066079446885E-3</v>
      </c>
      <c r="AD154">
        <v>-1.6470210228588099E-2</v>
      </c>
      <c r="AE154">
        <v>-6.9551161328744407E-2</v>
      </c>
    </row>
    <row r="155" spans="1:31" x14ac:dyDescent="0.35">
      <c r="A155" t="s">
        <v>24</v>
      </c>
      <c r="B155">
        <v>-524.85498393595083</v>
      </c>
      <c r="C155">
        <v>8.9478184346551988</v>
      </c>
      <c r="D155">
        <f t="shared" si="30"/>
        <v>0.23746864210868363</v>
      </c>
      <c r="AB155" t="s">
        <v>44</v>
      </c>
      <c r="AC155">
        <v>2.9920885793681246E-6</v>
      </c>
      <c r="AD155">
        <v>2.5352556684139635E-4</v>
      </c>
      <c r="AE155">
        <v>1.3051234263100324E-4</v>
      </c>
    </row>
    <row r="156" spans="1:31" x14ac:dyDescent="0.35">
      <c r="A156" t="s">
        <v>25</v>
      </c>
      <c r="B156">
        <v>3.3892492015101801</v>
      </c>
      <c r="C156">
        <v>0.44291951598423945</v>
      </c>
      <c r="D156">
        <f t="shared" si="30"/>
        <v>1.1754764224634805E-2</v>
      </c>
      <c r="AB156" t="s">
        <v>45</v>
      </c>
      <c r="AC156">
        <v>2.2211285745225157E-4</v>
      </c>
      <c r="AD156">
        <v>1.0108141703181195E-3</v>
      </c>
      <c r="AE156">
        <v>5.3180495198443495E-4</v>
      </c>
    </row>
    <row r="157" spans="1:31" x14ac:dyDescent="0.35">
      <c r="A157" t="s">
        <v>27</v>
      </c>
      <c r="B157">
        <v>9.4162621811351335E-2</v>
      </c>
      <c r="C157">
        <v>2.706155423225922E-2</v>
      </c>
      <c r="D157">
        <f t="shared" si="30"/>
        <v>7.1819411444424685E-4</v>
      </c>
      <c r="AB157" t="s">
        <v>46</v>
      </c>
      <c r="AC157">
        <v>1.4411349100378198E-3</v>
      </c>
      <c r="AD157">
        <v>4.7264542148778323E-3</v>
      </c>
      <c r="AE157">
        <v>2.6428051306246732E-3</v>
      </c>
    </row>
    <row r="158" spans="1:31" x14ac:dyDescent="0.35">
      <c r="A158" t="s">
        <v>29</v>
      </c>
      <c r="B158">
        <v>2.3700508125501898</v>
      </c>
      <c r="C158">
        <v>9.6319422175483893E-2</v>
      </c>
      <c r="D158">
        <f t="shared" si="30"/>
        <v>2.5562479345935217E-3</v>
      </c>
      <c r="AB158" t="s">
        <v>42</v>
      </c>
      <c r="AC158">
        <v>1.9060763246228924E-3</v>
      </c>
      <c r="AD158">
        <v>5.0350289721819768E-3</v>
      </c>
      <c r="AE158">
        <v>0</v>
      </c>
    </row>
    <row r="159" spans="1:31" x14ac:dyDescent="0.35">
      <c r="A159" t="s">
        <v>31</v>
      </c>
      <c r="B159">
        <v>1.3596968151600601</v>
      </c>
      <c r="C159">
        <v>0.65901186302772519</v>
      </c>
      <c r="D159">
        <f t="shared" si="30"/>
        <v>1.7489699124939629E-2</v>
      </c>
      <c r="AB159" t="s">
        <v>48</v>
      </c>
      <c r="AC159">
        <v>2.8437318554396856E-3</v>
      </c>
      <c r="AD159">
        <v>3.0110828498204393E-3</v>
      </c>
      <c r="AE159">
        <v>3.4909662960421434E-3</v>
      </c>
    </row>
    <row r="160" spans="1:31" x14ac:dyDescent="0.35">
      <c r="AB160" t="s">
        <v>49</v>
      </c>
      <c r="AC160">
        <v>3.8484103146873433E-4</v>
      </c>
      <c r="AD160">
        <v>4.3822710810044821E-4</v>
      </c>
      <c r="AE160">
        <v>6.6266248758156644E-4</v>
      </c>
    </row>
    <row r="161" spans="28:31" x14ac:dyDescent="0.35">
      <c r="AB161" t="s">
        <v>50</v>
      </c>
      <c r="AC161">
        <v>4.8230638824153033E-6</v>
      </c>
      <c r="AD161">
        <v>4.9185346379878052E-5</v>
      </c>
      <c r="AE161">
        <v>1.1239008289032645E-5</v>
      </c>
    </row>
    <row r="162" spans="28:31" x14ac:dyDescent="0.35">
      <c r="AB162" t="s">
        <v>51</v>
      </c>
      <c r="AC162">
        <v>1.5E-3</v>
      </c>
      <c r="AD162">
        <v>1.5E-3</v>
      </c>
      <c r="AE162">
        <v>1.5E-3</v>
      </c>
    </row>
    <row r="163" spans="28:31" x14ac:dyDescent="0.35">
      <c r="AB163" t="s">
        <v>55</v>
      </c>
      <c r="AC163">
        <f>(SUM(AC146:AC160)*P24+SUM(AC161:AC162))</f>
        <v>1.0900634740173273E-2</v>
      </c>
      <c r="AD163">
        <f>(SUM(AD146:AD160)*P69+SUM(AD161:AD162))</f>
        <v>-4.3368335282068855E-2</v>
      </c>
      <c r="AE163">
        <f>(SUM(AE146:AE160)*P114+SUM(AE161:AE162))</f>
        <v>-7.2424666011548519E-3</v>
      </c>
    </row>
    <row r="164" spans="28:31" x14ac:dyDescent="0.35">
      <c r="AB164" t="s">
        <v>75</v>
      </c>
      <c r="AC164">
        <v>0.10497618348316944</v>
      </c>
      <c r="AD164">
        <v>0.10497618348316944</v>
      </c>
      <c r="AE164">
        <v>0.10497618348316944</v>
      </c>
    </row>
    <row r="178" spans="1:11" x14ac:dyDescent="0.35">
      <c r="C178" t="s">
        <v>71</v>
      </c>
      <c r="D178" t="s">
        <v>58</v>
      </c>
      <c r="E178" t="s">
        <v>63</v>
      </c>
      <c r="F178" t="s">
        <v>78</v>
      </c>
    </row>
    <row r="179" spans="1:11" x14ac:dyDescent="0.35">
      <c r="A179" t="s">
        <v>0</v>
      </c>
      <c r="B179" t="s">
        <v>1</v>
      </c>
      <c r="C179" t="s">
        <v>57</v>
      </c>
      <c r="D179" t="s">
        <v>57</v>
      </c>
      <c r="E179" t="s">
        <v>57</v>
      </c>
      <c r="F179" t="s">
        <v>57</v>
      </c>
    </row>
    <row r="180" spans="1:11" x14ac:dyDescent="0.35">
      <c r="A180" t="s">
        <v>2</v>
      </c>
      <c r="B180" t="s">
        <v>3</v>
      </c>
      <c r="C180" s="2">
        <f>V6/1000</f>
        <v>1.0900634740173269E-2</v>
      </c>
      <c r="D180" s="2">
        <f>V51/1000</f>
        <v>-4.336808961803576E-2</v>
      </c>
      <c r="E180" s="2">
        <f>V96/1000</f>
        <v>-7.2424666011548415E-3</v>
      </c>
      <c r="F180" s="2">
        <v>0.10497618348316944</v>
      </c>
      <c r="H180" s="3">
        <f>((F180-C180)/$F180)*100</f>
        <v>89.616087784405934</v>
      </c>
      <c r="I180" s="3">
        <f t="shared" ref="I180:K180" si="31">(($F180-D180)/$F$180)*100</f>
        <v>141.31231311623065</v>
      </c>
      <c r="J180" s="3">
        <f t="shared" si="31"/>
        <v>106.89915213227007</v>
      </c>
      <c r="K180" s="3">
        <f t="shared" si="31"/>
        <v>0</v>
      </c>
    </row>
    <row r="181" spans="1:11" x14ac:dyDescent="0.35">
      <c r="A181" t="s">
        <v>4</v>
      </c>
      <c r="B181" t="s">
        <v>5</v>
      </c>
      <c r="C181" s="2">
        <f t="shared" ref="C181:C197" si="32">V7/1000</f>
        <v>7.3731568484547154E-9</v>
      </c>
      <c r="D181" s="2">
        <f t="shared" ref="D181:D197" si="33">V52/1000</f>
        <v>1.1154144882017984E-8</v>
      </c>
      <c r="E181" s="2">
        <f t="shared" ref="E181:E197" si="34">V97/1000</f>
        <v>5.5688906581910683E-9</v>
      </c>
      <c r="F181" s="2">
        <v>4.3760350395595623E-8</v>
      </c>
      <c r="H181" s="3">
        <f>(($F181-C181)/$F181)*100</f>
        <v>83.151056191732849</v>
      </c>
      <c r="I181" s="3">
        <f>(($F181-D181)/$F181)*100</f>
        <v>74.510841935258767</v>
      </c>
      <c r="J181" s="3">
        <f>(($F181-E181)/$F181)*100</f>
        <v>87.274117762202465</v>
      </c>
      <c r="K181" s="3">
        <f>(($F181-F181)/$F181)*100</f>
        <v>0</v>
      </c>
    </row>
    <row r="182" spans="1:11" x14ac:dyDescent="0.35">
      <c r="A182" t="s">
        <v>6</v>
      </c>
      <c r="B182" t="s">
        <v>7</v>
      </c>
      <c r="C182" s="2">
        <f t="shared" si="32"/>
        <v>1.3512390981312886E-3</v>
      </c>
      <c r="D182" s="2">
        <f t="shared" si="33"/>
        <v>3.4890714942774951E-5</v>
      </c>
      <c r="E182" s="2">
        <f t="shared" si="34"/>
        <v>-3.3582562223345717E-5</v>
      </c>
      <c r="F182" s="2">
        <v>1.5949489393481363E-3</v>
      </c>
      <c r="H182" s="3">
        <f t="shared" ref="H182:H197" si="35">((F182-C182)/$F182)*100</f>
        <v>15.280103030536708</v>
      </c>
      <c r="I182" s="3">
        <f t="shared" ref="I182:I197" si="36">(($F182-D182)/$F182)*100</f>
        <v>97.812424330208643</v>
      </c>
      <c r="J182" s="3">
        <f t="shared" ref="J182:J197" si="37">(($F182-E182)/$F182)*100</f>
        <v>102.10555719966001</v>
      </c>
      <c r="K182" s="3">
        <f t="shared" ref="K182:K197" si="38">(($F182-F182)/$F182)*100</f>
        <v>0</v>
      </c>
    </row>
    <row r="183" spans="1:11" x14ac:dyDescent="0.35">
      <c r="A183" t="s">
        <v>8</v>
      </c>
      <c r="B183" t="s">
        <v>9</v>
      </c>
      <c r="C183" s="2">
        <f t="shared" si="32"/>
        <v>-3.0050267449309204E-4</v>
      </c>
      <c r="D183" s="2">
        <f t="shared" si="33"/>
        <v>3.515045590550365E-5</v>
      </c>
      <c r="E183" s="2">
        <f t="shared" si="34"/>
        <v>5.1383081170311005E-5</v>
      </c>
      <c r="F183" s="2">
        <v>2.4684973892399799E-4</v>
      </c>
      <c r="H183" s="3">
        <f t="shared" si="35"/>
        <v>221.73505866482327</v>
      </c>
      <c r="I183" s="3">
        <f t="shared" si="36"/>
        <v>85.760383600678608</v>
      </c>
      <c r="J183" s="3">
        <f t="shared" si="37"/>
        <v>79.184470117616286</v>
      </c>
      <c r="K183" s="3">
        <f t="shared" si="38"/>
        <v>0</v>
      </c>
    </row>
    <row r="184" spans="1:11" x14ac:dyDescent="0.35">
      <c r="A184" t="s">
        <v>10</v>
      </c>
      <c r="B184" t="s">
        <v>11</v>
      </c>
      <c r="C184" s="2">
        <f t="shared" si="32"/>
        <v>-1.0598165293328288E-5</v>
      </c>
      <c r="D184" s="2">
        <f t="shared" si="33"/>
        <v>2.9905484035699542E-5</v>
      </c>
      <c r="E184" s="2">
        <f t="shared" si="34"/>
        <v>1.0438944441597582E-5</v>
      </c>
      <c r="F184" s="2">
        <v>3.8246053742054724E-4</v>
      </c>
      <c r="H184" s="3">
        <f t="shared" si="35"/>
        <v>102.77104805761299</v>
      </c>
      <c r="I184" s="3">
        <f t="shared" si="36"/>
        <v>92.180766089648628</v>
      </c>
      <c r="J184" s="3">
        <f t="shared" si="37"/>
        <v>97.270582603893828</v>
      </c>
      <c r="K184" s="3">
        <f t="shared" si="38"/>
        <v>0</v>
      </c>
    </row>
    <row r="185" spans="1:11" x14ac:dyDescent="0.35">
      <c r="A185" t="s">
        <v>12</v>
      </c>
      <c r="B185" t="s">
        <v>9</v>
      </c>
      <c r="C185" s="2">
        <f t="shared" si="32"/>
        <v>1.4404354381248499E-3</v>
      </c>
      <c r="D185" s="2">
        <f t="shared" si="33"/>
        <v>6.0988415133416481E-4</v>
      </c>
      <c r="E185" s="2">
        <f t="shared" si="34"/>
        <v>1.8086624801370776E-3</v>
      </c>
      <c r="F185" s="2">
        <v>2.5375427642320846E-4</v>
      </c>
      <c r="H185" s="3">
        <f t="shared" si="35"/>
        <v>-467.64971941694819</v>
      </c>
      <c r="I185" s="3">
        <f t="shared" si="36"/>
        <v>-140.34438352361286</v>
      </c>
      <c r="J185" s="3">
        <f t="shared" si="37"/>
        <v>-612.76137909124782</v>
      </c>
      <c r="K185" s="3">
        <f t="shared" si="38"/>
        <v>0</v>
      </c>
    </row>
    <row r="186" spans="1:11" x14ac:dyDescent="0.35">
      <c r="A186" t="s">
        <v>13</v>
      </c>
      <c r="B186" t="s">
        <v>14</v>
      </c>
      <c r="C186" s="2">
        <f t="shared" si="32"/>
        <v>-3.7774833293795417E-5</v>
      </c>
      <c r="D186" s="2">
        <f t="shared" si="33"/>
        <v>3.0387842792015791E-5</v>
      </c>
      <c r="E186" s="2">
        <f t="shared" si="34"/>
        <v>-1.5337919963448471E-5</v>
      </c>
      <c r="F186" s="2">
        <v>1.1483885556163949E-3</v>
      </c>
      <c r="H186" s="3">
        <f t="shared" si="35"/>
        <v>103.28937737223617</v>
      </c>
      <c r="I186" s="3">
        <f t="shared" si="36"/>
        <v>97.353870983527415</v>
      </c>
      <c r="J186" s="3">
        <f t="shared" si="37"/>
        <v>101.33560369340462</v>
      </c>
      <c r="K186" s="3">
        <f t="shared" si="38"/>
        <v>0</v>
      </c>
    </row>
    <row r="187" spans="1:11" x14ac:dyDescent="0.35">
      <c r="A187" t="s">
        <v>15</v>
      </c>
      <c r="B187" t="s">
        <v>16</v>
      </c>
      <c r="C187" s="2">
        <f t="shared" si="32"/>
        <v>4.6961215425093051E-6</v>
      </c>
      <c r="D187" s="2">
        <f t="shared" si="33"/>
        <v>2.9686018877641938E-7</v>
      </c>
      <c r="E187" s="2">
        <f t="shared" si="34"/>
        <v>-7.0549131416815254E-6</v>
      </c>
      <c r="F187" s="2">
        <v>1.7849113495208713E-6</v>
      </c>
      <c r="H187" s="3">
        <f t="shared" si="35"/>
        <v>-163.1011082858484</v>
      </c>
      <c r="I187" s="3">
        <f t="shared" si="36"/>
        <v>83.368351102921352</v>
      </c>
      <c r="J187" s="3">
        <f t="shared" si="37"/>
        <v>495.25285911680135</v>
      </c>
      <c r="K187" s="3">
        <f t="shared" si="38"/>
        <v>0</v>
      </c>
    </row>
    <row r="188" spans="1:11" x14ac:dyDescent="0.35">
      <c r="A188" t="s">
        <v>17</v>
      </c>
      <c r="B188" t="s">
        <v>18</v>
      </c>
      <c r="C188" s="2">
        <f t="shared" si="32"/>
        <v>2.5651577067746829E-6</v>
      </c>
      <c r="D188" s="2">
        <f t="shared" si="33"/>
        <v>2.0741183515341783E-6</v>
      </c>
      <c r="E188" s="2">
        <f t="shared" si="34"/>
        <v>2.0471496980070532E-6</v>
      </c>
      <c r="F188" s="2">
        <v>1.4317109165725267E-7</v>
      </c>
      <c r="H188" s="3">
        <f t="shared" si="35"/>
        <v>-1691.6729397549013</v>
      </c>
      <c r="I188" s="3">
        <f t="shared" si="36"/>
        <v>-1348.6991246106832</v>
      </c>
      <c r="J188" s="3">
        <f t="shared" si="37"/>
        <v>-1329.8624633720533</v>
      </c>
      <c r="K188" s="3">
        <f t="shared" si="38"/>
        <v>0</v>
      </c>
    </row>
    <row r="189" spans="1:11" x14ac:dyDescent="0.35">
      <c r="A189" t="s">
        <v>19</v>
      </c>
      <c r="B189" t="s">
        <v>20</v>
      </c>
      <c r="C189" s="2">
        <f t="shared" si="32"/>
        <v>6.4692039117776962E-2</v>
      </c>
      <c r="D189" s="2">
        <f t="shared" si="33"/>
        <v>4.7126354091129863E-2</v>
      </c>
      <c r="E189" s="2">
        <f t="shared" si="34"/>
        <v>0.12123156943942089</v>
      </c>
      <c r="F189" s="2">
        <v>0.45191880253016642</v>
      </c>
      <c r="H189" s="3">
        <f t="shared" si="35"/>
        <v>85.685030417945796</v>
      </c>
      <c r="I189" s="3">
        <f t="shared" si="36"/>
        <v>89.571942165875228</v>
      </c>
      <c r="J189" s="3">
        <f t="shared" si="37"/>
        <v>73.174037291504717</v>
      </c>
      <c r="K189" s="3">
        <f t="shared" si="38"/>
        <v>0</v>
      </c>
    </row>
    <row r="190" spans="1:11" x14ac:dyDescent="0.35">
      <c r="A190" t="s">
        <v>21</v>
      </c>
      <c r="B190" t="s">
        <v>20</v>
      </c>
      <c r="C190" s="2">
        <f t="shared" si="32"/>
        <v>7.8293127885481061E-4</v>
      </c>
      <c r="D190" s="2">
        <f t="shared" si="33"/>
        <v>1.6610539175348539E-4</v>
      </c>
      <c r="E190" s="2">
        <f t="shared" si="34"/>
        <v>9.0034220156941865E-4</v>
      </c>
      <c r="F190" s="2">
        <v>2.7177774022039947E-4</v>
      </c>
      <c r="H190" s="3">
        <f t="shared" si="35"/>
        <v>-188.07777937217696</v>
      </c>
      <c r="I190" s="3">
        <f t="shared" si="36"/>
        <v>38.881899739551365</v>
      </c>
      <c r="J190" s="3">
        <f t="shared" si="37"/>
        <v>-231.27886074822825</v>
      </c>
      <c r="K190" s="3">
        <f t="shared" si="38"/>
        <v>0</v>
      </c>
    </row>
    <row r="191" spans="1:11" x14ac:dyDescent="0.35">
      <c r="A191" t="s">
        <v>22</v>
      </c>
      <c r="B191" t="s">
        <v>20</v>
      </c>
      <c r="C191" s="2">
        <f t="shared" si="32"/>
        <v>1.0005472705713479E-3</v>
      </c>
      <c r="D191" s="2">
        <f t="shared" si="33"/>
        <v>2.3488931374144686E-4</v>
      </c>
      <c r="E191" s="2">
        <f t="shared" si="34"/>
        <v>1.1644045574654128E-3</v>
      </c>
      <c r="F191" s="2">
        <v>7.0061077739003543E-4</v>
      </c>
      <c r="H191" s="3">
        <f t="shared" si="35"/>
        <v>-42.810716429264339</v>
      </c>
      <c r="I191" s="3">
        <f t="shared" si="36"/>
        <v>66.473636814941244</v>
      </c>
      <c r="J191" s="3">
        <f t="shared" si="37"/>
        <v>-66.198493520629896</v>
      </c>
      <c r="K191" s="3">
        <f t="shared" si="38"/>
        <v>0</v>
      </c>
    </row>
    <row r="192" spans="1:11" x14ac:dyDescent="0.35">
      <c r="A192" t="s">
        <v>23</v>
      </c>
      <c r="B192" t="s">
        <v>20</v>
      </c>
      <c r="C192" s="2">
        <f t="shared" si="32"/>
        <v>3.3230392659220254E-4</v>
      </c>
      <c r="D192" s="2">
        <f t="shared" si="33"/>
        <v>1.0538671981491164E-4</v>
      </c>
      <c r="E192" s="2">
        <f t="shared" si="34"/>
        <v>-4.3459506655622263E-4</v>
      </c>
      <c r="F192" s="2">
        <v>6.8225207232002253E-4</v>
      </c>
      <c r="H192" s="3">
        <f t="shared" si="35"/>
        <v>51.293086518273057</v>
      </c>
      <c r="I192" s="3">
        <f t="shared" si="36"/>
        <v>84.553111072782769</v>
      </c>
      <c r="J192" s="3">
        <f t="shared" si="37"/>
        <v>163.70007277198391</v>
      </c>
      <c r="K192" s="3">
        <f t="shared" si="38"/>
        <v>0</v>
      </c>
    </row>
    <row r="193" spans="1:11" x14ac:dyDescent="0.35">
      <c r="A193" t="s">
        <v>24</v>
      </c>
      <c r="B193" t="s">
        <v>20</v>
      </c>
      <c r="C193" s="2">
        <f t="shared" si="32"/>
        <v>-0.52485498393595087</v>
      </c>
      <c r="D193" s="2">
        <f t="shared" si="33"/>
        <v>8.9478184346551987E-3</v>
      </c>
      <c r="E193" s="2">
        <f t="shared" si="34"/>
        <v>1.3864892153512678E-2</v>
      </c>
      <c r="F193" s="2">
        <v>1.5148936764470431E-2</v>
      </c>
      <c r="H193" s="3">
        <f t="shared" si="35"/>
        <v>3564.6324827688227</v>
      </c>
      <c r="I193" s="3">
        <f t="shared" si="36"/>
        <v>40.934346919706137</v>
      </c>
      <c r="J193" s="3">
        <f t="shared" si="37"/>
        <v>8.4761368465758444</v>
      </c>
      <c r="K193" s="3">
        <f t="shared" si="38"/>
        <v>0</v>
      </c>
    </row>
    <row r="194" spans="1:11" x14ac:dyDescent="0.35">
      <c r="A194" t="s">
        <v>25</v>
      </c>
      <c r="B194" t="s">
        <v>26</v>
      </c>
      <c r="C194" s="2">
        <f t="shared" si="32"/>
        <v>3.3892492015101801E-3</v>
      </c>
      <c r="D194" s="2">
        <f t="shared" si="33"/>
        <v>4.4291951598423944E-4</v>
      </c>
      <c r="E194" s="2">
        <f t="shared" si="34"/>
        <v>2.4173260133057907E-2</v>
      </c>
      <c r="F194" s="2">
        <v>2.3452997179797399E-4</v>
      </c>
      <c r="H194" s="3">
        <f t="shared" si="35"/>
        <v>-1345.1241244465364</v>
      </c>
      <c r="I194" s="3">
        <f t="shared" si="36"/>
        <v>-88.854120686022114</v>
      </c>
      <c r="J194" s="3">
        <f t="shared" si="37"/>
        <v>-10207.109128841301</v>
      </c>
      <c r="K194" s="3">
        <f t="shared" si="38"/>
        <v>0</v>
      </c>
    </row>
    <row r="195" spans="1:11" x14ac:dyDescent="0.35">
      <c r="A195" t="s">
        <v>27</v>
      </c>
      <c r="B195" t="s">
        <v>28</v>
      </c>
      <c r="C195" s="2">
        <f t="shared" si="32"/>
        <v>9.4162621811351335E-5</v>
      </c>
      <c r="D195" s="2">
        <f t="shared" si="33"/>
        <v>2.7061554232259222E-5</v>
      </c>
      <c r="E195" s="2">
        <f t="shared" si="34"/>
        <v>1.944891385075468E-4</v>
      </c>
      <c r="F195" s="2">
        <v>4.1416268629032421E-5</v>
      </c>
      <c r="H195" s="3">
        <f t="shared" si="35"/>
        <v>-127.35660388619416</v>
      </c>
      <c r="I195" s="3">
        <f t="shared" si="36"/>
        <v>34.659603271721771</v>
      </c>
      <c r="J195" s="3">
        <f t="shared" si="37"/>
        <v>-369.59599438953734</v>
      </c>
      <c r="K195" s="3">
        <f t="shared" si="38"/>
        <v>0</v>
      </c>
    </row>
    <row r="196" spans="1:11" x14ac:dyDescent="0.35">
      <c r="A196" t="s">
        <v>29</v>
      </c>
      <c r="B196" t="s">
        <v>30</v>
      </c>
      <c r="C196" s="2">
        <f t="shared" si="32"/>
        <v>2.3700508125501897E-3</v>
      </c>
      <c r="D196" s="2">
        <f t="shared" si="33"/>
        <v>9.6319422175483886E-5</v>
      </c>
      <c r="E196" s="2">
        <f t="shared" si="34"/>
        <v>-2.4005071530689651E-3</v>
      </c>
      <c r="F196" s="2">
        <v>5.8560283908112513E-2</v>
      </c>
      <c r="H196" s="3">
        <f t="shared" si="35"/>
        <v>95.952801703849218</v>
      </c>
      <c r="I196" s="3">
        <f t="shared" si="36"/>
        <v>99.835520909825817</v>
      </c>
      <c r="J196" s="3">
        <f t="shared" si="37"/>
        <v>104.09920682221355</v>
      </c>
      <c r="K196" s="3">
        <f t="shared" si="38"/>
        <v>0</v>
      </c>
    </row>
    <row r="197" spans="1:11" x14ac:dyDescent="0.35">
      <c r="A197" t="s">
        <v>31</v>
      </c>
      <c r="B197" t="s">
        <v>32</v>
      </c>
      <c r="C197" s="2">
        <f t="shared" si="32"/>
        <v>1.3596968151600602E-3</v>
      </c>
      <c r="D197" s="2">
        <f t="shared" si="33"/>
        <v>6.5901186302772517E-4</v>
      </c>
      <c r="E197" s="2">
        <f t="shared" si="34"/>
        <v>1.2631229933552555E-3</v>
      </c>
      <c r="F197" s="2">
        <v>1.0654215818799609E-5</v>
      </c>
      <c r="H197" s="3">
        <f t="shared" si="35"/>
        <v>-12662.054366881172</v>
      </c>
      <c r="I197" s="3">
        <f t="shared" si="36"/>
        <v>-6085.4562948207185</v>
      </c>
      <c r="J197" s="3">
        <f t="shared" si="37"/>
        <v>-11755.616732734528</v>
      </c>
      <c r="K197" s="3">
        <f t="shared" si="38"/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Sivaramakrishnan Chandrasekaran</dc:creator>
  <cp:lastModifiedBy>Sivaramakrishnan Chandrasekaran</cp:lastModifiedBy>
  <dcterms:created xsi:type="dcterms:W3CDTF">2015-06-05T18:17:20Z</dcterms:created>
  <dcterms:modified xsi:type="dcterms:W3CDTF">2025-03-28T10:09:31Z</dcterms:modified>
</cp:coreProperties>
</file>