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threadedComments/threadedComment2.xml" ContentType="application/vnd.ms-excel.threadedcomment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threadedComments/threadedComment3.xml" ContentType="application/vnd.ms-excel.threadedcomments+xml"/>
  <Override PartName="/xl/comments6.xml" ContentType="application/vnd.openxmlformats-officedocument.spreadsheetml.comments+xml"/>
  <Override PartName="/xl/threadedComments/threadedComment4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/>
  <mc:AlternateContent xmlns:mc="http://schemas.openxmlformats.org/markup-compatibility/2006">
    <mc:Choice Requires="x15">
      <x15ac:absPath xmlns:x15ac="http://schemas.microsoft.com/office/spreadsheetml/2010/11/ac" url="O:\TU DELFT\Siva Papers\Chapter 3 - Biohubs TEE and LCA\Excel sheets for Chapter 3_ Data\Mass balances, energy Balances, TEE\Spain\"/>
    </mc:Choice>
  </mc:AlternateContent>
  <xr:revisionPtr revIDLastSave="0" documentId="13_ncr:1_{28A57956-5CB0-4CEE-B851-50F0B50D141F}" xr6:coauthVersionLast="47" xr6:coauthVersionMax="47" xr10:uidLastSave="{00000000-0000-0000-0000-000000000000}"/>
  <bookViews>
    <workbookView xWindow="-110" yWindow="-110" windowWidth="19420" windowHeight="10420" activeTab="1" xr2:uid="{00000000-000D-0000-FFFF-FFFF00000000}"/>
  </bookViews>
  <sheets>
    <sheet name="Experimental_Background" sheetId="1" r:id="rId1"/>
    <sheet name="Process variables " sheetId="2" r:id="rId2"/>
    <sheet name="Mass balances " sheetId="3" r:id="rId3"/>
    <sheet name="Utilities from Aspen " sheetId="4" r:id="rId4"/>
    <sheet name="Energy balance " sheetId="5" r:id="rId5"/>
    <sheet name="Yields" sheetId="6" r:id="rId6"/>
    <sheet name="Refinery " sheetId="7" r:id="rId7"/>
    <sheet name="Expense variable " sheetId="8" r:id="rId8"/>
    <sheet name="Expenses full_HTL" sheetId="11" r:id="rId9"/>
    <sheet name="Expenses full_HTL_Up " sheetId="9" r:id="rId10"/>
    <sheet name="Expenses full_HTL_CoUp" sheetId="12" r:id="rId11"/>
    <sheet name="Expenses full_HTL_Up_CoDist" sheetId="13" r:id="rId12"/>
    <sheet name="Expenses full_HTL_CoUp_CoDist" sheetId="14" r:id="rId13"/>
    <sheet name="Sheet2" sheetId="10" r:id="rId14"/>
  </sheets>
  <externalReferences>
    <externalReference r:id="rId15"/>
    <externalReference r:id="rId16"/>
    <externalReference r:id="rId17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42" i="13" l="1"/>
  <c r="C42" i="14"/>
  <c r="B58" i="14"/>
  <c r="B57" i="14"/>
  <c r="E55" i="14"/>
  <c r="B56" i="14"/>
  <c r="B55" i="14"/>
  <c r="B58" i="13"/>
  <c r="B57" i="13"/>
  <c r="E55" i="13"/>
  <c r="B56" i="13"/>
  <c r="B55" i="13"/>
  <c r="B58" i="12"/>
  <c r="B57" i="12"/>
  <c r="E55" i="12"/>
  <c r="B56" i="12"/>
  <c r="B55" i="12"/>
  <c r="B58" i="9"/>
  <c r="B57" i="9"/>
  <c r="E55" i="9"/>
  <c r="B56" i="9"/>
  <c r="B55" i="9"/>
  <c r="B58" i="11"/>
  <c r="B57" i="11"/>
  <c r="E55" i="11"/>
  <c r="B56" i="11"/>
  <c r="B55" i="11"/>
  <c r="C147" i="3"/>
  <c r="C146" i="3"/>
  <c r="B32" i="4"/>
  <c r="D30" i="3"/>
  <c r="D21" i="3"/>
  <c r="M174" i="3"/>
  <c r="D118" i="3"/>
  <c r="D57" i="3"/>
  <c r="D29" i="3" l="1"/>
  <c r="C51" i="14"/>
  <c r="C50" i="14"/>
  <c r="C29" i="14"/>
  <c r="C51" i="13"/>
  <c r="C50" i="13"/>
  <c r="C29" i="13"/>
  <c r="C30" i="13" s="1"/>
  <c r="C29" i="12"/>
  <c r="C82" i="8"/>
  <c r="C81" i="8"/>
  <c r="C30" i="14" l="1"/>
  <c r="C28" i="14" s="1"/>
  <c r="C32" i="14" s="1"/>
  <c r="C28" i="13"/>
  <c r="C32" i="13" s="1"/>
  <c r="C30" i="12"/>
  <c r="C28" i="12" s="1"/>
  <c r="C32" i="12" s="1"/>
  <c r="C75" i="8" l="1"/>
  <c r="E99" i="10"/>
  <c r="E96" i="10"/>
  <c r="D90" i="10"/>
  <c r="C29" i="11" l="1"/>
  <c r="C30" i="11" s="1"/>
  <c r="C29" i="9"/>
  <c r="C30" i="9" s="1"/>
  <c r="B43" i="10"/>
  <c r="J46" i="10"/>
  <c r="J45" i="10"/>
  <c r="J44" i="10"/>
  <c r="J43" i="10"/>
  <c r="J42" i="10"/>
  <c r="J31" i="10"/>
  <c r="J30" i="10"/>
  <c r="J32" i="10" s="1"/>
  <c r="J29" i="10"/>
  <c r="J28" i="10"/>
  <c r="J27" i="10"/>
  <c r="F26" i="10"/>
  <c r="N22" i="10"/>
  <c r="N21" i="10"/>
  <c r="N20" i="10"/>
  <c r="R19" i="10"/>
  <c r="N19" i="10"/>
  <c r="R18" i="10"/>
  <c r="N18" i="10"/>
  <c r="N17" i="10"/>
  <c r="F17" i="10"/>
  <c r="N16" i="10"/>
  <c r="F16" i="10"/>
  <c r="N15" i="10"/>
  <c r="F15" i="10"/>
  <c r="N14" i="10"/>
  <c r="F14" i="10"/>
  <c r="N13" i="10"/>
  <c r="N12" i="10"/>
  <c r="N11" i="10"/>
  <c r="J11" i="10"/>
  <c r="F11" i="10"/>
  <c r="N10" i="10"/>
  <c r="R9" i="10"/>
  <c r="F9" i="10"/>
  <c r="B9" i="10"/>
  <c r="R8" i="10"/>
  <c r="F8" i="10"/>
  <c r="R7" i="10"/>
  <c r="F7" i="10"/>
  <c r="R6" i="10"/>
  <c r="F6" i="10"/>
  <c r="R5" i="10"/>
  <c r="R4" i="10"/>
  <c r="F4" i="10"/>
  <c r="B4" i="10"/>
  <c r="I49" i="8"/>
  <c r="C34" i="8"/>
  <c r="C45" i="8"/>
  <c r="C77" i="8"/>
  <c r="B76" i="8"/>
  <c r="B75" i="8"/>
  <c r="C71" i="8"/>
  <c r="J68" i="8"/>
  <c r="C68" i="8" s="1"/>
  <c r="C69" i="8" s="1"/>
  <c r="H68" i="8"/>
  <c r="C56" i="8"/>
  <c r="C60" i="8" s="1"/>
  <c r="C46" i="8" s="1"/>
  <c r="C53" i="8"/>
  <c r="C51" i="8"/>
  <c r="C21" i="8"/>
  <c r="C48" i="8" l="1"/>
  <c r="C28" i="11"/>
  <c r="C32" i="11" s="1"/>
  <c r="C28" i="9"/>
  <c r="C32" i="9" s="1"/>
  <c r="C10" i="6" l="1"/>
  <c r="D29" i="5"/>
  <c r="R51" i="4" l="1"/>
  <c r="C4" i="6"/>
  <c r="N103" i="3"/>
  <c r="D83" i="3"/>
  <c r="D82" i="3" s="1"/>
  <c r="D75" i="3"/>
  <c r="D11" i="5"/>
  <c r="D5" i="5"/>
  <c r="C53" i="5" l="1"/>
  <c r="C52" i="5"/>
  <c r="C51" i="5"/>
  <c r="C50" i="5"/>
  <c r="C49" i="5"/>
  <c r="C48" i="5"/>
  <c r="C47" i="5"/>
  <c r="C43" i="5"/>
  <c r="C42" i="5"/>
  <c r="C41" i="5"/>
  <c r="C40" i="5"/>
  <c r="C39" i="5"/>
  <c r="D38" i="5"/>
  <c r="C38" i="5"/>
  <c r="D37" i="5"/>
  <c r="C37" i="5"/>
  <c r="D36" i="5"/>
  <c r="C36" i="5"/>
  <c r="C35" i="5"/>
  <c r="C34" i="5"/>
  <c r="C33" i="5"/>
  <c r="C32" i="5"/>
  <c r="C31" i="5"/>
  <c r="C30" i="5"/>
  <c r="C29" i="5"/>
  <c r="C28" i="5"/>
  <c r="C27" i="5"/>
  <c r="C25" i="5"/>
  <c r="C24" i="5"/>
  <c r="C23" i="5"/>
  <c r="C22" i="5"/>
  <c r="C21" i="5"/>
  <c r="C20" i="5"/>
  <c r="C19" i="5"/>
  <c r="C18" i="5"/>
  <c r="C17" i="5"/>
  <c r="C16" i="5"/>
  <c r="C15" i="5"/>
  <c r="C14" i="5"/>
  <c r="C13" i="5"/>
  <c r="C12" i="5"/>
  <c r="C11" i="5"/>
  <c r="C10" i="5"/>
  <c r="C9" i="5"/>
  <c r="C6" i="5"/>
  <c r="C5" i="5"/>
  <c r="C4" i="5"/>
  <c r="C3" i="5"/>
  <c r="B18" i="4"/>
  <c r="B9" i="4"/>
  <c r="B87" i="4"/>
  <c r="B88" i="4" s="1"/>
  <c r="C60" i="4"/>
  <c r="P46" i="4"/>
  <c r="S46" i="4" s="1"/>
  <c r="P45" i="4"/>
  <c r="S45" i="4" s="1"/>
  <c r="P44" i="4"/>
  <c r="S44" i="4" s="1"/>
  <c r="P43" i="4"/>
  <c r="S43" i="4" s="1"/>
  <c r="P42" i="4"/>
  <c r="S42" i="4" s="1"/>
  <c r="P41" i="4"/>
  <c r="S41" i="4" s="1"/>
  <c r="P40" i="4"/>
  <c r="S40" i="4" s="1"/>
  <c r="P39" i="4"/>
  <c r="S39" i="4" s="1"/>
  <c r="P38" i="4"/>
  <c r="S38" i="4" s="1"/>
  <c r="P37" i="4"/>
  <c r="S37" i="4" s="1"/>
  <c r="P36" i="4"/>
  <c r="S36" i="4" s="1"/>
  <c r="P35" i="4"/>
  <c r="S35" i="4" s="1"/>
  <c r="P34" i="4"/>
  <c r="S34" i="4" s="1"/>
  <c r="P33" i="4"/>
  <c r="S32" i="4"/>
  <c r="P32" i="4"/>
  <c r="P31" i="4"/>
  <c r="P30" i="4"/>
  <c r="S30" i="4" s="1"/>
  <c r="P29" i="4"/>
  <c r="S29" i="4" s="1"/>
  <c r="P28" i="4"/>
  <c r="S28" i="4" s="1"/>
  <c r="P27" i="4"/>
  <c r="S27" i="4" s="1"/>
  <c r="P26" i="4"/>
  <c r="S26" i="4" s="1"/>
  <c r="P25" i="4"/>
  <c r="S25" i="4" s="1"/>
  <c r="B25" i="4"/>
  <c r="P24" i="4"/>
  <c r="S24" i="4" s="1"/>
  <c r="P23" i="4"/>
  <c r="S23" i="4" s="1"/>
  <c r="E23" i="4"/>
  <c r="P22" i="4"/>
  <c r="S22" i="4" s="1"/>
  <c r="P21" i="4"/>
  <c r="S21" i="4" s="1"/>
  <c r="P20" i="4"/>
  <c r="S20" i="4" s="1"/>
  <c r="P19" i="4"/>
  <c r="S19" i="4" s="1"/>
  <c r="P18" i="4"/>
  <c r="S18" i="4" s="1"/>
  <c r="P17" i="4"/>
  <c r="S17" i="4" s="1"/>
  <c r="P16" i="4"/>
  <c r="S16" i="4" s="1"/>
  <c r="P15" i="4"/>
  <c r="S15" i="4" s="1"/>
  <c r="P14" i="4"/>
  <c r="P13" i="4"/>
  <c r="S13" i="4" s="1"/>
  <c r="P12" i="4"/>
  <c r="S12" i="4" s="1"/>
  <c r="P11" i="4"/>
  <c r="S11" i="4" s="1"/>
  <c r="P10" i="4"/>
  <c r="S10" i="4" s="1"/>
  <c r="P9" i="4"/>
  <c r="P8" i="4"/>
  <c r="S8" i="4" s="1"/>
  <c r="P7" i="4"/>
  <c r="S7" i="4" s="1"/>
  <c r="P6" i="4"/>
  <c r="S6" i="4" s="1"/>
  <c r="S5" i="4"/>
  <c r="P5" i="4"/>
  <c r="D122" i="3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81" i="1"/>
  <c r="G97" i="1" s="1"/>
  <c r="G98" i="1" s="1"/>
  <c r="D10" i="5"/>
  <c r="G40" i="3"/>
  <c r="N155" i="3"/>
  <c r="D139" i="3" s="1"/>
  <c r="N148" i="3"/>
  <c r="D135" i="3" s="1"/>
  <c r="D140" i="3"/>
  <c r="D138" i="3"/>
  <c r="D136" i="3"/>
  <c r="D134" i="3"/>
  <c r="D124" i="3"/>
  <c r="D115" i="3"/>
  <c r="D100" i="3"/>
  <c r="D110" i="3" s="1"/>
  <c r="D113" i="3" s="1"/>
  <c r="D90" i="3"/>
  <c r="D97" i="3" s="1"/>
  <c r="D80" i="3"/>
  <c r="D71" i="3"/>
  <c r="D68" i="3"/>
  <c r="D63" i="3"/>
  <c r="D61" i="3"/>
  <c r="D55" i="3"/>
  <c r="F12" i="1"/>
  <c r="C33" i="2"/>
  <c r="D39" i="5" l="1"/>
  <c r="D40" i="5" s="1"/>
  <c r="C43" i="4"/>
  <c r="C44" i="4" s="1"/>
  <c r="D70" i="3"/>
  <c r="D9" i="5"/>
  <c r="D46" i="3"/>
  <c r="D49" i="3" s="1"/>
  <c r="D53" i="3" s="1"/>
  <c r="P47" i="4"/>
  <c r="K9" i="4" s="1"/>
  <c r="S31" i="4"/>
  <c r="S14" i="4"/>
  <c r="S9" i="4"/>
  <c r="S33" i="4"/>
  <c r="B33" i="4"/>
  <c r="C48" i="4" s="1"/>
  <c r="N154" i="3"/>
  <c r="D107" i="3"/>
  <c r="D96" i="3"/>
  <c r="D95" i="3" l="1"/>
  <c r="E24" i="4" s="1"/>
  <c r="G97" i="3"/>
  <c r="C49" i="4"/>
  <c r="C50" i="4" s="1"/>
  <c r="C58" i="4"/>
  <c r="D32" i="5"/>
  <c r="C45" i="4"/>
  <c r="D31" i="5" s="1"/>
  <c r="K30" i="4"/>
  <c r="K27" i="4"/>
  <c r="K14" i="4"/>
  <c r="K46" i="4"/>
  <c r="K33" i="4"/>
  <c r="K32" i="4"/>
  <c r="K6" i="4"/>
  <c r="C59" i="4"/>
  <c r="K20" i="4"/>
  <c r="K10" i="4"/>
  <c r="K8" i="4"/>
  <c r="K22" i="4"/>
  <c r="K40" i="4"/>
  <c r="K38" i="4"/>
  <c r="K28" i="4"/>
  <c r="K21" i="4"/>
  <c r="K11" i="4"/>
  <c r="K45" i="4"/>
  <c r="K36" i="4"/>
  <c r="K44" i="4"/>
  <c r="K42" i="4"/>
  <c r="K35" i="4"/>
  <c r="K25" i="4"/>
  <c r="K23" i="4"/>
  <c r="K43" i="4"/>
  <c r="K18" i="4"/>
  <c r="K13" i="4"/>
  <c r="K17" i="4"/>
  <c r="K37" i="4"/>
  <c r="K26" i="4"/>
  <c r="K41" i="4"/>
  <c r="K39" i="4"/>
  <c r="K34" i="4"/>
  <c r="K15" i="4"/>
  <c r="K5" i="4"/>
  <c r="K29" i="4"/>
  <c r="K24" i="4"/>
  <c r="K12" i="4"/>
  <c r="K19" i="4"/>
  <c r="K7" i="4"/>
  <c r="K16" i="4"/>
  <c r="K31" i="4"/>
  <c r="C25" i="12" l="1"/>
  <c r="C25" i="13"/>
  <c r="C25" i="14"/>
  <c r="C25" i="11"/>
  <c r="C25" i="9"/>
  <c r="C57" i="4"/>
  <c r="F27" i="1"/>
  <c r="F28" i="1"/>
  <c r="F29" i="1"/>
  <c r="F30" i="1"/>
  <c r="F6" i="1"/>
  <c r="D5" i="3" s="1"/>
  <c r="D57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41" i="1"/>
  <c r="C57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41" i="1"/>
  <c r="B57" i="1"/>
  <c r="D33" i="1"/>
  <c r="D8" i="3" l="1"/>
  <c r="D7" i="3"/>
  <c r="C2" i="6"/>
  <c r="C9" i="6"/>
  <c r="C27" i="6"/>
  <c r="F7" i="1"/>
  <c r="F9" i="1" s="1"/>
  <c r="F10" i="1"/>
  <c r="F8" i="1"/>
  <c r="F15" i="1"/>
  <c r="F16" i="1" s="1"/>
  <c r="F17" i="1" s="1"/>
  <c r="G33" i="1"/>
  <c r="D34" i="1"/>
  <c r="D35" i="1"/>
  <c r="D36" i="1"/>
  <c r="D37" i="1"/>
  <c r="D38" i="1"/>
  <c r="E39" i="3" l="1"/>
  <c r="E37" i="3"/>
  <c r="E40" i="3"/>
  <c r="E38" i="3"/>
  <c r="E5" i="3"/>
  <c r="E30" i="3"/>
  <c r="E34" i="3"/>
  <c r="C32" i="6"/>
  <c r="C22" i="6"/>
  <c r="E32" i="3"/>
  <c r="B10" i="4"/>
  <c r="B1" i="7"/>
  <c r="C8" i="6"/>
  <c r="E36" i="3"/>
  <c r="C3" i="6"/>
  <c r="C23" i="6"/>
  <c r="E33" i="3"/>
  <c r="C30" i="6"/>
  <c r="C31" i="6"/>
  <c r="E31" i="3"/>
  <c r="C16" i="6"/>
  <c r="C43" i="6"/>
  <c r="E35" i="3"/>
  <c r="D3" i="5"/>
  <c r="D132" i="3"/>
  <c r="C29" i="6"/>
  <c r="D22" i="3"/>
  <c r="D141" i="3"/>
  <c r="C38" i="1"/>
  <c r="E43" i="3" l="1"/>
  <c r="C42" i="9"/>
  <c r="C42" i="12"/>
  <c r="D23" i="5"/>
  <c r="D25" i="5"/>
  <c r="D22" i="5"/>
  <c r="D24" i="5"/>
  <c r="C24" i="6"/>
  <c r="D137" i="3"/>
  <c r="C42" i="11"/>
  <c r="C7" i="9"/>
  <c r="C7" i="13"/>
  <c r="D151" i="3"/>
  <c r="D150" i="3"/>
  <c r="D152" i="3"/>
  <c r="C23" i="11"/>
  <c r="C4" i="7"/>
  <c r="C23" i="12" s="1"/>
  <c r="C5" i="7"/>
  <c r="D2" i="5"/>
  <c r="D12" i="5"/>
  <c r="C22" i="11"/>
  <c r="C22" i="9"/>
  <c r="C22" i="14"/>
  <c r="C21" i="14"/>
  <c r="C21" i="12"/>
  <c r="D133" i="3"/>
  <c r="D20" i="3"/>
  <c r="D27" i="3" s="1"/>
  <c r="D29" i="1"/>
  <c r="D28" i="1"/>
  <c r="C8" i="1"/>
  <c r="C16" i="1"/>
  <c r="C30" i="1"/>
  <c r="C22" i="13" l="1"/>
  <c r="C26" i="13"/>
  <c r="C26" i="14"/>
  <c r="C24" i="12"/>
  <c r="C24" i="13"/>
  <c r="C26" i="9"/>
  <c r="C24" i="11"/>
  <c r="C26" i="11"/>
  <c r="C24" i="14"/>
  <c r="C26" i="12"/>
  <c r="C24" i="9"/>
  <c r="C22" i="12"/>
  <c r="C23" i="9"/>
  <c r="C23" i="13"/>
  <c r="C5" i="12"/>
  <c r="C20" i="11"/>
  <c r="C20" i="13"/>
  <c r="C5" i="9"/>
  <c r="C20" i="12"/>
  <c r="C20" i="14"/>
  <c r="C20" i="9"/>
  <c r="C5" i="13"/>
  <c r="C5" i="14"/>
  <c r="C5" i="11"/>
  <c r="C21" i="13"/>
  <c r="D13" i="5"/>
  <c r="D6" i="5" s="1"/>
  <c r="D41" i="5"/>
  <c r="D42" i="5" s="1"/>
  <c r="D51" i="5" s="1"/>
  <c r="D8" i="5"/>
  <c r="D19" i="5" s="1"/>
  <c r="C23" i="14"/>
  <c r="C21" i="9"/>
  <c r="D50" i="5"/>
  <c r="D49" i="5"/>
  <c r="C28" i="6"/>
  <c r="B19" i="4"/>
  <c r="D131" i="3"/>
  <c r="D143" i="3" s="1"/>
  <c r="C15" i="6"/>
  <c r="D6" i="1"/>
  <c r="D7" i="1"/>
  <c r="D8" i="1"/>
  <c r="D5" i="1"/>
  <c r="E8" i="1" s="1"/>
  <c r="F11" i="1"/>
  <c r="F13" i="1"/>
  <c r="D18" i="5" l="1"/>
  <c r="D16" i="5"/>
  <c r="D17" i="5"/>
  <c r="C27" i="12"/>
  <c r="C19" i="12" s="1"/>
  <c r="C27" i="14"/>
  <c r="C19" i="14" s="1"/>
  <c r="C27" i="13"/>
  <c r="C19" i="13" s="1"/>
  <c r="C27" i="11"/>
  <c r="C19" i="11" s="1"/>
  <c r="C27" i="9"/>
  <c r="C19" i="9" s="1"/>
  <c r="C6" i="13"/>
  <c r="C6" i="12"/>
  <c r="C6" i="14"/>
  <c r="C6" i="11"/>
  <c r="C6" i="9"/>
  <c r="D21" i="5"/>
  <c r="D15" i="5" l="1"/>
  <c r="N104" i="3"/>
  <c r="N51" i="4" s="1"/>
  <c r="N102" i="3"/>
  <c r="P51" i="4" l="1"/>
  <c r="S51" i="4" s="1"/>
  <c r="S47" i="4" s="1"/>
  <c r="C39" i="4" s="1"/>
  <c r="C40" i="4" l="1"/>
  <c r="C47" i="4" s="1"/>
  <c r="C51" i="4" s="1"/>
  <c r="D30" i="5"/>
  <c r="C41" i="4"/>
  <c r="C33" i="6" s="1"/>
  <c r="C54" i="4" l="1"/>
  <c r="C55" i="4" s="1"/>
  <c r="C19" i="6" s="1"/>
  <c r="C8" i="12"/>
  <c r="C4" i="12" s="1"/>
  <c r="C8" i="13"/>
  <c r="C4" i="13" s="1"/>
  <c r="C8" i="14"/>
  <c r="C4" i="14" s="1"/>
  <c r="C8" i="11"/>
  <c r="C4" i="11" s="1"/>
  <c r="C8" i="9"/>
  <c r="C4" i="9" s="1"/>
  <c r="D33" i="5" l="1"/>
  <c r="D34" i="5" s="1"/>
  <c r="C9" i="14"/>
  <c r="C3" i="14" s="1"/>
  <c r="C10" i="14" s="1"/>
  <c r="C11" i="14"/>
  <c r="C12" i="14"/>
  <c r="C12" i="13"/>
  <c r="C9" i="13"/>
  <c r="C3" i="13" s="1"/>
  <c r="C10" i="13" s="1"/>
  <c r="C11" i="13"/>
  <c r="C44" i="13"/>
  <c r="C41" i="13" s="1"/>
  <c r="C44" i="14"/>
  <c r="C41" i="14" s="1"/>
  <c r="C44" i="12"/>
  <c r="C41" i="12" s="1"/>
  <c r="C11" i="12"/>
  <c r="C9" i="12"/>
  <c r="C3" i="12" s="1"/>
  <c r="C12" i="12"/>
  <c r="C44" i="11"/>
  <c r="C41" i="11" s="1"/>
  <c r="C44" i="9"/>
  <c r="C41" i="9" s="1"/>
  <c r="C11" i="9"/>
  <c r="C9" i="9"/>
  <c r="C3" i="9" s="1"/>
  <c r="C12" i="9"/>
  <c r="C11" i="11"/>
  <c r="C12" i="11"/>
  <c r="C9" i="11"/>
  <c r="C3" i="11" s="1"/>
  <c r="C10" i="11" s="1"/>
  <c r="D48" i="5"/>
  <c r="C2" i="13" l="1"/>
  <c r="C31" i="13" s="1"/>
  <c r="C18" i="13" s="1"/>
  <c r="C38" i="13"/>
  <c r="C13" i="13"/>
  <c r="C45" i="13"/>
  <c r="C10" i="12"/>
  <c r="C2" i="12" s="1"/>
  <c r="C13" i="14"/>
  <c r="C38" i="14"/>
  <c r="C45" i="14"/>
  <c r="C38" i="12"/>
  <c r="C13" i="12"/>
  <c r="C45" i="12"/>
  <c r="C2" i="14"/>
  <c r="C2" i="11"/>
  <c r="C36" i="11" s="1"/>
  <c r="C10" i="9"/>
  <c r="C2" i="9" s="1"/>
  <c r="C13" i="9"/>
  <c r="C38" i="9"/>
  <c r="C45" i="9"/>
  <c r="C38" i="11"/>
  <c r="C13" i="11"/>
  <c r="C45" i="11"/>
  <c r="D35" i="5"/>
  <c r="D52" i="5"/>
  <c r="C33" i="13" l="1"/>
  <c r="C35" i="13"/>
  <c r="C36" i="13"/>
  <c r="C14" i="13"/>
  <c r="C15" i="13" s="1"/>
  <c r="C16" i="13" s="1"/>
  <c r="C37" i="13" s="1"/>
  <c r="C36" i="12"/>
  <c r="C14" i="12"/>
  <c r="C15" i="12" s="1"/>
  <c r="C16" i="12" s="1"/>
  <c r="C37" i="12" s="1"/>
  <c r="C35" i="12"/>
  <c r="C31" i="12"/>
  <c r="C18" i="12" s="1"/>
  <c r="C14" i="11"/>
  <c r="C15" i="11" s="1"/>
  <c r="C16" i="11" s="1"/>
  <c r="C37" i="11" s="1"/>
  <c r="C35" i="11"/>
  <c r="C31" i="11"/>
  <c r="C18" i="11" s="1"/>
  <c r="C35" i="14"/>
  <c r="C36" i="14"/>
  <c r="C31" i="14"/>
  <c r="C18" i="14" s="1"/>
  <c r="C14" i="14"/>
  <c r="C15" i="14" s="1"/>
  <c r="C16" i="14" s="1"/>
  <c r="C37" i="14" s="1"/>
  <c r="C35" i="9"/>
  <c r="C14" i="9"/>
  <c r="C15" i="9" s="1"/>
  <c r="C16" i="9" s="1"/>
  <c r="C37" i="9" s="1"/>
  <c r="C31" i="9"/>
  <c r="C18" i="9" s="1"/>
  <c r="C36" i="9"/>
  <c r="D47" i="5"/>
  <c r="D54" i="5" s="1"/>
  <c r="C11" i="6"/>
  <c r="C40" i="6" s="1"/>
  <c r="D28" i="5"/>
  <c r="D44" i="5" s="1"/>
  <c r="D53" i="5" s="1"/>
  <c r="C33" i="11" l="1"/>
  <c r="C39" i="11"/>
  <c r="C33" i="9"/>
  <c r="C39" i="9"/>
  <c r="C33" i="14"/>
  <c r="C33" i="12"/>
  <c r="C39" i="12" s="1"/>
  <c r="C34" i="13"/>
  <c r="C39" i="13" s="1"/>
  <c r="C34" i="11"/>
  <c r="C34" i="9"/>
  <c r="C34" i="12"/>
  <c r="C34" i="14"/>
  <c r="C39" i="14" s="1"/>
  <c r="C12" i="6"/>
  <c r="C47" i="9" l="1"/>
  <c r="C48" i="9" s="1"/>
  <c r="C47" i="11"/>
  <c r="C48" i="11" s="1"/>
  <c r="C46" i="11"/>
  <c r="C47" i="13"/>
  <c r="C48" i="13" s="1"/>
  <c r="C46" i="13"/>
  <c r="C46" i="9"/>
  <c r="C47" i="12"/>
  <c r="C48" i="12" s="1"/>
  <c r="C46" i="12"/>
  <c r="C47" i="14"/>
  <c r="C48" i="14" s="1"/>
  <c r="C46" i="1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tc={29D59D47-3A06-4CBC-941F-6971440C908E}</author>
    <author>tc={D584A5B7-01F6-4C0C-B9DD-62B0D772A9AD}</author>
  </authors>
  <commentList>
    <comment ref="B31" authorId="0" shapeId="0" xr:uid="{29D59D47-3A06-4CBC-941F-6971440C908E}">
      <text>
        <t>[Threaded comment]
Your version of Excel allows you to read this threaded comment; however, any edits to it will get removed if the file is opened in a newer version of Excel. Learn more: https://go.microsoft.com/fwlink/?linkid=870924
Comment:
    biocrude</t>
      </text>
    </comment>
    <comment ref="C31" authorId="1" shapeId="0" xr:uid="{D584A5B7-01F6-4C0C-B9DD-62B0D772A9AD}">
      <text>
        <t>[Threaded comment]
Your version of Excel allows you to read this threaded comment; however, any edits to it will get removed if the file is opened in a newer version of Excel. Learn more: https://go.microsoft.com/fwlink/?linkid=870924
Comment:
    biochar</t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E18" authorId="0" shapeId="0" xr:uid="{847533D7-1531-421B-8126-E4BD15A2FB99}">
      <text>
        <r>
          <rPr>
            <sz val="10"/>
            <color rgb="FF000000"/>
            <rFont val="Arial"/>
          </rPr>
          <t>Black box based on Da Silva</t>
        </r>
      </text>
    </comment>
    <comment ref="F30" authorId="0" shapeId="0" xr:uid="{D7DE87D9-B618-4749-9D31-903BEA76512D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Master thesis (Appendix)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tc={EA9BF3E2-B406-4EA9-985D-B1AEB9FA66E5}</author>
    <author>tc={7FF3F295-6D05-446D-B6FA-19654EF3BBDE}</author>
    <author>tc={D5234BCC-CBD2-4E55-B5EB-398DBF8073D6}</author>
    <author>Author</author>
    <author>tc={CE56508F-D057-4C21-AAAC-4F2D059BEDCF}</author>
    <author>tc={ADB5AE8F-F3CF-4D81-9EB6-76E29D19924F}</author>
  </authors>
  <commentList>
    <comment ref="B16" authorId="0" shapeId="0" xr:uid="{EA9BF3E2-B406-4EA9-985D-B1AEB9FA66E5}">
      <text>
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Reactor </t>
      </text>
    </comment>
    <comment ref="D16" authorId="1" shapeId="0" xr:uid="{7FF3F295-6D05-446D-B6FA-19654EF3BBDE}">
      <text>
        <t>[Threaded comment]
Your version of Excel allows you to read this threaded comment; however, any edits to it will get removed if the file is opened in a newer version of Excel. Learn more: https://go.microsoft.com/fwlink/?linkid=870924
Comment:
    B11</t>
      </text>
    </comment>
    <comment ref="E16" authorId="2" shapeId="0" xr:uid="{D5234BCC-CBD2-4E55-B5EB-398DBF8073D6}">
      <text>
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B5
</t>
      </text>
    </comment>
    <comment ref="R16" authorId="3" shapeId="0" xr:uid="{AE599899-D62B-4E8E-B40C-1459B66008B2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Due to steric hinderence, hydrogenation might be difficult </t>
        </r>
      </text>
    </comment>
    <comment ref="B17" authorId="4" shapeId="0" xr:uid="{CE56508F-D057-4C21-AAAC-4F2D059BEDCF}">
      <text>
        <t>[Threaded comment]
Your version of Excel allows you to read this threaded comment; however, any edits to it will get removed if the file is opened in a newer version of Excel. Learn more: https://go.microsoft.com/fwlink/?linkid=870924
Comment:
    B41</t>
      </text>
    </comment>
    <comment ref="D17" authorId="5" shapeId="0" xr:uid="{ADB5AE8F-F3CF-4D81-9EB6-76E29D19924F}">
      <text>
        <t>[Threaded comment]
Your version of Excel allows you to read this threaded comment; however, any edits to it will get removed if the file is opened in a newer version of Excel. Learn more: https://go.microsoft.com/fwlink/?linkid=870924
Comment:
    B13</t>
      </text>
    </comment>
    <comment ref="K20" authorId="3" shapeId="0" xr:uid="{4FDE74B6-407D-41C5-9E5A-F57CA6915230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Due to steric hinderence, hydrogenation might be difficult </t>
        </r>
      </text>
    </comment>
    <comment ref="R25" authorId="3" shapeId="0" xr:uid="{82BAA683-65A1-4549-A6AB-28A8EA4F36FB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Assumed present in residual fraction as methyl compund is residual is residual</t>
        </r>
      </text>
    </comment>
    <comment ref="K29" authorId="3" shapeId="0" xr:uid="{7961C238-48E8-499A-8861-D5588C6682FD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Assumed present in residual fraction as methyl compund is residual is residual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A27" authorId="0" shapeId="0" xr:uid="{12379E54-AA70-437F-93CD-C1B1B7A86528}">
      <text>
        <r>
          <rPr>
            <sz val="10"/>
            <color rgb="FF000000"/>
            <rFont val="Arial"/>
          </rPr>
          <t>wet biomass</t>
        </r>
      </text>
    </comment>
    <comment ref="A28" authorId="0" shapeId="0" xr:uid="{471595F7-EFBD-4D48-9077-C392F669300B}">
      <text>
        <r>
          <rPr>
            <sz val="10"/>
            <color rgb="FF000000"/>
            <rFont val="Arial"/>
          </rPr>
          <t>wet biomass + water</t>
        </r>
      </text>
    </comment>
    <comment ref="A29" authorId="0" shapeId="0" xr:uid="{EDC953C5-D7D8-4DCF-B308-7BD5AC9111CD}">
      <text>
        <r>
          <rPr>
            <sz val="10"/>
            <color rgb="FF000000"/>
            <rFont val="Arial"/>
          </rPr>
          <t>reactor output</t>
        </r>
      </text>
    </comment>
    <comment ref="A30" authorId="0" shapeId="0" xr:uid="{FB29C1D4-AD8E-41A1-A6C8-9F5C665C2BB1}">
      <text>
        <r>
          <rPr>
            <sz val="10"/>
            <color rgb="FF000000"/>
            <rFont val="Arial"/>
          </rPr>
          <t>4 days of storage</t>
        </r>
      </text>
    </comment>
    <comment ref="C30" authorId="0" shapeId="0" xr:uid="{C4457F47-BA64-481F-8F6C-D9845DFBE878}">
      <text>
        <r>
          <rPr>
            <sz val="10"/>
            <color rgb="FF000000"/>
            <rFont val="Arial"/>
          </rPr>
          <t xml:space="preserve">24 hours * 4 days * kg/l * 1000 (liters in cu. meter) 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tc={C8E374EB-077C-408D-AB07-C86DA3B0540A}</author>
    <author>tc={1770EB95-93E5-4BB9-8866-3B3C2AE0BAD0}</author>
    <author>tc={9FAF3344-81BF-495F-B9BA-5C6C63CF4967}</author>
    <author>tc={0001276B-EFB6-45F9-8F1C-77069FA7AA9E}</author>
    <author>tc={E0319863-1458-4067-9FFC-2D7C48427F38}</author>
    <author>tc={C268A644-E1CB-4C31-8054-43583E90E1C9}</author>
    <author>tc={4FE73010-78B8-45F8-B914-2B6593D1F74E}</author>
    <author>tc={C1B57DE4-EA74-4F37-91A9-7FFBB7C7AEAA}</author>
    <author>Author</author>
    <author>tc={9EFA0004-2946-4985-974B-2EC3A4199369}</author>
    <author>tc={CC5C0CB4-95B1-478A-8E76-40670194E00A}</author>
    <author>tc={C6B6B551-37ED-4CB2-AB52-57F0E0A02773}</author>
    <author>Sivaramakrishnan Chandrasekaran</author>
    <author>tc={1EC3DCCD-BEBB-4E4D-A200-1ED6BF9FA83B}</author>
    <author>tc={B54D6927-2FA2-48AF-853E-E9251FF2EFF5}</author>
    <author>tc={9635F106-DACD-4786-8E1D-56DC053090C8}</author>
    <author>tc={5001E971-8021-45A4-9E2D-C3D673197ECB}</author>
    <author>tc={251E6D10-A989-437A-BB5D-8AC87DFDE315}</author>
    <author>tc={2AC13DCA-6121-4B79-A77B-58CDBA17B415}</author>
    <author>tc={8B862BA9-8037-4681-AF21-995D1AB4A5D9}</author>
    <author>tc={C96AFD84-3AF2-469F-879E-856A7B26882E}</author>
  </authors>
  <commentList>
    <comment ref="C3" authorId="0" shapeId="0" xr:uid="{C8E374EB-077C-408D-AB07-C86DA3B0540A}">
      <text>
        <t>[Threaded comment]
Your version of Excel allows you to read this threaded comment; however, any edits to it will get removed if the file is opened in a newer version of Excel. Learn more: https://go.microsoft.com/fwlink/?linkid=870924
Comment:
    Tanzer</t>
      </text>
    </comment>
    <comment ref="C9" authorId="1" shapeId="0" xr:uid="{1770EB95-93E5-4BB9-8866-3B3C2AE0BAD0}">
      <text>
        <t>[Threaded comment]
Your version of Excel allows you to read this threaded comment; however, any edits to it will get removed if the file is opened in a newer version of Excel. Learn more: https://go.microsoft.com/fwlink/?linkid=870924
Comment:
    https://www.intratec.us/products/indexes-and-data/commodity-plant-location-factors#west-europe</t>
      </text>
    </comment>
    <comment ref="D9" authorId="2" shapeId="0" xr:uid="{9FAF3344-81BF-495F-B9BA-5C6C63CF4967}">
      <text>
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For South Africa </t>
      </text>
    </comment>
    <comment ref="E9" authorId="3" shapeId="0" xr:uid="{0001276B-EFB6-45F9-8F1C-77069FA7AA9E}">
      <text>
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Brazil </t>
      </text>
    </comment>
    <comment ref="C22" authorId="4" shapeId="0" xr:uid="{E0319863-1458-4067-9FFC-2D7C48427F38}">
      <text>
        <t>[Threaded comment]
Your version of Excel allows you to read this threaded comment; however, any edits to it will get removed if the file is opened in a newer version of Excel. Learn more: https://go.microsoft.com/fwlink/?linkid=870924
Comment:
    https://ycharts.com/indicators/spain_long_term_interest_rates#:~:text=Spain%20Long%20Term%20Interest%20Rate%20is%20at%203.57%25%2C%20compared%20to,or%20close%20to%2010%20years.</t>
      </text>
    </comment>
    <comment ref="C23" authorId="5" shapeId="0" xr:uid="{C268A644-E1CB-4C31-8054-43583E90E1C9}">
      <text>
        <t>[Threaded comment]
Your version of Excel allows you to read this threaded comment; however, any edits to it will get removed if the file is opened in a newer version of Excel. Learn more: https://go.microsoft.com/fwlink/?linkid=870924
Comment:
    https://tradingeconomics.com/spain/inflation-cpi</t>
      </text>
    </comment>
    <comment ref="C24" authorId="6" shapeId="0" xr:uid="{4FE73010-78B8-45F8-B914-2B6593D1F74E}">
      <text>
        <t>[Threaded comment]
Your version of Excel allows you to read this threaded comment; however, any edits to it will get removed if the file is opened in a newer version of Excel. Learn more: https://go.microsoft.com/fwlink/?linkid=870924
Comment:
    https://www.statista.com/statistics/664872/average-market-risk-premium-spain-europe/</t>
      </text>
    </comment>
    <comment ref="A26" authorId="7" shapeId="0" xr:uid="{C1B57DE4-EA74-4F37-91A9-7FFBB7C7AEAA}">
      <text>
        <t>[Threaded comment]
Your version of Excel allows you to read this threaded comment; however, any edits to it will get removed if the file is opened in a newer version of Excel. Learn more: https://go.microsoft.com/fwlink/?linkid=870924
Comment:
    Same as Tanzer</t>
      </text>
    </comment>
    <comment ref="A27" authorId="8" shapeId="0" xr:uid="{48543B93-C0F0-49E3-81A4-3D2B588941D2}">
      <text>
        <r>
          <rPr>
            <sz val="10"/>
            <color rgb="FF000000"/>
            <rFont val="Arial"/>
          </rPr>
          <t>Feedstock preparation: 1
Reactors: 1
Product Preparation: 1
Cogen: 2
+1
Based off of recommendations in W. D. Seider, J. D. Seader, D. R. Lewin, and S. Widagdo, Product and process design principles: synthesis, analysis, and evaluation. 2010.</t>
        </r>
      </text>
    </comment>
    <comment ref="C27" authorId="9" shapeId="0" xr:uid="{9EFA0004-2946-4985-974B-2EC3A4199369}">
      <text>
        <t>[Threaded comment]
Your version of Excel allows you to read this threaded comment; however, any edits to it will get removed if the file is opened in a newer version of Excel. Learn more: https://go.microsoft.com/fwlink/?linkid=870924
Comment:
    5 times Tanzer scale</t>
      </text>
    </comment>
    <comment ref="A28" authorId="8" shapeId="0" xr:uid="{1DF5502E-E715-487E-9B8D-A89F4AA3DA3F}">
      <text>
        <r>
          <rPr>
            <sz val="10"/>
            <color rgb="FF000000"/>
            <rFont val="Arial"/>
          </rPr>
          <t>W. D. Seider, J. D. Seader, D. R. Lewin, and S. Widagdo, Product and process design principles: synthesis, analysis, and evaluation. 2010.</t>
        </r>
      </text>
    </comment>
    <comment ref="A32" authorId="8" shapeId="0" xr:uid="{5258F9BA-9868-4C96-87DB-A52C7800EF82}">
      <text>
        <r>
          <rPr>
            <sz val="10"/>
            <color rgb="FF000000"/>
            <rFont val="Arial"/>
          </rPr>
          <t>W. D. Seider, J. D. Seader, D. R. Lewin, and S. Widagdo, Product and process design principles: synthesis, analysis, and evaluation. 2010.</t>
        </r>
      </text>
    </comment>
    <comment ref="A38" authorId="8" shapeId="0" xr:uid="{C98D530F-FEFE-4342-A3CA-91DAE4DF7DF3}">
      <text>
        <r>
          <rPr>
            <sz val="10"/>
            <color rgb="FF000000"/>
            <rFont val="Arial"/>
          </rPr>
          <t>W. D. Seider, J. D. Seader, D. R. Lewin, and S. Widagdo, Product and process design principles: synthesis, analysis, and evaluation. 2010.</t>
        </r>
      </text>
    </comment>
    <comment ref="A44" authorId="10" shapeId="0" xr:uid="{CC5C0CB4-95B1-478A-8E76-40670194E00A}">
      <text>
        <t>[Threaded comment]
Your version of Excel allows you to read this threaded comment; however, any edits to it will get removed if the file is opened in a newer version of Excel. Learn more: https://go.microsoft.com/fwlink/?linkid=870924
Comment:
    Prices 2023</t>
      </text>
    </comment>
    <comment ref="A47" authorId="11" shapeId="0" xr:uid="{C6B6B551-37ED-4CB2-AB52-57F0E0A02773}">
      <text>
        <t>[Threaded comment]
Your version of Excel allows you to read this threaded comment; however, any edits to it will get removed if the file is opened in a newer version of Excel. Learn more: https://go.microsoft.com/fwlink/?linkid=870924
Comment:
    Prices 2023</t>
      </text>
    </comment>
    <comment ref="G49" authorId="12" shapeId="0" xr:uid="{3E9C8BF5-96FD-40EB-8EC4-59C3E4BCFD6C}">
      <text>
        <r>
          <rPr>
            <b/>
            <sz val="9"/>
            <color indexed="81"/>
            <rFont val="Tahoma"/>
            <charset val="1"/>
          </rPr>
          <t>Sivaramakrishnan Chandrasekaran:</t>
        </r>
        <r>
          <rPr>
            <sz val="9"/>
            <color indexed="81"/>
            <rFont val="Tahoma"/>
            <charset val="1"/>
          </rPr>
          <t xml:space="preserve">
https://www.indexbox.io/blog/spain-potassium-hydroxide-price-in-june-2023/</t>
        </r>
      </text>
    </comment>
    <comment ref="A50" authorId="13" shapeId="0" xr:uid="{1EC3DCCD-BEBB-4E4D-A200-1ED6BF9FA83B}">
      <text>
        <t>[Threaded comment]
Your version of Excel allows you to read this threaded comment; however, any edits to it will get removed if the file is opened in a newer version of Excel. Learn more: https://go.microsoft.com/fwlink/?linkid=870924
Comment:
    https://shipandbunker.com/prices/emea</t>
      </text>
    </comment>
    <comment ref="A51" authorId="8" shapeId="0" xr:uid="{3F633BDF-FCF4-4E00-980D-8103E0C03722}">
      <text>
        <r>
          <rPr>
            <sz val="10"/>
            <color rgb="FF000000"/>
            <rFont val="Arial"/>
          </rPr>
          <t>for use in LCA economic allocation</t>
        </r>
      </text>
    </comment>
    <comment ref="C52" authorId="14" shapeId="0" xr:uid="{B54D6927-2FA2-48AF-853E-E9251FF2EFF5}">
      <text>
        <t>[Threaded comment]
Your version of Excel allows you to read this threaded comment; however, any edits to it will get removed if the file is opened in a newer version of Excel. Learn more: https://go.microsoft.com/fwlink/?linkid=870924
Comment:
    https://www.statista.com/statistics/1267552/spain-monthly-wholesale-electricity-price/</t>
      </text>
    </comment>
    <comment ref="G52" authorId="15" shapeId="0" xr:uid="{9635F106-DACD-4786-8E1D-56DC053090C8}">
      <text>
        <t>[Threaded comment]
Your version of Excel allows you to read this threaded comment; however, any edits to it will get removed if the file is opened in a newer version of Excel. Learn more: https://go.microsoft.com/fwlink/?linkid=870924
Comment:
    https://shipandbunker.com/news/world/662089-integr8-vlsfo-calorific-value-pour-point-and-competitiveness-with-lsmgo</t>
      </text>
    </comment>
    <comment ref="A53" authorId="8" shapeId="0" xr:uid="{D7170D07-4EC5-4700-9BFB-04525B2AE549}">
      <text>
        <r>
          <rPr>
            <sz val="10"/>
            <color rgb="FF000000"/>
            <rFont val="Arial"/>
          </rPr>
          <t>for use in LCA economic allocation</t>
        </r>
      </text>
    </comment>
    <comment ref="A56" authorId="8" shapeId="0" xr:uid="{74EBAB35-4F21-4448-9F70-7E51CA0F2C84}">
      <text>
        <r>
          <rPr>
            <sz val="10"/>
            <color rgb="FF000000"/>
            <rFont val="Arial"/>
          </rPr>
          <t>changing this changes the rest of oil based prices, including transport, which are assumed to be linearly linked to the crude oil price</t>
        </r>
      </text>
    </comment>
    <comment ref="C56" authorId="16" shapeId="0" xr:uid="{5001E971-8021-45A4-9E2D-C3D673197ECB}">
      <text>
        <t>[Threaded comment]
Your version of Excel allows you to read this threaded comment; however, any edits to it will get removed if the file is opened in a newer version of Excel. Learn more: https://go.microsoft.com/fwlink/?linkid=870924
Comment:
    https://oilprice.com/</t>
      </text>
    </comment>
    <comment ref="A59" authorId="8" shapeId="0" xr:uid="{9F258A2B-DB01-4C29-9277-D534FAC095BE}">
      <text>
        <r>
          <rPr>
            <sz val="10"/>
            <color rgb="FF000000"/>
            <rFont val="Arial"/>
          </rPr>
          <t>insurance, loading, unloading, &amp;c</t>
        </r>
      </text>
    </comment>
    <comment ref="C59" authorId="17" shapeId="0" xr:uid="{251E6D10-A989-437A-BB5D-8AC87DFDE315}">
      <text>
        <t>[Threaded comment]
Your version of Excel allows you to read this threaded comment; however, any edits to it will get removed if the file is opened in a newer version of Excel. Learn more: https://go.microsoft.com/fwlink/?linkid=870924
Comment:
    Assumed</t>
      </text>
    </comment>
    <comment ref="C60" authorId="8" shapeId="0" xr:uid="{54D5073D-D1CD-44DB-88E3-14FEF2EBE172}">
      <text>
        <r>
          <rPr>
            <sz val="10"/>
            <color rgb="FF000000"/>
            <rFont val="Arial"/>
          </rPr>
          <t>Alves</t>
        </r>
      </text>
    </comment>
    <comment ref="A64" authorId="8" shapeId="0" xr:uid="{A06D5641-C11E-424C-9A2B-C032C7E9E8A8}">
      <text>
        <r>
          <rPr>
            <sz val="10"/>
            <color rgb="FF000000"/>
            <rFont val="Arial"/>
          </rPr>
          <t>https://terpconnect.umd.edu/~nsw/chbe446/HowToEstimateUtilityCosts-UlrichVasudevan2006.pdf
Using natural gas as fuel source</t>
        </r>
      </text>
    </comment>
    <comment ref="A65" authorId="8" shapeId="0" xr:uid="{05F64292-6583-415B-935D-FC5FA6E1DF0E}">
      <text>
        <r>
          <rPr>
            <sz val="10"/>
            <color rgb="FF000000"/>
            <rFont val="Arial"/>
          </rPr>
          <t>https://terpconnect.umd.edu/~nsw/chbe446/HowToEstimateUtilityCosts-UlrichVasudevan2006.pdf
Using natural gas as fuel source</t>
        </r>
      </text>
    </comment>
    <comment ref="C67" authorId="8" shapeId="0" xr:uid="{888891ED-6126-46A4-8E04-0DDEF849D20A}">
      <text>
        <r>
          <rPr>
            <sz val="10"/>
            <color rgb="FF000000"/>
            <rFont val="Arial"/>
          </rPr>
          <t>https://doi.org/10.3390/w11091854</t>
        </r>
      </text>
    </comment>
    <comment ref="C68" authorId="8" shapeId="0" xr:uid="{0F6EE210-B9AC-46A8-848B-EBD0CAE61F2C}">
      <text>
        <r>
          <rPr>
            <sz val="10"/>
            <color rgb="FF000000"/>
            <rFont val="Arial"/>
          </rPr>
          <t>Da Silva. LHV: 40.7MJl
lg
Confirmed as reasonable by Index Mundi/other sources</t>
        </r>
      </text>
    </comment>
    <comment ref="F68" authorId="18" shapeId="0" xr:uid="{2AC13DCA-6121-4B79-A77B-58CDBA17B415}">
      <text>
        <t>[Threaded comment]
Your version of Excel allows you to read this threaded comment; however, any edits to it will get removed if the file is opened in a newer version of Excel. Learn more: https://go.microsoft.com/fwlink/?linkid=870924
Comment:
    https://ec.europa.eu/eurostat/statistics-explained/index.php?title=Natural_gas_price_statistics#Natural_gas_prices_for_non-household_consumers</t>
      </text>
    </comment>
    <comment ref="C70" authorId="19" shapeId="0" xr:uid="{8B862BA9-8037-4681-AF21-995D1AB4A5D9}">
      <text>
        <t>[Threaded comment]
Your version of Excel allows you to read this threaded comment; however, any edits to it will get removed if the file is opened in a newer version of Excel. Learn more: https://go.microsoft.com/fwlink/?linkid=870924
Comment:
    https://www.salaryexplorer.com/average-salary-wage-comparison-spain-chemical-plant-operator-c203j12174</t>
      </text>
    </comment>
    <comment ref="A75" authorId="8" shapeId="0" xr:uid="{53556476-8278-46E6-9D5E-ACE93CCD3966}">
      <text>
        <r>
          <rPr>
            <sz val="10"/>
            <color rgb="FF000000"/>
            <rFont val="Arial"/>
          </rPr>
          <t>Tews et al 2014
Previously based on Da Silva 9.6M$ for 2000 dry tons</t>
        </r>
      </text>
    </comment>
    <comment ref="A76" authorId="8" shapeId="0" xr:uid="{8F9E131A-566A-4D98-9B39-892E9AF51E31}">
      <text>
        <r>
          <rPr>
            <sz val="10"/>
            <color rgb="FF000000"/>
            <rFont val="Arial"/>
          </rPr>
          <t>Tews et al 2014
Previously based on Da Silva: 18.45M$ for 500 dry tons</t>
        </r>
      </text>
    </comment>
    <comment ref="B82" authorId="20" shapeId="0" xr:uid="{C96AFD84-3AF2-469F-879E-856A7B26882E}">
      <text>
        <t>[Threaded comment]
Your version of Excel allows you to read this threaded comment; however, any edits to it will get removed if the file is opened in a newer version of Excel. Learn more: https://go.microsoft.com/fwlink/?linkid=870924
Comment:
    https://www.power-technology.com/marketdata/ence-huelva-biomass-power-plant-spain/</t>
      </text>
    </comment>
  </commentList>
</comments>
</file>

<file path=xl/comments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  <author>tc={1B12CF54-5D51-4480-8DC0-A42743716D27}</author>
    <author>tc={491EAEC9-A3A9-4310-AFAC-5BB4CF1E02B8}</author>
  </authors>
  <commentList>
    <comment ref="I3" authorId="0" shapeId="0" xr:uid="{F0D2BB27-DFD8-4A76-A0CD-00CFA8689255}">
      <text>
        <r>
          <rPr>
            <sz val="10"/>
            <color rgb="FF000000"/>
            <rFont val="Arial"/>
          </rPr>
          <t>https://people.hofstra.edu/geotrans/eng/ch8en/conc8en/energycontent.html</t>
        </r>
      </text>
    </comment>
    <comment ref="Q3" authorId="0" shapeId="0" xr:uid="{EA444245-E59E-4B9B-BDE7-D9C0782D8F59}">
      <text>
        <r>
          <rPr>
            <sz val="10"/>
            <color rgb="FF000000"/>
            <rFont val="Arial"/>
          </rPr>
          <t>Engineering toolbox</t>
        </r>
      </text>
    </comment>
    <comment ref="U3" authorId="0" shapeId="0" xr:uid="{75F36B56-86F1-4465-8097-9DDD53EA6A5D}">
      <text>
        <r>
          <rPr>
            <sz val="10"/>
            <color rgb="FF000000"/>
            <rFont val="Arial"/>
          </rPr>
          <t>Engineering toolbox</t>
        </r>
      </text>
    </comment>
    <comment ref="U6" authorId="0" shapeId="0" xr:uid="{6A23D7F4-A586-48B2-A3B9-E2F216AAEE8E}">
      <text>
        <r>
          <rPr>
            <sz val="10"/>
            <color rgb="FF000000"/>
            <rFont val="Arial"/>
          </rPr>
          <t>used in base model</t>
        </r>
      </text>
    </comment>
    <comment ref="A8" authorId="0" shapeId="0" xr:uid="{651B7E3C-D707-4A01-88E0-56F62E276B3F}">
      <text>
        <r>
          <rPr>
            <sz val="10"/>
            <color rgb="FF000000"/>
            <rFont val="Arial"/>
          </rPr>
          <t>http://www.eea.europa.eu/publications/ENVISSUENo12/page027.html</t>
        </r>
      </text>
    </comment>
    <comment ref="U8" authorId="0" shapeId="0" xr:uid="{A07E85AF-EDBB-4C52-B8BF-A96A1921E3DA}">
      <text>
        <r>
          <rPr>
            <sz val="10"/>
            <color rgb="FF000000"/>
            <rFont val="Arial"/>
          </rPr>
          <t>Following cherbubini et al 10.1111/j.1757-1707.2011.01102.x</t>
        </r>
      </text>
    </comment>
    <comment ref="J9" authorId="0" shapeId="0" xr:uid="{0A3ACF49-347B-42DE-91A8-656321CBB0C7}">
      <text>
        <r>
          <rPr>
            <sz val="10"/>
            <color rgb="FF000000"/>
            <rFont val="Arial"/>
          </rPr>
          <t>Licella</t>
        </r>
      </text>
    </comment>
    <comment ref="F10" authorId="0" shapeId="0" xr:uid="{0B0E39CB-85CE-4E47-9F4D-A9202DD7918A}">
      <text>
        <r>
          <rPr>
            <sz val="10"/>
            <color rgb="FF000000"/>
            <rFont val="Arial"/>
          </rPr>
          <t>xe.com</t>
        </r>
      </text>
    </comment>
    <comment ref="J10" authorId="0" shapeId="0" xr:uid="{EF1CDAA2-B499-4E17-961F-080381714343}">
      <text>
        <r>
          <rPr>
            <sz val="10"/>
            <color rgb="FF000000"/>
            <rFont val="Arial"/>
          </rPr>
          <t>Wildschut</t>
        </r>
      </text>
    </comment>
    <comment ref="A11" authorId="1" shapeId="0" xr:uid="{1B12CF54-5D51-4480-8DC0-A42743716D27}">
      <text>
        <t>[Threaded comment]
Your version of Excel allows you to read this threaded comment; however, any edits to it will get removed if the file is opened in a newer version of Excel. Learn more: https://go.microsoft.com/fwlink/?linkid=870924
Comment:
    https://personalpages.manchester.ac.uk/staff/tom.rodgers/Interactive_graphs/CEPCI.html?reactors/CEPCI/index.html</t>
      </text>
    </comment>
    <comment ref="J11" authorId="0" shapeId="0" xr:uid="{CC397891-D785-419F-BD87-A99E29321B20}">
      <text>
        <r>
          <rPr>
            <sz val="10"/>
            <color rgb="FF000000"/>
            <rFont val="Arial"/>
          </rPr>
          <t>Nabi</t>
        </r>
      </text>
    </comment>
    <comment ref="J14" authorId="0" shapeId="0" xr:uid="{2516858D-F276-4178-90A2-84404DFAB1AF}">
      <text>
        <r>
          <rPr>
            <sz val="10"/>
            <color rgb="FF000000"/>
            <rFont val="Arial"/>
          </rPr>
          <t>DOI: 10.1177/1475090211402136</t>
        </r>
      </text>
    </comment>
    <comment ref="F17" authorId="0" shapeId="0" xr:uid="{84F373B0-56BA-414B-8E8A-151111CD319E}">
      <text>
        <r>
          <rPr>
            <sz val="10"/>
            <color rgb="FF000000"/>
            <rFont val="Arial"/>
          </rPr>
          <t>XE.com</t>
        </r>
      </text>
    </comment>
    <comment ref="J17" authorId="0" shapeId="0" xr:uid="{6640AD79-09BB-4F10-92B5-8A3CBF5943D7}">
      <text>
        <r>
          <rPr>
            <sz val="10"/>
            <color rgb="FF000000"/>
            <rFont val="Arial"/>
          </rPr>
          <t xml:space="preserve">Petzold, 2011
</t>
        </r>
      </text>
    </comment>
    <comment ref="J20" authorId="0" shapeId="0" xr:uid="{215F9BB7-8D02-4455-935D-422BAFC89E5B}">
      <text>
        <r>
          <rPr>
            <sz val="10"/>
            <color rgb="FF000000"/>
            <rFont val="Arial"/>
          </rPr>
          <t>https://inside.mines.edu/~jjechura/Refining/02_Feedstocks_&amp;_Products.pdf (light naptha)</t>
        </r>
      </text>
    </comment>
    <comment ref="J21" authorId="0" shapeId="0" xr:uid="{E67DBBEF-112F-48D6-AF6F-DDCBB4546CC5}">
      <text>
        <r>
          <rPr>
            <sz val="10"/>
            <color rgb="FF000000"/>
            <rFont val="Arial"/>
          </rPr>
          <t>https://inside.mines.edu/~jjechura/Refining/02_Feedstocks_&amp;_Products.pdf kerosene</t>
        </r>
      </text>
    </comment>
    <comment ref="J22" authorId="0" shapeId="0" xr:uid="{130E8A05-26F7-467F-874E-E42AD7C9D4B1}">
      <text>
        <r>
          <rPr>
            <sz val="10"/>
            <color rgb="FF000000"/>
            <rFont val="Arial"/>
          </rPr>
          <t>Diesel https://inside.mines.edu/~jjechura/Refining/02_Feedstocks_&amp;_Products.pdf</t>
        </r>
      </text>
    </comment>
    <comment ref="J23" authorId="0" shapeId="0" xr:uid="{237C39D3-A36D-48A8-A67A-982CC118FB6F}">
      <text>
        <r>
          <rPr>
            <sz val="10"/>
            <color rgb="FF000000"/>
            <rFont val="Arial"/>
          </rPr>
          <t>Assumed the same as Fuel Oil #6</t>
        </r>
      </text>
    </comment>
    <comment ref="I26" authorId="0" shapeId="0" xr:uid="{2311C18F-8FB4-469B-892E-98FB43363500}">
      <text>
        <r>
          <rPr>
            <sz val="10"/>
            <color rgb="FF000000"/>
            <rFont val="Arial"/>
          </rPr>
          <t>VBN=14.534×ln(ln(ν​i​​+0.8))+10.975
where vi = viscosity</t>
        </r>
      </text>
    </comment>
    <comment ref="I32" authorId="0" shapeId="0" xr:uid="{E98D986E-5C83-479F-88D7-A25D4E272A9E}">
      <text>
        <r>
          <rPr>
            <sz val="10"/>
            <color rgb="FF000000"/>
            <rFont val="Arial"/>
          </rPr>
          <t>Average of vacuum gas oil and vacuum residue in the proportion generated from https://inside.mines.edu/~jjechura/Refining/02_Feedstocks_&amp;_Products.pdf</t>
        </r>
      </text>
    </comment>
    <comment ref="I34" authorId="0" shapeId="0" xr:uid="{0E80C3CE-AD0C-46A0-B164-5FAA159A9EA4}">
      <text>
        <r>
          <rPr>
            <sz val="10"/>
            <color rgb="FF000000"/>
            <rFont val="Arial"/>
          </rPr>
          <t>VBN=14.534×ln(ln(ν​i​​+0.8))+10.975
where vi = viscosity</t>
        </r>
      </text>
    </comment>
    <comment ref="B42" authorId="2" shapeId="0" xr:uid="{491EAEC9-A3A9-4310-AFAC-5BB4CF1E02B8}">
      <text>
        <t>[Threaded comment]
Your version of Excel allows you to read this threaded comment; however, any edits to it will get removed if the file is opened in a newer version of Excel. Learn more: https://go.microsoft.com/fwlink/?linkid=870924
Comment:
    Price from PNNL Tews in 2023</t>
      </text>
    </comment>
    <comment ref="K42" authorId="0" shapeId="0" xr:uid="{72E7C434-707E-47F6-97B6-2D1D9B682999}">
      <text>
        <r>
          <rPr>
            <sz val="10"/>
            <color rgb="FF000000"/>
            <rFont val="Arial"/>
          </rPr>
          <t>http://www.aqua-calc.com/calculate/volume-to-weight</t>
        </r>
      </text>
    </comment>
    <comment ref="I48" authorId="0" shapeId="0" xr:uid="{4918FFC5-BA77-45E7-9DE5-DC87C2BD2FAA}">
      <text>
        <r>
          <rPr>
            <sz val="10"/>
            <color rgb="FF000000"/>
            <rFont val="Arial"/>
          </rPr>
          <t>VBN=14.534×ln(ln(ν​i​​+0.8))+10.975
where vi = viscosity</t>
        </r>
      </text>
    </comment>
  </commentList>
</comments>
</file>

<file path=xl/sharedStrings.xml><?xml version="1.0" encoding="utf-8"?>
<sst xmlns="http://schemas.openxmlformats.org/spreadsheetml/2006/main" count="2034" uniqueCount="861">
  <si>
    <t xml:space="preserve">proximate analysis </t>
  </si>
  <si>
    <t>Moisture (%)</t>
  </si>
  <si>
    <t>Volatile matter (%)</t>
  </si>
  <si>
    <t>FC(%)</t>
  </si>
  <si>
    <t>Ash (%)</t>
  </si>
  <si>
    <t xml:space="preserve">Ultimate analysis </t>
  </si>
  <si>
    <t>C</t>
  </si>
  <si>
    <t>H</t>
  </si>
  <si>
    <t>N</t>
  </si>
  <si>
    <t>S</t>
  </si>
  <si>
    <t>O</t>
  </si>
  <si>
    <t>H/C</t>
  </si>
  <si>
    <t>O/C</t>
  </si>
  <si>
    <t>HHV (Mj/kg)</t>
  </si>
  <si>
    <t xml:space="preserve">HTL </t>
  </si>
  <si>
    <t>Biomass slurry ratio</t>
  </si>
  <si>
    <t>Temperature ©</t>
  </si>
  <si>
    <t>Time (min)</t>
  </si>
  <si>
    <t xml:space="preserve">catalyst </t>
  </si>
  <si>
    <t>Product yield</t>
  </si>
  <si>
    <t>Biocrude</t>
  </si>
  <si>
    <t>biochar</t>
  </si>
  <si>
    <t xml:space="preserve">aqueous phase </t>
  </si>
  <si>
    <t xml:space="preserve">gas </t>
  </si>
  <si>
    <t xml:space="preserve">HHV </t>
  </si>
  <si>
    <t xml:space="preserve">Biogas composition </t>
  </si>
  <si>
    <t>CO2</t>
  </si>
  <si>
    <t>H2</t>
  </si>
  <si>
    <t>CH4</t>
  </si>
  <si>
    <t xml:space="preserve">Biocrude composition </t>
  </si>
  <si>
    <t>2-Cyclopenten-1-one, 2-methyl-</t>
  </si>
  <si>
    <t>2-Cyclopenten-1-one, 2,3-dimethyl-</t>
  </si>
  <si>
    <t>Phenol, 4-ethyl-2-methoxy-</t>
  </si>
  <si>
    <t>Phenol, 2-methoxy-</t>
  </si>
  <si>
    <t>2-MET-01</t>
  </si>
  <si>
    <t>2:4-D-01</t>
  </si>
  <si>
    <t>2:4-D-02</t>
  </si>
  <si>
    <t>O-CRE-01</t>
  </si>
  <si>
    <t>4-ETH-01</t>
  </si>
  <si>
    <t>C7H10O</t>
  </si>
  <si>
    <t>C9H12O2</t>
  </si>
  <si>
    <t>C7H8O2</t>
  </si>
  <si>
    <t>C6H12</t>
  </si>
  <si>
    <t>C7H14</t>
  </si>
  <si>
    <t>C8H16</t>
  </si>
  <si>
    <t xml:space="preserve">phenol </t>
  </si>
  <si>
    <t xml:space="preserve">methanol </t>
  </si>
  <si>
    <t>pressure</t>
  </si>
  <si>
    <t>C2H6</t>
  </si>
  <si>
    <t>C3H8</t>
  </si>
  <si>
    <t>C4H10</t>
  </si>
  <si>
    <t xml:space="preserve">Hydrotreatment </t>
  </si>
  <si>
    <t>C8H12O</t>
  </si>
  <si>
    <t>Hydrogen</t>
  </si>
  <si>
    <t>product</t>
  </si>
  <si>
    <t xml:space="preserve">water </t>
  </si>
  <si>
    <t>others</t>
  </si>
  <si>
    <t xml:space="preserve">formula </t>
  </si>
  <si>
    <t xml:space="preserve">Olive tree pruning </t>
  </si>
  <si>
    <t>2Mpa</t>
  </si>
  <si>
    <t>KOH (5wt% biomass)</t>
  </si>
  <si>
    <t>2-Pentanone, 4-hydroxy-4-methyl-</t>
  </si>
  <si>
    <t>4,4-Dimethyl-2-cyclopenten-1-one</t>
  </si>
  <si>
    <t>Ethanone, 1-(1-cyclohexen-1-yl)-</t>
  </si>
  <si>
    <t>Creosol</t>
  </si>
  <si>
    <t>3-Trifluoroacetoxypentadecane</t>
  </si>
  <si>
    <t>Phenol, 2-methoxy-4-propyl-</t>
  </si>
  <si>
    <t>8-Hexadecenal, 14-methyl-, (Z)-</t>
  </si>
  <si>
    <t>Phenol, 2-methoxy-6-(1-propenyl)-</t>
  </si>
  <si>
    <t>Phenol, 3-methoxy-2,4,6-trimethyl-</t>
  </si>
  <si>
    <t>2-Propanone, 1-(4-hydroxy-3-methoxyphenyl)-</t>
  </si>
  <si>
    <t>Phenol, 4-(ethoxymethyl)-2-methoxy-</t>
  </si>
  <si>
    <t>Phenacetic acid, 2,3,5,a,a-pentamethyl-6-carboxy-</t>
  </si>
  <si>
    <t xml:space="preserve">Formula </t>
  </si>
  <si>
    <t>ID</t>
  </si>
  <si>
    <t>C6H12O2</t>
  </si>
  <si>
    <t>DIACE-01</t>
  </si>
  <si>
    <t>C6H80</t>
  </si>
  <si>
    <t>GUAIA-01</t>
  </si>
  <si>
    <t>1-(3--01</t>
  </si>
  <si>
    <t>C7H80</t>
  </si>
  <si>
    <t>1:17--01</t>
  </si>
  <si>
    <t>1,17-HEPTADECANELACTONE</t>
  </si>
  <si>
    <t>C17H32O2</t>
  </si>
  <si>
    <t>4-PRO-01</t>
  </si>
  <si>
    <t>2-OXOHEPTADECANE</t>
  </si>
  <si>
    <t>2-OXO-01</t>
  </si>
  <si>
    <t>C10H14O2</t>
  </si>
  <si>
    <t>C17H34O</t>
  </si>
  <si>
    <t>4-ALL-01</t>
  </si>
  <si>
    <t>4-ALLYL-2-METHOXYPHENOL</t>
  </si>
  <si>
    <t>4-PRO-02</t>
  </si>
  <si>
    <t>4-PROPYLGUAIACOL</t>
  </si>
  <si>
    <t>C10H12O2</t>
  </si>
  <si>
    <t>ISOBUTYROPHENONE</t>
  </si>
  <si>
    <t>ISOBU-01</t>
  </si>
  <si>
    <t>C10H12O</t>
  </si>
  <si>
    <t>ACETOVANILLONE</t>
  </si>
  <si>
    <t>ACETO-01</t>
  </si>
  <si>
    <t>C9H10O3</t>
  </si>
  <si>
    <t>C14H1-01</t>
  </si>
  <si>
    <t>C14H18O2</t>
  </si>
  <si>
    <t>1-(3-CYCLOHEXEN-1-YL)ETHANONE</t>
  </si>
  <si>
    <t>C17H36</t>
  </si>
  <si>
    <t>C9H120</t>
  </si>
  <si>
    <t>C9H12O</t>
  </si>
  <si>
    <t>C8H10O</t>
  </si>
  <si>
    <t> C10H14</t>
  </si>
  <si>
    <t>C6H14</t>
  </si>
  <si>
    <t>isohexane(2-MET-02)</t>
  </si>
  <si>
    <t>2 methylcyclopentane (METHY-01)</t>
  </si>
  <si>
    <t>3,4 - di methyl cyclopentane (1:1-D-01)</t>
  </si>
  <si>
    <t>3,4 - di methyl cyclopentane (CIS-1-01)</t>
  </si>
  <si>
    <t>Ethylcyclohexane (ETHYL-01)</t>
  </si>
  <si>
    <t>heptadecane (HEPTADEC)</t>
  </si>
  <si>
    <t>P-ETHYLPHENOL (P-ETH-01)</t>
  </si>
  <si>
    <t>P-PROPYLPHENOL (PHENO-01)</t>
  </si>
  <si>
    <t>Mesitol (MESIT-01)</t>
  </si>
  <si>
    <t>Isobutylbenzene (ISOBU-02)</t>
  </si>
  <si>
    <t>1,1*-METHYLENEBISCYCLOHEXANE (1:1:--01)</t>
  </si>
  <si>
    <t>C13H24</t>
  </si>
  <si>
    <t xml:space="preserve">Refinery details </t>
  </si>
  <si>
    <t xml:space="preserve">hours per year </t>
  </si>
  <si>
    <t>tons biomass (wet basis)/day</t>
  </si>
  <si>
    <t>tons biomass (wet basis)/hour</t>
  </si>
  <si>
    <t>kg wet biomass/hr</t>
  </si>
  <si>
    <t>kg water/hr needed in total</t>
  </si>
  <si>
    <t>kg water/hr entering with biomass</t>
  </si>
  <si>
    <t>kg water/hr to be supplied</t>
  </si>
  <si>
    <t>Aspen</t>
  </si>
  <si>
    <t>Hydrogen needed</t>
  </si>
  <si>
    <t>kg/hr</t>
  </si>
  <si>
    <t>2.1.2. Hydrothermal Liquefaction</t>
  </si>
  <si>
    <t>0. Refinery Details</t>
  </si>
  <si>
    <t>Heat Recovery</t>
  </si>
  <si>
    <t>%TotalHeat</t>
  </si>
  <si>
    <t>Make up water</t>
  </si>
  <si>
    <t>%w Steam</t>
  </si>
  <si>
    <t>Blowdown</t>
  </si>
  <si>
    <t>3a. Hot Water Injection</t>
  </si>
  <si>
    <t>Electricity Consumption</t>
  </si>
  <si>
    <t>kWh/kgDB</t>
  </si>
  <si>
    <t>Temperature, biomass inlet</t>
  </si>
  <si>
    <t>Temperature, water inlet</t>
  </si>
  <si>
    <t>Temperature, outlet</t>
  </si>
  <si>
    <t>Pressure, biomass inlet</t>
  </si>
  <si>
    <t>bar</t>
  </si>
  <si>
    <t>Pressure, aqueous linet</t>
  </si>
  <si>
    <t>Pressure, outlet</t>
  </si>
  <si>
    <t>Solids: Water Ratio</t>
  </si>
  <si>
    <t>%w</t>
  </si>
  <si>
    <t>cycles run for aqueous qty</t>
  </si>
  <si>
    <t>#</t>
  </si>
  <si>
    <t>C1. Cogeneration Plant</t>
  </si>
  <si>
    <t>Boiler Efficiency</t>
  </si>
  <si>
    <t>%</t>
  </si>
  <si>
    <t>3b. Hydrothermal Liquefaction Reactor</t>
  </si>
  <si>
    <t>Air Excess</t>
  </si>
  <si>
    <t>Temperature, reaction</t>
  </si>
  <si>
    <t>Steam Turbine Efficinecy</t>
  </si>
  <si>
    <t>Residence Time</t>
  </si>
  <si>
    <t>Pressure, reaction</t>
  </si>
  <si>
    <t>Fuel Gas to Burner</t>
  </si>
  <si>
    <t>MJ/kgFeed</t>
  </si>
  <si>
    <t>Electricity Demand</t>
  </si>
  <si>
    <t>kwh/kgFeed</t>
  </si>
  <si>
    <t>Steam Demand, Medium Pressure</t>
  </si>
  <si>
    <t>kg/kgDB</t>
  </si>
  <si>
    <t>Yields (% of dry matter)</t>
  </si>
  <si>
    <t>%dw</t>
  </si>
  <si>
    <t>total yield</t>
  </si>
  <si>
    <t>Recyclate Yields (% of dry matter)</t>
  </si>
  <si>
    <t>org to biocrude</t>
  </si>
  <si>
    <t>org to solids</t>
  </si>
  <si>
    <t>org to gas</t>
  </si>
  <si>
    <t>org to aqueous</t>
  </si>
  <si>
    <t>Energy Contents</t>
  </si>
  <si>
    <t>MJ/kg</t>
  </si>
  <si>
    <t>Char</t>
  </si>
  <si>
    <t>Gas</t>
  </si>
  <si>
    <t>3c. Cooling/Depressurization</t>
  </si>
  <si>
    <t>4. Filter Solid Liquid Seperation</t>
  </si>
  <si>
    <t>Solids recovery efficiency</t>
  </si>
  <si>
    <t>5a. Three Phase Seperator: Gas &amp; Liquid</t>
  </si>
  <si>
    <t>Liquid recovery Efficiency</t>
  </si>
  <si>
    <t>Offgasses to H Plant</t>
  </si>
  <si>
    <t>Gas Composition - Molar</t>
  </si>
  <si>
    <t>%v</t>
  </si>
  <si>
    <t>90.2%</t>
  </si>
  <si>
    <t>CO</t>
  </si>
  <si>
    <t>0.0%</t>
  </si>
  <si>
    <t>3.0%</t>
  </si>
  <si>
    <t>0.9%</t>
  </si>
  <si>
    <t>Ethelyne</t>
  </si>
  <si>
    <t>2.5%</t>
  </si>
  <si>
    <t>Propane</t>
  </si>
  <si>
    <t>1.9%</t>
  </si>
  <si>
    <t>Butane</t>
  </si>
  <si>
    <t>1.5%</t>
  </si>
  <si>
    <t>total gas</t>
  </si>
  <si>
    <t>100.0%</t>
  </si>
  <si>
    <t>Gas Composition - Mass</t>
  </si>
  <si>
    <t>93.3%</t>
  </si>
  <si>
    <t>1.1%</t>
  </si>
  <si>
    <t>1.6%</t>
  </si>
  <si>
    <t>2.0%</t>
  </si>
  <si>
    <t>Biooil Ratio</t>
  </si>
  <si>
    <t>3.03%</t>
  </si>
  <si>
    <t>5b. Three Phase Seperator: Aqueous &amp; Organic</t>
  </si>
  <si>
    <t>Biocrude Compostion</t>
  </si>
  <si>
    <t>w% of liquid</t>
  </si>
  <si>
    <t>Organics</t>
  </si>
  <si>
    <t>H2O</t>
  </si>
  <si>
    <t>ash</t>
  </si>
  <si>
    <t>total biocrude</t>
  </si>
  <si>
    <t>5c. Three Phase Seperator: Aqueous</t>
  </si>
  <si>
    <t>Aqueous fraction purged</t>
  </si>
  <si>
    <t>6a. Hydrogen Pressurization</t>
  </si>
  <si>
    <t>T</t>
  </si>
  <si>
    <t>P, outlet</t>
  </si>
  <si>
    <t>H2 Mix Ratio (% of biocrude)</t>
  </si>
  <si>
    <t>3.30%</t>
  </si>
  <si>
    <t>6b. Hydrotreating</t>
  </si>
  <si>
    <t>T, operating</t>
  </si>
  <si>
    <t>P, operating</t>
  </si>
  <si>
    <t>0.07</t>
  </si>
  <si>
    <t>max O2 content, output</t>
  </si>
  <si>
    <t>unreacted H2</t>
  </si>
  <si>
    <t>6c. Cooling and Depressurization</t>
  </si>
  <si>
    <t>7. Flash Seperation</t>
  </si>
  <si>
    <t>Water removal efficiency</t>
  </si>
  <si>
    <t>Fractions to PSA</t>
  </si>
  <si>
    <t>Fraction of H2</t>
  </si>
  <si>
    <t>Fraction of organics</t>
  </si>
  <si>
    <t>Organics to aqueous</t>
  </si>
  <si>
    <t>H1. Pressure Swing Adsorption</t>
  </si>
  <si>
    <t>H2 Recovery effiiciency</t>
  </si>
  <si>
    <t>% to H Plant</t>
  </si>
  <si>
    <t>100.00%</t>
  </si>
  <si>
    <t>kg dry biomass/hr</t>
  </si>
  <si>
    <t xml:space="preserve">kg water/hr to be supplied in aspen </t>
  </si>
  <si>
    <t>2.2.1. HYDROTHERMAL LIQUEFACTION</t>
  </si>
  <si>
    <t xml:space="preserve">per hour </t>
  </si>
  <si>
    <t>1. Feedstock Acquistion</t>
  </si>
  <si>
    <t>OUT</t>
  </si>
  <si>
    <t>Wet Feedstock</t>
  </si>
  <si>
    <t>kg</t>
  </si>
  <si>
    <t>of which, dry biomass</t>
  </si>
  <si>
    <t>of which, H2O</t>
  </si>
  <si>
    <t>of which, ash</t>
  </si>
  <si>
    <t>Aqueous Recycling Iteration Count</t>
  </si>
  <si>
    <t>IN</t>
  </si>
  <si>
    <t>Ground Feedstock</t>
  </si>
  <si>
    <t>Recycled Aqueous [from 5c]</t>
  </si>
  <si>
    <t>of which, organics</t>
  </si>
  <si>
    <t>Impregnated Feed</t>
  </si>
  <si>
    <t>of which, organics in feedstock</t>
  </si>
  <si>
    <t>of which, ash in feedstock</t>
  </si>
  <si>
    <t>of which, organics in recyclate</t>
  </si>
  <si>
    <t>Hot HTL Slurry</t>
  </si>
  <si>
    <t>of which, total org. in biocrude</t>
  </si>
  <si>
    <t>of which, from fresh feedstock</t>
  </si>
  <si>
    <t>of which, from aqueous recyclate</t>
  </si>
  <si>
    <t>of which, org. in aqueous</t>
  </si>
  <si>
    <t>of which, solids</t>
  </si>
  <si>
    <t>of which, gas</t>
  </si>
  <si>
    <t>4. Cooling/Depressurization</t>
  </si>
  <si>
    <t>Cooled HTL Slurry</t>
  </si>
  <si>
    <t>3c. Filter Solid Liquid Seperation</t>
  </si>
  <si>
    <t>hot HTL Slurry</t>
  </si>
  <si>
    <t>HTL Slurry, solid-free</t>
  </si>
  <si>
    <t>Solids [to Cogeneration]</t>
  </si>
  <si>
    <t>HTL Liquid</t>
  </si>
  <si>
    <t>Offgases [to Cogeneration &amp; H2]</t>
  </si>
  <si>
    <t>WATER</t>
  </si>
  <si>
    <t>METHANE</t>
  </si>
  <si>
    <t>CYCLOPEN</t>
  </si>
  <si>
    <t>CYCLO-01</t>
  </si>
  <si>
    <t>2-ACE-01</t>
  </si>
  <si>
    <t>GAMMA-01</t>
  </si>
  <si>
    <t>2:5-H-01</t>
  </si>
  <si>
    <t>3-MET-01</t>
  </si>
  <si>
    <t>3-MET-02</t>
  </si>
  <si>
    <t>5-MET-01</t>
  </si>
  <si>
    <t>C11H1-01</t>
  </si>
  <si>
    <t>OLEIC-01</t>
  </si>
  <si>
    <t>PHENO-01</t>
  </si>
  <si>
    <t>M-CRE-01</t>
  </si>
  <si>
    <t>P-ETH-01</t>
  </si>
  <si>
    <t>4-MET-01</t>
  </si>
  <si>
    <t>1:2-B-01</t>
  </si>
  <si>
    <t>3-MET-03</t>
  </si>
  <si>
    <t>3-MET-04</t>
  </si>
  <si>
    <t>1-PHE-01</t>
  </si>
  <si>
    <t>1:3-D-01</t>
  </si>
  <si>
    <t>SYRIN-01</t>
  </si>
  <si>
    <t>N-HEX-01</t>
  </si>
  <si>
    <t>OLEIC-02</t>
  </si>
  <si>
    <t>METHY-01</t>
  </si>
  <si>
    <t>METHY-02</t>
  </si>
  <si>
    <t>METHY-03</t>
  </si>
  <si>
    <t>METHY-04</t>
  </si>
  <si>
    <t>CARBO-02</t>
  </si>
  <si>
    <t>ETHAN-01</t>
  </si>
  <si>
    <t>N-BUT-01</t>
  </si>
  <si>
    <t>PROPA-01</t>
  </si>
  <si>
    <t>Water-02</t>
  </si>
  <si>
    <t>Aqueous</t>
  </si>
  <si>
    <t>Aqueous to recycle [to 3]</t>
  </si>
  <si>
    <t>Waste Aqueous [to WWT]</t>
  </si>
  <si>
    <t>Pressurized H2</t>
  </si>
  <si>
    <t>of which, from Hydrogen plant [H.1]</t>
  </si>
  <si>
    <t>of which, recovered from PSA [H.2]</t>
  </si>
  <si>
    <t>Biocrude [equilibrium yield]</t>
  </si>
  <si>
    <t>Hot hydrotreated biocrude</t>
  </si>
  <si>
    <t>Solids</t>
  </si>
  <si>
    <t>of which, H2</t>
  </si>
  <si>
    <t>of which, char</t>
  </si>
  <si>
    <t>Offgassess, from processes</t>
  </si>
  <si>
    <t>Cool hydrotreated biocrude</t>
  </si>
  <si>
    <t>Flashed biocrude</t>
  </si>
  <si>
    <t>H2O [to WWT]</t>
  </si>
  <si>
    <t>Gas [to H2]</t>
  </si>
  <si>
    <t>H.2 Pressure Swing Absorption</t>
  </si>
  <si>
    <t>H2 [to Hydrotreatment]</t>
  </si>
  <si>
    <t>H2 [to h plant]</t>
  </si>
  <si>
    <t>h2 to cogen</t>
  </si>
  <si>
    <t>Offgasses [to H Plant]</t>
  </si>
  <si>
    <t>Offgasses [to cogen]</t>
  </si>
  <si>
    <t>0.0</t>
  </si>
  <si>
    <t>HTL Balance</t>
  </si>
  <si>
    <t>In</t>
  </si>
  <si>
    <t>dry Feedstock</t>
  </si>
  <si>
    <t>Water</t>
  </si>
  <si>
    <t xml:space="preserve">hydrogen </t>
  </si>
  <si>
    <t>Air</t>
  </si>
  <si>
    <t xml:space="preserve">Natural gas </t>
  </si>
  <si>
    <t>Out</t>
  </si>
  <si>
    <t>Biofuel</t>
  </si>
  <si>
    <t>Waste Water [to WWT]</t>
  </si>
  <si>
    <t>Mass Imbalance</t>
  </si>
  <si>
    <t>Natural Gas</t>
  </si>
  <si>
    <t>of which O2 for offgas combustion</t>
  </si>
  <si>
    <t>of which N2 for offgas combustion</t>
  </si>
  <si>
    <t>of which, O2 for natural gas combustion</t>
  </si>
  <si>
    <t>of which, N2 for natural gas combustion</t>
  </si>
  <si>
    <t>Flue Gas, from Production Inputs</t>
  </si>
  <si>
    <t>of which CO2</t>
  </si>
  <si>
    <t>of which, N2</t>
  </si>
  <si>
    <t>of which, O2</t>
  </si>
  <si>
    <t>of which, unrecovered liquids</t>
  </si>
  <si>
    <t>Flue Gas, from Natural Gas</t>
  </si>
  <si>
    <t>Ash [to Waste Treatment]</t>
  </si>
  <si>
    <t xml:space="preserve">Hydrogen </t>
  </si>
  <si>
    <t xml:space="preserve">Reactant </t>
  </si>
  <si>
    <t xml:space="preserve">mol of reactant </t>
  </si>
  <si>
    <t xml:space="preserve">Hot water injection </t>
  </si>
  <si>
    <t xml:space="preserve">Cogenration </t>
  </si>
  <si>
    <t xml:space="preserve">electricity </t>
  </si>
  <si>
    <t xml:space="preserve">Mass fraction </t>
  </si>
  <si>
    <t xml:space="preserve">Total </t>
  </si>
  <si>
    <t xml:space="preserve">Molecular weight </t>
  </si>
  <si>
    <t>heat of combsution (MJ/kg)</t>
  </si>
  <si>
    <t xml:space="preserve">heat produced </t>
  </si>
  <si>
    <t xml:space="preserve">pumps </t>
  </si>
  <si>
    <t>kW</t>
  </si>
  <si>
    <t>HYDROGEN</t>
  </si>
  <si>
    <t>STEAM</t>
  </si>
  <si>
    <t>kW/kgdryfeed</t>
  </si>
  <si>
    <t xml:space="preserve">Heat </t>
  </si>
  <si>
    <t xml:space="preserve">Hydrothermal reactor </t>
  </si>
  <si>
    <t xml:space="preserve">heat </t>
  </si>
  <si>
    <t>reactor</t>
  </si>
  <si>
    <t>MJ</t>
  </si>
  <si>
    <t xml:space="preserve">heat excahnger </t>
  </si>
  <si>
    <t>MJ/kgfeed</t>
  </si>
  <si>
    <t xml:space="preserve">Hydrotreating </t>
  </si>
  <si>
    <t>Aspen value</t>
  </si>
  <si>
    <t>Tanzer</t>
  </si>
  <si>
    <t>H2 compressor</t>
  </si>
  <si>
    <t>kWh/kg feed</t>
  </si>
  <si>
    <t xml:space="preserve">feed pump </t>
  </si>
  <si>
    <t>heat</t>
  </si>
  <si>
    <t xml:space="preserve">Total electricity demand </t>
  </si>
  <si>
    <t>kWh</t>
  </si>
  <si>
    <t xml:space="preserve">Total heat demand </t>
  </si>
  <si>
    <t>Total Heat of Reaction</t>
  </si>
  <si>
    <t>Energy Generated, Boiler</t>
  </si>
  <si>
    <t>Max Electric Potential</t>
  </si>
  <si>
    <t>kwh</t>
  </si>
  <si>
    <t>HTL UTILITY DEMAND TOTALS</t>
  </si>
  <si>
    <t>CARBO-01</t>
  </si>
  <si>
    <t>Total Electricity Demand</t>
  </si>
  <si>
    <t>Boiler Energy Used for Electricity Demand</t>
  </si>
  <si>
    <t>Unfulfilled Electricity Demand</t>
  </si>
  <si>
    <t>Boiler Energy Remaining</t>
  </si>
  <si>
    <t>Total</t>
  </si>
  <si>
    <t>Total Heat Demand</t>
  </si>
  <si>
    <t>Process Heat Recovered</t>
  </si>
  <si>
    <t>High Pressure Steam</t>
  </si>
  <si>
    <t>Utility Heat Demand</t>
  </si>
  <si>
    <t>Boiler Energy Used for Heat Demand</t>
  </si>
  <si>
    <t xml:space="preserve">Char </t>
  </si>
  <si>
    <t>kg/h</t>
  </si>
  <si>
    <t>Unfufilled Heat Demand</t>
  </si>
  <si>
    <t>Natural Gas Demand</t>
  </si>
  <si>
    <t>Excess Boiler Energy</t>
  </si>
  <si>
    <t>Excess Electricity</t>
  </si>
  <si>
    <t>Total Utility Water Demand</t>
  </si>
  <si>
    <t>Blow down water</t>
  </si>
  <si>
    <t>Cooling Water</t>
  </si>
  <si>
    <t>MW</t>
  </si>
  <si>
    <t>2.4.1 Hydrothermal Liquefaction</t>
  </si>
  <si>
    <t>Energy In</t>
  </si>
  <si>
    <t>Biomass</t>
  </si>
  <si>
    <t>Biomass in Recycled Aqueous, est.</t>
  </si>
  <si>
    <t>Biomass in Recycled Aqueous, alt est.</t>
  </si>
  <si>
    <t>Energy Out, Reactor</t>
  </si>
  <si>
    <t>Aqueous&amp; Losses</t>
  </si>
  <si>
    <t>Aqueous energy content [calculated]</t>
  </si>
  <si>
    <t>mj/kg</t>
  </si>
  <si>
    <t>Char (Combustible)</t>
  </si>
  <si>
    <t>Gas (Combustible)</t>
  </si>
  <si>
    <t>Orangnics Mass Out, Reactor</t>
  </si>
  <si>
    <t>Energy Out, System</t>
  </si>
  <si>
    <t>Biomass Combustion</t>
  </si>
  <si>
    <t>of which, internal heat</t>
  </si>
  <si>
    <t>of which, internal electricity</t>
  </si>
  <si>
    <t>of which, salable electricity</t>
  </si>
  <si>
    <t>of which, known losses</t>
  </si>
  <si>
    <t xml:space="preserve">sum </t>
  </si>
  <si>
    <t>Natural Gas Combustion</t>
  </si>
  <si>
    <t>Aqueous Waste Purge</t>
  </si>
  <si>
    <t>Aqueous &amp; Other Losses</t>
  </si>
  <si>
    <t>IN – OUT [System Losses]</t>
  </si>
  <si>
    <t>Unknown Losses</t>
  </si>
  <si>
    <t>For Chart</t>
  </si>
  <si>
    <t>Salable Electricity</t>
  </si>
  <si>
    <t>Process Energy, from Biogas and Char</t>
  </si>
  <si>
    <t>Process Energy, from Natural Gas</t>
  </si>
  <si>
    <t>Aqueous Recyclate</t>
  </si>
  <si>
    <t>Combustion Losses</t>
  </si>
  <si>
    <t>Waste Aqueous &amp; Unknown Losses</t>
  </si>
  <si>
    <t>Inputs</t>
  </si>
  <si>
    <t>Wet 
Feedstock</t>
  </si>
  <si>
    <t>Dry Ash Free Feedstock</t>
  </si>
  <si>
    <t>kg daf</t>
  </si>
  <si>
    <t>Feedstock  H2O</t>
  </si>
  <si>
    <t>2.5.1. Hydrothermal Liquefaction</t>
  </si>
  <si>
    <t>Biofuel Yield</t>
  </si>
  <si>
    <t>kg/kgDM</t>
  </si>
  <si>
    <t>Wet Yield</t>
  </si>
  <si>
    <t>kg/kg wet</t>
  </si>
  <si>
    <t>HHV   — assumed</t>
  </si>
  <si>
    <t>Biofuel Energy Yield</t>
  </si>
  <si>
    <t>MJ/kgDM</t>
  </si>
  <si>
    <t>MJ/MJ</t>
  </si>
  <si>
    <t>kwh/kgDM</t>
  </si>
  <si>
    <t>Coproducts</t>
  </si>
  <si>
    <t>Electricity</t>
  </si>
  <si>
    <t>Wastes</t>
  </si>
  <si>
    <t>Offgas</t>
  </si>
  <si>
    <t>Liquids</t>
  </si>
  <si>
    <t>Needed Capacity</t>
  </si>
  <si>
    <t>Pretreatment [wet tons]</t>
  </si>
  <si>
    <t>HTL Reactor(s) [feed]</t>
  </si>
  <si>
    <t>Filter</t>
  </si>
  <si>
    <t>Biofuel Storage</t>
  </si>
  <si>
    <t>Hydrotreatment [biocrude]</t>
  </si>
  <si>
    <t>H2 Production [h2]</t>
  </si>
  <si>
    <t>Cogeneration</t>
  </si>
  <si>
    <t>kw/kgDM/h</t>
  </si>
  <si>
    <t xml:space="preserve">Non Renewable Energy Use </t>
  </si>
  <si>
    <t>per MJ of biofuel</t>
  </si>
  <si>
    <t>per MG of product</t>
  </si>
  <si>
    <t>Internal Energy Use</t>
  </si>
  <si>
    <t>MJ/MJ biofuel</t>
  </si>
  <si>
    <t>Cogen Emissions</t>
  </si>
  <si>
    <t xml:space="preserve">flue gases </t>
  </si>
  <si>
    <t xml:space="preserve">Processing Capacity </t>
  </si>
  <si>
    <t>dry biomass tonnes/day</t>
  </si>
  <si>
    <t>Biorefinery Feedstock Demand</t>
  </si>
  <si>
    <t>dry tons of feedstock per yeaar</t>
  </si>
  <si>
    <t>t/year</t>
  </si>
  <si>
    <t>wet tons of feedstock per year</t>
  </si>
  <si>
    <t xml:space="preserve">Feedstock price </t>
  </si>
  <si>
    <t>Eur/ton</t>
  </si>
  <si>
    <t>km</t>
  </si>
  <si>
    <t>Transport distance from HTL plant to Upgrading facility</t>
  </si>
  <si>
    <t xml:space="preserve">Transport distance from Upgrading facility to port </t>
  </si>
  <si>
    <t>4.1.1. Capital Expense Parameters</t>
  </si>
  <si>
    <t>Investment Factors</t>
  </si>
  <si>
    <t>Installation Costs (Install Factor - 1)</t>
  </si>
  <si>
    <t>% of TPEC</t>
  </si>
  <si>
    <t>Indirect</t>
  </si>
  <si>
    <t>% of Direct</t>
  </si>
  <si>
    <t>Contractor's Fee</t>
  </si>
  <si>
    <t>Base Contingency</t>
  </si>
  <si>
    <t>Working Capital</t>
  </si>
  <si>
    <t>% Sales Rev</t>
  </si>
  <si>
    <t>Start Up Costs</t>
  </si>
  <si>
    <t>% of Fixed Cap</t>
  </si>
  <si>
    <t>Location Factor</t>
  </si>
  <si>
    <t>% of CapEx</t>
  </si>
  <si>
    <t>Scaling power factors</t>
  </si>
  <si>
    <t>Hydrothermal Liquefaction</t>
  </si>
  <si>
    <t>-</t>
  </si>
  <si>
    <t>Hydrotreating</t>
  </si>
  <si>
    <t>Hydrogen Production</t>
  </si>
  <si>
    <t>Cogeneration &amp; Utilities</t>
  </si>
  <si>
    <t>Storage</t>
  </si>
  <si>
    <t>4.1.2. Operating Expense Parameters</t>
  </si>
  <si>
    <t>Interest Rate</t>
  </si>
  <si>
    <t>of which, ROI</t>
  </si>
  <si>
    <t>of which, inflation</t>
  </si>
  <si>
    <t>of which, risk premium</t>
  </si>
  <si>
    <t>Labor Expense Parameters</t>
  </si>
  <si>
    <t>Operators per Shift, HTL</t>
  </si>
  <si>
    <t>Shifts per Day</t>
  </si>
  <si>
    <t>Hours per Shift</t>
  </si>
  <si>
    <t>Supervision &amp; Operating Supplies</t>
  </si>
  <si>
    <t>Manufacturing Expense Parameters</t>
  </si>
  <si>
    <t>Maintenance</t>
  </si>
  <si>
    <t>% Fixed Cap</t>
  </si>
  <si>
    <t>Plant Overhead</t>
  </si>
  <si>
    <t>% Total labor</t>
  </si>
  <si>
    <t>Depreciation</t>
  </si>
  <si>
    <t>% Total cap</t>
  </si>
  <si>
    <t>Local Taxes</t>
  </si>
  <si>
    <t>Income Taxes</t>
  </si>
  <si>
    <t>% Revenue</t>
  </si>
  <si>
    <t>Insurance</t>
  </si>
  <si>
    <t>General Expenses</t>
  </si>
  <si>
    <t>% Sales</t>
  </si>
  <si>
    <t>% of Direct Prod</t>
  </si>
  <si>
    <t>4.1.3. Feedstock Variables and Related</t>
  </si>
  <si>
    <t>Feedstocks Prices, Field</t>
  </si>
  <si>
    <t>EUR per...</t>
  </si>
  <si>
    <t>wet ton</t>
  </si>
  <si>
    <t>Feedstocks Prices,  Delivered</t>
  </si>
  <si>
    <t>Product Prices</t>
  </si>
  <si>
    <t>MGO (fossil)</t>
  </si>
  <si>
    <t>Eur per ton (2023) (in Gibraltor)</t>
  </si>
  <si>
    <t>MGO, per GJ</t>
  </si>
  <si>
    <t>GJ</t>
  </si>
  <si>
    <t>HHV</t>
  </si>
  <si>
    <t>MJ/Kg</t>
  </si>
  <si>
    <t>electricity, wholesale</t>
  </si>
  <si>
    <t>Eur/MWh (in 2023)</t>
  </si>
  <si>
    <t>VLSFO</t>
  </si>
  <si>
    <t>MWh to GJ</t>
  </si>
  <si>
    <t>GJ/MWh</t>
  </si>
  <si>
    <t>electricity, wholesale, per GJ</t>
  </si>
  <si>
    <t>Natural gas</t>
  </si>
  <si>
    <t>kWh to MJ</t>
  </si>
  <si>
    <t>MJ/kWh</t>
  </si>
  <si>
    <t>VLSFO (fossil)</t>
  </si>
  <si>
    <t>Comparison Product Prices</t>
  </si>
  <si>
    <t>Crude Price</t>
  </si>
  <si>
    <t>EUR for Brent Crude/Barrel</t>
  </si>
  <si>
    <t>EUR to USD (2023)</t>
  </si>
  <si>
    <t>Logistics Prices</t>
  </si>
  <si>
    <t>Truck transport, fixed</t>
  </si>
  <si>
    <t>ton</t>
  </si>
  <si>
    <t>Truck transport, variable</t>
  </si>
  <si>
    <t>ton km</t>
  </si>
  <si>
    <t>Operating Expenses</t>
  </si>
  <si>
    <t>EUR (2023) per …</t>
  </si>
  <si>
    <t>waste processing: gas [estimated]</t>
  </si>
  <si>
    <t>waste processing: water, black [estimated]</t>
  </si>
  <si>
    <t>waste processing: solids</t>
  </si>
  <si>
    <t>Eur/kWh</t>
  </si>
  <si>
    <t>Eur/MJ</t>
  </si>
  <si>
    <t>Eur/kg</t>
  </si>
  <si>
    <t>Natural gas, per GJ</t>
  </si>
  <si>
    <t>Base Salary</t>
  </si>
  <si>
    <t>hour</t>
  </si>
  <si>
    <t>Hydrotreating Catalyst</t>
  </si>
  <si>
    <t xml:space="preserve">US inflation </t>
  </si>
  <si>
    <t>https://www.usinflationcalculator.com/</t>
  </si>
  <si>
    <t>4.1.4. Equipment Prices</t>
  </si>
  <si>
    <t>USD per n...</t>
  </si>
  <si>
    <t>All equipment prices are in Millions USD per unit, corresponding to the reference capacity in the unit column</t>
  </si>
  <si>
    <t>units/day</t>
  </si>
  <si>
    <t>2023 M EUR</t>
  </si>
  <si>
    <t>Feedstock Handling and Prep [wet tons feedstock]</t>
  </si>
  <si>
    <t>Oil Production [reactor wet feed tons]</t>
  </si>
  <si>
    <t>Hydrotreating [tons biocrude]</t>
  </si>
  <si>
    <t>Hydrogen Plant [t H2]</t>
  </si>
  <si>
    <t>Cogeneration [MW]</t>
  </si>
  <si>
    <t>Pruning biomass</t>
  </si>
  <si>
    <t>Transport cost for 60 km</t>
  </si>
  <si>
    <t>Fixed Capital Investments, including</t>
  </si>
  <si>
    <t>M EUR</t>
  </si>
  <si>
    <t>Direct Capital Costs, including</t>
  </si>
  <si>
    <t>Total Purchased Equipment Cost</t>
  </si>
  <si>
    <t>of which, Feedstock Handling &amp; Prep</t>
  </si>
  <si>
    <t>of which, Oil Production</t>
  </si>
  <si>
    <t>of which, hydrotreatment</t>
  </si>
  <si>
    <t>of which, Cogeneration</t>
  </si>
  <si>
    <t>Installation Costs</t>
  </si>
  <si>
    <t>Indirect Costs</t>
  </si>
  <si>
    <t>Contingency</t>
  </si>
  <si>
    <t>Start-up Costs</t>
  </si>
  <si>
    <t>TOTAL CAPITAL INVESTMENT</t>
  </si>
  <si>
    <t>LOCATION ADJUSTED CAPEX</t>
  </si>
  <si>
    <t>Direct Production Costs, including</t>
  </si>
  <si>
    <t>Variable costs</t>
  </si>
  <si>
    <t>M EUR/year</t>
  </si>
  <si>
    <t>of which, feedstock</t>
  </si>
  <si>
    <t>of which, hydrogen</t>
  </si>
  <si>
    <t>of which, wastewater treatment</t>
  </si>
  <si>
    <t>of which, gas cleaning</t>
  </si>
  <si>
    <t>of which, ash disposal</t>
  </si>
  <si>
    <t>of which, catalysts</t>
  </si>
  <si>
    <t>of which, natural gas</t>
  </si>
  <si>
    <t>of which, water</t>
  </si>
  <si>
    <t>Labor Related Costs</t>
  </si>
  <si>
    <t>of which, direct wage and benefits</t>
  </si>
  <si>
    <t>of which, supervision, supplies, assistance</t>
  </si>
  <si>
    <t>Fixed Charges, including</t>
  </si>
  <si>
    <t>Total  General Expenses</t>
  </si>
  <si>
    <t>TOTAL OPERATING COSTS (Annual)</t>
  </si>
  <si>
    <t>M EUR/YEAR</t>
  </si>
  <si>
    <t>Annual Salues Revenue</t>
  </si>
  <si>
    <t>of which Biocrude</t>
  </si>
  <si>
    <t xml:space="preserve">of which biochar </t>
  </si>
  <si>
    <t xml:space="preserve">M EUR/year </t>
  </si>
  <si>
    <t>of which Electricity</t>
  </si>
  <si>
    <t>Gross Profit</t>
  </si>
  <si>
    <t>Earninngs Before Tax</t>
  </si>
  <si>
    <t>Minimum Fuel Selling Price</t>
  </si>
  <si>
    <t>EUR/ton</t>
  </si>
  <si>
    <t>MFSP: MGO Price Ratio</t>
  </si>
  <si>
    <t>years</t>
  </si>
  <si>
    <t xml:space="preserve">Life Span </t>
  </si>
  <si>
    <t>Feedstock Handling</t>
  </si>
  <si>
    <t>kg KOH needed per hour</t>
  </si>
  <si>
    <t>kg KOH needed per year</t>
  </si>
  <si>
    <t>tons KOH needed per year</t>
  </si>
  <si>
    <t>$/ton</t>
  </si>
  <si>
    <t>KOH price</t>
  </si>
  <si>
    <t xml:space="preserve">EUR/ton </t>
  </si>
  <si>
    <t>Spain model</t>
  </si>
  <si>
    <t>reference</t>
  </si>
  <si>
    <t>kg/tonne biooil</t>
  </si>
  <si>
    <t>Feedstock Factors</t>
  </si>
  <si>
    <t>Economic Factors</t>
  </si>
  <si>
    <t>Fuel Factors</t>
  </si>
  <si>
    <t>Mass Model Factors</t>
  </si>
  <si>
    <t>Energy Model Factors</t>
  </si>
  <si>
    <t>Emission Model Factors</t>
  </si>
  <si>
    <t>Item</t>
  </si>
  <si>
    <t>Value</t>
  </si>
  <si>
    <t>Units</t>
  </si>
  <si>
    <t>Energy Conversion</t>
  </si>
  <si>
    <t>Currency Conversion</t>
  </si>
  <si>
    <t>Energy content of fuels (HHV)</t>
  </si>
  <si>
    <t>Molar Weights</t>
  </si>
  <si>
    <t>Specific Heats (cP)</t>
  </si>
  <si>
    <t>Characterization Factors</t>
  </si>
  <si>
    <t xml:space="preserve">*Wh to *J </t>
  </si>
  <si>
    <t>J/Wh</t>
  </si>
  <si>
    <t>DKK (2013) to USD (2015)</t>
  </si>
  <si>
    <t>USD/DDK</t>
  </si>
  <si>
    <t>Light Naptha</t>
  </si>
  <si>
    <t>g/mol</t>
  </si>
  <si>
    <t>MJ/kg/k</t>
  </si>
  <si>
    <t>CH4 to CO2-equiv</t>
  </si>
  <si>
    <t>kg CO2-eq/kg CH4</t>
  </si>
  <si>
    <t>EUR (2010) to EUR (2015)</t>
  </si>
  <si>
    <t>EUR/EUR</t>
  </si>
  <si>
    <t>Jet fuel</t>
  </si>
  <si>
    <t>N2O to CO2-equiv</t>
  </si>
  <si>
    <t>kg CO2-eq/kg N2O</t>
  </si>
  <si>
    <t>Short ton to metric ton</t>
  </si>
  <si>
    <t>ston/mton</t>
  </si>
  <si>
    <t>EUR (2001) to USD (2015)</t>
  </si>
  <si>
    <t>USD/EUR</t>
  </si>
  <si>
    <t>Diesel</t>
  </si>
  <si>
    <t>Oxygen</t>
  </si>
  <si>
    <t>Bio CO2 to CO2-equiv</t>
  </si>
  <si>
    <t>kg CO2-eq/kg biogenic CO2</t>
  </si>
  <si>
    <t>Efficiencies</t>
  </si>
  <si>
    <t>EUR (2003) to USD (2015)</t>
  </si>
  <si>
    <t>HFO</t>
  </si>
  <si>
    <t>truck freight</t>
  </si>
  <si>
    <t>mj/ton-km</t>
  </si>
  <si>
    <t>EUR (2010) to USD (2015)</t>
  </si>
  <si>
    <t>MGO</t>
  </si>
  <si>
    <t>Steam</t>
  </si>
  <si>
    <t>oceanic freight</t>
  </si>
  <si>
    <t>EUR (2013) to USD (2015)</t>
  </si>
  <si>
    <t>HTL biocrude</t>
  </si>
  <si>
    <t>Sand</t>
  </si>
  <si>
    <t>EUR (2015) to USD (2015)</t>
  </si>
  <si>
    <t>FP+HT biocrude</t>
  </si>
  <si>
    <t>Carbon Dixoide</t>
  </si>
  <si>
    <t>CEPCI</t>
  </si>
  <si>
    <t>EUR (2016) to USD (2015)</t>
  </si>
  <si>
    <t>GFT biocrude</t>
  </si>
  <si>
    <t>Methane</t>
  </si>
  <si>
    <t>index</t>
  </si>
  <si>
    <t>GBP (2015) to USD (2015)</t>
  </si>
  <si>
    <t>USD/GBP</t>
  </si>
  <si>
    <t>Green wood</t>
  </si>
  <si>
    <t>Carbon Monoxide</t>
  </si>
  <si>
    <t>NOK (2015) to USD (2015)</t>
  </si>
  <si>
    <t>USD/NOK</t>
  </si>
  <si>
    <t>Wax</t>
  </si>
  <si>
    <t>C2-C4</t>
  </si>
  <si>
    <t>NOK (2016) to USD (2015)</t>
  </si>
  <si>
    <t>Liquid Natural Gas</t>
  </si>
  <si>
    <t>SEK (2003) to USD (2015)</t>
  </si>
  <si>
    <t>USD/SEK</t>
  </si>
  <si>
    <t>H2S</t>
  </si>
  <si>
    <t>SEK  (2014) to USD (2015)</t>
  </si>
  <si>
    <t>Wood chips</t>
  </si>
  <si>
    <t>NH3</t>
  </si>
  <si>
    <t>SEK  (2015) to USD (2015)</t>
  </si>
  <si>
    <t>Soy Biodiesel</t>
  </si>
  <si>
    <t>MJ/KG</t>
  </si>
  <si>
    <t>O2</t>
  </si>
  <si>
    <t>Steam energy contents</t>
  </si>
  <si>
    <t>USD (2003) to USD (2015)</t>
  </si>
  <si>
    <t>USD/USD</t>
  </si>
  <si>
    <t>SO2</t>
  </si>
  <si>
    <t>Low Pressure Steam</t>
  </si>
  <si>
    <t>USD (2005) to USD (2015)</t>
  </si>
  <si>
    <t>Viscosity at 50C</t>
  </si>
  <si>
    <t>C2H4 [Ethelyne]</t>
  </si>
  <si>
    <t>Medium Pressure Steam</t>
  </si>
  <si>
    <t>USD (2010) to USD (2015)</t>
  </si>
  <si>
    <t>mm2/s</t>
  </si>
  <si>
    <t>C3H6 [Propane]</t>
  </si>
  <si>
    <t>USD (2013) to USD (2015)</t>
  </si>
  <si>
    <t>Kerosene/Jet fuel</t>
  </si>
  <si>
    <t>C4H10 [Butane]</t>
  </si>
  <si>
    <t>USD (2014) to USD (2015)</t>
  </si>
  <si>
    <t>C2H6 [Ethane]</t>
  </si>
  <si>
    <t>USD (2016) to USD (2015)</t>
  </si>
  <si>
    <t>Vacuum Gas Oil</t>
  </si>
  <si>
    <t>Pressure Conversion</t>
  </si>
  <si>
    <t>USD (2017) to USD (2015)</t>
  </si>
  <si>
    <t>Vacuum Residue</t>
  </si>
  <si>
    <t>MPa to bar</t>
  </si>
  <si>
    <t>bar/MPA</t>
  </si>
  <si>
    <t>DKK (2015) to USD (2015)</t>
  </si>
  <si>
    <t>USD/DKK</t>
  </si>
  <si>
    <t>psi to bar</t>
  </si>
  <si>
    <t>bar/psi</t>
  </si>
  <si>
    <t>BRL (2016) to USD (2015)</t>
  </si>
  <si>
    <t>USD/BRL</t>
  </si>
  <si>
    <t>Viscosity Blending Numbers</t>
  </si>
  <si>
    <t>Air Composition (cP)</t>
  </si>
  <si>
    <t>VBN</t>
  </si>
  <si>
    <t>Nitrogen</t>
  </si>
  <si>
    <t>kg/kg Air</t>
  </si>
  <si>
    <t>"Wax"/Residue</t>
  </si>
  <si>
    <t>Mixed vacuum</t>
  </si>
  <si>
    <t>Densities</t>
  </si>
  <si>
    <t>Marine Gas Oil</t>
  </si>
  <si>
    <t>kg/L</t>
  </si>
  <si>
    <t>Heavy Fuel Oil</t>
  </si>
  <si>
    <t>Pyrolysis Oil</t>
  </si>
  <si>
    <t>Gasoline</t>
  </si>
  <si>
    <t>Jet Fuel</t>
  </si>
  <si>
    <t>Gas Oil</t>
  </si>
  <si>
    <t>bbl/ton</t>
  </si>
  <si>
    <t xml:space="preserve">Catalyst cost </t>
  </si>
  <si>
    <t>bb/ton</t>
  </si>
  <si>
    <t>Ni Mo</t>
  </si>
  <si>
    <t>$/kg</t>
  </si>
  <si>
    <t>gal/ton</t>
  </si>
  <si>
    <t>Conversions</t>
  </si>
  <si>
    <t>Liters per gallon</t>
  </si>
  <si>
    <t>L/gal</t>
  </si>
  <si>
    <t>Catalyst needed per hour in kg</t>
  </si>
  <si>
    <t>MFSP: VLSFO Price Ratio</t>
  </si>
  <si>
    <t>cost factor conversion 2015 to 2023</t>
  </si>
  <si>
    <t>Month</t>
  </si>
  <si>
    <t>2024 Mar</t>
  </si>
  <si>
    <t>800.7</t>
  </si>
  <si>
    <t>2024 Feb</t>
  </si>
  <si>
    <t>800.0</t>
  </si>
  <si>
    <t>2024 Jan</t>
  </si>
  <si>
    <t>795.4</t>
  </si>
  <si>
    <t>2023 Dec</t>
  </si>
  <si>
    <t>2023 Nov</t>
  </si>
  <si>
    <t>2023 Oct</t>
  </si>
  <si>
    <t>2023 Sep</t>
  </si>
  <si>
    <t>2023 Aug</t>
  </si>
  <si>
    <t>2023 Jul</t>
  </si>
  <si>
    <t>2023 Jun</t>
  </si>
  <si>
    <t>2023 May</t>
  </si>
  <si>
    <t>2023 Apr</t>
  </si>
  <si>
    <t>2023 Mar</t>
  </si>
  <si>
    <t>2023 Feb</t>
  </si>
  <si>
    <t>2023 Jan</t>
  </si>
  <si>
    <t>2022 Dec</t>
  </si>
  <si>
    <t>2022 Nov</t>
  </si>
  <si>
    <t>2022 Oct</t>
  </si>
  <si>
    <t>2022 Sep</t>
  </si>
  <si>
    <t>2022 Aug</t>
  </si>
  <si>
    <t>2022 Jul</t>
  </si>
  <si>
    <t>2022 Jun</t>
  </si>
  <si>
    <t>2022 May</t>
  </si>
  <si>
    <t>2022 Apr</t>
  </si>
  <si>
    <t>2022 Mar</t>
  </si>
  <si>
    <t>2022 Feb</t>
  </si>
  <si>
    <t>2022 Jan</t>
  </si>
  <si>
    <t>2021 Dec</t>
  </si>
  <si>
    <t>2021 Nov</t>
  </si>
  <si>
    <t>2021 Oct</t>
  </si>
  <si>
    <t>2021 Sep</t>
  </si>
  <si>
    <t>2021 Aug</t>
  </si>
  <si>
    <t>2021 Jul</t>
  </si>
  <si>
    <t>2021 Jun</t>
  </si>
  <si>
    <t>2021 May</t>
  </si>
  <si>
    <t>2021 Apr</t>
  </si>
  <si>
    <t>677.1</t>
  </si>
  <si>
    <t>816.0</t>
  </si>
  <si>
    <t>607.5</t>
  </si>
  <si>
    <t>603.1</t>
  </si>
  <si>
    <t>567.5</t>
  </si>
  <si>
    <t>541.7</t>
  </si>
  <si>
    <t>576.1</t>
  </si>
  <si>
    <t>567.3</t>
  </si>
  <si>
    <t>584.6</t>
  </si>
  <si>
    <t>585.7</t>
  </si>
  <si>
    <t>550.8</t>
  </si>
  <si>
    <t>521.9</t>
  </si>
  <si>
    <t>575.4</t>
  </si>
  <si>
    <t>525.4</t>
  </si>
  <si>
    <t>499.6</t>
  </si>
  <si>
    <t>468.2</t>
  </si>
  <si>
    <t>444.2</t>
  </si>
  <si>
    <t>402.0</t>
  </si>
  <si>
    <t>395.6</t>
  </si>
  <si>
    <t>394.3</t>
  </si>
  <si>
    <t>1957-1959</t>
  </si>
  <si>
    <t>100.0</t>
  </si>
  <si>
    <t>cost factor conversion 2020 to 2023</t>
  </si>
  <si>
    <t>biocrude ouput</t>
  </si>
  <si>
    <t>biofuel output</t>
  </si>
  <si>
    <t>Split</t>
  </si>
  <si>
    <t>Light Naphtha</t>
  </si>
  <si>
    <t>Biojet</t>
  </si>
  <si>
    <t>bionaphtha</t>
  </si>
  <si>
    <t xml:space="preserve">biojet </t>
  </si>
  <si>
    <t>Prices in 2023</t>
  </si>
  <si>
    <t>USD/ton</t>
  </si>
  <si>
    <t xml:space="preserve">Light Naphtha </t>
  </si>
  <si>
    <t xml:space="preserve">Biojet </t>
  </si>
  <si>
    <t xml:space="preserve">From Aspen </t>
  </si>
  <si>
    <t>Transport distance from farm to HTL plant at primary mill</t>
  </si>
  <si>
    <t>Biocrude/biofuel to be transported (in ktpa)</t>
  </si>
  <si>
    <t>Transport fixed costs (based on tonnes, MEUR per year)</t>
  </si>
  <si>
    <t>Transport variable costs (based on tkm, in MEUR per year)</t>
  </si>
  <si>
    <t>Total transportation costs in MEUR per year</t>
  </si>
  <si>
    <t>tkm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</si>
</sst>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0.0"/>
    <numFmt numFmtId="165" formatCode="0.000"/>
    <numFmt numFmtId="166" formatCode="0.0000"/>
    <numFmt numFmtId="167" formatCode="0.00000"/>
    <numFmt numFmtId="168" formatCode="0.0%"/>
    <numFmt numFmtId="169" formatCode="0.000000"/>
  </numFmts>
  <fonts count="10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8"/>
      <color rgb="FF000000"/>
      <name val="Times New Roman"/>
      <family val="1"/>
    </font>
    <font>
      <sz val="8"/>
      <color rgb="FF000000"/>
      <name val="Times New Roman"/>
      <family val="1"/>
    </font>
    <font>
      <sz val="10"/>
      <color rgb="FF202124"/>
      <name val="Arial"/>
      <family val="2"/>
    </font>
    <font>
      <sz val="8"/>
      <name val="Calibri"/>
      <family val="2"/>
      <scheme val="minor"/>
    </font>
    <font>
      <sz val="11"/>
      <color rgb="FF201232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8"/>
      <color theme="1"/>
      <name val="Source Sans Pro"/>
      <family val="2"/>
    </font>
    <font>
      <sz val="11"/>
      <color rgb="FF000000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5700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0"/>
      <color rgb="FFFFFFFF"/>
      <name val="Calibri"/>
      <family val="2"/>
    </font>
    <font>
      <sz val="10"/>
      <color theme="1"/>
      <name val="Arial"/>
      <family val="2"/>
    </font>
    <font>
      <b/>
      <sz val="10"/>
      <color rgb="FFFFFFFF"/>
      <name val="Calibri"/>
    </font>
    <font>
      <b/>
      <sz val="9"/>
      <color rgb="FFFFFFFF"/>
      <name val="Calibri"/>
    </font>
    <font>
      <sz val="10"/>
      <name val="Calibri"/>
    </font>
    <font>
      <sz val="10"/>
      <color rgb="FF000000"/>
      <name val="Calibri"/>
    </font>
    <font>
      <sz val="9"/>
      <color rgb="FF000000"/>
      <name val="Calibri"/>
    </font>
    <font>
      <sz val="10"/>
      <color rgb="FF000000"/>
      <name val="Calibri"/>
      <family val="2"/>
    </font>
    <font>
      <sz val="9"/>
      <color rgb="FF000000"/>
      <name val="Calibri"/>
      <family val="2"/>
    </font>
    <font>
      <sz val="9"/>
      <name val="Calibri"/>
    </font>
    <font>
      <sz val="10"/>
      <color rgb="FF999999"/>
      <name val="Calibri"/>
    </font>
    <font>
      <sz val="9"/>
      <color rgb="FF999999"/>
      <name val="Calibri"/>
    </font>
    <font>
      <sz val="10"/>
      <color rgb="FF6423BA"/>
      <name val="Calibri"/>
      <family val="2"/>
    </font>
    <font>
      <sz val="10"/>
      <color rgb="FF999999"/>
      <name val="Calibri"/>
      <family val="2"/>
    </font>
    <font>
      <b/>
      <i/>
      <sz val="11"/>
      <color rgb="FF7F7F7F"/>
      <name val="Calibri"/>
      <family val="2"/>
      <scheme val="minor"/>
    </font>
    <font>
      <i/>
      <sz val="10"/>
      <color rgb="FF000000"/>
      <name val="Calibri"/>
      <family val="2"/>
    </font>
    <font>
      <i/>
      <sz val="9"/>
      <color rgb="FF000000"/>
      <name val="Calibri"/>
      <family val="2"/>
    </font>
    <font>
      <sz val="10"/>
      <color rgb="FFFF0000"/>
      <name val="Calibri"/>
      <family val="2"/>
    </font>
    <font>
      <sz val="10"/>
      <color rgb="FFFF0000"/>
      <name val="Arial"/>
      <family val="2"/>
    </font>
    <font>
      <i/>
      <sz val="9"/>
      <color rgb="FFFF0000"/>
      <name val="Calibri"/>
      <family val="2"/>
    </font>
    <font>
      <sz val="10"/>
      <color theme="1"/>
      <name val="Calibri"/>
      <family val="2"/>
    </font>
    <font>
      <i/>
      <sz val="10"/>
      <color theme="1"/>
      <name val="Calibri"/>
      <family val="2"/>
    </font>
    <font>
      <sz val="10"/>
      <color rgb="FFB7B7B7"/>
      <name val="Calibri"/>
      <family val="2"/>
    </font>
    <font>
      <sz val="10"/>
      <color rgb="FF000000"/>
      <name val="Arial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u/>
      <sz val="11"/>
      <color theme="10"/>
      <name val="Calibri"/>
      <family val="2"/>
      <scheme val="minor"/>
    </font>
    <font>
      <sz val="8"/>
      <color theme="1"/>
      <name val="Calibri"/>
      <family val="2"/>
    </font>
    <font>
      <b/>
      <sz val="10"/>
      <color rgb="FFFF00FF"/>
      <name val="Calibri"/>
      <family val="2"/>
    </font>
    <font>
      <sz val="10"/>
      <color rgb="FFFF00FF"/>
      <name val="Calibri"/>
      <family val="2"/>
    </font>
    <font>
      <sz val="8"/>
      <color rgb="FFFF00FF"/>
      <name val="Calibri"/>
      <family val="2"/>
    </font>
    <font>
      <sz val="8"/>
      <color rgb="FF000000"/>
      <name val="Calibri"/>
      <family val="2"/>
    </font>
    <font>
      <i/>
      <sz val="8"/>
      <color rgb="FFB7B7B7"/>
      <name val="Calibri"/>
      <family val="2"/>
    </font>
    <font>
      <i/>
      <sz val="10"/>
      <color theme="1"/>
      <name val="Arial"/>
      <family val="2"/>
    </font>
    <font>
      <b/>
      <sz val="10"/>
      <color theme="1"/>
      <name val="Calibri"/>
      <family val="2"/>
    </font>
    <font>
      <sz val="11"/>
      <color rgb="FF000000"/>
      <name val="Calibri"/>
      <family val="2"/>
    </font>
    <font>
      <sz val="11"/>
      <color rgb="FF202124"/>
      <name val="Calibri"/>
      <family val="2"/>
      <scheme val="minor"/>
    </font>
    <font>
      <sz val="8"/>
      <color rgb="FF000000"/>
      <name val="Cambria"/>
      <family val="1"/>
    </font>
    <font>
      <b/>
      <sz val="10"/>
      <color rgb="FFFFFFFF"/>
      <name val="Arial"/>
    </font>
    <font>
      <sz val="10"/>
      <color rgb="FFFFFFFF"/>
      <name val="Arial"/>
    </font>
    <font>
      <b/>
      <sz val="10"/>
      <name val="Arial"/>
    </font>
    <font>
      <sz val="10"/>
      <name val="Arial"/>
    </font>
    <font>
      <sz val="8"/>
      <name val="Arial"/>
    </font>
    <font>
      <i/>
      <sz val="10"/>
      <name val="Arial"/>
    </font>
    <font>
      <i/>
      <sz val="8"/>
      <name val="Arial"/>
    </font>
    <font>
      <b/>
      <sz val="10"/>
      <color rgb="FF999999"/>
      <name val="Arial"/>
    </font>
    <font>
      <sz val="10"/>
      <color rgb="FF999999"/>
      <name val="Arial"/>
    </font>
    <font>
      <sz val="8"/>
      <color rgb="FF999999"/>
      <name val="Arial"/>
    </font>
    <font>
      <b/>
      <i/>
      <sz val="10"/>
      <name val="Arial"/>
    </font>
    <font>
      <b/>
      <sz val="10"/>
      <name val="Calibri"/>
    </font>
    <font>
      <b/>
      <sz val="9"/>
      <name val="Calibri"/>
    </font>
    <font>
      <b/>
      <sz val="10"/>
      <color rgb="FF000000"/>
      <name val="Calibri"/>
    </font>
    <font>
      <b/>
      <sz val="9"/>
      <color rgb="FF000000"/>
      <name val="Calibri"/>
    </font>
    <font>
      <sz val="8"/>
      <name val="Calibri"/>
    </font>
    <font>
      <sz val="8"/>
      <color rgb="FF000000"/>
      <name val="Calibri"/>
    </font>
    <font>
      <sz val="11"/>
      <color rgb="FFF7981D"/>
      <name val="Calibri"/>
    </font>
    <font>
      <b/>
      <sz val="10"/>
      <color theme="0"/>
      <name val="Calibri"/>
      <family val="2"/>
    </font>
    <font>
      <sz val="9"/>
      <color rgb="FFFFFFFF"/>
      <name val="Calibri"/>
    </font>
    <font>
      <sz val="10"/>
      <color rgb="FFFFFFFF"/>
      <name val="Calibri"/>
    </font>
    <font>
      <sz val="10"/>
      <name val="Calibri"/>
      <family val="2"/>
    </font>
    <font>
      <sz val="9"/>
      <color rgb="FF000000"/>
      <name val="Arial"/>
    </font>
    <font>
      <sz val="9"/>
      <name val="Arial"/>
    </font>
    <font>
      <sz val="9"/>
      <name val="Calibri"/>
      <family val="2"/>
    </font>
    <font>
      <sz val="8"/>
      <color rgb="FFB7B7B7"/>
      <name val="Calibri"/>
    </font>
    <font>
      <sz val="9"/>
      <color rgb="FFB7B7B7"/>
      <name val="Calibri"/>
    </font>
    <font>
      <sz val="10"/>
      <color rgb="FFB7B7B7"/>
      <name val="Calibri"/>
    </font>
    <font>
      <i/>
      <sz val="10"/>
      <color rgb="FFFFFFFF"/>
      <name val="Calibri"/>
    </font>
    <font>
      <i/>
      <sz val="10"/>
      <color rgb="FF000000"/>
      <name val="Calibri"/>
    </font>
    <font>
      <i/>
      <sz val="9"/>
      <color rgb="FF000000"/>
      <name val="Calibri"/>
    </font>
    <font>
      <b/>
      <i/>
      <sz val="10"/>
      <color rgb="FF000000"/>
      <name val="Calibri"/>
    </font>
    <font>
      <b/>
      <i/>
      <sz val="9"/>
      <color rgb="FF000000"/>
      <name val="Calibri"/>
      <family val="2"/>
    </font>
    <font>
      <sz val="11"/>
      <name val="Calibri"/>
      <family val="2"/>
      <scheme val="minor"/>
    </font>
    <font>
      <sz val="10"/>
      <color rgb="FFFF0000"/>
      <name val="Calibri"/>
    </font>
    <font>
      <sz val="11"/>
      <color rgb="FF000000"/>
      <name val="Inconsolata"/>
    </font>
    <font>
      <sz val="9"/>
      <color indexed="81"/>
      <name val="Tahoma"/>
      <charset val="1"/>
    </font>
    <font>
      <i/>
      <sz val="10"/>
      <name val="Calibri"/>
    </font>
    <font>
      <b/>
      <i/>
      <sz val="10"/>
      <name val="Calibri"/>
    </font>
    <font>
      <sz val="11"/>
      <color rgb="FF7E3794"/>
      <name val="Calibri"/>
    </font>
    <font>
      <sz val="8"/>
      <name val="Calibri"/>
      <family val="2"/>
    </font>
    <font>
      <b/>
      <sz val="9"/>
      <color indexed="81"/>
      <name val="Tahoma"/>
      <charset val="1"/>
    </font>
    <font>
      <b/>
      <sz val="10"/>
      <color rgb="FF5B6A79"/>
      <name val="Calibri"/>
    </font>
    <font>
      <b/>
      <i/>
      <sz val="10"/>
      <color rgb="FFFFFFFF"/>
      <name val="Calibri"/>
    </font>
    <font>
      <sz val="8"/>
      <color rgb="FF252525"/>
      <name val="Arial"/>
      <family val="2"/>
    </font>
    <font>
      <b/>
      <sz val="8"/>
      <color rgb="FF252525"/>
      <name val="Arial"/>
      <family val="2"/>
    </font>
  </fonts>
  <fills count="20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052C5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6A7B8D"/>
        <bgColor rgb="FF6A7B8D"/>
      </patternFill>
    </fill>
    <fill>
      <patternFill patternType="solid">
        <fgColor rgb="FFFFFFFF"/>
        <bgColor rgb="FFFFFFFF"/>
      </patternFill>
    </fill>
    <fill>
      <patternFill patternType="solid">
        <fgColor rgb="FFF3F3F3"/>
        <bgColor indexed="64"/>
      </patternFill>
    </fill>
    <fill>
      <patternFill patternType="solid">
        <fgColor rgb="FF052C50"/>
        <bgColor rgb="FF052C50"/>
      </patternFill>
    </fill>
    <fill>
      <patternFill patternType="solid">
        <fgColor theme="9" tint="-0.249977111117893"/>
        <bgColor rgb="FF6E4A22"/>
      </patternFill>
    </fill>
    <fill>
      <patternFill patternType="solid">
        <fgColor theme="9" tint="-0.249977111117893"/>
        <bgColor rgb="FFBF9000"/>
      </patternFill>
    </fill>
    <fill>
      <patternFill patternType="solid">
        <fgColor theme="8" tint="-0.499984740745262"/>
        <bgColor rgb="FF741B47"/>
      </patternFill>
    </fill>
    <fill>
      <patternFill patternType="solid">
        <fgColor theme="5" tint="-0.499984740745262"/>
        <bgColor rgb="FF45505B"/>
      </patternFill>
    </fill>
    <fill>
      <patternFill patternType="solid">
        <fgColor rgb="FF45505B"/>
        <bgColor rgb="FF45505B"/>
      </patternFill>
    </fill>
    <fill>
      <patternFill patternType="solid">
        <fgColor rgb="FFC27BA0"/>
        <bgColor rgb="FFC27BA0"/>
      </patternFill>
    </fill>
  </fills>
  <borders count="18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medium">
        <color rgb="FFCCCCCC"/>
      </left>
      <right style="medium">
        <color rgb="FFCCCCCC"/>
      </right>
      <top style="medium">
        <color rgb="FFCCCCCC"/>
      </top>
      <bottom style="medium">
        <color rgb="FFCCCCCC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0">
    <xf numFmtId="0" fontId="0" fillId="0" borderId="0"/>
    <xf numFmtId="9" fontId="10" fillId="0" borderId="0" applyFont="0" applyFill="0" applyBorder="0" applyAlignment="0" applyProtection="0"/>
    <xf numFmtId="0" fontId="11" fillId="2" borderId="0" applyNumberFormat="0" applyBorder="0" applyAlignment="0" applyProtection="0"/>
    <xf numFmtId="0" fontId="12" fillId="3" borderId="0" applyNumberFormat="0" applyBorder="0" applyAlignment="0" applyProtection="0"/>
    <xf numFmtId="0" fontId="13" fillId="4" borderId="4" applyNumberFormat="0" applyAlignment="0" applyProtection="0"/>
    <xf numFmtId="0" fontId="14" fillId="5" borderId="5" applyNumberFormat="0" applyAlignment="0" applyProtection="0"/>
    <xf numFmtId="0" fontId="15" fillId="0" borderId="0" applyNumberFormat="0" applyFill="0" applyBorder="0" applyAlignment="0" applyProtection="0"/>
    <xf numFmtId="0" fontId="16" fillId="6" borderId="0" applyNumberFormat="0" applyBorder="0" applyAlignment="0" applyProtection="0"/>
    <xf numFmtId="0" fontId="16" fillId="7" borderId="0" applyNumberFormat="0" applyBorder="0" applyAlignment="0" applyProtection="0"/>
    <xf numFmtId="0" fontId="43" fillId="0" borderId="0" applyNumberFormat="0" applyFill="0" applyBorder="0" applyAlignment="0" applyProtection="0"/>
  </cellStyleXfs>
  <cellXfs count="316">
    <xf numFmtId="0" fontId="0" fillId="0" borderId="0" xfId="0"/>
    <xf numFmtId="0" fontId="1" fillId="0" borderId="0" xfId="0" applyFont="1"/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 wrapText="1"/>
    </xf>
    <xf numFmtId="0" fontId="8" fillId="0" borderId="0" xfId="0" applyFont="1"/>
    <xf numFmtId="0" fontId="0" fillId="0" borderId="0" xfId="0" applyAlignment="1">
      <alignment horizontal="left" indent="6"/>
    </xf>
    <xf numFmtId="0" fontId="0" fillId="0" borderId="0" xfId="0" applyAlignment="1">
      <alignment horizontal="left" indent="4"/>
    </xf>
    <xf numFmtId="0" fontId="7" fillId="0" borderId="0" xfId="0" applyFont="1" applyAlignment="1">
      <alignment vertical="center" wrapText="1"/>
    </xf>
    <xf numFmtId="0" fontId="3" fillId="0" borderId="2" xfId="0" applyFont="1" applyBorder="1" applyAlignment="1">
      <alignment vertical="center" wrapText="1"/>
    </xf>
    <xf numFmtId="0" fontId="0" fillId="0" borderId="3" xfId="0" applyBorder="1"/>
    <xf numFmtId="0" fontId="3" fillId="0" borderId="1" xfId="0" applyFont="1" applyBorder="1" applyAlignment="1">
      <alignment vertical="center" wrapText="1"/>
    </xf>
    <xf numFmtId="0" fontId="6" fillId="0" borderId="0" xfId="0" applyFont="1" applyAlignment="1">
      <alignment vertical="center" wrapText="1"/>
    </xf>
    <xf numFmtId="0" fontId="4" fillId="0" borderId="0" xfId="0" applyFont="1"/>
    <xf numFmtId="0" fontId="9" fillId="0" borderId="0" xfId="0" applyFont="1" applyAlignment="1">
      <alignment vertical="center" wrapText="1"/>
    </xf>
    <xf numFmtId="0" fontId="17" fillId="8" borderId="6" xfId="0" applyFont="1" applyFill="1" applyBorder="1" applyAlignment="1">
      <alignment vertical="center"/>
    </xf>
    <xf numFmtId="0" fontId="18" fillId="8" borderId="6" xfId="0" applyFont="1" applyFill="1" applyBorder="1" applyAlignment="1">
      <alignment wrapText="1"/>
    </xf>
    <xf numFmtId="0" fontId="19" fillId="0" borderId="0" xfId="0" applyFont="1"/>
    <xf numFmtId="0" fontId="20" fillId="0" borderId="0" xfId="0" applyFont="1"/>
    <xf numFmtId="0" fontId="21" fillId="0" borderId="0" xfId="0" applyFont="1"/>
    <xf numFmtId="0" fontId="18" fillId="9" borderId="6" xfId="0" applyFont="1" applyFill="1" applyBorder="1" applyAlignment="1">
      <alignment wrapText="1"/>
    </xf>
    <xf numFmtId="0" fontId="22" fillId="0" borderId="0" xfId="0" applyFont="1"/>
    <xf numFmtId="0" fontId="23" fillId="0" borderId="0" xfId="0" applyFont="1"/>
    <xf numFmtId="0" fontId="17" fillId="8" borderId="6" xfId="0" applyFont="1" applyFill="1" applyBorder="1" applyAlignment="1">
      <alignment wrapText="1"/>
    </xf>
    <xf numFmtId="0" fontId="24" fillId="9" borderId="6" xfId="0" applyFont="1" applyFill="1" applyBorder="1" applyAlignment="1">
      <alignment wrapText="1"/>
    </xf>
    <xf numFmtId="0" fontId="25" fillId="9" borderId="6" xfId="0" applyFont="1" applyFill="1" applyBorder="1" applyAlignment="1">
      <alignment wrapText="1"/>
    </xf>
    <xf numFmtId="9" fontId="24" fillId="9" borderId="6" xfId="0" applyNumberFormat="1" applyFont="1" applyFill="1" applyBorder="1" applyAlignment="1">
      <alignment horizontal="right" wrapText="1"/>
    </xf>
    <xf numFmtId="0" fontId="26" fillId="0" borderId="0" xfId="0" applyFont="1"/>
    <xf numFmtId="0" fontId="27" fillId="0" borderId="0" xfId="0" applyFont="1"/>
    <xf numFmtId="0" fontId="28" fillId="0" borderId="0" xfId="0" applyFont="1"/>
    <xf numFmtId="0" fontId="29" fillId="9" borderId="6" xfId="0" applyFont="1" applyFill="1" applyBorder="1" applyAlignment="1">
      <alignment horizontal="right" wrapText="1"/>
    </xf>
    <xf numFmtId="9" fontId="0" fillId="0" borderId="0" xfId="0" applyNumberFormat="1"/>
    <xf numFmtId="0" fontId="24" fillId="9" borderId="6" xfId="0" applyFont="1" applyFill="1" applyBorder="1" applyAlignment="1">
      <alignment horizontal="right" wrapText="1"/>
    </xf>
    <xf numFmtId="0" fontId="15" fillId="0" borderId="0" xfId="6" applyFill="1" applyBorder="1"/>
    <xf numFmtId="9" fontId="15" fillId="0" borderId="0" xfId="6" applyNumberFormat="1" applyFill="1" applyBorder="1"/>
    <xf numFmtId="0" fontId="30" fillId="9" borderId="6" xfId="0" applyFont="1" applyFill="1" applyBorder="1" applyAlignment="1">
      <alignment horizontal="right" wrapText="1"/>
    </xf>
    <xf numFmtId="10" fontId="15" fillId="0" borderId="0" xfId="6" applyNumberFormat="1" applyFill="1" applyBorder="1"/>
    <xf numFmtId="0" fontId="19" fillId="10" borderId="0" xfId="0" applyFont="1" applyFill="1"/>
    <xf numFmtId="0" fontId="20" fillId="10" borderId="0" xfId="0" applyFont="1" applyFill="1"/>
    <xf numFmtId="0" fontId="21" fillId="10" borderId="0" xfId="0" applyFont="1" applyFill="1"/>
    <xf numFmtId="0" fontId="21" fillId="11" borderId="0" xfId="0" applyFont="1" applyFill="1"/>
    <xf numFmtId="0" fontId="26" fillId="11" borderId="0" xfId="0" applyFont="1" applyFill="1"/>
    <xf numFmtId="9" fontId="22" fillId="11" borderId="0" xfId="0" applyNumberFormat="1" applyFont="1" applyFill="1"/>
    <xf numFmtId="0" fontId="14" fillId="0" borderId="0" xfId="8" applyFont="1" applyFill="1" applyBorder="1" applyAlignment="1">
      <alignment horizontal="center"/>
    </xf>
    <xf numFmtId="0" fontId="30" fillId="9" borderId="6" xfId="0" applyFont="1" applyFill="1" applyBorder="1" applyAlignment="1">
      <alignment wrapText="1"/>
    </xf>
    <xf numFmtId="164" fontId="22" fillId="11" borderId="0" xfId="0" applyNumberFormat="1" applyFont="1" applyFill="1" applyAlignment="1">
      <alignment horizontal="right"/>
    </xf>
    <xf numFmtId="0" fontId="1" fillId="0" borderId="0" xfId="0" applyFont="1" applyAlignment="1">
      <alignment horizontal="center"/>
    </xf>
    <xf numFmtId="165" fontId="0" fillId="0" borderId="0" xfId="0" applyNumberFormat="1" applyAlignment="1">
      <alignment horizontal="center"/>
    </xf>
    <xf numFmtId="0" fontId="13" fillId="0" borderId="0" xfId="4" applyFill="1" applyBorder="1"/>
    <xf numFmtId="0" fontId="11" fillId="0" borderId="0" xfId="2" applyFill="1" applyBorder="1"/>
    <xf numFmtId="3" fontId="30" fillId="9" borderId="6" xfId="0" applyNumberFormat="1" applyFont="1" applyFill="1" applyBorder="1" applyAlignment="1">
      <alignment horizontal="right" wrapText="1"/>
    </xf>
    <xf numFmtId="0" fontId="31" fillId="0" borderId="0" xfId="6" applyFont="1" applyFill="1" applyBorder="1"/>
    <xf numFmtId="0" fontId="14" fillId="0" borderId="0" xfId="5" applyFill="1" applyBorder="1"/>
    <xf numFmtId="0" fontId="32" fillId="9" borderId="6" xfId="0" applyFont="1" applyFill="1" applyBorder="1" applyAlignment="1">
      <alignment wrapText="1"/>
    </xf>
    <xf numFmtId="0" fontId="33" fillId="9" borderId="6" xfId="0" applyFont="1" applyFill="1" applyBorder="1" applyAlignment="1">
      <alignment wrapText="1"/>
    </xf>
    <xf numFmtId="0" fontId="12" fillId="0" borderId="0" xfId="3" applyFill="1" applyBorder="1"/>
    <xf numFmtId="0" fontId="32" fillId="9" borderId="6" xfId="0" applyFont="1" applyFill="1" applyBorder="1" applyAlignment="1">
      <alignment vertical="center"/>
    </xf>
    <xf numFmtId="166" fontId="0" fillId="0" borderId="0" xfId="0" applyNumberFormat="1"/>
    <xf numFmtId="9" fontId="34" fillId="9" borderId="6" xfId="0" applyNumberFormat="1" applyFont="1" applyFill="1" applyBorder="1" applyAlignment="1">
      <alignment horizontal="right" wrapText="1"/>
    </xf>
    <xf numFmtId="0" fontId="35" fillId="9" borderId="6" xfId="0" applyFont="1" applyFill="1" applyBorder="1" applyAlignment="1">
      <alignment wrapText="1"/>
    </xf>
    <xf numFmtId="0" fontId="36" fillId="9" borderId="6" xfId="0" applyFont="1" applyFill="1" applyBorder="1" applyAlignment="1">
      <alignment wrapText="1"/>
    </xf>
    <xf numFmtId="0" fontId="34" fillId="9" borderId="6" xfId="0" applyFont="1" applyFill="1" applyBorder="1" applyAlignment="1">
      <alignment horizontal="right" wrapText="1"/>
    </xf>
    <xf numFmtId="9" fontId="0" fillId="0" borderId="0" xfId="1" applyFont="1" applyFill="1" applyBorder="1"/>
    <xf numFmtId="10" fontId="0" fillId="0" borderId="0" xfId="0" applyNumberFormat="1"/>
    <xf numFmtId="166" fontId="0" fillId="0" borderId="0" xfId="0" applyNumberFormat="1" applyAlignment="1">
      <alignment horizontal="center"/>
    </xf>
    <xf numFmtId="167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11" fontId="0" fillId="0" borderId="0" xfId="0" applyNumberFormat="1"/>
    <xf numFmtId="167" fontId="0" fillId="0" borderId="0" xfId="0" applyNumberFormat="1"/>
    <xf numFmtId="9" fontId="37" fillId="9" borderId="6" xfId="0" applyNumberFormat="1" applyFont="1" applyFill="1" applyBorder="1" applyAlignment="1">
      <alignment horizontal="right" wrapText="1"/>
    </xf>
    <xf numFmtId="0" fontId="38" fillId="9" borderId="6" xfId="0" applyFont="1" applyFill="1" applyBorder="1" applyAlignment="1">
      <alignment wrapText="1"/>
    </xf>
    <xf numFmtId="0" fontId="18" fillId="0" borderId="6" xfId="0" applyFont="1" applyBorder="1" applyAlignment="1">
      <alignment wrapText="1"/>
    </xf>
    <xf numFmtId="9" fontId="24" fillId="0" borderId="6" xfId="0" applyNumberFormat="1" applyFont="1" applyBorder="1" applyAlignment="1">
      <alignment horizontal="right" wrapText="1"/>
    </xf>
    <xf numFmtId="0" fontId="38" fillId="9" borderId="6" xfId="0" applyFont="1" applyFill="1" applyBorder="1" applyAlignment="1">
      <alignment horizontal="right" wrapText="1"/>
    </xf>
    <xf numFmtId="0" fontId="24" fillId="0" borderId="6" xfId="0" applyFont="1" applyBorder="1" applyAlignment="1">
      <alignment horizontal="right" wrapText="1"/>
    </xf>
    <xf numFmtId="0" fontId="39" fillId="9" borderId="6" xfId="0" applyFont="1" applyFill="1" applyBorder="1" applyAlignment="1">
      <alignment wrapText="1"/>
    </xf>
    <xf numFmtId="0" fontId="39" fillId="9" borderId="6" xfId="0" applyFont="1" applyFill="1" applyBorder="1" applyAlignment="1">
      <alignment horizontal="right" wrapText="1"/>
    </xf>
    <xf numFmtId="0" fontId="29" fillId="0" borderId="6" xfId="0" applyFont="1" applyBorder="1" applyAlignment="1">
      <alignment horizontal="right" wrapText="1"/>
    </xf>
    <xf numFmtId="0" fontId="30" fillId="0" borderId="6" xfId="0" applyFont="1" applyBorder="1" applyAlignment="1">
      <alignment horizontal="right" wrapText="1"/>
    </xf>
    <xf numFmtId="0" fontId="37" fillId="0" borderId="6" xfId="0" applyFont="1" applyBorder="1" applyAlignment="1">
      <alignment horizontal="right" wrapText="1"/>
    </xf>
    <xf numFmtId="0" fontId="18" fillId="9" borderId="6" xfId="0" applyFont="1" applyFill="1" applyBorder="1" applyAlignment="1">
      <alignment horizontal="right" wrapText="1"/>
    </xf>
    <xf numFmtId="3" fontId="30" fillId="0" borderId="6" xfId="0" applyNumberFormat="1" applyFont="1" applyBorder="1" applyAlignment="1">
      <alignment horizontal="right" wrapText="1"/>
    </xf>
    <xf numFmtId="9" fontId="34" fillId="0" borderId="6" xfId="0" applyNumberFormat="1" applyFont="1" applyBorder="1" applyAlignment="1">
      <alignment horizontal="right" wrapText="1"/>
    </xf>
    <xf numFmtId="0" fontId="34" fillId="0" borderId="6" xfId="0" applyFont="1" applyBorder="1" applyAlignment="1">
      <alignment horizontal="right" wrapText="1"/>
    </xf>
    <xf numFmtId="0" fontId="17" fillId="0" borderId="6" xfId="0" applyFont="1" applyBorder="1" applyAlignment="1">
      <alignment vertical="center"/>
    </xf>
    <xf numFmtId="0" fontId="33" fillId="0" borderId="6" xfId="0" applyFont="1" applyBorder="1" applyAlignment="1">
      <alignment wrapText="1"/>
    </xf>
    <xf numFmtId="9" fontId="37" fillId="0" borderId="6" xfId="0" applyNumberFormat="1" applyFont="1" applyBorder="1" applyAlignment="1">
      <alignment horizontal="right" wrapText="1"/>
    </xf>
    <xf numFmtId="0" fontId="24" fillId="0" borderId="6" xfId="0" applyFont="1" applyBorder="1" applyAlignment="1">
      <alignment wrapText="1"/>
    </xf>
    <xf numFmtId="0" fontId="25" fillId="0" borderId="6" xfId="0" applyFont="1" applyBorder="1" applyAlignment="1">
      <alignment wrapText="1"/>
    </xf>
    <xf numFmtId="0" fontId="38" fillId="0" borderId="6" xfId="0" applyFont="1" applyBorder="1" applyAlignment="1">
      <alignment wrapText="1"/>
    </xf>
    <xf numFmtId="0" fontId="38" fillId="0" borderId="6" xfId="0" applyFont="1" applyBorder="1" applyAlignment="1">
      <alignment horizontal="right" wrapText="1"/>
    </xf>
    <xf numFmtId="0" fontId="39" fillId="0" borderId="6" xfId="0" applyFont="1" applyBorder="1" applyAlignment="1">
      <alignment wrapText="1"/>
    </xf>
    <xf numFmtId="0" fontId="39" fillId="0" borderId="6" xfId="0" applyFont="1" applyBorder="1" applyAlignment="1">
      <alignment horizontal="right" wrapText="1"/>
    </xf>
    <xf numFmtId="0" fontId="18" fillId="0" borderId="6" xfId="0" applyFont="1" applyBorder="1" applyAlignment="1">
      <alignment horizontal="right" wrapText="1"/>
    </xf>
    <xf numFmtId="0" fontId="17" fillId="0" borderId="6" xfId="0" applyFont="1" applyBorder="1" applyAlignment="1">
      <alignment wrapText="1"/>
    </xf>
    <xf numFmtId="0" fontId="32" fillId="0" borderId="6" xfId="0" applyFont="1" applyBorder="1" applyAlignment="1">
      <alignment wrapText="1"/>
    </xf>
    <xf numFmtId="164" fontId="0" fillId="0" borderId="0" xfId="0" applyNumberFormat="1"/>
    <xf numFmtId="0" fontId="37" fillId="9" borderId="6" xfId="0" applyFont="1" applyFill="1" applyBorder="1" applyAlignment="1">
      <alignment wrapText="1"/>
    </xf>
    <xf numFmtId="0" fontId="37" fillId="9" borderId="6" xfId="0" applyFont="1" applyFill="1" applyBorder="1" applyAlignment="1">
      <alignment horizontal="right" wrapText="1"/>
    </xf>
    <xf numFmtId="0" fontId="44" fillId="9" borderId="6" xfId="0" applyFont="1" applyFill="1" applyBorder="1" applyAlignment="1">
      <alignment horizontal="right" wrapText="1"/>
    </xf>
    <xf numFmtId="0" fontId="44" fillId="9" borderId="6" xfId="0" applyFont="1" applyFill="1" applyBorder="1" applyAlignment="1">
      <alignment wrapText="1"/>
    </xf>
    <xf numFmtId="0" fontId="45" fillId="9" borderId="6" xfId="0" applyFont="1" applyFill="1" applyBorder="1" applyAlignment="1">
      <alignment wrapText="1"/>
    </xf>
    <xf numFmtId="0" fontId="46" fillId="9" borderId="6" xfId="0" applyFont="1" applyFill="1" applyBorder="1" applyAlignment="1">
      <alignment horizontal="right" wrapText="1"/>
    </xf>
    <xf numFmtId="1" fontId="0" fillId="0" borderId="0" xfId="0" applyNumberFormat="1"/>
    <xf numFmtId="0" fontId="43" fillId="9" borderId="6" xfId="9" applyFill="1" applyBorder="1" applyAlignment="1">
      <alignment wrapText="1"/>
    </xf>
    <xf numFmtId="0" fontId="47" fillId="9" borderId="6" xfId="0" applyFont="1" applyFill="1" applyBorder="1" applyAlignment="1">
      <alignment horizontal="right" wrapText="1"/>
    </xf>
    <xf numFmtId="0" fontId="47" fillId="9" borderId="6" xfId="0" applyFont="1" applyFill="1" applyBorder="1" applyAlignment="1">
      <alignment wrapText="1"/>
    </xf>
    <xf numFmtId="0" fontId="48" fillId="9" borderId="6" xfId="0" applyFont="1" applyFill="1" applyBorder="1" applyAlignment="1">
      <alignment horizontal="right" wrapText="1"/>
    </xf>
    <xf numFmtId="0" fontId="48" fillId="9" borderId="6" xfId="0" applyFont="1" applyFill="1" applyBorder="1" applyAlignment="1">
      <alignment wrapText="1"/>
    </xf>
    <xf numFmtId="0" fontId="49" fillId="9" borderId="6" xfId="0" applyFont="1" applyFill="1" applyBorder="1" applyAlignment="1">
      <alignment horizontal="right" wrapText="1"/>
    </xf>
    <xf numFmtId="0" fontId="49" fillId="9" borderId="6" xfId="0" applyFont="1" applyFill="1" applyBorder="1" applyAlignment="1">
      <alignment wrapText="1"/>
    </xf>
    <xf numFmtId="0" fontId="44" fillId="9" borderId="6" xfId="0" applyFont="1" applyFill="1" applyBorder="1" applyAlignment="1">
      <alignment horizontal="left" wrapText="1" indent="13"/>
    </xf>
    <xf numFmtId="0" fontId="18" fillId="9" borderId="6" xfId="0" applyFont="1" applyFill="1" applyBorder="1" applyAlignment="1">
      <alignment horizontal="left" wrapText="1" indent="13"/>
    </xf>
    <xf numFmtId="0" fontId="0" fillId="0" borderId="0" xfId="0" applyAlignment="1">
      <alignment horizontal="left" indent="13"/>
    </xf>
    <xf numFmtId="0" fontId="18" fillId="12" borderId="6" xfId="0" applyFont="1" applyFill="1" applyBorder="1" applyAlignment="1">
      <alignment wrapText="1"/>
    </xf>
    <xf numFmtId="0" fontId="24" fillId="12" borderId="6" xfId="0" applyFont="1" applyFill="1" applyBorder="1" applyAlignment="1">
      <alignment horizontal="right" wrapText="1"/>
    </xf>
    <xf numFmtId="0" fontId="33" fillId="12" borderId="6" xfId="0" applyFont="1" applyFill="1" applyBorder="1" applyAlignment="1">
      <alignment horizontal="right" wrapText="1"/>
    </xf>
    <xf numFmtId="0" fontId="50" fillId="9" borderId="6" xfId="0" applyFont="1" applyFill="1" applyBorder="1" applyAlignment="1">
      <alignment horizontal="right" wrapText="1"/>
    </xf>
    <xf numFmtId="0" fontId="17" fillId="8" borderId="6" xfId="0" applyFont="1" applyFill="1" applyBorder="1" applyAlignment="1">
      <alignment horizontal="center" wrapText="1"/>
    </xf>
    <xf numFmtId="0" fontId="51" fillId="0" borderId="6" xfId="0" applyFont="1" applyBorder="1" applyAlignment="1">
      <alignment wrapText="1"/>
    </xf>
    <xf numFmtId="0" fontId="51" fillId="9" borderId="6" xfId="0" applyFont="1" applyFill="1" applyBorder="1" applyAlignment="1">
      <alignment wrapText="1"/>
    </xf>
    <xf numFmtId="0" fontId="52" fillId="9" borderId="6" xfId="0" applyFont="1" applyFill="1" applyBorder="1" applyAlignment="1">
      <alignment horizontal="right" wrapText="1"/>
    </xf>
    <xf numFmtId="2" fontId="0" fillId="0" borderId="0" xfId="0" applyNumberFormat="1"/>
    <xf numFmtId="0" fontId="0" fillId="0" borderId="0" xfId="0" applyAlignment="1">
      <alignment horizontal="left" indent="5"/>
    </xf>
    <xf numFmtId="0" fontId="0" fillId="0" borderId="0" xfId="0" applyAlignment="1">
      <alignment horizontal="left" indent="8"/>
    </xf>
    <xf numFmtId="0" fontId="0" fillId="0" borderId="0" xfId="0" applyAlignment="1">
      <alignment horizontal="left"/>
    </xf>
    <xf numFmtId="0" fontId="22" fillId="11" borderId="7" xfId="0" applyFont="1" applyFill="1" applyBorder="1"/>
    <xf numFmtId="164" fontId="22" fillId="11" borderId="8" xfId="0" applyNumberFormat="1" applyFont="1" applyFill="1" applyBorder="1"/>
    <xf numFmtId="0" fontId="22" fillId="11" borderId="9" xfId="0" applyFont="1" applyFill="1" applyBorder="1"/>
    <xf numFmtId="0" fontId="53" fillId="0" borderId="0" xfId="0" applyFont="1"/>
    <xf numFmtId="0" fontId="54" fillId="0" borderId="0" xfId="0" applyFont="1"/>
    <xf numFmtId="0" fontId="55" fillId="13" borderId="0" xfId="0" applyFont="1" applyFill="1"/>
    <xf numFmtId="0" fontId="56" fillId="13" borderId="0" xfId="0" applyFont="1" applyFill="1"/>
    <xf numFmtId="164" fontId="57" fillId="11" borderId="0" xfId="0" applyNumberFormat="1" applyFont="1" applyFill="1"/>
    <xf numFmtId="164" fontId="58" fillId="11" borderId="0" xfId="0" applyNumberFormat="1" applyFont="1" applyFill="1"/>
    <xf numFmtId="164" fontId="59" fillId="11" borderId="0" xfId="0" applyNumberFormat="1" applyFont="1" applyFill="1"/>
    <xf numFmtId="1" fontId="59" fillId="11" borderId="0" xfId="0" applyNumberFormat="1" applyFont="1" applyFill="1"/>
    <xf numFmtId="1" fontId="58" fillId="11" borderId="0" xfId="0" applyNumberFormat="1" applyFont="1" applyFill="1"/>
    <xf numFmtId="0" fontId="58" fillId="11" borderId="0" xfId="0" applyFont="1" applyFill="1"/>
    <xf numFmtId="0" fontId="59" fillId="11" borderId="0" xfId="0" applyFont="1" applyFill="1"/>
    <xf numFmtId="0" fontId="57" fillId="11" borderId="0" xfId="0" applyFont="1" applyFill="1"/>
    <xf numFmtId="2" fontId="58" fillId="11" borderId="0" xfId="0" applyNumberFormat="1" applyFont="1" applyFill="1"/>
    <xf numFmtId="0" fontId="60" fillId="11" borderId="0" xfId="0" applyFont="1" applyFill="1"/>
    <xf numFmtId="1" fontId="60" fillId="11" borderId="0" xfId="0" applyNumberFormat="1" applyFont="1" applyFill="1"/>
    <xf numFmtId="0" fontId="61" fillId="11" borderId="0" xfId="0" applyFont="1" applyFill="1"/>
    <xf numFmtId="2" fontId="61" fillId="11" borderId="0" xfId="0" applyNumberFormat="1" applyFont="1" applyFill="1"/>
    <xf numFmtId="9" fontId="59" fillId="11" borderId="0" xfId="0" applyNumberFormat="1" applyFont="1" applyFill="1"/>
    <xf numFmtId="9" fontId="58" fillId="11" borderId="0" xfId="0" applyNumberFormat="1" applyFont="1" applyFill="1"/>
    <xf numFmtId="0" fontId="62" fillId="11" borderId="0" xfId="0" applyFont="1" applyFill="1"/>
    <xf numFmtId="0" fontId="63" fillId="11" borderId="0" xfId="0" applyFont="1" applyFill="1"/>
    <xf numFmtId="168" fontId="64" fillId="11" borderId="0" xfId="0" applyNumberFormat="1" applyFont="1" applyFill="1"/>
    <xf numFmtId="9" fontId="63" fillId="11" borderId="0" xfId="0" applyNumberFormat="1" applyFont="1" applyFill="1"/>
    <xf numFmtId="2" fontId="63" fillId="11" borderId="0" xfId="0" applyNumberFormat="1" applyFont="1" applyFill="1"/>
    <xf numFmtId="0" fontId="59" fillId="11" borderId="0" xfId="0" applyFont="1" applyFill="1" applyAlignment="1">
      <alignment horizontal="right"/>
    </xf>
    <xf numFmtId="0" fontId="61" fillId="11" borderId="0" xfId="0" applyFont="1" applyFill="1" applyAlignment="1">
      <alignment horizontal="right"/>
    </xf>
    <xf numFmtId="1" fontId="61" fillId="11" borderId="0" xfId="0" applyNumberFormat="1" applyFont="1" applyFill="1"/>
    <xf numFmtId="164" fontId="60" fillId="11" borderId="0" xfId="0" applyNumberFormat="1" applyFont="1" applyFill="1"/>
    <xf numFmtId="0" fontId="65" fillId="11" borderId="0" xfId="0" applyFont="1" applyFill="1"/>
    <xf numFmtId="1" fontId="66" fillId="11" borderId="0" xfId="0" applyNumberFormat="1" applyFont="1" applyFill="1"/>
    <xf numFmtId="9" fontId="60" fillId="11" borderId="0" xfId="0" applyNumberFormat="1" applyFont="1" applyFill="1"/>
    <xf numFmtId="4" fontId="19" fillId="10" borderId="0" xfId="0" applyNumberFormat="1" applyFont="1" applyFill="1"/>
    <xf numFmtId="4" fontId="23" fillId="10" borderId="0" xfId="0" applyNumberFormat="1" applyFont="1" applyFill="1"/>
    <xf numFmtId="4" fontId="22" fillId="10" borderId="0" xfId="0" applyNumberFormat="1" applyFont="1" applyFill="1"/>
    <xf numFmtId="0" fontId="67" fillId="11" borderId="0" xfId="0" applyFont="1" applyFill="1"/>
    <xf numFmtId="2" fontId="22" fillId="11" borderId="0" xfId="0" applyNumberFormat="1" applyFont="1" applyFill="1" applyAlignment="1">
      <alignment horizontal="right"/>
    </xf>
    <xf numFmtId="2" fontId="22" fillId="11" borderId="0" xfId="0" applyNumberFormat="1" applyFont="1" applyFill="1"/>
    <xf numFmtId="9" fontId="22" fillId="11" borderId="0" xfId="0" applyNumberFormat="1" applyFont="1" applyFill="1" applyAlignment="1">
      <alignment horizontal="right"/>
    </xf>
    <xf numFmtId="0" fontId="67" fillId="10" borderId="0" xfId="0" applyFont="1" applyFill="1"/>
    <xf numFmtId="0" fontId="26" fillId="10" borderId="0" xfId="0" applyFont="1" applyFill="1"/>
    <xf numFmtId="9" fontId="22" fillId="10" borderId="0" xfId="0" applyNumberFormat="1" applyFont="1" applyFill="1" applyAlignment="1">
      <alignment horizontal="right"/>
    </xf>
    <xf numFmtId="4" fontId="22" fillId="11" borderId="0" xfId="0" applyNumberFormat="1" applyFont="1" applyFill="1"/>
    <xf numFmtId="0" fontId="19" fillId="13" borderId="0" xfId="0" applyFont="1" applyFill="1"/>
    <xf numFmtId="0" fontId="20" fillId="13" borderId="0" xfId="0" applyFont="1" applyFill="1"/>
    <xf numFmtId="4" fontId="68" fillId="11" borderId="0" xfId="0" applyNumberFormat="1" applyFont="1" applyFill="1"/>
    <xf numFmtId="0" fontId="69" fillId="11" borderId="0" xfId="0" applyFont="1" applyFill="1"/>
    <xf numFmtId="165" fontId="68" fillId="11" borderId="0" xfId="0" applyNumberFormat="1" applyFont="1" applyFill="1"/>
    <xf numFmtId="0" fontId="70" fillId="11" borderId="0" xfId="0" applyFont="1" applyFill="1"/>
    <xf numFmtId="2" fontId="71" fillId="11" borderId="0" xfId="0" applyNumberFormat="1" applyFont="1" applyFill="1"/>
    <xf numFmtId="2" fontId="21" fillId="11" borderId="0" xfId="0" applyNumberFormat="1" applyFont="1" applyFill="1"/>
    <xf numFmtId="0" fontId="66" fillId="11" borderId="0" xfId="0" applyFont="1" applyFill="1"/>
    <xf numFmtId="165" fontId="21" fillId="11" borderId="0" xfId="0" applyNumberFormat="1" applyFont="1" applyFill="1"/>
    <xf numFmtId="0" fontId="72" fillId="11" borderId="0" xfId="0" applyFont="1" applyFill="1"/>
    <xf numFmtId="0" fontId="66" fillId="0" borderId="0" xfId="0" applyFont="1"/>
    <xf numFmtId="0" fontId="73" fillId="14" borderId="0" xfId="0" applyFont="1" applyFill="1"/>
    <xf numFmtId="0" fontId="19" fillId="11" borderId="0" xfId="0" applyFont="1" applyFill="1"/>
    <xf numFmtId="0" fontId="74" fillId="11" borderId="0" xfId="0" applyFont="1" applyFill="1"/>
    <xf numFmtId="0" fontId="75" fillId="11" borderId="0" xfId="0" applyFont="1" applyFill="1"/>
    <xf numFmtId="0" fontId="23" fillId="11" borderId="0" xfId="0" applyFont="1" applyFill="1"/>
    <xf numFmtId="0" fontId="76" fillId="0" borderId="0" xfId="0" applyFont="1"/>
    <xf numFmtId="0" fontId="22" fillId="11" borderId="0" xfId="0" applyFont="1" applyFill="1"/>
    <xf numFmtId="0" fontId="77" fillId="11" borderId="0" xfId="0" applyFont="1" applyFill="1"/>
    <xf numFmtId="0" fontId="78" fillId="11" borderId="0" xfId="0" applyFont="1" applyFill="1"/>
    <xf numFmtId="0" fontId="24" fillId="11" borderId="0" xfId="0" applyFont="1" applyFill="1"/>
    <xf numFmtId="0" fontId="79" fillId="11" borderId="0" xfId="0" applyFont="1" applyFill="1"/>
    <xf numFmtId="0" fontId="76" fillId="11" borderId="0" xfId="0" applyFont="1" applyFill="1"/>
    <xf numFmtId="0" fontId="19" fillId="15" borderId="0" xfId="0" applyFont="1" applyFill="1"/>
    <xf numFmtId="9" fontId="21" fillId="11" borderId="0" xfId="0" applyNumberFormat="1" applyFont="1" applyFill="1"/>
    <xf numFmtId="0" fontId="80" fillId="11" borderId="0" xfId="0" applyFont="1" applyFill="1"/>
    <xf numFmtId="0" fontId="81" fillId="11" borderId="0" xfId="0" applyFont="1" applyFill="1"/>
    <xf numFmtId="0" fontId="82" fillId="11" borderId="0" xfId="0" applyFont="1" applyFill="1"/>
    <xf numFmtId="0" fontId="83" fillId="15" borderId="0" xfId="0" applyFont="1" applyFill="1"/>
    <xf numFmtId="0" fontId="22" fillId="15" borderId="0" xfId="0" applyFont="1" applyFill="1"/>
    <xf numFmtId="164" fontId="22" fillId="11" borderId="0" xfId="0" applyNumberFormat="1" applyFont="1" applyFill="1"/>
    <xf numFmtId="0" fontId="19" fillId="16" borderId="0" xfId="0" applyFont="1" applyFill="1"/>
    <xf numFmtId="0" fontId="19" fillId="17" borderId="0" xfId="0" applyFont="1" applyFill="1"/>
    <xf numFmtId="0" fontId="74" fillId="17" borderId="0" xfId="0" applyFont="1" applyFill="1"/>
    <xf numFmtId="0" fontId="75" fillId="17" borderId="0" xfId="0" applyFont="1" applyFill="1"/>
    <xf numFmtId="1" fontId="21" fillId="11" borderId="0" xfId="0" applyNumberFormat="1" applyFont="1" applyFill="1" applyAlignment="1">
      <alignment horizontal="right"/>
    </xf>
    <xf numFmtId="0" fontId="84" fillId="11" borderId="0" xfId="0" applyFont="1" applyFill="1"/>
    <xf numFmtId="0" fontId="85" fillId="11" borderId="0" xfId="0" applyFont="1" applyFill="1"/>
    <xf numFmtId="164" fontId="84" fillId="11" borderId="0" xfId="0" applyNumberFormat="1" applyFont="1" applyFill="1" applyAlignment="1">
      <alignment horizontal="right"/>
    </xf>
    <xf numFmtId="1" fontId="22" fillId="11" borderId="0" xfId="0" applyNumberFormat="1" applyFont="1" applyFill="1" applyAlignment="1">
      <alignment horizontal="right"/>
    </xf>
    <xf numFmtId="0" fontId="78" fillId="17" borderId="0" xfId="0" applyFont="1" applyFill="1"/>
    <xf numFmtId="0" fontId="58" fillId="17" borderId="0" xfId="0" applyFont="1" applyFill="1"/>
    <xf numFmtId="0" fontId="86" fillId="11" borderId="0" xfId="0" applyFont="1" applyFill="1"/>
    <xf numFmtId="0" fontId="87" fillId="11" borderId="0" xfId="0" applyFont="1" applyFill="1"/>
    <xf numFmtId="164" fontId="86" fillId="11" borderId="0" xfId="0" applyNumberFormat="1" applyFont="1" applyFill="1" applyAlignment="1">
      <alignment horizontal="right"/>
    </xf>
    <xf numFmtId="0" fontId="88" fillId="0" borderId="0" xfId="0" applyFont="1"/>
    <xf numFmtId="2" fontId="21" fillId="11" borderId="0" xfId="0" applyNumberFormat="1" applyFont="1" applyFill="1" applyAlignment="1">
      <alignment horizontal="right"/>
    </xf>
    <xf numFmtId="0" fontId="89" fillId="11" borderId="0" xfId="0" applyFont="1" applyFill="1" applyAlignment="1">
      <alignment horizontal="right"/>
    </xf>
    <xf numFmtId="0" fontId="19" fillId="18" borderId="0" xfId="0" applyFont="1" applyFill="1"/>
    <xf numFmtId="0" fontId="74" fillId="18" borderId="0" xfId="0" applyFont="1" applyFill="1"/>
    <xf numFmtId="0" fontId="75" fillId="18" borderId="0" xfId="0" applyFont="1" applyFill="1"/>
    <xf numFmtId="1" fontId="21" fillId="11" borderId="0" xfId="0" applyNumberFormat="1" applyFont="1" applyFill="1"/>
    <xf numFmtId="1" fontId="22" fillId="11" borderId="0" xfId="0" applyNumberFormat="1" applyFont="1" applyFill="1"/>
    <xf numFmtId="2" fontId="82" fillId="11" borderId="0" xfId="0" applyNumberFormat="1" applyFont="1" applyFill="1"/>
    <xf numFmtId="2" fontId="81" fillId="11" borderId="0" xfId="0" applyNumberFormat="1" applyFont="1" applyFill="1"/>
    <xf numFmtId="0" fontId="27" fillId="11" borderId="0" xfId="0" applyFont="1" applyFill="1"/>
    <xf numFmtId="0" fontId="28" fillId="11" borderId="0" xfId="0" applyFont="1" applyFill="1"/>
    <xf numFmtId="0" fontId="19" fillId="19" borderId="0" xfId="0" applyFont="1" applyFill="1"/>
    <xf numFmtId="0" fontId="74" fillId="19" borderId="0" xfId="0" applyFont="1" applyFill="1"/>
    <xf numFmtId="0" fontId="75" fillId="19" borderId="0" xfId="0" applyFont="1" applyFill="1"/>
    <xf numFmtId="0" fontId="74" fillId="13" borderId="0" xfId="0" applyFont="1" applyFill="1"/>
    <xf numFmtId="0" fontId="75" fillId="13" borderId="0" xfId="0" applyFont="1" applyFill="1"/>
    <xf numFmtId="164" fontId="90" fillId="11" borderId="0" xfId="0" applyNumberFormat="1" applyFont="1" applyFill="1"/>
    <xf numFmtId="0" fontId="21" fillId="19" borderId="0" xfId="0" applyFont="1" applyFill="1"/>
    <xf numFmtId="0" fontId="68" fillId="11" borderId="0" xfId="0" applyFont="1" applyFill="1"/>
    <xf numFmtId="164" fontId="68" fillId="11" borderId="0" xfId="0" applyNumberFormat="1" applyFont="1" applyFill="1"/>
    <xf numFmtId="0" fontId="92" fillId="11" borderId="0" xfId="0" applyFont="1" applyFill="1"/>
    <xf numFmtId="164" fontId="84" fillId="11" borderId="0" xfId="0" applyNumberFormat="1" applyFont="1" applyFill="1"/>
    <xf numFmtId="0" fontId="69" fillId="11" borderId="0" xfId="0" applyFont="1" applyFill="1" applyAlignment="1">
      <alignment horizontal="left"/>
    </xf>
    <xf numFmtId="164" fontId="69" fillId="11" borderId="0" xfId="0" applyNumberFormat="1" applyFont="1" applyFill="1"/>
    <xf numFmtId="0" fontId="70" fillId="11" borderId="0" xfId="0" applyFont="1" applyFill="1" applyAlignment="1">
      <alignment horizontal="right"/>
    </xf>
    <xf numFmtId="164" fontId="71" fillId="11" borderId="0" xfId="0" applyNumberFormat="1" applyFont="1" applyFill="1"/>
    <xf numFmtId="164" fontId="67" fillId="11" borderId="0" xfId="0" applyNumberFormat="1" applyFont="1" applyFill="1"/>
    <xf numFmtId="164" fontId="92" fillId="11" borderId="0" xfId="0" applyNumberFormat="1" applyFont="1" applyFill="1"/>
    <xf numFmtId="2" fontId="68" fillId="11" borderId="0" xfId="0" applyNumberFormat="1" applyFont="1" applyFill="1"/>
    <xf numFmtId="0" fontId="93" fillId="11" borderId="0" xfId="0" applyFont="1" applyFill="1"/>
    <xf numFmtId="164" fontId="86" fillId="11" borderId="0" xfId="0" applyNumberFormat="1" applyFont="1" applyFill="1"/>
    <xf numFmtId="0" fontId="94" fillId="11" borderId="0" xfId="0" applyFont="1" applyFill="1"/>
    <xf numFmtId="0" fontId="71" fillId="11" borderId="0" xfId="0" applyFont="1" applyFill="1"/>
    <xf numFmtId="2" fontId="84" fillId="11" borderId="0" xfId="0" applyNumberFormat="1" applyFont="1" applyFill="1"/>
    <xf numFmtId="1" fontId="93" fillId="11" borderId="0" xfId="0" applyNumberFormat="1" applyFont="1" applyFill="1"/>
    <xf numFmtId="1" fontId="70" fillId="11" borderId="0" xfId="0" applyNumberFormat="1" applyFont="1" applyFill="1" applyAlignment="1">
      <alignment horizontal="right"/>
    </xf>
    <xf numFmtId="1" fontId="95" fillId="11" borderId="0" xfId="0" applyNumberFormat="1" applyFont="1" applyFill="1" applyAlignment="1">
      <alignment horizontal="right"/>
    </xf>
    <xf numFmtId="0" fontId="48" fillId="11" borderId="0" xfId="0" applyFont="1" applyFill="1"/>
    <xf numFmtId="1" fontId="68" fillId="11" borderId="0" xfId="0" applyNumberFormat="1" applyFont="1" applyFill="1"/>
    <xf numFmtId="2" fontId="66" fillId="11" borderId="0" xfId="0" applyNumberFormat="1" applyFont="1" applyFill="1"/>
    <xf numFmtId="0" fontId="98" fillId="18" borderId="10" xfId="0" applyFont="1" applyFill="1" applyBorder="1"/>
    <xf numFmtId="0" fontId="75" fillId="18" borderId="11" xfId="0" applyFont="1" applyFill="1" applyBorder="1"/>
    <xf numFmtId="0" fontId="75" fillId="18" borderId="12" xfId="0" applyFont="1" applyFill="1" applyBorder="1"/>
    <xf numFmtId="0" fontId="98" fillId="18" borderId="0" xfId="0" applyFont="1" applyFill="1"/>
    <xf numFmtId="0" fontId="21" fillId="11" borderId="13" xfId="0" applyFont="1" applyFill="1" applyBorder="1"/>
    <xf numFmtId="4" fontId="21" fillId="11" borderId="0" xfId="0" applyNumberFormat="1" applyFont="1" applyFill="1" applyAlignment="1">
      <alignment horizontal="right"/>
    </xf>
    <xf numFmtId="0" fontId="21" fillId="11" borderId="14" xfId="0" applyFont="1" applyFill="1" applyBorder="1"/>
    <xf numFmtId="0" fontId="21" fillId="11" borderId="10" xfId="0" applyFont="1" applyFill="1" applyBorder="1"/>
    <xf numFmtId="2" fontId="21" fillId="11" borderId="11" xfId="0" applyNumberFormat="1" applyFont="1" applyFill="1" applyBorder="1"/>
    <xf numFmtId="0" fontId="21" fillId="11" borderId="12" xfId="0" applyFont="1" applyFill="1" applyBorder="1"/>
    <xf numFmtId="0" fontId="21" fillId="11" borderId="11" xfId="0" applyFont="1" applyFill="1" applyBorder="1"/>
    <xf numFmtId="0" fontId="22" fillId="11" borderId="11" xfId="0" applyFont="1" applyFill="1" applyBorder="1" applyAlignment="1">
      <alignment horizontal="right"/>
    </xf>
    <xf numFmtId="169" fontId="21" fillId="11" borderId="11" xfId="0" applyNumberFormat="1" applyFont="1" applyFill="1" applyBorder="1"/>
    <xf numFmtId="1" fontId="21" fillId="11" borderId="11" xfId="0" applyNumberFormat="1" applyFont="1" applyFill="1" applyBorder="1"/>
    <xf numFmtId="0" fontId="22" fillId="11" borderId="0" xfId="0" applyFont="1" applyFill="1" applyAlignment="1">
      <alignment horizontal="right"/>
    </xf>
    <xf numFmtId="169" fontId="21" fillId="11" borderId="0" xfId="0" applyNumberFormat="1" applyFont="1" applyFill="1"/>
    <xf numFmtId="0" fontId="21" fillId="11" borderId="7" xfId="0" applyFont="1" applyFill="1" applyBorder="1"/>
    <xf numFmtId="0" fontId="21" fillId="11" borderId="8" xfId="0" applyFont="1" applyFill="1" applyBorder="1"/>
    <xf numFmtId="0" fontId="21" fillId="11" borderId="9" xfId="0" applyFont="1" applyFill="1" applyBorder="1"/>
    <xf numFmtId="1" fontId="21" fillId="11" borderId="8" xfId="0" applyNumberFormat="1" applyFont="1" applyFill="1" applyBorder="1"/>
    <xf numFmtId="2" fontId="21" fillId="11" borderId="8" xfId="0" applyNumberFormat="1" applyFont="1" applyFill="1" applyBorder="1"/>
    <xf numFmtId="164" fontId="21" fillId="11" borderId="0" xfId="0" applyNumberFormat="1" applyFont="1" applyFill="1"/>
    <xf numFmtId="0" fontId="22" fillId="11" borderId="13" xfId="0" applyFont="1" applyFill="1" applyBorder="1"/>
    <xf numFmtId="169" fontId="22" fillId="11" borderId="0" xfId="0" applyNumberFormat="1" applyFont="1" applyFill="1"/>
    <xf numFmtId="0" fontId="22" fillId="11" borderId="14" xfId="0" applyFont="1" applyFill="1" applyBorder="1"/>
    <xf numFmtId="0" fontId="21" fillId="11" borderId="10" xfId="0" applyFont="1" applyFill="1" applyBorder="1" applyAlignment="1">
      <alignment horizontal="left"/>
    </xf>
    <xf numFmtId="0" fontId="21" fillId="11" borderId="13" xfId="0" applyFont="1" applyFill="1" applyBorder="1" applyAlignment="1">
      <alignment horizontal="left"/>
    </xf>
    <xf numFmtId="169" fontId="22" fillId="11" borderId="8" xfId="0" applyNumberFormat="1" applyFont="1" applyFill="1" applyBorder="1"/>
    <xf numFmtId="0" fontId="22" fillId="11" borderId="10" xfId="0" applyFont="1" applyFill="1" applyBorder="1"/>
    <xf numFmtId="164" fontId="22" fillId="11" borderId="11" xfId="0" applyNumberFormat="1" applyFont="1" applyFill="1" applyBorder="1"/>
    <xf numFmtId="0" fontId="22" fillId="11" borderId="12" xfId="0" applyFont="1" applyFill="1" applyBorder="1"/>
    <xf numFmtId="0" fontId="21" fillId="11" borderId="0" xfId="0" applyFont="1" applyFill="1" applyAlignment="1">
      <alignment horizontal="left"/>
    </xf>
    <xf numFmtId="165" fontId="21" fillId="11" borderId="11" xfId="0" applyNumberFormat="1" applyFont="1" applyFill="1" applyBorder="1"/>
    <xf numFmtId="9" fontId="21" fillId="11" borderId="11" xfId="0" applyNumberFormat="1" applyFont="1" applyFill="1" applyBorder="1" applyAlignment="1">
      <alignment horizontal="right"/>
    </xf>
    <xf numFmtId="2" fontId="21" fillId="0" borderId="0" xfId="0" applyNumberFormat="1" applyFont="1"/>
    <xf numFmtId="9" fontId="21" fillId="11" borderId="8" xfId="0" applyNumberFormat="1" applyFont="1" applyFill="1" applyBorder="1" applyAlignment="1">
      <alignment horizontal="right"/>
    </xf>
    <xf numFmtId="0" fontId="21" fillId="0" borderId="10" xfId="0" applyFont="1" applyBorder="1"/>
    <xf numFmtId="2" fontId="21" fillId="0" borderId="11" xfId="0" applyNumberFormat="1" applyFont="1" applyBorder="1"/>
    <xf numFmtId="0" fontId="21" fillId="0" borderId="12" xfId="0" applyFont="1" applyBorder="1"/>
    <xf numFmtId="0" fontId="21" fillId="0" borderId="13" xfId="0" applyFont="1" applyBorder="1"/>
    <xf numFmtId="0" fontId="21" fillId="0" borderId="14" xfId="0" applyFont="1" applyBorder="1"/>
    <xf numFmtId="165" fontId="21" fillId="11" borderId="8" xfId="0" applyNumberFormat="1" applyFont="1" applyFill="1" applyBorder="1"/>
    <xf numFmtId="0" fontId="21" fillId="0" borderId="7" xfId="0" applyFont="1" applyBorder="1"/>
    <xf numFmtId="2" fontId="21" fillId="0" borderId="8" xfId="0" applyNumberFormat="1" applyFont="1" applyBorder="1"/>
    <xf numFmtId="0" fontId="21" fillId="0" borderId="9" xfId="0" applyFont="1" applyBorder="1"/>
    <xf numFmtId="0" fontId="21" fillId="0" borderId="15" xfId="0" applyFont="1" applyBorder="1"/>
    <xf numFmtId="2" fontId="21" fillId="0" borderId="16" xfId="0" applyNumberFormat="1" applyFont="1" applyBorder="1"/>
    <xf numFmtId="0" fontId="21" fillId="0" borderId="17" xfId="0" applyFont="1" applyBorder="1"/>
    <xf numFmtId="0" fontId="21" fillId="11" borderId="15" xfId="0" applyFont="1" applyFill="1" applyBorder="1"/>
    <xf numFmtId="2" fontId="21" fillId="11" borderId="16" xfId="0" applyNumberFormat="1" applyFont="1" applyFill="1" applyBorder="1"/>
    <xf numFmtId="0" fontId="21" fillId="11" borderId="17" xfId="0" applyFont="1" applyFill="1" applyBorder="1"/>
    <xf numFmtId="0" fontId="43" fillId="0" borderId="0" xfId="9"/>
    <xf numFmtId="0" fontId="99" fillId="9" borderId="0" xfId="0" applyFont="1" applyFill="1" applyAlignment="1">
      <alignment horizontal="left" vertical="center" wrapText="1"/>
    </xf>
    <xf numFmtId="0" fontId="100" fillId="9" borderId="0" xfId="0" applyFont="1" applyFill="1" applyAlignment="1">
      <alignment horizontal="left" vertical="center" wrapText="1"/>
    </xf>
    <xf numFmtId="0" fontId="14" fillId="0" borderId="0" xfId="7" applyFont="1" applyFill="1" applyBorder="1" applyAlignment="1">
      <alignment horizontal="center"/>
    </xf>
    <xf numFmtId="0" fontId="19" fillId="0" borderId="0" xfId="0" applyFont="1"/>
    <xf numFmtId="0" fontId="0" fillId="0" borderId="0" xfId="0"/>
    <xf numFmtId="0" fontId="19" fillId="18" borderId="0" xfId="0" applyFont="1" applyFill="1"/>
    <xf numFmtId="0" fontId="97" fillId="11" borderId="0" xfId="0" applyFont="1" applyFill="1"/>
  </cellXfs>
  <cellStyles count="10">
    <cellStyle name="Accent5" xfId="7" builtinId="45"/>
    <cellStyle name="Accent6" xfId="8" builtinId="49"/>
    <cellStyle name="Calculation" xfId="4" builtinId="22"/>
    <cellStyle name="Check Cell" xfId="5" builtinId="23"/>
    <cellStyle name="Explanatory Text" xfId="6" builtinId="53"/>
    <cellStyle name="Good" xfId="2" builtinId="26"/>
    <cellStyle name="Hyperlink" xfId="9" builtinId="8"/>
    <cellStyle name="Neutral" xfId="3" builtinId="28"/>
    <cellStyle name="Normal" xfId="0" builtinId="0"/>
    <cellStyle name="Percent" xfId="1" builtinId="5"/>
  </cellStyles>
  <dxfs count="1">
    <dxf>
      <fill>
        <patternFill patternType="solid">
          <fgColor rgb="FF980000"/>
          <bgColor rgb="FF98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microsoft.com/office/2017/10/relationships/person" Target="persons/perso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3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2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1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nl-NL"/>
              <a:t>Pruning</a:t>
            </a:r>
            <a:r>
              <a:rPr lang="nl-NL" baseline="0"/>
              <a:t> HTL process energy distribution</a:t>
            </a:r>
            <a:endParaRPr lang="nl-NL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1-6FF8-4574-8644-6DA5501074E9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3-6FF8-4574-8644-6DA5501074E9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3-0B51-4FF7-9FCA-B66EAB86504E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1-0B51-4FF7-9FCA-B66EAB86504E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2-0B51-4FF7-9FCA-B66EAB86504E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B-6FF8-4574-8644-6DA5501074E9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D-6FF8-4574-8644-6DA5501074E9}"/>
              </c:ext>
            </c:extLst>
          </c:dPt>
          <c:dLbls>
            <c:dLbl>
              <c:idx val="2"/>
              <c:layout>
                <c:manualLayout>
                  <c:x val="4.6235126859142613E-2"/>
                  <c:y val="-4.0645960921551635E-2"/>
                </c:manualLayout>
              </c:layout>
              <c:spPr>
                <a:pattFill prst="pct75">
                  <a:fgClr>
                    <a:schemeClr val="dk1">
                      <a:lumMod val="75000"/>
                      <a:lumOff val="25000"/>
                    </a:schemeClr>
                  </a:fgClr>
                  <a:bgClr>
                    <a:schemeClr val="dk1">
                      <a:lumMod val="65000"/>
                      <a:lumOff val="35000"/>
                    </a:schemeClr>
                  </a:bgClr>
                </a:pattFill>
                <a:ln>
                  <a:noFill/>
                </a:ln>
                <a:effectLst>
                  <a:outerShdw blurRad="50800" dist="38100" dir="2700000" algn="tl" rotWithShape="0">
                    <a:prstClr val="black">
                      <a:alpha val="40000"/>
                    </a:prstClr>
                  </a:outerShdw>
                </a:effectLst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1000" b="1" i="0" u="none" strike="noStrike" kern="1200" baseline="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nl-NL"/>
                </a:p>
              </c:txPr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5.3777777777777779E-2"/>
                      <c:h val="8.8912219305920109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3-0B51-4FF7-9FCA-B66EAB86504E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0B51-4FF7-9FCA-B66EAB86504E}"/>
                </c:ext>
              </c:extLst>
            </c:dLbl>
            <c:dLbl>
              <c:idx val="4"/>
              <c:layout>
                <c:manualLayout>
                  <c:x val="6.5382983377077861E-2"/>
                  <c:y val="-7.5205234762321382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0B51-4FF7-9FCA-B66EAB86504E}"/>
                </c:ext>
              </c:extLst>
            </c:dLbl>
            <c:spPr>
              <a:pattFill prst="pct75">
                <a:fgClr>
                  <a:schemeClr val="dk1">
                    <a:lumMod val="75000"/>
                    <a:lumOff val="25000"/>
                  </a:schemeClr>
                </a:fgClr>
                <a:bgClr>
                  <a:schemeClr val="dk1">
                    <a:lumMod val="65000"/>
                    <a:lumOff val="35000"/>
                  </a:schemeClr>
                </a:bgClr>
              </a:pattFill>
              <a:ln>
                <a:noFill/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nl-NL"/>
              </a:p>
            </c:txPr>
            <c:dLblPos val="ctr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>
                  <a:solidFill>
                    <a:schemeClr val="dk1">
                      <a:lumMod val="50000"/>
                      <a:lumOff val="50000"/>
                    </a:schemeClr>
                  </a:solidFill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'Energy balance '!$C$47:$C$53</c:f>
              <c:strCache>
                <c:ptCount val="7"/>
                <c:pt idx="0">
                  <c:v>Biofuel</c:v>
                </c:pt>
                <c:pt idx="1">
                  <c:v>Salable Electricity</c:v>
                </c:pt>
                <c:pt idx="2">
                  <c:v>Process Energy, from Biogas and Char</c:v>
                </c:pt>
                <c:pt idx="3">
                  <c:v>Process Energy, from Natural Gas</c:v>
                </c:pt>
                <c:pt idx="4">
                  <c:v>Aqueous Recyclate</c:v>
                </c:pt>
                <c:pt idx="5">
                  <c:v>Combustion Losses</c:v>
                </c:pt>
                <c:pt idx="6">
                  <c:v>Waste Aqueous &amp; Unknown Losses</c:v>
                </c:pt>
              </c:strCache>
            </c:strRef>
          </c:cat>
          <c:val>
            <c:numRef>
              <c:f>'Energy balance '!$D$47:$D$53</c:f>
              <c:numCache>
                <c:formatCode>0%</c:formatCode>
                <c:ptCount val="7"/>
                <c:pt idx="0">
                  <c:v>0.6309186266027067</c:v>
                </c:pt>
                <c:pt idx="1">
                  <c:v>9.3538220156113589E-3</c:v>
                </c:pt>
                <c:pt idx="2">
                  <c:v>2.9654648842602663E-2</c:v>
                </c:pt>
                <c:pt idx="3">
                  <c:v>0</c:v>
                </c:pt>
                <c:pt idx="4">
                  <c:v>0.13857927385536378</c:v>
                </c:pt>
                <c:pt idx="5">
                  <c:v>0.14491937680885739</c:v>
                </c:pt>
                <c:pt idx="6">
                  <c:v>4.6574251874858148E-2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B51-4FF7-9FCA-B66EAB86504E}"/>
            </c:ext>
          </c:extLst>
        </c:ser>
        <c:dLbls>
          <c:dLblPos val="ctr"/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overlay val="0"/>
      <c:spPr>
        <a:solidFill>
          <a:schemeClr val="lt1">
            <a:lumMod val="95000"/>
            <a:alpha val="39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3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spPr>
      <a:pattFill prst="pct75">
        <a:fgClr>
          <a:schemeClr val="dk1">
            <a:lumMod val="75000"/>
            <a:lumOff val="25000"/>
          </a:schemeClr>
        </a:fgClr>
        <a:bgClr>
          <a:schemeClr val="dk1">
            <a:lumMod val="65000"/>
            <a:lumOff val="35000"/>
          </a:schemeClr>
        </a:bgClr>
      </a:pattFill>
      <a:effectLst>
        <a:outerShdw blurRad="50800" dist="38100" dir="2700000" algn="tl" rotWithShape="0">
          <a:prstClr val="black">
            <a:alpha val="40000"/>
          </a:prstClr>
        </a:outerShdw>
      </a:effectLst>
    </cs:spPr>
    <cs:defRPr sz="10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pattFill prst="pct75">
        <a:fgClr>
          <a:schemeClr val="dk1">
            <a:lumMod val="75000"/>
            <a:lumOff val="25000"/>
          </a:schemeClr>
        </a:fgClr>
        <a:bgClr>
          <a:schemeClr val="dk1">
            <a:lumMod val="65000"/>
            <a:lumOff val="35000"/>
          </a:schemeClr>
        </a:bgClr>
      </a:pattFill>
      <a:effectLst>
        <a:outerShdw blurRad="50800" dist="38100" dir="2700000" algn="tl" rotWithShape="0">
          <a:prstClr val="black">
            <a:alpha val="40000"/>
          </a:prstClr>
        </a:outerShdw>
      </a:effectLst>
    </cs:spPr>
    <cs:defRPr sz="1000" b="1" i="0" u="none" strike="noStrike" kern="1200" baseline="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254000" sx="102000" sy="102000" algn="ctr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254000" sx="102000" sy="102000" algn="ctr" rotWithShape="0">
          <a:prstClr val="black">
            <a:alpha val="20000"/>
          </a:prstClr>
        </a:outerShdw>
      </a:effectLst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>
      <a:ln w="317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365125</xdr:colOff>
      <xdr:row>42</xdr:row>
      <xdr:rowOff>85725</xdr:rowOff>
    </xdr:from>
    <xdr:to>
      <xdr:col>13</xdr:col>
      <xdr:colOff>60325</xdr:colOff>
      <xdr:row>57</xdr:row>
      <xdr:rowOff>66675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451A5ED4-0F58-3E5D-4CE9-8458BE4F7F8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sivachandrasek\Downloads\Tanzer%20et%20al%202019-%20Supplementary%20Information_2.xlsx" TargetMode="External"/><Relationship Id="rId1" Type="http://schemas.openxmlformats.org/officeDocument/2006/relationships/externalLinkPath" Target="file:///C:\Users\sivachandrasek\Downloads\Tanzer%20et%20al%202019-%20Supplementary%20Information_2.xlsx" TargetMode="External"/></Relationships>
</file>

<file path=xl/externalLinks/_rels/externalLink2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sivachandrasek\Desktop\TEA_All%20case%20studies.xlsx" TargetMode="External"/><Relationship Id="rId1" Type="http://schemas.openxmlformats.org/officeDocument/2006/relationships/externalLinkPath" Target="file:///C:\Users\sivachandrasek\Desktop\TEA_All%20case%20studies.xlsx" TargetMode="External"/></Relationships>
</file>

<file path=xl/externalLinks/_rels/externalLink3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U:\SivaCS\TU%20DELFT\CS%20project\Case%20study\Siva%20Final%20excel%20work\TEA_Spain%20pomace%20_final%20-%20Siva.xlsx" TargetMode="External"/><Relationship Id="rId1" Type="http://schemas.openxmlformats.org/officeDocument/2006/relationships/externalLinkPath" Target="file:///U:\SivaCS\TU%20DELFT\CS%20project\Case%20study\Siva%20Final%20excel%20work\TEA_Spain%20pomace%20_final%20-%20Siv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Meta"/>
      <sheetName val="Summary Results"/>
      <sheetName val="1.1 Demand"/>
      <sheetName val="1.2 Feedstocks"/>
      <sheetName val="2.1 Process Var"/>
      <sheetName val="2.2 Mass"/>
      <sheetName val="2.3 Utilities"/>
      <sheetName val="2.4 Energy Balance"/>
      <sheetName val="2.5 Yields"/>
      <sheetName val="Yield Tables"/>
      <sheetName val="2.C Yield Charts"/>
      <sheetName val="3.1 Refinery"/>
      <sheetName val="4.1 Expense Var"/>
      <sheetName val="Expense Tables"/>
      <sheetName val="4.2 Expenses"/>
      <sheetName val="4.C Expense Charts"/>
      <sheetName val="5.1 Emission Var"/>
      <sheetName val="5.2 Emissions"/>
      <sheetName val="Emission Tables"/>
      <sheetName val="5.C Emission Charts"/>
      <sheetName val="Scaling"/>
      <sheetName val="6.C Sensitivty Analysis Charts"/>
      <sheetName val="TEA Lit"/>
      <sheetName val="A.1. Factors"/>
      <sheetName val="A.2. Bibliography"/>
    </sheetNames>
    <sheetDataSet>
      <sheetData sheetId="0"/>
      <sheetData sheetId="1"/>
      <sheetData sheetId="2"/>
      <sheetData sheetId="3"/>
      <sheetData sheetId="4">
        <row r="51">
          <cell r="C51" t="str">
            <v>CO yield</v>
          </cell>
        </row>
      </sheetData>
      <sheetData sheetId="5">
        <row r="24">
          <cell r="C24" t="str">
            <v>Aqueous Recycling Iteration Count</v>
          </cell>
        </row>
      </sheetData>
      <sheetData sheetId="6">
        <row r="47">
          <cell r="C47" t="str">
            <v>Cooling Water Demand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>
        <row r="15">
          <cell r="B15">
            <v>3.6</v>
          </cell>
        </row>
      </sheetData>
      <sheetData sheetId="24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Sheet1"/>
      <sheetName val="Sheet2"/>
      <sheetName val="Demand "/>
      <sheetName val="Feedstocks "/>
      <sheetName val="Process variables "/>
      <sheetName val="Mass balances "/>
      <sheetName val="utilities demand from Aspen plu"/>
      <sheetName val="Energy balance "/>
      <sheetName val="utilities "/>
      <sheetName val="yields "/>
      <sheetName val="CAPEX "/>
      <sheetName val="Expenses variable "/>
      <sheetName val="expenses_full_fuel without frac"/>
      <sheetName val="without hydrotreatment or fcc1 "/>
      <sheetName val="expenses_hydr frac fuel "/>
      <sheetName val="Sources and links "/>
      <sheetName val="Sheet4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115">
          <cell r="D115">
            <v>186216.038</v>
          </cell>
        </row>
      </sheetData>
      <sheetData sheetId="6" refreshError="1">
        <row r="46">
          <cell r="C46">
            <v>0</v>
          </cell>
        </row>
        <row r="48">
          <cell r="Q48">
            <v>50</v>
          </cell>
        </row>
        <row r="52">
          <cell r="C52">
            <v>0</v>
          </cell>
        </row>
        <row r="53">
          <cell r="C53">
            <v>0</v>
          </cell>
        </row>
      </sheetData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Sheet1"/>
      <sheetName val="Sheet2"/>
      <sheetName val="Demand "/>
      <sheetName val="Feedstocks "/>
      <sheetName val="Process variables "/>
      <sheetName val="Mass balances "/>
      <sheetName val="Utilities demand"/>
      <sheetName val="Energy balance "/>
      <sheetName val="yields "/>
      <sheetName val="Refinery"/>
      <sheetName val="Expenses variable "/>
      <sheetName val="utilities "/>
      <sheetName val="CAPEX "/>
      <sheetName val="expenses_full_fuel without frac"/>
      <sheetName val="expenses_full_no upgrading"/>
      <sheetName val="play"/>
      <sheetName val="Sources and links "/>
      <sheetName val="Sheet4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>
        <row r="48">
          <cell r="Q48">
            <v>50</v>
          </cell>
        </row>
      </sheetData>
      <sheetData sheetId="7" refreshError="1"/>
      <sheetData sheetId="8" refreshError="1"/>
      <sheetData sheetId="9" refreshError="1"/>
      <sheetData sheetId="10">
        <row r="50">
          <cell r="C50">
            <v>895</v>
          </cell>
        </row>
        <row r="56">
          <cell r="H56">
            <v>1.0612299999999999</v>
          </cell>
        </row>
      </sheetData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>
        <row r="42">
          <cell r="B42">
            <v>97.27</v>
          </cell>
        </row>
      </sheetData>
    </sheetDataSet>
  </externalBook>
</externalLink>
</file>

<file path=xl/persons/person.xml><?xml version="1.0" encoding="utf-8"?>
<personList xmlns="http://schemas.microsoft.com/office/spreadsheetml/2018/threadedcomments" xmlns:x="http://schemas.openxmlformats.org/spreadsheetml/2006/main">
  <person displayName="Sivaramakrishnan Chandrasekaran" id="{92373B86-5DC4-479A-862F-EB0B98CE43B1}" userId="S::sivachandrasek@tudelft.nl::34de0326-6289-4453-a615-f131b2a21532" providerId="AD"/>
</personList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B31" dT="2023-09-12T12:38:19.08" personId="{92373B86-5DC4-479A-862F-EB0B98CE43B1}" id="{29D59D47-3A06-4CBC-941F-6971440C908E}">
    <text>biocrude</text>
  </threadedComment>
  <threadedComment ref="C31" dT="2023-09-12T12:38:25.42" personId="{92373B86-5DC4-479A-862F-EB0B98CE43B1}" id="{D584A5B7-01F6-4C0C-B9DD-62B0D772A9AD}">
    <text>biochar</text>
  </threadedComment>
</ThreadedComments>
</file>

<file path=xl/threadedComments/threadedComment2.xml><?xml version="1.0" encoding="utf-8"?>
<ThreadedComments xmlns="http://schemas.microsoft.com/office/spreadsheetml/2018/threadedcomments" xmlns:x="http://schemas.openxmlformats.org/spreadsheetml/2006/main">
  <threadedComment ref="B16" dT="2023-09-12T07:32:02.85" personId="{00000000-0000-0000-0000-000000000000}" id="{EA9BF3E2-B406-4EA9-985D-B1AEB9FA66E5}">
    <text xml:space="preserve">Reactor </text>
  </threadedComment>
  <threadedComment ref="D16" dT="2023-09-12T07:32:42.11" personId="{00000000-0000-0000-0000-000000000000}" id="{7FF3F295-6D05-446D-B6FA-19654EF3BBDE}">
    <text>B11</text>
  </threadedComment>
  <threadedComment ref="E16" dT="2023-09-12T07:34:54.17" personId="{00000000-0000-0000-0000-000000000000}" id="{D5234BCC-CBD2-4E55-B5EB-398DBF8073D6}">
    <text xml:space="preserve">B5
</text>
  </threadedComment>
  <threadedComment ref="B17" dT="2023-09-12T07:32:15.60" personId="{00000000-0000-0000-0000-000000000000}" id="{CE56508F-D057-4C21-AAAC-4F2D059BEDCF}">
    <text>B41</text>
  </threadedComment>
  <threadedComment ref="D17" dT="2023-09-12T07:33:15.31" personId="{00000000-0000-0000-0000-000000000000}" id="{ADB5AE8F-F3CF-4D81-9EB6-76E29D19924F}">
    <text>B13</text>
  </threadedComment>
</ThreadedComments>
</file>

<file path=xl/threadedComments/threadedComment3.xml><?xml version="1.0" encoding="utf-8"?>
<ThreadedComments xmlns="http://schemas.microsoft.com/office/spreadsheetml/2018/threadedcomments" xmlns:x="http://schemas.openxmlformats.org/spreadsheetml/2006/main">
  <threadedComment ref="C3" dT="2023-10-11T09:07:58.42" personId="{00000000-0000-0000-0000-000000000000}" id="{C8E374EB-077C-408D-AB07-C86DA3B0540A}">
    <text>Tanzer</text>
  </threadedComment>
  <threadedComment ref="C9" dT="2023-10-11T09:17:30.04" personId="{00000000-0000-0000-0000-000000000000}" id="{1770EB95-93E5-4BB9-8866-3B3C2AE0BAD0}">
    <text>https://www.intratec.us/products/indexes-and-data/commodity-plant-location-factors#west-europe</text>
    <extLst>
      <x:ext xmlns:xltc2="http://schemas.microsoft.com/office/spreadsheetml/2020/threadedcomments2" uri="{F7C98A9C-CBB3-438F-8F68-D28B6AF4A901}">
        <xltc2:checksum>2562980076</xltc2:checksum>
        <xltc2:hyperlink startIndex="0" length="94" url="https://www.intratec.us/products/indexes-and-data/commodity-plant-location-factors#west-europe"/>
      </x:ext>
    </extLst>
  </threadedComment>
  <threadedComment ref="D9" dT="2023-10-11T09:18:01.56" personId="{00000000-0000-0000-0000-000000000000}" id="{9FAF3344-81BF-495F-B9BA-5C6C63CF4967}">
    <text xml:space="preserve">For South Africa </text>
  </threadedComment>
  <threadedComment ref="E9" dT="2023-10-11T09:18:24.59" personId="{00000000-0000-0000-0000-000000000000}" id="{0001276B-EFB6-45F9-8F1C-77069FA7AA9E}">
    <text xml:space="preserve">Brazil </text>
  </threadedComment>
  <threadedComment ref="C22" dT="2023-10-11T07:05:47.74" personId="{00000000-0000-0000-0000-000000000000}" id="{E0319863-1458-4067-9FFC-2D7C48427F38}">
    <text>https://ycharts.com/indicators/spain_long_term_interest_rates#:~:text=Spain%20Long%20Term%20Interest%20Rate%20is%20at%203.57%25%2C%20compared%20to,or%20close%20to%2010%20years.</text>
    <extLst>
      <x:ext xmlns:xltc2="http://schemas.microsoft.com/office/spreadsheetml/2020/threadedcomments2" uri="{F7C98A9C-CBB3-438F-8F68-D28B6AF4A901}">
        <xltc2:checksum>3288545989</xltc2:checksum>
        <xltc2:hyperlink startIndex="0" length="175" url="https://ycharts.com/indicators/spain_long_term_interest_rates#:~:text=Spain%20Long%20Term%20Interest%20Rate%20is%20at%203.57%25%2C%20compared%20to,or%20close%20to%2010%20years"/>
      </x:ext>
    </extLst>
  </threadedComment>
  <threadedComment ref="C23" dT="2023-10-11T07:04:46.65" personId="{00000000-0000-0000-0000-000000000000}" id="{C268A644-E1CB-4C31-8054-43583E90E1C9}">
    <text>https://tradingeconomics.com/spain/inflation-cpi</text>
    <extLst>
      <x:ext xmlns:xltc2="http://schemas.microsoft.com/office/spreadsheetml/2020/threadedcomments2" uri="{F7C98A9C-CBB3-438F-8F68-D28B6AF4A901}">
        <xltc2:checksum>4046883138</xltc2:checksum>
        <xltc2:hyperlink startIndex="0" length="48" url="https://tradingeconomics.com/spain/inflation-cpi"/>
      </x:ext>
    </extLst>
  </threadedComment>
  <threadedComment ref="C24" dT="2023-10-11T07:07:23.93" personId="{00000000-0000-0000-0000-000000000000}" id="{4FE73010-78B8-45F8-B914-2B6593D1F74E}">
    <text>https://www.statista.com/statistics/664872/average-market-risk-premium-spain-europe/</text>
    <extLst>
      <x:ext xmlns:xltc2="http://schemas.microsoft.com/office/spreadsheetml/2020/threadedcomments2" uri="{F7C98A9C-CBB3-438F-8F68-D28B6AF4A901}">
        <xltc2:checksum>4051715151</xltc2:checksum>
        <xltc2:hyperlink startIndex="0" length="84" url="https://www.statista.com/statistics/664872/average-market-risk-premium-spain-europe/"/>
      </x:ext>
    </extLst>
  </threadedComment>
  <threadedComment ref="A26" dT="2023-10-11T07:14:30.25" personId="{00000000-0000-0000-0000-000000000000}" id="{C1B57DE4-EA74-4F37-91A9-7FFBB7C7AEAA}">
    <text>Same as Tanzer</text>
  </threadedComment>
  <threadedComment ref="C27" dT="2023-10-16T15:02:37.06" personId="{92373B86-5DC4-479A-862F-EB0B98CE43B1}" id="{9EFA0004-2946-4985-974B-2EC3A4199369}">
    <text>5 times Tanzer scale</text>
  </threadedComment>
  <threadedComment ref="A44" dT="2023-10-11T07:24:35.70" personId="{00000000-0000-0000-0000-000000000000}" id="{CC5C0CB4-95B1-478A-8E76-40670194E00A}">
    <text>Prices 2023</text>
  </threadedComment>
  <threadedComment ref="A47" dT="2023-10-11T07:24:42.97" personId="{00000000-0000-0000-0000-000000000000}" id="{C6B6B551-37ED-4CB2-AB52-57F0E0A02773}">
    <text>Prices 2023</text>
  </threadedComment>
  <threadedComment ref="A50" dT="2023-10-11T07:32:28.21" personId="{00000000-0000-0000-0000-000000000000}" id="{1EC3DCCD-BEBB-4E4D-A200-1ED6BF9FA83B}">
    <text>https://shipandbunker.com/prices/emea</text>
    <extLst>
      <x:ext xmlns:xltc2="http://schemas.microsoft.com/office/spreadsheetml/2020/threadedcomments2" uri="{F7C98A9C-CBB3-438F-8F68-D28B6AF4A901}">
        <xltc2:checksum>3809543837</xltc2:checksum>
        <xltc2:hyperlink startIndex="0" length="37" url="https://shipandbunker.com/prices/emea"/>
      </x:ext>
    </extLst>
  </threadedComment>
  <threadedComment ref="C52" dT="2023-10-11T07:40:37.85" personId="{00000000-0000-0000-0000-000000000000}" id="{B54D6927-2FA2-48AF-853E-E9251FF2EFF5}">
    <text>https://www.statista.com/statistics/1267552/spain-monthly-wholesale-electricity-price/</text>
    <extLst>
      <x:ext xmlns:xltc2="http://schemas.microsoft.com/office/spreadsheetml/2020/threadedcomments2" uri="{F7C98A9C-CBB3-438F-8F68-D28B6AF4A901}">
        <xltc2:checksum>238654664</xltc2:checksum>
        <xltc2:hyperlink startIndex="0" length="86" url="https://www.statista.com/statistics/1267552/spain-monthly-wholesale-electricity-price/"/>
      </x:ext>
    </extLst>
  </threadedComment>
  <threadedComment ref="G52" dT="2023-10-11T07:34:42.72" personId="{00000000-0000-0000-0000-000000000000}" id="{9635F106-DACD-4786-8E1D-56DC053090C8}">
    <text>https://shipandbunker.com/news/world/662089-integr8-vlsfo-calorific-value-pour-point-and-competitiveness-with-lsmgo</text>
    <extLst>
      <x:ext xmlns:xltc2="http://schemas.microsoft.com/office/spreadsheetml/2020/threadedcomments2" uri="{F7C98A9C-CBB3-438F-8F68-D28B6AF4A901}">
        <xltc2:checksum>3515712026</xltc2:checksum>
        <xltc2:hyperlink startIndex="0" length="115" url="https://shipandbunker.com/news/world/662089-integr8-vlsfo-calorific-value-pour-point-and-competitiveness-with-lsmgo"/>
      </x:ext>
    </extLst>
  </threadedComment>
  <threadedComment ref="C56" dT="2023-10-11T09:23:12.50" personId="{00000000-0000-0000-0000-000000000000}" id="{5001E971-8021-45A4-9E2D-C3D673197ECB}">
    <text>https://oilprice.com/</text>
    <extLst>
      <x:ext xmlns:xltc2="http://schemas.microsoft.com/office/spreadsheetml/2020/threadedcomments2" uri="{F7C98A9C-CBB3-438F-8F68-D28B6AF4A901}">
        <xltc2:checksum>919184345</xltc2:checksum>
        <xltc2:hyperlink startIndex="0" length="21" url="https://oilprice.com/"/>
      </x:ext>
    </extLst>
  </threadedComment>
  <threadedComment ref="C59" dT="2023-10-11T08:04:25.79" personId="{00000000-0000-0000-0000-000000000000}" id="{251E6D10-A989-437A-BB5D-8AC87DFDE315}">
    <text>Assumed</text>
  </threadedComment>
  <threadedComment ref="F68" dT="2023-10-11T08:21:07.09" personId="{00000000-0000-0000-0000-000000000000}" id="{2AC13DCA-6121-4B79-A77B-58CDBA17B415}">
    <text>https://ec.europa.eu/eurostat/statistics-explained/index.php?title=Natural_gas_price_statistics#Natural_gas_prices_for_non-household_consumers</text>
    <extLst>
      <x:ext xmlns:xltc2="http://schemas.microsoft.com/office/spreadsheetml/2020/threadedcomments2" uri="{F7C98A9C-CBB3-438F-8F68-D28B6AF4A901}">
        <xltc2:checksum>3013214461</xltc2:checksum>
        <xltc2:hyperlink startIndex="0" length="142" url="https://ec.europa.eu/eurostat/statistics-explained/index.php?title=Natural_gas_price_statistics#Natural_gas_prices_for_non-household_consumers"/>
      </x:ext>
    </extLst>
  </threadedComment>
  <threadedComment ref="C70" dT="2023-10-11T12:00:13.72" personId="{00000000-0000-0000-0000-000000000000}" id="{8B862BA9-8037-4681-AF21-995D1AB4A5D9}">
    <text>https://www.salaryexplorer.com/average-salary-wage-comparison-spain-chemical-plant-operator-c203j12174</text>
    <extLst>
      <x:ext xmlns:xltc2="http://schemas.microsoft.com/office/spreadsheetml/2020/threadedcomments2" uri="{F7C98A9C-CBB3-438F-8F68-D28B6AF4A901}">
        <xltc2:checksum>466723829</xltc2:checksum>
        <xltc2:hyperlink startIndex="0" length="102" url="https://www.salaryexplorer.com/average-salary-wage-comparison-spain-chemical-plant-operator-c203j12174"/>
      </x:ext>
    </extLst>
  </threadedComment>
  <threadedComment ref="B82" dT="2023-10-11T12:53:46.08" personId="{00000000-0000-0000-0000-000000000000}" id="{C96AFD84-3AF2-469F-879E-856A7B26882E}">
    <text>https://www.power-technology.com/marketdata/ence-huelva-biomass-power-plant-spain/</text>
    <extLst>
      <x:ext xmlns:xltc2="http://schemas.microsoft.com/office/spreadsheetml/2020/threadedcomments2" uri="{F7C98A9C-CBB3-438F-8F68-D28B6AF4A901}">
        <xltc2:checksum>3695437788</xltc2:checksum>
        <xltc2:hyperlink startIndex="0" length="82" url="https://www.power-technology.com/marketdata/ence-huelva-biomass-power-plant-spain/"/>
      </x:ext>
    </extLst>
  </threadedComment>
</ThreadedComments>
</file>

<file path=xl/threadedComments/threadedComment4.xml><?xml version="1.0" encoding="utf-8"?>
<ThreadedComments xmlns="http://schemas.microsoft.com/office/spreadsheetml/2018/threadedcomments" xmlns:x="http://schemas.openxmlformats.org/spreadsheetml/2006/main">
  <threadedComment ref="A11" dT="2023-10-11T09:04:10.39" personId="{00000000-0000-0000-0000-000000000000}" id="{1B12CF54-5D51-4480-8DC0-A42743716D27}">
    <text>https://personalpages.manchester.ac.uk/staff/tom.rodgers/Interactive_graphs/CEPCI.html?reactors/CEPCI/index.html</text>
    <extLst>
      <x:ext xmlns:xltc2="http://schemas.microsoft.com/office/spreadsheetml/2020/threadedcomments2" uri="{F7C98A9C-CBB3-438F-8F68-D28B6AF4A901}">
        <xltc2:checksum>4091065134</xltc2:checksum>
        <xltc2:hyperlink startIndex="0" length="112" url="https://personalpages.manchester.ac.uk/staff/tom.rodgers/Interactive_graphs/CEPCI.html?reactors/CEPCI/index.html"/>
      </x:ext>
    </extLst>
  </threadedComment>
  <threadedComment ref="B42" dT="2023-10-11T09:59:59.09" personId="{00000000-0000-0000-0000-000000000000}" id="{491EAEC9-A3A9-4310-AFAC-5BB4CF1E02B8}">
    <text>Price from PNNL Tews in 2023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microsoft.com/office/2017/10/relationships/threadedComment" Target="../threadedComments/threadedComment1.xml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hyperlink" Target="https://toweringskills.com/financial-analysis/cost-indices/" TargetMode="External"/><Relationship Id="rId4" Type="http://schemas.microsoft.com/office/2017/10/relationships/threadedComment" Target="../threadedComments/threadedComment4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hyperlink" Target="https://docs.google.com/spreadsheets/d/1m0lR_lQfkmeN9bK33kXO5TYEvZGSXG9z7Usf_a0I6Xk/edit" TargetMode="External"/><Relationship Id="rId1" Type="http://schemas.openxmlformats.org/officeDocument/2006/relationships/hyperlink" Target="https://docs.google.com/spreadsheets/d/1m0lR_lQfkmeN9bK33kXO5TYEvZGSXG9z7Usf_a0I6Xk/edit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microsoft.com/office/2017/10/relationships/threadedComment" Target="../threadedComments/threadedComment2.xml"/><Relationship Id="rId2" Type="http://schemas.openxmlformats.org/officeDocument/2006/relationships/comments" Target="../comments3.xml"/><Relationship Id="rId1" Type="http://schemas.openxmlformats.org/officeDocument/2006/relationships/vmlDrawing" Target="../drawings/vmlDrawing3.v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comments" Target="../comments4.xml"/><Relationship Id="rId1" Type="http://schemas.openxmlformats.org/officeDocument/2006/relationships/vmlDrawing" Target="../drawings/vmlDrawing4.vml"/></Relationships>
</file>

<file path=xl/worksheets/_rels/sheet8.xml.rels><?xml version="1.0" encoding="UTF-8" standalone="yes"?>
<Relationships xmlns="http://schemas.openxmlformats.org/package/2006/relationships"><Relationship Id="rId3" Type="http://schemas.microsoft.com/office/2017/10/relationships/threadedComment" Target="../threadedComments/threadedComment3.xml"/><Relationship Id="rId2" Type="http://schemas.openxmlformats.org/officeDocument/2006/relationships/comments" Target="../comments5.xml"/><Relationship Id="rId1" Type="http://schemas.openxmlformats.org/officeDocument/2006/relationships/vmlDrawing" Target="../drawings/vmlDrawing5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21"/>
  <sheetViews>
    <sheetView topLeftCell="A51" workbookViewId="0">
      <selection activeCell="B124" sqref="B124"/>
    </sheetView>
  </sheetViews>
  <sheetFormatPr defaultRowHeight="14.5" x14ac:dyDescent="0.35"/>
  <cols>
    <col min="1" max="1" width="29.54296875" customWidth="1"/>
    <col min="2" max="2" width="30.453125" customWidth="1"/>
    <col min="3" max="3" width="14.1796875" customWidth="1"/>
    <col min="5" max="5" width="33.453125" customWidth="1"/>
    <col min="6" max="6" width="20.1796875" customWidth="1"/>
    <col min="7" max="7" width="11.90625" customWidth="1"/>
  </cols>
  <sheetData>
    <row r="1" spans="1:8" x14ac:dyDescent="0.35">
      <c r="A1" t="s">
        <v>58</v>
      </c>
      <c r="F1" t="s">
        <v>121</v>
      </c>
    </row>
    <row r="3" spans="1:8" x14ac:dyDescent="0.35">
      <c r="A3" t="s">
        <v>0</v>
      </c>
      <c r="F3">
        <v>8000</v>
      </c>
      <c r="G3" t="s">
        <v>122</v>
      </c>
    </row>
    <row r="4" spans="1:8" x14ac:dyDescent="0.35">
      <c r="G4" t="s">
        <v>123</v>
      </c>
    </row>
    <row r="5" spans="1:8" x14ac:dyDescent="0.35">
      <c r="A5" t="s">
        <v>1</v>
      </c>
      <c r="B5">
        <v>6.49</v>
      </c>
      <c r="D5">
        <f>B5*100/$C$8</f>
        <v>6.0944689642219929</v>
      </c>
      <c r="F5">
        <v>28.125</v>
      </c>
      <c r="G5" t="s">
        <v>124</v>
      </c>
    </row>
    <row r="6" spans="1:8" x14ac:dyDescent="0.35">
      <c r="A6" t="s">
        <v>2</v>
      </c>
      <c r="B6">
        <v>83.45</v>
      </c>
      <c r="D6">
        <f t="shared" ref="D6:D8" si="0">B6*100/$C$8</f>
        <v>78.36416564935675</v>
      </c>
      <c r="F6">
        <f>F5*1000</f>
        <v>28125</v>
      </c>
      <c r="G6" t="s">
        <v>125</v>
      </c>
    </row>
    <row r="7" spans="1:8" x14ac:dyDescent="0.35">
      <c r="A7" t="s">
        <v>3</v>
      </c>
      <c r="B7">
        <v>16.32</v>
      </c>
      <c r="D7">
        <f t="shared" si="0"/>
        <v>15.325382665038971</v>
      </c>
      <c r="F7">
        <f>F6/B22</f>
        <v>281250</v>
      </c>
      <c r="G7" t="s">
        <v>126</v>
      </c>
    </row>
    <row r="8" spans="1:8" x14ac:dyDescent="0.35">
      <c r="A8" t="s">
        <v>4</v>
      </c>
      <c r="B8">
        <v>0.23</v>
      </c>
      <c r="C8">
        <f>SUM(B5:B8)</f>
        <v>106.49</v>
      </c>
      <c r="D8">
        <f t="shared" si="0"/>
        <v>0.21598272138228944</v>
      </c>
      <c r="E8">
        <f>SUM(D5:D8)</f>
        <v>100</v>
      </c>
      <c r="F8">
        <f>F6*B5/100</f>
        <v>1825.3125</v>
      </c>
      <c r="G8" t="s">
        <v>127</v>
      </c>
    </row>
    <row r="9" spans="1:8" x14ac:dyDescent="0.35">
      <c r="F9">
        <f>F7-F8</f>
        <v>279424.6875</v>
      </c>
      <c r="G9" t="s">
        <v>128</v>
      </c>
    </row>
    <row r="10" spans="1:8" x14ac:dyDescent="0.35">
      <c r="A10" t="s">
        <v>5</v>
      </c>
      <c r="F10">
        <f>F6*(1-D5/100)</f>
        <v>26410.930603812565</v>
      </c>
      <c r="G10" t="s">
        <v>239</v>
      </c>
    </row>
    <row r="11" spans="1:8" x14ac:dyDescent="0.35">
      <c r="F11">
        <f>F10/B22</f>
        <v>264109.30603812565</v>
      </c>
      <c r="G11" t="s">
        <v>240</v>
      </c>
    </row>
    <row r="12" spans="1:8" x14ac:dyDescent="0.35">
      <c r="A12" t="s">
        <v>6</v>
      </c>
      <c r="B12">
        <v>47.6</v>
      </c>
      <c r="F12" s="95">
        <f>SUM(G12:H12)</f>
        <v>264543.37008266896</v>
      </c>
      <c r="G12">
        <v>57250</v>
      </c>
      <c r="H12">
        <v>207293.37008266899</v>
      </c>
    </row>
    <row r="13" spans="1:8" x14ac:dyDescent="0.35">
      <c r="A13" t="s">
        <v>7</v>
      </c>
      <c r="B13">
        <v>6.3</v>
      </c>
      <c r="F13">
        <f>F10*B8/100</f>
        <v>60.745140388768903</v>
      </c>
    </row>
    <row r="14" spans="1:8" x14ac:dyDescent="0.35">
      <c r="A14" t="s">
        <v>8</v>
      </c>
      <c r="B14">
        <v>0.2</v>
      </c>
    </row>
    <row r="15" spans="1:8" x14ac:dyDescent="0.35">
      <c r="A15" t="s">
        <v>9</v>
      </c>
      <c r="B15">
        <v>0</v>
      </c>
      <c r="F15">
        <f>F6*0.05</f>
        <v>1406.25</v>
      </c>
      <c r="G15" t="s">
        <v>637</v>
      </c>
    </row>
    <row r="16" spans="1:8" x14ac:dyDescent="0.35">
      <c r="A16" t="s">
        <v>10</v>
      </c>
      <c r="B16">
        <v>45.9</v>
      </c>
      <c r="C16">
        <f>SUM(B12:B16)</f>
        <v>100</v>
      </c>
      <c r="F16">
        <f>F15*8000</f>
        <v>11250000</v>
      </c>
      <c r="G16" t="s">
        <v>638</v>
      </c>
    </row>
    <row r="17" spans="1:7" x14ac:dyDescent="0.35">
      <c r="A17" t="s">
        <v>11</v>
      </c>
      <c r="F17">
        <f>F16/1000</f>
        <v>11250</v>
      </c>
      <c r="G17" t="s">
        <v>639</v>
      </c>
    </row>
    <row r="18" spans="1:7" x14ac:dyDescent="0.35">
      <c r="A18" t="s">
        <v>12</v>
      </c>
    </row>
    <row r="19" spans="1:7" x14ac:dyDescent="0.35">
      <c r="A19" t="s">
        <v>13</v>
      </c>
      <c r="B19">
        <v>16.899999999999999</v>
      </c>
    </row>
    <row r="21" spans="1:7" x14ac:dyDescent="0.35">
      <c r="A21" t="s">
        <v>14</v>
      </c>
    </row>
    <row r="22" spans="1:7" x14ac:dyDescent="0.35">
      <c r="A22" t="s">
        <v>15</v>
      </c>
      <c r="B22">
        <v>0.1</v>
      </c>
      <c r="E22" t="s">
        <v>47</v>
      </c>
      <c r="F22" t="s">
        <v>59</v>
      </c>
    </row>
    <row r="23" spans="1:7" x14ac:dyDescent="0.35">
      <c r="A23" t="s">
        <v>16</v>
      </c>
      <c r="B23">
        <v>300</v>
      </c>
    </row>
    <row r="24" spans="1:7" x14ac:dyDescent="0.35">
      <c r="A24" t="s">
        <v>17</v>
      </c>
      <c r="B24">
        <v>30</v>
      </c>
    </row>
    <row r="25" spans="1:7" x14ac:dyDescent="0.35">
      <c r="A25" t="s">
        <v>18</v>
      </c>
      <c r="B25" t="s">
        <v>60</v>
      </c>
    </row>
    <row r="26" spans="1:7" x14ac:dyDescent="0.35">
      <c r="A26" s="1" t="s">
        <v>19</v>
      </c>
      <c r="F26" t="s">
        <v>129</v>
      </c>
      <c r="G26">
        <v>112500</v>
      </c>
    </row>
    <row r="27" spans="1:7" x14ac:dyDescent="0.35">
      <c r="A27" s="5" t="s">
        <v>20</v>
      </c>
      <c r="B27">
        <v>39.5</v>
      </c>
      <c r="F27">
        <f>G27/$G$26</f>
        <v>0.4062821892752409</v>
      </c>
      <c r="G27">
        <v>45706.746293464603</v>
      </c>
    </row>
    <row r="28" spans="1:7" x14ac:dyDescent="0.35">
      <c r="A28" s="5" t="s">
        <v>21</v>
      </c>
      <c r="B28">
        <v>12</v>
      </c>
      <c r="D28">
        <f>B28/100</f>
        <v>0.12</v>
      </c>
      <c r="F28">
        <f t="shared" ref="F28:F30" si="1">G28/$G$26</f>
        <v>0.12208304201579556</v>
      </c>
      <c r="G28">
        <v>13734.342226777</v>
      </c>
    </row>
    <row r="29" spans="1:7" x14ac:dyDescent="0.35">
      <c r="A29" s="5" t="s">
        <v>22</v>
      </c>
      <c r="B29">
        <v>48.2</v>
      </c>
      <c r="D29">
        <f>B29/100</f>
        <v>0.48200000000000004</v>
      </c>
      <c r="F29">
        <f t="shared" si="1"/>
        <v>0.49036688543011109</v>
      </c>
      <c r="G29">
        <v>55166.2746108875</v>
      </c>
    </row>
    <row r="30" spans="1:7" x14ac:dyDescent="0.35">
      <c r="A30" s="5" t="s">
        <v>23</v>
      </c>
      <c r="B30">
        <v>0.3</v>
      </c>
      <c r="C30">
        <f>SUM(B27:B30)</f>
        <v>100</v>
      </c>
      <c r="F30">
        <f t="shared" si="1"/>
        <v>0</v>
      </c>
      <c r="G30">
        <v>0</v>
      </c>
    </row>
    <row r="31" spans="1:7" x14ac:dyDescent="0.35">
      <c r="A31" s="5" t="s">
        <v>24</v>
      </c>
      <c r="B31">
        <v>26.3</v>
      </c>
      <c r="C31">
        <v>25.5</v>
      </c>
    </row>
    <row r="32" spans="1:7" x14ac:dyDescent="0.35">
      <c r="A32" s="1" t="s">
        <v>25</v>
      </c>
    </row>
    <row r="33" spans="1:8" x14ac:dyDescent="0.35">
      <c r="A33" s="6" t="s">
        <v>26</v>
      </c>
      <c r="B33">
        <v>93.3</v>
      </c>
      <c r="D33">
        <f>B33*$B$30/(10000*0.999)</f>
        <v>2.8018018018018016E-3</v>
      </c>
      <c r="F33" t="s">
        <v>130</v>
      </c>
      <c r="G33">
        <f>0.036*G27</f>
        <v>1645.4428665647256</v>
      </c>
      <c r="H33" t="s">
        <v>131</v>
      </c>
    </row>
    <row r="34" spans="1:8" x14ac:dyDescent="0.35">
      <c r="A34" s="6" t="s">
        <v>27</v>
      </c>
      <c r="B34">
        <v>0</v>
      </c>
      <c r="D34">
        <f t="shared" ref="D34:D38" si="2">B34*$B$30/(10000*0.999)</f>
        <v>0</v>
      </c>
    </row>
    <row r="35" spans="1:8" x14ac:dyDescent="0.35">
      <c r="A35" s="6" t="s">
        <v>28</v>
      </c>
      <c r="B35">
        <v>1.1000000000000001</v>
      </c>
      <c r="D35">
        <f t="shared" si="2"/>
        <v>3.3033033033033035E-5</v>
      </c>
    </row>
    <row r="36" spans="1:8" x14ac:dyDescent="0.35">
      <c r="A36" s="6" t="s">
        <v>48</v>
      </c>
      <c r="B36">
        <v>1.6</v>
      </c>
      <c r="D36">
        <f t="shared" si="2"/>
        <v>4.8048048048048048E-5</v>
      </c>
    </row>
    <row r="37" spans="1:8" x14ac:dyDescent="0.35">
      <c r="A37" s="6" t="s">
        <v>49</v>
      </c>
      <c r="B37">
        <v>1.9</v>
      </c>
      <c r="D37">
        <f t="shared" si="2"/>
        <v>5.7057057057057049E-5</v>
      </c>
    </row>
    <row r="38" spans="1:8" x14ac:dyDescent="0.35">
      <c r="A38" s="6" t="s">
        <v>50</v>
      </c>
      <c r="B38">
        <v>2</v>
      </c>
      <c r="C38">
        <f>SUM(B33:B38)</f>
        <v>99.899999999999991</v>
      </c>
      <c r="D38">
        <f t="shared" si="2"/>
        <v>6.0060060060060059E-5</v>
      </c>
    </row>
    <row r="39" spans="1:8" x14ac:dyDescent="0.35">
      <c r="A39" s="3"/>
    </row>
    <row r="40" spans="1:8" x14ac:dyDescent="0.35">
      <c r="A40" s="7" t="s">
        <v>29</v>
      </c>
      <c r="E40" t="s">
        <v>73</v>
      </c>
      <c r="F40" t="s">
        <v>74</v>
      </c>
    </row>
    <row r="41" spans="1:8" s="1" customFormat="1" x14ac:dyDescent="0.35">
      <c r="A41" s="3" t="s">
        <v>61</v>
      </c>
      <c r="B41" s="1">
        <v>15.09</v>
      </c>
      <c r="C41">
        <f>B41*100/$B$57</f>
        <v>18.775662560656965</v>
      </c>
      <c r="D41">
        <f>C41*$B$27/10000</f>
        <v>7.4163867114595008E-2</v>
      </c>
      <c r="E41" s="1" t="s">
        <v>75</v>
      </c>
      <c r="F41" s="1" t="s">
        <v>76</v>
      </c>
    </row>
    <row r="42" spans="1:8" x14ac:dyDescent="0.35">
      <c r="A42" s="3" t="s">
        <v>30</v>
      </c>
      <c r="B42">
        <v>2.13</v>
      </c>
      <c r="C42">
        <f t="shared" ref="C42:C56" si="3">B42*100/$B$57</f>
        <v>2.6502426278462115</v>
      </c>
      <c r="D42">
        <f t="shared" ref="D42:D56" si="4">C42*$B$27/10000</f>
        <v>1.0468458379992536E-2</v>
      </c>
      <c r="E42" t="s">
        <v>77</v>
      </c>
      <c r="F42" t="s">
        <v>34</v>
      </c>
    </row>
    <row r="43" spans="1:8" x14ac:dyDescent="0.35">
      <c r="A43" s="3" t="s">
        <v>62</v>
      </c>
      <c r="B43">
        <v>2.11</v>
      </c>
      <c r="C43">
        <f t="shared" si="3"/>
        <v>2.6253577205424912</v>
      </c>
      <c r="D43">
        <f t="shared" si="4"/>
        <v>1.0370162996142839E-2</v>
      </c>
      <c r="E43" t="s">
        <v>39</v>
      </c>
      <c r="F43" t="s">
        <v>35</v>
      </c>
    </row>
    <row r="44" spans="1:8" s="1" customFormat="1" x14ac:dyDescent="0.35">
      <c r="A44" s="3" t="s">
        <v>31</v>
      </c>
      <c r="B44" s="1">
        <v>1.37</v>
      </c>
      <c r="C44">
        <f t="shared" si="3"/>
        <v>1.7046161503048403</v>
      </c>
      <c r="D44">
        <f t="shared" si="4"/>
        <v>6.7332337937041188E-3</v>
      </c>
      <c r="E44" t="s">
        <v>39</v>
      </c>
      <c r="F44" t="s">
        <v>36</v>
      </c>
    </row>
    <row r="45" spans="1:8" x14ac:dyDescent="0.35">
      <c r="A45" s="3" t="s">
        <v>33</v>
      </c>
      <c r="B45">
        <v>14.82</v>
      </c>
      <c r="C45">
        <f t="shared" si="3"/>
        <v>18.439716312056738</v>
      </c>
      <c r="D45">
        <f t="shared" si="4"/>
        <v>7.2836879432624124E-2</v>
      </c>
      <c r="E45" t="s">
        <v>41</v>
      </c>
      <c r="F45" t="s">
        <v>78</v>
      </c>
    </row>
    <row r="46" spans="1:8" x14ac:dyDescent="0.35">
      <c r="A46" s="3" t="s">
        <v>63</v>
      </c>
      <c r="B46">
        <v>2.85</v>
      </c>
      <c r="C46">
        <f t="shared" si="3"/>
        <v>3.5460992907801421</v>
      </c>
      <c r="D46">
        <f t="shared" si="4"/>
        <v>1.400709219858156E-2</v>
      </c>
      <c r="E46" t="s">
        <v>52</v>
      </c>
      <c r="F46" t="s">
        <v>79</v>
      </c>
      <c r="G46" t="s">
        <v>102</v>
      </c>
    </row>
    <row r="47" spans="1:8" x14ac:dyDescent="0.35">
      <c r="A47" s="3" t="s">
        <v>64</v>
      </c>
      <c r="B47">
        <v>5.33</v>
      </c>
      <c r="C47">
        <f t="shared" si="3"/>
        <v>6.6318277964414589</v>
      </c>
      <c r="D47">
        <f t="shared" si="4"/>
        <v>2.6195719795943762E-2</v>
      </c>
      <c r="E47" t="s">
        <v>80</v>
      </c>
      <c r="F47" t="s">
        <v>37</v>
      </c>
    </row>
    <row r="48" spans="1:8" x14ac:dyDescent="0.35">
      <c r="A48" s="3" t="s">
        <v>65</v>
      </c>
      <c r="B48">
        <v>1.47</v>
      </c>
      <c r="C48">
        <f t="shared" si="3"/>
        <v>1.8290406868234419</v>
      </c>
      <c r="D48">
        <f t="shared" si="4"/>
        <v>7.2247107129525959E-3</v>
      </c>
      <c r="E48" t="s">
        <v>83</v>
      </c>
      <c r="F48" t="s">
        <v>81</v>
      </c>
      <c r="G48" t="s">
        <v>82</v>
      </c>
    </row>
    <row r="49" spans="1:8" x14ac:dyDescent="0.35">
      <c r="A49" s="3" t="s">
        <v>32</v>
      </c>
      <c r="B49">
        <v>11.48</v>
      </c>
      <c r="C49">
        <f t="shared" si="3"/>
        <v>14.283936792335449</v>
      </c>
      <c r="D49">
        <f t="shared" si="4"/>
        <v>5.6421550329725026E-2</v>
      </c>
      <c r="E49" t="s">
        <v>40</v>
      </c>
      <c r="F49" t="s">
        <v>38</v>
      </c>
    </row>
    <row r="50" spans="1:8" s="1" customFormat="1" x14ac:dyDescent="0.35">
      <c r="A50" s="3" t="s">
        <v>66</v>
      </c>
      <c r="B50" s="1">
        <v>6.67</v>
      </c>
      <c r="C50">
        <f t="shared" si="3"/>
        <v>8.2991165857907188</v>
      </c>
      <c r="D50">
        <f t="shared" si="4"/>
        <v>3.278151051387334E-2</v>
      </c>
      <c r="E50" s="1" t="s">
        <v>87</v>
      </c>
      <c r="F50" s="1" t="s">
        <v>84</v>
      </c>
    </row>
    <row r="51" spans="1:8" x14ac:dyDescent="0.35">
      <c r="A51" s="3" t="s">
        <v>67</v>
      </c>
      <c r="B51">
        <v>0.81</v>
      </c>
      <c r="C51">
        <f t="shared" si="3"/>
        <v>1.0078387458006721</v>
      </c>
      <c r="D51">
        <f t="shared" si="4"/>
        <v>3.9809630459126553E-3</v>
      </c>
      <c r="E51" t="s">
        <v>88</v>
      </c>
      <c r="F51" t="s">
        <v>86</v>
      </c>
      <c r="G51" t="s">
        <v>85</v>
      </c>
    </row>
    <row r="52" spans="1:8" x14ac:dyDescent="0.35">
      <c r="A52" s="3" t="s">
        <v>68</v>
      </c>
      <c r="B52">
        <v>3.35</v>
      </c>
      <c r="C52">
        <f t="shared" si="3"/>
        <v>4.16822197337315</v>
      </c>
      <c r="D52">
        <f t="shared" si="4"/>
        <v>1.6464476794823945E-2</v>
      </c>
      <c r="E52" t="s">
        <v>93</v>
      </c>
      <c r="F52" t="s">
        <v>89</v>
      </c>
      <c r="G52" t="s">
        <v>90</v>
      </c>
    </row>
    <row r="53" spans="1:8" x14ac:dyDescent="0.35">
      <c r="A53" s="3" t="s">
        <v>69</v>
      </c>
      <c r="B53">
        <v>1.78</v>
      </c>
      <c r="C53">
        <f t="shared" si="3"/>
        <v>2.2147567500311065</v>
      </c>
      <c r="D53">
        <f t="shared" si="4"/>
        <v>8.7482891626228711E-3</v>
      </c>
      <c r="E53" t="s">
        <v>87</v>
      </c>
      <c r="F53" t="s">
        <v>91</v>
      </c>
      <c r="G53" t="s">
        <v>92</v>
      </c>
    </row>
    <row r="54" spans="1:8" x14ac:dyDescent="0.35">
      <c r="A54" s="8" t="s">
        <v>70</v>
      </c>
      <c r="B54" s="9">
        <v>4.6100000000000003</v>
      </c>
      <c r="C54">
        <f t="shared" si="3"/>
        <v>5.7359711335075287</v>
      </c>
      <c r="D54">
        <f t="shared" si="4"/>
        <v>2.2657085977354739E-2</v>
      </c>
      <c r="E54" t="s">
        <v>96</v>
      </c>
      <c r="F54" t="s">
        <v>95</v>
      </c>
      <c r="G54" t="s">
        <v>94</v>
      </c>
    </row>
    <row r="55" spans="1:8" x14ac:dyDescent="0.35">
      <c r="A55" s="8" t="s">
        <v>71</v>
      </c>
      <c r="B55">
        <v>4.4000000000000004</v>
      </c>
      <c r="C55">
        <f t="shared" si="3"/>
        <v>5.4746796068184658</v>
      </c>
      <c r="D55">
        <f t="shared" si="4"/>
        <v>2.1624984446932938E-2</v>
      </c>
      <c r="E55" t="s">
        <v>99</v>
      </c>
      <c r="F55" t="s">
        <v>98</v>
      </c>
      <c r="G55" t="s">
        <v>97</v>
      </c>
    </row>
    <row r="56" spans="1:8" x14ac:dyDescent="0.35">
      <c r="A56" s="4" t="s">
        <v>72</v>
      </c>
      <c r="B56">
        <v>2.1</v>
      </c>
      <c r="C56">
        <f t="shared" si="3"/>
        <v>2.612915266890631</v>
      </c>
      <c r="D56">
        <f t="shared" si="4"/>
        <v>1.0321015304217992E-2</v>
      </c>
      <c r="E56" t="s">
        <v>101</v>
      </c>
      <c r="F56" t="s">
        <v>100</v>
      </c>
    </row>
    <row r="57" spans="1:8" x14ac:dyDescent="0.35">
      <c r="A57" s="8"/>
      <c r="B57">
        <f>SUM(B41:B56)</f>
        <v>80.36999999999999</v>
      </c>
      <c r="C57">
        <f>SUM(C41:C56)</f>
        <v>100</v>
      </c>
      <c r="D57">
        <f>SUM(D28:D56)</f>
        <v>1.0000000000000002</v>
      </c>
    </row>
    <row r="58" spans="1:8" x14ac:dyDescent="0.35">
      <c r="A58" s="3" t="s">
        <v>51</v>
      </c>
      <c r="D58" t="s">
        <v>53</v>
      </c>
      <c r="E58" t="s">
        <v>54</v>
      </c>
      <c r="F58" t="s">
        <v>55</v>
      </c>
      <c r="G58" t="s">
        <v>56</v>
      </c>
      <c r="H58" t="s">
        <v>57</v>
      </c>
    </row>
    <row r="59" spans="1:8" x14ac:dyDescent="0.35">
      <c r="A59" s="1" t="s">
        <v>76</v>
      </c>
      <c r="B59" s="3" t="s">
        <v>61</v>
      </c>
      <c r="C59" s="1" t="s">
        <v>75</v>
      </c>
      <c r="D59">
        <v>3</v>
      </c>
      <c r="E59" t="s">
        <v>109</v>
      </c>
      <c r="F59">
        <v>2</v>
      </c>
      <c r="H59" t="s">
        <v>108</v>
      </c>
    </row>
    <row r="60" spans="1:8" x14ac:dyDescent="0.35">
      <c r="A60" t="s">
        <v>34</v>
      </c>
      <c r="B60" s="3" t="s">
        <v>30</v>
      </c>
      <c r="C60" t="s">
        <v>77</v>
      </c>
      <c r="D60">
        <v>3</v>
      </c>
      <c r="E60" t="s">
        <v>110</v>
      </c>
      <c r="F60">
        <v>1</v>
      </c>
      <c r="H60" t="s">
        <v>42</v>
      </c>
    </row>
    <row r="61" spans="1:8" s="1" customFormat="1" x14ac:dyDescent="0.35">
      <c r="A61" t="s">
        <v>35</v>
      </c>
      <c r="B61" s="3" t="s">
        <v>62</v>
      </c>
      <c r="C61" t="s">
        <v>39</v>
      </c>
      <c r="D61">
        <v>3</v>
      </c>
      <c r="E61" t="s">
        <v>111</v>
      </c>
      <c r="F61">
        <v>1</v>
      </c>
      <c r="G61"/>
      <c r="H61" t="s">
        <v>43</v>
      </c>
    </row>
    <row r="62" spans="1:8" x14ac:dyDescent="0.35">
      <c r="A62" t="s">
        <v>36</v>
      </c>
      <c r="B62" s="3" t="s">
        <v>31</v>
      </c>
      <c r="C62" t="s">
        <v>39</v>
      </c>
      <c r="D62">
        <v>3</v>
      </c>
      <c r="E62" t="s">
        <v>112</v>
      </c>
      <c r="F62">
        <v>1</v>
      </c>
      <c r="H62" t="s">
        <v>43</v>
      </c>
    </row>
    <row r="63" spans="1:8" x14ac:dyDescent="0.35">
      <c r="A63" t="s">
        <v>78</v>
      </c>
      <c r="B63" s="3" t="s">
        <v>33</v>
      </c>
      <c r="C63" t="s">
        <v>41</v>
      </c>
      <c r="D63">
        <v>1</v>
      </c>
      <c r="E63" t="s">
        <v>45</v>
      </c>
      <c r="G63" t="s">
        <v>46</v>
      </c>
    </row>
    <row r="64" spans="1:8" x14ac:dyDescent="0.35">
      <c r="A64" t="s">
        <v>79</v>
      </c>
      <c r="B64" s="3" t="s">
        <v>63</v>
      </c>
      <c r="C64" t="s">
        <v>52</v>
      </c>
      <c r="D64">
        <v>3</v>
      </c>
      <c r="E64" t="s">
        <v>113</v>
      </c>
      <c r="F64">
        <v>1</v>
      </c>
      <c r="H64" t="s">
        <v>44</v>
      </c>
    </row>
    <row r="65" spans="1:9" x14ac:dyDescent="0.35">
      <c r="A65" t="s">
        <v>37</v>
      </c>
      <c r="B65" s="3" t="s">
        <v>64</v>
      </c>
      <c r="C65" t="s">
        <v>80</v>
      </c>
      <c r="D65">
        <v>0</v>
      </c>
      <c r="E65" s="13" t="s">
        <v>64</v>
      </c>
    </row>
    <row r="66" spans="1:9" s="1" customFormat="1" x14ac:dyDescent="0.35">
      <c r="A66" t="s">
        <v>81</v>
      </c>
      <c r="B66" s="3" t="s">
        <v>65</v>
      </c>
      <c r="C66" t="s">
        <v>83</v>
      </c>
      <c r="D66">
        <v>4</v>
      </c>
      <c r="E66" s="1" t="s">
        <v>114</v>
      </c>
      <c r="F66" s="1">
        <v>2</v>
      </c>
      <c r="H66" t="s">
        <v>103</v>
      </c>
    </row>
    <row r="67" spans="1:9" x14ac:dyDescent="0.35">
      <c r="A67" t="s">
        <v>38</v>
      </c>
      <c r="B67" s="3" t="s">
        <v>32</v>
      </c>
      <c r="C67" t="s">
        <v>40</v>
      </c>
      <c r="D67">
        <v>1</v>
      </c>
      <c r="E67" t="s">
        <v>115</v>
      </c>
      <c r="G67" t="s">
        <v>46</v>
      </c>
      <c r="H67" t="s">
        <v>106</v>
      </c>
    </row>
    <row r="68" spans="1:9" x14ac:dyDescent="0.35">
      <c r="A68" s="1" t="s">
        <v>84</v>
      </c>
      <c r="B68" s="3" t="s">
        <v>66</v>
      </c>
      <c r="C68" s="1" t="s">
        <v>87</v>
      </c>
      <c r="D68">
        <v>1</v>
      </c>
      <c r="E68" t="s">
        <v>116</v>
      </c>
      <c r="G68" t="s">
        <v>46</v>
      </c>
      <c r="H68" t="s">
        <v>105</v>
      </c>
    </row>
    <row r="69" spans="1:9" x14ac:dyDescent="0.35">
      <c r="A69" t="s">
        <v>86</v>
      </c>
      <c r="B69" s="3" t="s">
        <v>67</v>
      </c>
      <c r="C69" t="s">
        <v>88</v>
      </c>
      <c r="D69">
        <v>2</v>
      </c>
      <c r="E69" s="1" t="s">
        <v>114</v>
      </c>
      <c r="F69">
        <v>1</v>
      </c>
      <c r="H69" t="s">
        <v>103</v>
      </c>
      <c r="I69" t="s">
        <v>85</v>
      </c>
    </row>
    <row r="70" spans="1:9" x14ac:dyDescent="0.35">
      <c r="A70" t="s">
        <v>89</v>
      </c>
      <c r="B70" s="3" t="s">
        <v>68</v>
      </c>
      <c r="C70" t="s">
        <v>93</v>
      </c>
      <c r="D70">
        <v>2</v>
      </c>
      <c r="E70" t="s">
        <v>116</v>
      </c>
      <c r="G70" t="s">
        <v>46</v>
      </c>
      <c r="H70" t="s">
        <v>104</v>
      </c>
      <c r="I70" t="s">
        <v>90</v>
      </c>
    </row>
    <row r="71" spans="1:9" s="1" customFormat="1" x14ac:dyDescent="0.35">
      <c r="A71" t="s">
        <v>91</v>
      </c>
      <c r="B71" s="3" t="s">
        <v>69</v>
      </c>
      <c r="C71" t="s">
        <v>87</v>
      </c>
      <c r="D71">
        <v>1</v>
      </c>
      <c r="E71" s="1" t="s">
        <v>117</v>
      </c>
      <c r="F71" s="1">
        <v>0</v>
      </c>
      <c r="G71" s="1" t="s">
        <v>46</v>
      </c>
      <c r="H71" s="1" t="s">
        <v>105</v>
      </c>
      <c r="I71" t="s">
        <v>92</v>
      </c>
    </row>
    <row r="72" spans="1:9" x14ac:dyDescent="0.35">
      <c r="A72" t="s">
        <v>95</v>
      </c>
      <c r="B72" s="8" t="s">
        <v>70</v>
      </c>
      <c r="C72" t="s">
        <v>96</v>
      </c>
      <c r="D72">
        <v>2</v>
      </c>
      <c r="E72" t="s">
        <v>118</v>
      </c>
      <c r="F72">
        <v>1</v>
      </c>
      <c r="G72" s="1"/>
      <c r="H72" t="s">
        <v>107</v>
      </c>
      <c r="I72" t="s">
        <v>94</v>
      </c>
    </row>
    <row r="73" spans="1:9" x14ac:dyDescent="0.35">
      <c r="A73" t="s">
        <v>98</v>
      </c>
      <c r="B73" s="8" t="s">
        <v>71</v>
      </c>
      <c r="C73" t="s">
        <v>99</v>
      </c>
      <c r="D73">
        <v>3</v>
      </c>
      <c r="E73" t="s">
        <v>115</v>
      </c>
      <c r="F73">
        <v>1</v>
      </c>
      <c r="G73" t="s">
        <v>46</v>
      </c>
      <c r="H73" t="s">
        <v>106</v>
      </c>
      <c r="I73" t="s">
        <v>97</v>
      </c>
    </row>
    <row r="74" spans="1:9" x14ac:dyDescent="0.35">
      <c r="A74" t="s">
        <v>100</v>
      </c>
      <c r="B74" s="4" t="s">
        <v>72</v>
      </c>
      <c r="C74" t="s">
        <v>101</v>
      </c>
      <c r="D74">
        <v>6</v>
      </c>
      <c r="E74" s="1" t="s">
        <v>119</v>
      </c>
      <c r="F74">
        <v>1</v>
      </c>
      <c r="G74" t="s">
        <v>46</v>
      </c>
      <c r="H74" t="s">
        <v>120</v>
      </c>
    </row>
    <row r="75" spans="1:9" s="1" customFormat="1" x14ac:dyDescent="0.35">
      <c r="A75" s="2"/>
      <c r="D75"/>
    </row>
    <row r="76" spans="1:9" x14ac:dyDescent="0.35">
      <c r="A76" s="3"/>
    </row>
    <row r="77" spans="1:9" x14ac:dyDescent="0.35">
      <c r="A77" s="3"/>
    </row>
    <row r="78" spans="1:9" x14ac:dyDescent="0.35">
      <c r="A78" s="3"/>
    </row>
    <row r="80" spans="1:9" x14ac:dyDescent="0.35">
      <c r="A80" s="3"/>
      <c r="C80" t="s">
        <v>354</v>
      </c>
      <c r="D80" t="s">
        <v>353</v>
      </c>
      <c r="E80" t="s">
        <v>355</v>
      </c>
    </row>
    <row r="81" spans="1:7" ht="15" thickBot="1" x14ac:dyDescent="0.4">
      <c r="B81" s="3" t="s">
        <v>76</v>
      </c>
      <c r="C81" s="1" t="s">
        <v>76</v>
      </c>
      <c r="D81">
        <v>3</v>
      </c>
      <c r="E81" s="10">
        <v>1</v>
      </c>
      <c r="F81">
        <v>16.272547207602098</v>
      </c>
      <c r="G81">
        <f>F81*D81</f>
        <v>48.817641622806292</v>
      </c>
    </row>
    <row r="82" spans="1:7" ht="15" thickBot="1" x14ac:dyDescent="0.4">
      <c r="B82" s="3" t="s">
        <v>34</v>
      </c>
      <c r="C82" t="s">
        <v>34</v>
      </c>
      <c r="D82">
        <v>3</v>
      </c>
      <c r="E82" s="10">
        <v>1</v>
      </c>
      <c r="F82">
        <v>2.7755479086506298</v>
      </c>
      <c r="G82">
        <f t="shared" ref="G82:G96" si="5">F82*D82</f>
        <v>8.3266437259518895</v>
      </c>
    </row>
    <row r="83" spans="1:7" ht="15" thickBot="1" x14ac:dyDescent="0.4">
      <c r="A83" s="1"/>
      <c r="B83" s="2" t="s">
        <v>35</v>
      </c>
      <c r="C83" t="s">
        <v>35</v>
      </c>
      <c r="D83">
        <v>3</v>
      </c>
      <c r="E83" s="10">
        <v>1</v>
      </c>
      <c r="F83">
        <v>2.39937588735744</v>
      </c>
      <c r="G83">
        <f t="shared" si="5"/>
        <v>7.19812766207232</v>
      </c>
    </row>
    <row r="84" spans="1:7" ht="15" thickBot="1" x14ac:dyDescent="0.4">
      <c r="B84" s="3" t="s">
        <v>36</v>
      </c>
      <c r="C84" t="s">
        <v>36</v>
      </c>
      <c r="D84">
        <v>3</v>
      </c>
      <c r="E84" s="10">
        <v>1</v>
      </c>
      <c r="F84">
        <v>1.55788865647872</v>
      </c>
      <c r="G84">
        <f t="shared" si="5"/>
        <v>4.6736659694361595</v>
      </c>
    </row>
    <row r="85" spans="1:7" ht="15" thickBot="1" x14ac:dyDescent="0.4">
      <c r="B85" s="3" t="s">
        <v>78</v>
      </c>
      <c r="C85" t="s">
        <v>78</v>
      </c>
      <c r="D85">
        <v>1</v>
      </c>
      <c r="E85" s="10">
        <v>1</v>
      </c>
      <c r="F85">
        <v>14.9541606687326</v>
      </c>
      <c r="G85">
        <f t="shared" si="5"/>
        <v>14.9541606687326</v>
      </c>
    </row>
    <row r="86" spans="1:7" ht="15" thickBot="1" x14ac:dyDescent="0.4">
      <c r="B86" s="3" t="s">
        <v>79</v>
      </c>
      <c r="C86" t="s">
        <v>79</v>
      </c>
      <c r="D86">
        <v>3</v>
      </c>
      <c r="E86" s="10">
        <v>1</v>
      </c>
      <c r="F86">
        <v>2.8747959818535098</v>
      </c>
      <c r="G86">
        <f t="shared" si="5"/>
        <v>8.6243879455605299</v>
      </c>
    </row>
    <row r="87" spans="1:7" ht="15" thickBot="1" x14ac:dyDescent="0.4">
      <c r="B87" s="3" t="s">
        <v>37</v>
      </c>
      <c r="C87" t="s">
        <v>37</v>
      </c>
      <c r="D87">
        <v>0</v>
      </c>
      <c r="E87" s="10">
        <v>1</v>
      </c>
      <c r="F87">
        <v>6.17396796806882</v>
      </c>
      <c r="G87">
        <f t="shared" si="5"/>
        <v>0</v>
      </c>
    </row>
    <row r="88" spans="1:7" ht="15" thickBot="1" x14ac:dyDescent="0.4">
      <c r="B88" s="3" t="s">
        <v>81</v>
      </c>
      <c r="C88" t="s">
        <v>81</v>
      </c>
      <c r="D88">
        <v>4</v>
      </c>
      <c r="E88" s="10">
        <v>1</v>
      </c>
      <c r="F88">
        <v>0.68595167272040503</v>
      </c>
      <c r="G88">
        <f t="shared" si="5"/>
        <v>2.7438066908816201</v>
      </c>
    </row>
    <row r="89" spans="1:7" ht="15" thickBot="1" x14ac:dyDescent="0.4">
      <c r="A89" s="1"/>
      <c r="B89" s="2" t="s">
        <v>38</v>
      </c>
      <c r="C89" t="s">
        <v>38</v>
      </c>
      <c r="D89">
        <v>1</v>
      </c>
      <c r="E89" s="10">
        <v>1</v>
      </c>
      <c r="F89">
        <v>9.4486591563194207</v>
      </c>
      <c r="G89">
        <f t="shared" si="5"/>
        <v>9.4486591563194207</v>
      </c>
    </row>
    <row r="90" spans="1:7" ht="15" thickBot="1" x14ac:dyDescent="0.4">
      <c r="B90" s="3" t="s">
        <v>84</v>
      </c>
      <c r="C90" s="1" t="s">
        <v>84</v>
      </c>
      <c r="D90">
        <v>1</v>
      </c>
      <c r="E90" s="10">
        <v>1</v>
      </c>
      <c r="F90">
        <v>5.0265021236313201</v>
      </c>
      <c r="G90">
        <f t="shared" si="5"/>
        <v>5.0265021236313201</v>
      </c>
    </row>
    <row r="91" spans="1:7" ht="15" thickBot="1" x14ac:dyDescent="0.4">
      <c r="B91" s="3" t="s">
        <v>86</v>
      </c>
      <c r="C91" t="s">
        <v>86</v>
      </c>
      <c r="D91">
        <v>2</v>
      </c>
      <c r="E91" s="10">
        <v>1</v>
      </c>
      <c r="F91">
        <v>0.39874468481670999</v>
      </c>
      <c r="G91">
        <f t="shared" si="5"/>
        <v>0.79748936963341999</v>
      </c>
    </row>
    <row r="92" spans="1:7" ht="15" thickBot="1" x14ac:dyDescent="0.4">
      <c r="B92" s="3" t="s">
        <v>89</v>
      </c>
      <c r="C92" t="s">
        <v>89</v>
      </c>
      <c r="D92">
        <v>2</v>
      </c>
      <c r="E92" s="10">
        <v>1</v>
      </c>
      <c r="F92">
        <v>2.55554817339151</v>
      </c>
      <c r="G92">
        <f t="shared" si="5"/>
        <v>5.1110963467830199</v>
      </c>
    </row>
    <row r="93" spans="1:7" ht="15" thickBot="1" x14ac:dyDescent="0.4">
      <c r="B93" s="3" t="s">
        <v>91</v>
      </c>
      <c r="C93" t="s">
        <v>91</v>
      </c>
      <c r="D93">
        <v>1</v>
      </c>
      <c r="E93" s="10">
        <v>1</v>
      </c>
      <c r="F93">
        <v>1.3414053194997799</v>
      </c>
      <c r="G93">
        <f t="shared" si="5"/>
        <v>1.3414053194997799</v>
      </c>
    </row>
    <row r="94" spans="1:7" ht="15" thickBot="1" x14ac:dyDescent="0.4">
      <c r="B94" s="10" t="s">
        <v>95</v>
      </c>
      <c r="C94" t="s">
        <v>95</v>
      </c>
      <c r="D94">
        <v>2</v>
      </c>
      <c r="E94" s="10">
        <v>1</v>
      </c>
      <c r="F94">
        <v>3.8963881271264</v>
      </c>
      <c r="G94">
        <f t="shared" si="5"/>
        <v>7.7927762542528001</v>
      </c>
    </row>
    <row r="95" spans="1:7" ht="15" thickBot="1" x14ac:dyDescent="0.4">
      <c r="B95" s="10" t="s">
        <v>98</v>
      </c>
      <c r="C95" t="s">
        <v>98</v>
      </c>
      <c r="D95">
        <v>3</v>
      </c>
      <c r="E95" s="10">
        <v>1</v>
      </c>
      <c r="F95">
        <v>3.3166985583700699</v>
      </c>
      <c r="G95">
        <f t="shared" si="5"/>
        <v>9.9500956751102088</v>
      </c>
    </row>
    <row r="96" spans="1:7" ht="15" thickBot="1" x14ac:dyDescent="0.4">
      <c r="A96" s="1"/>
      <c r="B96" s="2" t="s">
        <v>100</v>
      </c>
      <c r="C96" t="s">
        <v>100</v>
      </c>
      <c r="D96">
        <v>6</v>
      </c>
      <c r="E96" s="10">
        <v>1</v>
      </c>
      <c r="F96">
        <v>1.1940021831891401</v>
      </c>
      <c r="G96">
        <f t="shared" si="5"/>
        <v>7.1640130991348405</v>
      </c>
    </row>
    <row r="97" spans="1:7" x14ac:dyDescent="0.35">
      <c r="B97" s="4"/>
      <c r="G97">
        <f>SUM(G81:G96)</f>
        <v>141.97047162980624</v>
      </c>
    </row>
    <row r="98" spans="1:7" x14ac:dyDescent="0.35">
      <c r="B98" s="4"/>
      <c r="G98">
        <f>G97*2</f>
        <v>283.94094325961248</v>
      </c>
    </row>
    <row r="99" spans="1:7" x14ac:dyDescent="0.35">
      <c r="A99" s="1"/>
      <c r="B99" s="2"/>
    </row>
    <row r="100" spans="1:7" ht="15" thickBot="1" x14ac:dyDescent="0.4">
      <c r="B100" s="10"/>
    </row>
    <row r="101" spans="1:7" ht="15" thickBot="1" x14ac:dyDescent="0.4">
      <c r="B101" s="10"/>
    </row>
    <row r="102" spans="1:7" ht="15" thickBot="1" x14ac:dyDescent="0.4">
      <c r="B102" s="10"/>
    </row>
    <row r="103" spans="1:7" ht="15" thickBot="1" x14ac:dyDescent="0.4">
      <c r="B103" s="10"/>
    </row>
    <row r="104" spans="1:7" x14ac:dyDescent="0.35">
      <c r="A104" s="1"/>
      <c r="B104" s="2"/>
    </row>
    <row r="105" spans="1:7" ht="15" thickBot="1" x14ac:dyDescent="0.4">
      <c r="B105" s="10"/>
    </row>
    <row r="106" spans="1:7" ht="15" thickBot="1" x14ac:dyDescent="0.4">
      <c r="B106" s="10"/>
    </row>
    <row r="107" spans="1:7" ht="15" thickBot="1" x14ac:dyDescent="0.4">
      <c r="B107" s="10"/>
    </row>
    <row r="108" spans="1:7" ht="15" thickBot="1" x14ac:dyDescent="0.4">
      <c r="B108" s="10"/>
    </row>
    <row r="109" spans="1:7" x14ac:dyDescent="0.35">
      <c r="A109" s="1"/>
      <c r="B109" s="2"/>
    </row>
    <row r="110" spans="1:7" x14ac:dyDescent="0.35">
      <c r="B110" s="3"/>
    </row>
    <row r="111" spans="1:7" x14ac:dyDescent="0.35">
      <c r="B111" s="3"/>
    </row>
    <row r="112" spans="1:7" x14ac:dyDescent="0.35">
      <c r="B112" s="3"/>
    </row>
    <row r="113" spans="1:5" x14ac:dyDescent="0.35">
      <c r="B113" s="3"/>
    </row>
    <row r="114" spans="1:5" x14ac:dyDescent="0.35">
      <c r="A114" s="1"/>
      <c r="B114" s="2"/>
      <c r="E114" s="11"/>
    </row>
    <row r="115" spans="1:5" x14ac:dyDescent="0.35">
      <c r="B115" s="3"/>
    </row>
    <row r="116" spans="1:5" x14ac:dyDescent="0.35">
      <c r="B116" s="3"/>
    </row>
    <row r="117" spans="1:5" x14ac:dyDescent="0.35">
      <c r="B117" s="3"/>
    </row>
    <row r="118" spans="1:5" x14ac:dyDescent="0.35">
      <c r="A118" s="1"/>
      <c r="B118" s="2"/>
      <c r="C118" s="12"/>
    </row>
    <row r="119" spans="1:5" x14ac:dyDescent="0.35">
      <c r="B119" s="3"/>
    </row>
    <row r="120" spans="1:5" x14ac:dyDescent="0.35">
      <c r="B120" s="3"/>
    </row>
    <row r="121" spans="1:5" x14ac:dyDescent="0.35">
      <c r="B121" s="3"/>
    </row>
  </sheetData>
  <phoneticPr fontId="5" type="noConversion"/>
  <pageMargins left="0.7" right="0.7" top="0.75" bottom="0.75" header="0.3" footer="0.3"/>
  <pageSetup paperSize="9" orientation="portrait" r:id="rId1"/>
  <legacy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497C94-C963-4903-8792-C4833B4BD2D8}">
  <dimension ref="A2:G58"/>
  <sheetViews>
    <sheetView topLeftCell="A33" workbookViewId="0">
      <selection activeCell="D63" sqref="D63"/>
    </sheetView>
  </sheetViews>
  <sheetFormatPr defaultRowHeight="14.5" x14ac:dyDescent="0.35"/>
  <cols>
    <col min="1" max="1" width="44" customWidth="1"/>
    <col min="2" max="2" width="22.26953125" customWidth="1"/>
    <col min="3" max="3" width="14.90625" customWidth="1"/>
    <col min="4" max="4" width="19.36328125" customWidth="1"/>
    <col min="5" max="5" width="16.81640625" customWidth="1"/>
  </cols>
  <sheetData>
    <row r="2" spans="1:7" x14ac:dyDescent="0.35">
      <c r="A2" s="178" t="s">
        <v>592</v>
      </c>
      <c r="B2" s="235" t="s">
        <v>593</v>
      </c>
      <c r="C2" s="236">
        <f>C3+C10+C11+C12</f>
        <v>258.9993543807895</v>
      </c>
    </row>
    <row r="3" spans="1:7" x14ac:dyDescent="0.35">
      <c r="A3" s="237" t="s">
        <v>594</v>
      </c>
      <c r="B3" s="235" t="s">
        <v>593</v>
      </c>
      <c r="C3" s="238">
        <f>C4+C9</f>
        <v>158.70058479215044</v>
      </c>
    </row>
    <row r="4" spans="1:7" x14ac:dyDescent="0.35">
      <c r="A4" s="239" t="s">
        <v>595</v>
      </c>
      <c r="B4" s="235" t="s">
        <v>593</v>
      </c>
      <c r="C4" s="240">
        <f>SUM(C5:C8)</f>
        <v>63.480233916860172</v>
      </c>
    </row>
    <row r="5" spans="1:7" x14ac:dyDescent="0.35">
      <c r="A5" s="241" t="s">
        <v>596</v>
      </c>
      <c r="B5" s="235" t="s">
        <v>593</v>
      </c>
      <c r="C5" s="242">
        <f>'Expense variable '!C75*((('Refinery '!C5)/((8000/24)*('Expense variable '!B75)))^'Expense variable '!C12)</f>
        <v>3.6247232670409826</v>
      </c>
    </row>
    <row r="6" spans="1:7" x14ac:dyDescent="0.35">
      <c r="A6" s="241" t="s">
        <v>597</v>
      </c>
      <c r="B6" s="235" t="s">
        <v>593</v>
      </c>
      <c r="C6" s="242">
        <f>'Expense variable '!C76*((Yields!C28*'Refinery '!B1/24330)^0.75)</f>
        <v>48.950109108948475</v>
      </c>
    </row>
    <row r="7" spans="1:7" x14ac:dyDescent="0.35">
      <c r="A7" s="241" t="s">
        <v>598</v>
      </c>
      <c r="B7" s="235" t="s">
        <v>593</v>
      </c>
      <c r="C7" s="242">
        <f>'Expense variable '!C77*((Yields!C31*'Refinery '!B1/734)^0.75)</f>
        <v>7.8047050135895955</v>
      </c>
    </row>
    <row r="8" spans="1:7" x14ac:dyDescent="0.35">
      <c r="A8" s="241" t="s">
        <v>599</v>
      </c>
      <c r="B8" s="235" t="s">
        <v>593</v>
      </c>
      <c r="C8" s="242">
        <f>'Expense variable '!C82*((Yields!C33*('Refinery '!B1/24)/'Expense variable '!B82)^0.7)</f>
        <v>3.1006965272811193</v>
      </c>
    </row>
    <row r="9" spans="1:7" x14ac:dyDescent="0.35">
      <c r="A9" s="243" t="s">
        <v>600</v>
      </c>
      <c r="B9" s="235" t="s">
        <v>593</v>
      </c>
      <c r="C9" s="240">
        <f>C4*'Expense variable '!C3</f>
        <v>95.220350875290251</v>
      </c>
    </row>
    <row r="10" spans="1:7" x14ac:dyDescent="0.35">
      <c r="A10" s="244" t="s">
        <v>601</v>
      </c>
      <c r="B10" s="235" t="s">
        <v>593</v>
      </c>
      <c r="C10" s="238">
        <f>C3*'Expense variable '!C4</f>
        <v>53.958198829331153</v>
      </c>
    </row>
    <row r="11" spans="1:7" x14ac:dyDescent="0.35">
      <c r="A11" s="244" t="s">
        <v>496</v>
      </c>
      <c r="B11" s="235" t="s">
        <v>593</v>
      </c>
      <c r="C11" s="238">
        <f>C4*'Expense variable '!C5</f>
        <v>14.60045380087784</v>
      </c>
    </row>
    <row r="12" spans="1:7" x14ac:dyDescent="0.35">
      <c r="A12" s="237" t="s">
        <v>602</v>
      </c>
      <c r="B12" s="235" t="s">
        <v>593</v>
      </c>
      <c r="C12" s="238">
        <f>C4*'Expense variable '!C6</f>
        <v>31.740116958430086</v>
      </c>
      <c r="E12">
        <v>100</v>
      </c>
      <c r="F12" t="s">
        <v>486</v>
      </c>
      <c r="G12" t="s">
        <v>590</v>
      </c>
    </row>
    <row r="13" spans="1:7" x14ac:dyDescent="0.35">
      <c r="A13" s="178" t="s">
        <v>498</v>
      </c>
      <c r="B13" s="235" t="s">
        <v>593</v>
      </c>
      <c r="C13" s="236">
        <f>C41*'Expense variable '!C7</f>
        <v>14.399447912415301</v>
      </c>
      <c r="E13">
        <v>3.1</v>
      </c>
      <c r="F13" t="s">
        <v>573</v>
      </c>
      <c r="G13" t="s">
        <v>53</v>
      </c>
    </row>
    <row r="14" spans="1:7" x14ac:dyDescent="0.35">
      <c r="A14" s="178" t="s">
        <v>603</v>
      </c>
      <c r="B14" s="235" t="s">
        <v>593</v>
      </c>
      <c r="C14" s="245">
        <f>'Expense variable '!C8*C2</f>
        <v>25.899935438078952</v>
      </c>
      <c r="F14" s="188"/>
    </row>
    <row r="15" spans="1:7" x14ac:dyDescent="0.35">
      <c r="A15" s="246" t="s">
        <v>604</v>
      </c>
      <c r="B15" s="235" t="s">
        <v>593</v>
      </c>
      <c r="C15" s="247">
        <f>C2+C13+C14</f>
        <v>299.29873773128378</v>
      </c>
      <c r="F15" s="188"/>
    </row>
    <row r="16" spans="1:7" x14ac:dyDescent="0.35">
      <c r="A16" s="246" t="s">
        <v>605</v>
      </c>
      <c r="B16" s="235" t="s">
        <v>593</v>
      </c>
      <c r="C16" s="247">
        <f>C15*'Expense variable '!C9</f>
        <v>269.36886395815543</v>
      </c>
      <c r="F16" s="164"/>
    </row>
    <row r="17" spans="1:6" x14ac:dyDescent="0.35">
      <c r="A17" s="246"/>
      <c r="B17" s="213"/>
      <c r="C17" s="248"/>
      <c r="F17" s="188"/>
    </row>
    <row r="18" spans="1:6" x14ac:dyDescent="0.35">
      <c r="A18" s="178" t="s">
        <v>606</v>
      </c>
      <c r="B18" s="213"/>
      <c r="C18" s="236">
        <f>C19+C28+C31</f>
        <v>52.37122927919448</v>
      </c>
      <c r="F18" s="188"/>
    </row>
    <row r="19" spans="1:6" x14ac:dyDescent="0.35">
      <c r="A19" s="237" t="s">
        <v>607</v>
      </c>
      <c r="B19" s="207" t="s">
        <v>608</v>
      </c>
      <c r="C19" s="238">
        <f>SUM(C20:C27)</f>
        <v>28.197287384923424</v>
      </c>
      <c r="F19" s="188"/>
    </row>
    <row r="20" spans="1:6" x14ac:dyDescent="0.35">
      <c r="A20" s="241" t="s">
        <v>609</v>
      </c>
      <c r="B20" s="249" t="s">
        <v>608</v>
      </c>
      <c r="C20" s="242">
        <f>E12*'Refinery '!C5/1000000</f>
        <v>22.595171083306596</v>
      </c>
      <c r="F20" s="188"/>
    </row>
    <row r="21" spans="1:6" x14ac:dyDescent="0.35">
      <c r="A21" s="241" t="s">
        <v>610</v>
      </c>
      <c r="B21" s="249" t="s">
        <v>608</v>
      </c>
      <c r="C21" s="242">
        <f>E13*Yields!C32*'Refinery '!C4/1000000</f>
        <v>1.4259414987144458E-2</v>
      </c>
      <c r="F21" s="188"/>
    </row>
    <row r="22" spans="1:6" x14ac:dyDescent="0.35">
      <c r="A22" s="241" t="s">
        <v>611</v>
      </c>
      <c r="B22" s="249" t="s">
        <v>608</v>
      </c>
      <c r="C22" s="242">
        <f>'Expense variable '!C65*Yields!C23*'Refinery '!C4/1000000</f>
        <v>0.33717985809674739</v>
      </c>
      <c r="F22" s="188"/>
    </row>
    <row r="23" spans="1:6" x14ac:dyDescent="0.35">
      <c r="A23" s="241" t="s">
        <v>612</v>
      </c>
      <c r="B23" s="249" t="s">
        <v>608</v>
      </c>
      <c r="C23" s="242">
        <f>Yields!C22*'Refinery '!C4*'Expense variable '!C64/1000000</f>
        <v>1.9229461349696111</v>
      </c>
    </row>
    <row r="24" spans="1:6" x14ac:dyDescent="0.35">
      <c r="A24" s="241" t="s">
        <v>613</v>
      </c>
      <c r="B24" s="249" t="s">
        <v>608</v>
      </c>
      <c r="C24" s="176">
        <f>'Expense variable '!C66*'Refinery '!C4*Yields!C24/1000000</f>
        <v>6.5604751619870408E-2</v>
      </c>
    </row>
    <row r="25" spans="1:6" ht="15" customHeight="1" x14ac:dyDescent="0.35">
      <c r="A25" s="241" t="s">
        <v>614</v>
      </c>
      <c r="B25" s="249" t="s">
        <v>608</v>
      </c>
      <c r="C25" s="176">
        <f>(('Mass balances '!G97*8000/1000)*'Expense variable '!I49/1000000)+((Sheet2!B42*1000*'Mass balances '!G97*8000/1000)/('Expense variable '!H56*1000000))</f>
        <v>3.2458565800265116</v>
      </c>
    </row>
    <row r="26" spans="1:6" x14ac:dyDescent="0.35">
      <c r="A26" s="241" t="s">
        <v>615</v>
      </c>
      <c r="B26" s="249" t="s">
        <v>608</v>
      </c>
      <c r="C26" s="242">
        <f>'Expense variable '!C68*'Refinery '!C4*Yields!C36/1000000</f>
        <v>0</v>
      </c>
    </row>
    <row r="27" spans="1:6" x14ac:dyDescent="0.35">
      <c r="A27" s="241" t="s">
        <v>616</v>
      </c>
      <c r="B27" s="249" t="s">
        <v>608</v>
      </c>
      <c r="C27" s="242">
        <f>'Expense variable '!C67*'Refinery '!C4*Yields!C15/1000000</f>
        <v>1.6269561916946378E-2</v>
      </c>
    </row>
    <row r="28" spans="1:6" x14ac:dyDescent="0.35">
      <c r="A28" s="237" t="s">
        <v>617</v>
      </c>
      <c r="B28" s="207" t="s">
        <v>608</v>
      </c>
      <c r="C28" s="250">
        <f t="shared" ref="C28" si="0">SUM(C29:C30)</f>
        <v>0.86399999999999988</v>
      </c>
    </row>
    <row r="29" spans="1:6" x14ac:dyDescent="0.35">
      <c r="A29" s="241" t="s">
        <v>618</v>
      </c>
      <c r="B29" s="249" t="s">
        <v>608</v>
      </c>
      <c r="C29" s="176">
        <f>'Expense variable '!C29*'Expense variable '!C28*'Expense variable '!C27*(8000/24)*'Expense variable '!C70/1000000</f>
        <v>0.57599999999999996</v>
      </c>
    </row>
    <row r="30" spans="1:6" x14ac:dyDescent="0.35">
      <c r="A30" s="241" t="s">
        <v>619</v>
      </c>
      <c r="B30" s="249" t="s">
        <v>608</v>
      </c>
      <c r="C30" s="176">
        <f>C29*'Expense variable '!C30</f>
        <v>0.28799999999999998</v>
      </c>
    </row>
    <row r="31" spans="1:6" x14ac:dyDescent="0.35">
      <c r="A31" s="237" t="s">
        <v>522</v>
      </c>
      <c r="B31" s="207" t="s">
        <v>608</v>
      </c>
      <c r="C31" s="238">
        <f>'Expense variable '!C32*'Expense variable '!C9*'Expenses full_HTL_Up '!C2</f>
        <v>23.309941894271059</v>
      </c>
    </row>
    <row r="32" spans="1:6" x14ac:dyDescent="0.35">
      <c r="A32" s="178" t="s">
        <v>524</v>
      </c>
      <c r="B32" s="157" t="s">
        <v>608</v>
      </c>
      <c r="C32" s="236">
        <f>'Expense variable '!C33*C28</f>
        <v>0.60479999999999989</v>
      </c>
    </row>
    <row r="33" spans="1:3" x14ac:dyDescent="0.35">
      <c r="A33" s="178" t="s">
        <v>602</v>
      </c>
      <c r="B33" s="157" t="s">
        <v>608</v>
      </c>
      <c r="C33" s="236">
        <f>'Expense variable '!C39*C18</f>
        <v>10.474245855838896</v>
      </c>
    </row>
    <row r="34" spans="1:3" x14ac:dyDescent="0.35">
      <c r="A34" s="178" t="s">
        <v>620</v>
      </c>
      <c r="B34" s="157" t="s">
        <v>608</v>
      </c>
      <c r="C34" s="236">
        <f t="shared" ref="C34" si="1">SUM(C35:C37)</f>
        <v>43.026176177375248</v>
      </c>
    </row>
    <row r="35" spans="1:3" x14ac:dyDescent="0.35">
      <c r="A35" s="237" t="s">
        <v>528</v>
      </c>
      <c r="B35" s="207" t="s">
        <v>608</v>
      </c>
      <c r="C35" s="238">
        <f>C2*'Expense variable '!C35*'Expense variable '!C9</f>
        <v>3.4964912841406579</v>
      </c>
    </row>
    <row r="36" spans="1:3" x14ac:dyDescent="0.35">
      <c r="A36" s="237" t="s">
        <v>531</v>
      </c>
      <c r="B36" s="207" t="s">
        <v>608</v>
      </c>
      <c r="C36" s="238">
        <f>'Expense variable '!C37*C2*'Expense variable '!C9</f>
        <v>2.3309941894271056</v>
      </c>
    </row>
    <row r="37" spans="1:3" x14ac:dyDescent="0.35">
      <c r="A37" s="237" t="s">
        <v>526</v>
      </c>
      <c r="B37" s="207" t="s">
        <v>608</v>
      </c>
      <c r="C37" s="238">
        <f>'Expense variable '!C34*C16</f>
        <v>37.198690703807486</v>
      </c>
    </row>
    <row r="38" spans="1:3" x14ac:dyDescent="0.35">
      <c r="A38" s="178" t="s">
        <v>621</v>
      </c>
      <c r="B38" s="157" t="s">
        <v>608</v>
      </c>
      <c r="C38" s="236">
        <f>C41*'Expense variable '!C38</f>
        <v>7.1997239562076505</v>
      </c>
    </row>
    <row r="39" spans="1:3" x14ac:dyDescent="0.35">
      <c r="A39" s="246" t="s">
        <v>622</v>
      </c>
      <c r="B39" s="251" t="s">
        <v>623</v>
      </c>
      <c r="C39" s="247">
        <f>SUM(C38+C34+C32+C18+C33+B58)</f>
        <v>121.85529838005404</v>
      </c>
    </row>
    <row r="40" spans="1:3" x14ac:dyDescent="0.35">
      <c r="A40" s="246"/>
      <c r="B40" s="213"/>
      <c r="C40" s="235"/>
    </row>
    <row r="41" spans="1:3" x14ac:dyDescent="0.35">
      <c r="A41" s="157" t="s">
        <v>624</v>
      </c>
      <c r="B41" s="157" t="s">
        <v>608</v>
      </c>
      <c r="C41" s="236">
        <f t="shared" ref="C41" si="2">SUM(C42:C44)</f>
        <v>71.997239562076501</v>
      </c>
    </row>
    <row r="42" spans="1:3" x14ac:dyDescent="0.35">
      <c r="A42" s="252" t="s">
        <v>625</v>
      </c>
      <c r="B42" s="249" t="s">
        <v>608</v>
      </c>
      <c r="C42" s="242">
        <f>(8000/24)*Yields!C8*'Refinery '!B1*'Expense variable '!C50/1000000</f>
        <v>71.994372708736947</v>
      </c>
    </row>
    <row r="43" spans="1:3" x14ac:dyDescent="0.35">
      <c r="A43" s="253" t="s">
        <v>626</v>
      </c>
      <c r="B43" s="254" t="s">
        <v>627</v>
      </c>
      <c r="C43" s="242">
        <v>0</v>
      </c>
    </row>
    <row r="44" spans="1:3" x14ac:dyDescent="0.35">
      <c r="A44" s="252" t="s">
        <v>628</v>
      </c>
      <c r="B44" s="249" t="s">
        <v>608</v>
      </c>
      <c r="C44" s="242">
        <f>Yields!C19*'Refinery '!B1*'Expense variable '!C52/1000000</f>
        <v>2.8668533395549349E-3</v>
      </c>
    </row>
    <row r="45" spans="1:3" x14ac:dyDescent="0.35">
      <c r="A45" s="157" t="s">
        <v>629</v>
      </c>
      <c r="B45" s="157" t="s">
        <v>608</v>
      </c>
      <c r="C45" s="236">
        <f>C41-C19</f>
        <v>43.799952177153074</v>
      </c>
    </row>
    <row r="46" spans="1:3" x14ac:dyDescent="0.35">
      <c r="A46" s="157" t="s">
        <v>630</v>
      </c>
      <c r="B46" s="157" t="s">
        <v>608</v>
      </c>
      <c r="C46" s="236">
        <f t="shared" ref="C46" si="3">C41-C39</f>
        <v>-49.858058817977536</v>
      </c>
    </row>
    <row r="47" spans="1:3" x14ac:dyDescent="0.35">
      <c r="A47" s="255" t="s">
        <v>631</v>
      </c>
      <c r="B47" s="255" t="s">
        <v>632</v>
      </c>
      <c r="C47" s="236">
        <f>(C39-C44)*1000000/((8000/24)*Yields!C8*'Refinery '!B1)</f>
        <v>1506.3491767269056</v>
      </c>
    </row>
    <row r="48" spans="1:3" x14ac:dyDescent="0.35">
      <c r="A48" s="157" t="s">
        <v>633</v>
      </c>
      <c r="C48">
        <f>C47/'[3]Expenses variable '!C50</f>
        <v>1.6830717058401181</v>
      </c>
    </row>
    <row r="55" spans="1:5" x14ac:dyDescent="0.35">
      <c r="A55" t="s">
        <v>856</v>
      </c>
      <c r="B55">
        <f>'Mass balances '!C147</f>
        <v>80.892553605322405</v>
      </c>
      <c r="D55" t="s">
        <v>860</v>
      </c>
      <c r="E55">
        <f>B55*1000*('Refinery '!B9+'Refinery '!B10)</f>
        <v>27099005.457783006</v>
      </c>
    </row>
    <row r="56" spans="1:5" x14ac:dyDescent="0.35">
      <c r="A56" t="s">
        <v>857</v>
      </c>
      <c r="B56">
        <f>B55*1000*'Expense variable '!C59/1000000</f>
        <v>0.97071064326386891</v>
      </c>
    </row>
    <row r="57" spans="1:5" x14ac:dyDescent="0.35">
      <c r="A57" t="s">
        <v>858</v>
      </c>
      <c r="B57">
        <f>E55*'Expense variable '!C60/1000000</f>
        <v>7.2084124681738917</v>
      </c>
    </row>
    <row r="58" spans="1:5" x14ac:dyDescent="0.35">
      <c r="A58" t="s">
        <v>859</v>
      </c>
      <c r="B58">
        <f>B56+B57</f>
        <v>8.1791231114377609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0473C6-8D91-4811-B5B8-A65505C22EB9}">
  <dimension ref="A2:G58"/>
  <sheetViews>
    <sheetView topLeftCell="A22" workbookViewId="0">
      <selection activeCell="D68" sqref="D68"/>
    </sheetView>
  </sheetViews>
  <sheetFormatPr defaultRowHeight="14.5" x14ac:dyDescent="0.35"/>
  <cols>
    <col min="1" max="1" width="44" customWidth="1"/>
    <col min="2" max="2" width="22.26953125" customWidth="1"/>
    <col min="3" max="3" width="14.90625" customWidth="1"/>
    <col min="4" max="4" width="19.36328125" customWidth="1"/>
    <col min="5" max="5" width="16.81640625" customWidth="1"/>
  </cols>
  <sheetData>
    <row r="2" spans="1:7" x14ac:dyDescent="0.35">
      <c r="A2" s="178" t="s">
        <v>592</v>
      </c>
      <c r="B2" s="235" t="s">
        <v>593</v>
      </c>
      <c r="C2" s="236">
        <f>C3+C10+C11+C12</f>
        <v>227.15615792534396</v>
      </c>
    </row>
    <row r="3" spans="1:7" x14ac:dyDescent="0.35">
      <c r="A3" s="237" t="s">
        <v>594</v>
      </c>
      <c r="B3" s="235" t="s">
        <v>593</v>
      </c>
      <c r="C3" s="238">
        <f>C4+C9</f>
        <v>139.18882225817646</v>
      </c>
    </row>
    <row r="4" spans="1:7" x14ac:dyDescent="0.35">
      <c r="A4" s="239" t="s">
        <v>595</v>
      </c>
      <c r="B4" s="235" t="s">
        <v>593</v>
      </c>
      <c r="C4" s="240">
        <f>SUM(C5:C8)</f>
        <v>55.675528903270575</v>
      </c>
    </row>
    <row r="5" spans="1:7" x14ac:dyDescent="0.35">
      <c r="A5" s="241" t="s">
        <v>596</v>
      </c>
      <c r="B5" s="235" t="s">
        <v>593</v>
      </c>
      <c r="C5" s="242">
        <f>'Expense variable '!C75*((('Refinery '!C5)/((8000/24)*('Expense variable '!B75)))^'Expense variable '!C12)</f>
        <v>3.6247232670409826</v>
      </c>
    </row>
    <row r="6" spans="1:7" x14ac:dyDescent="0.35">
      <c r="A6" s="241" t="s">
        <v>597</v>
      </c>
      <c r="B6" s="235" t="s">
        <v>593</v>
      </c>
      <c r="C6" s="242">
        <f>'Expense variable '!C76*((Yields!C28*'Refinery '!B1/24330)^0.75)</f>
        <v>48.950109108948475</v>
      </c>
    </row>
    <row r="7" spans="1:7" x14ac:dyDescent="0.35">
      <c r="A7" s="241" t="s">
        <v>598</v>
      </c>
      <c r="B7" s="235" t="s">
        <v>593</v>
      </c>
      <c r="C7" s="242">
        <v>0</v>
      </c>
    </row>
    <row r="8" spans="1:7" x14ac:dyDescent="0.35">
      <c r="A8" s="241" t="s">
        <v>599</v>
      </c>
      <c r="B8" s="235" t="s">
        <v>593</v>
      </c>
      <c r="C8" s="242">
        <f>'Expense variable '!C82*((Yields!C33*('Refinery '!B1/24)/'Expense variable '!B82)^0.7)</f>
        <v>3.1006965272811193</v>
      </c>
    </row>
    <row r="9" spans="1:7" x14ac:dyDescent="0.35">
      <c r="A9" s="243" t="s">
        <v>600</v>
      </c>
      <c r="B9" s="235" t="s">
        <v>593</v>
      </c>
      <c r="C9" s="240">
        <f>C4*'Expense variable '!C3</f>
        <v>83.513293354905869</v>
      </c>
    </row>
    <row r="10" spans="1:7" x14ac:dyDescent="0.35">
      <c r="A10" s="244" t="s">
        <v>601</v>
      </c>
      <c r="B10" s="235" t="s">
        <v>593</v>
      </c>
      <c r="C10" s="238">
        <f>C3*'Expense variable '!C4</f>
        <v>47.324199567779999</v>
      </c>
    </row>
    <row r="11" spans="1:7" x14ac:dyDescent="0.35">
      <c r="A11" s="244" t="s">
        <v>496</v>
      </c>
      <c r="B11" s="235" t="s">
        <v>593</v>
      </c>
      <c r="C11" s="238">
        <f>C4*'Expense variable '!C5</f>
        <v>12.805371647752233</v>
      </c>
    </row>
    <row r="12" spans="1:7" x14ac:dyDescent="0.35">
      <c r="A12" s="237" t="s">
        <v>602</v>
      </c>
      <c r="B12" s="235" t="s">
        <v>593</v>
      </c>
      <c r="C12" s="238">
        <f>C4*'Expense variable '!C6</f>
        <v>27.837764451635287</v>
      </c>
      <c r="E12">
        <v>100</v>
      </c>
      <c r="F12" t="s">
        <v>486</v>
      </c>
      <c r="G12" t="s">
        <v>590</v>
      </c>
    </row>
    <row r="13" spans="1:7" x14ac:dyDescent="0.35">
      <c r="A13" s="178" t="s">
        <v>498</v>
      </c>
      <c r="B13" s="235" t="s">
        <v>593</v>
      </c>
      <c r="C13" s="236">
        <f>C41*'Expense variable '!C7</f>
        <v>14.399447912415301</v>
      </c>
      <c r="E13">
        <v>3.1</v>
      </c>
      <c r="F13" t="s">
        <v>573</v>
      </c>
      <c r="G13" t="s">
        <v>53</v>
      </c>
    </row>
    <row r="14" spans="1:7" x14ac:dyDescent="0.35">
      <c r="A14" s="178" t="s">
        <v>603</v>
      </c>
      <c r="B14" s="235" t="s">
        <v>593</v>
      </c>
      <c r="C14" s="245">
        <f>'Expense variable '!C8*C2</f>
        <v>22.715615792534397</v>
      </c>
      <c r="F14" s="188"/>
    </row>
    <row r="15" spans="1:7" x14ac:dyDescent="0.35">
      <c r="A15" s="246" t="s">
        <v>604</v>
      </c>
      <c r="B15" s="235" t="s">
        <v>593</v>
      </c>
      <c r="C15" s="247">
        <f>C2+C13+C14</f>
        <v>264.27122163029367</v>
      </c>
      <c r="F15" s="188"/>
    </row>
    <row r="16" spans="1:7" x14ac:dyDescent="0.35">
      <c r="A16" s="246" t="s">
        <v>605</v>
      </c>
      <c r="B16" s="235" t="s">
        <v>593</v>
      </c>
      <c r="C16" s="247">
        <f>C15*'Expense variable '!C9</f>
        <v>237.8440994672643</v>
      </c>
      <c r="F16" s="164"/>
    </row>
    <row r="17" spans="1:6" x14ac:dyDescent="0.35">
      <c r="A17" s="246"/>
      <c r="B17" s="213"/>
      <c r="C17" s="248"/>
      <c r="F17" s="188"/>
    </row>
    <row r="18" spans="1:6" x14ac:dyDescent="0.35">
      <c r="A18" s="178" t="s">
        <v>606</v>
      </c>
      <c r="B18" s="213"/>
      <c r="C18" s="236">
        <f>C19+C28+C31</f>
        <v>49.505341598204382</v>
      </c>
      <c r="F18" s="188"/>
    </row>
    <row r="19" spans="1:6" x14ac:dyDescent="0.35">
      <c r="A19" s="237" t="s">
        <v>607</v>
      </c>
      <c r="B19" s="207" t="s">
        <v>608</v>
      </c>
      <c r="C19" s="238">
        <f>SUM(C20:C27)</f>
        <v>28.197287384923424</v>
      </c>
      <c r="F19" s="188"/>
    </row>
    <row r="20" spans="1:6" x14ac:dyDescent="0.35">
      <c r="A20" s="241" t="s">
        <v>609</v>
      </c>
      <c r="B20" s="249" t="s">
        <v>608</v>
      </c>
      <c r="C20" s="242">
        <f>E12*'Refinery '!C5/1000000</f>
        <v>22.595171083306596</v>
      </c>
      <c r="F20" s="188"/>
    </row>
    <row r="21" spans="1:6" x14ac:dyDescent="0.35">
      <c r="A21" s="241" t="s">
        <v>610</v>
      </c>
      <c r="B21" s="249" t="s">
        <v>608</v>
      </c>
      <c r="C21" s="242">
        <f>E13*Yields!C32*'Refinery '!C4/1000000</f>
        <v>1.4259414987144458E-2</v>
      </c>
      <c r="F21" s="188"/>
    </row>
    <row r="22" spans="1:6" x14ac:dyDescent="0.35">
      <c r="A22" s="241" t="s">
        <v>611</v>
      </c>
      <c r="B22" s="249" t="s">
        <v>608</v>
      </c>
      <c r="C22" s="242">
        <f>'Expense variable '!C65*Yields!C23*'Refinery '!C4/1000000</f>
        <v>0.33717985809674739</v>
      </c>
      <c r="F22" s="188"/>
    </row>
    <row r="23" spans="1:6" x14ac:dyDescent="0.35">
      <c r="A23" s="241" t="s">
        <v>612</v>
      </c>
      <c r="B23" s="249" t="s">
        <v>608</v>
      </c>
      <c r="C23" s="242">
        <f>Yields!C22*'Refinery '!C4*'Expense variable '!C64/1000000</f>
        <v>1.9229461349696111</v>
      </c>
    </row>
    <row r="24" spans="1:6" x14ac:dyDescent="0.35">
      <c r="A24" s="241" t="s">
        <v>613</v>
      </c>
      <c r="B24" s="249" t="s">
        <v>608</v>
      </c>
      <c r="C24" s="176">
        <f>'Expense variable '!C66*'Refinery '!C4*Yields!C24/1000000</f>
        <v>6.5604751619870408E-2</v>
      </c>
    </row>
    <row r="25" spans="1:6" ht="15" customHeight="1" x14ac:dyDescent="0.35">
      <c r="A25" s="241" t="s">
        <v>614</v>
      </c>
      <c r="B25" s="249" t="s">
        <v>608</v>
      </c>
      <c r="C25" s="176">
        <f>(('Mass balances '!G97*8000/1000)*'Expense variable '!I49/1000000)+((Sheet2!B42*1000*'Mass balances '!G97*8000/1000)/('Expense variable '!H56*1000000))</f>
        <v>3.2458565800265116</v>
      </c>
    </row>
    <row r="26" spans="1:6" x14ac:dyDescent="0.35">
      <c r="A26" s="241" t="s">
        <v>615</v>
      </c>
      <c r="B26" s="249" t="s">
        <v>608</v>
      </c>
      <c r="C26" s="242">
        <f>'Expense variable '!C68*'Refinery '!C4*Yields!C36/1000000</f>
        <v>0</v>
      </c>
    </row>
    <row r="27" spans="1:6" x14ac:dyDescent="0.35">
      <c r="A27" s="241" t="s">
        <v>616</v>
      </c>
      <c r="B27" s="249" t="s">
        <v>608</v>
      </c>
      <c r="C27" s="242">
        <f>'Expense variable '!C67*'Refinery '!C4*Yields!C15/1000000</f>
        <v>1.6269561916946378E-2</v>
      </c>
    </row>
    <row r="28" spans="1:6" x14ac:dyDescent="0.35">
      <c r="A28" s="237" t="s">
        <v>617</v>
      </c>
      <c r="B28" s="207" t="s">
        <v>608</v>
      </c>
      <c r="C28" s="250">
        <f t="shared" ref="C28" si="0">SUM(C29:C30)</f>
        <v>0.86399999999999988</v>
      </c>
    </row>
    <row r="29" spans="1:6" x14ac:dyDescent="0.35">
      <c r="A29" s="241" t="s">
        <v>618</v>
      </c>
      <c r="B29" s="249" t="s">
        <v>608</v>
      </c>
      <c r="C29" s="176">
        <f>'Expense variable '!C29*'Expense variable '!C28*'Expense variable '!C27*(8000/24)*'Expense variable '!C70/1000000</f>
        <v>0.57599999999999996</v>
      </c>
    </row>
    <row r="30" spans="1:6" x14ac:dyDescent="0.35">
      <c r="A30" s="241" t="s">
        <v>619</v>
      </c>
      <c r="B30" s="249" t="s">
        <v>608</v>
      </c>
      <c r="C30" s="176">
        <f>C29*'Expense variable '!C30</f>
        <v>0.28799999999999998</v>
      </c>
    </row>
    <row r="31" spans="1:6" x14ac:dyDescent="0.35">
      <c r="A31" s="237" t="s">
        <v>522</v>
      </c>
      <c r="B31" s="207" t="s">
        <v>608</v>
      </c>
      <c r="C31" s="238">
        <f>'Expense variable '!C32*'Expense variable '!C9*'Expenses full_HTL_CoUp'!C2</f>
        <v>20.44405421328096</v>
      </c>
    </row>
    <row r="32" spans="1:6" x14ac:dyDescent="0.35">
      <c r="A32" s="178" t="s">
        <v>524</v>
      </c>
      <c r="B32" s="157" t="s">
        <v>608</v>
      </c>
      <c r="C32" s="236">
        <f>'Expense variable '!C33*C28</f>
        <v>0.60479999999999989</v>
      </c>
    </row>
    <row r="33" spans="1:3" x14ac:dyDescent="0.35">
      <c r="A33" s="178" t="s">
        <v>602</v>
      </c>
      <c r="B33" s="157" t="s">
        <v>608</v>
      </c>
      <c r="C33" s="236">
        <f>'Expense variable '!C39*C18</f>
        <v>9.9010683196408777</v>
      </c>
    </row>
    <row r="34" spans="1:3" x14ac:dyDescent="0.35">
      <c r="A34" s="178" t="s">
        <v>620</v>
      </c>
      <c r="B34" s="157" t="s">
        <v>608</v>
      </c>
      <c r="C34" s="236">
        <f t="shared" ref="C34" si="1">SUM(C35:C37)</f>
        <v>37.95626879849506</v>
      </c>
    </row>
    <row r="35" spans="1:3" x14ac:dyDescent="0.35">
      <c r="A35" s="237" t="s">
        <v>528</v>
      </c>
      <c r="B35" s="207" t="s">
        <v>608</v>
      </c>
      <c r="C35" s="238">
        <f>C2*'Expense variable '!C35*'Expense variable '!C9</f>
        <v>3.0666081319921434</v>
      </c>
    </row>
    <row r="36" spans="1:3" x14ac:dyDescent="0.35">
      <c r="A36" s="237" t="s">
        <v>531</v>
      </c>
      <c r="B36" s="207" t="s">
        <v>608</v>
      </c>
      <c r="C36" s="238">
        <f>'Expense variable '!C37*C2*'Expense variable '!C9</f>
        <v>2.0444054213280958</v>
      </c>
    </row>
    <row r="37" spans="1:3" x14ac:dyDescent="0.35">
      <c r="A37" s="237" t="s">
        <v>526</v>
      </c>
      <c r="B37" s="207" t="s">
        <v>608</v>
      </c>
      <c r="C37" s="238">
        <f>'Expense variable '!C34*C16</f>
        <v>32.845255245174819</v>
      </c>
    </row>
    <row r="38" spans="1:3" x14ac:dyDescent="0.35">
      <c r="A38" s="178" t="s">
        <v>621</v>
      </c>
      <c r="B38" s="157" t="s">
        <v>608</v>
      </c>
      <c r="C38" s="236">
        <f>C41*'Expense variable '!C38</f>
        <v>7.1997239562076505</v>
      </c>
    </row>
    <row r="39" spans="1:3" x14ac:dyDescent="0.35">
      <c r="A39" s="246" t="s">
        <v>622</v>
      </c>
      <c r="B39" s="251" t="s">
        <v>623</v>
      </c>
      <c r="C39" s="247">
        <f>SUM(C38+C34+C32+C18+C33+B58)</f>
        <v>113.49160439871555</v>
      </c>
    </row>
    <row r="40" spans="1:3" x14ac:dyDescent="0.35">
      <c r="A40" s="246"/>
      <c r="B40" s="213"/>
      <c r="C40" s="235"/>
    </row>
    <row r="41" spans="1:3" x14ac:dyDescent="0.35">
      <c r="A41" s="157" t="s">
        <v>624</v>
      </c>
      <c r="B41" s="157" t="s">
        <v>608</v>
      </c>
      <c r="C41" s="236">
        <f t="shared" ref="C41" si="2">SUM(C42:C44)</f>
        <v>71.997239562076501</v>
      </c>
    </row>
    <row r="42" spans="1:3" x14ac:dyDescent="0.35">
      <c r="A42" s="252" t="s">
        <v>625</v>
      </c>
      <c r="B42" s="249" t="s">
        <v>608</v>
      </c>
      <c r="C42" s="242">
        <f>(8000/24)*Yields!C8*'Refinery '!B1*'Expense variable '!C50/1000000</f>
        <v>71.994372708736947</v>
      </c>
    </row>
    <row r="43" spans="1:3" x14ac:dyDescent="0.35">
      <c r="A43" s="253" t="s">
        <v>626</v>
      </c>
      <c r="B43" s="254" t="s">
        <v>627</v>
      </c>
      <c r="C43" s="242">
        <v>0</v>
      </c>
    </row>
    <row r="44" spans="1:3" x14ac:dyDescent="0.35">
      <c r="A44" s="252" t="s">
        <v>628</v>
      </c>
      <c r="B44" s="249" t="s">
        <v>608</v>
      </c>
      <c r="C44" s="242">
        <f>Yields!C19*'Refinery '!B1*'Expense variable '!C52/1000000</f>
        <v>2.8668533395549349E-3</v>
      </c>
    </row>
    <row r="45" spans="1:3" x14ac:dyDescent="0.35">
      <c r="A45" s="157" t="s">
        <v>629</v>
      </c>
      <c r="B45" s="157" t="s">
        <v>608</v>
      </c>
      <c r="C45" s="236">
        <f>C41-C19</f>
        <v>43.799952177153074</v>
      </c>
    </row>
    <row r="46" spans="1:3" x14ac:dyDescent="0.35">
      <c r="A46" s="157" t="s">
        <v>630</v>
      </c>
      <c r="B46" s="157" t="s">
        <v>608</v>
      </c>
      <c r="C46" s="236">
        <f t="shared" ref="C46" si="3">C41-C39</f>
        <v>-41.494364836639051</v>
      </c>
    </row>
    <row r="47" spans="1:3" x14ac:dyDescent="0.35">
      <c r="A47" s="255" t="s">
        <v>631</v>
      </c>
      <c r="B47" s="255" t="s">
        <v>632</v>
      </c>
      <c r="C47" s="236">
        <f>(C39-C44)*1000000/((8000/24)*Yields!C8*'Refinery '!B1)</f>
        <v>1402.9565452846441</v>
      </c>
    </row>
    <row r="48" spans="1:3" x14ac:dyDescent="0.35">
      <c r="A48" s="157" t="s">
        <v>633</v>
      </c>
      <c r="C48">
        <f>C47/'[3]Expenses variable '!C50</f>
        <v>1.5675492126085409</v>
      </c>
    </row>
    <row r="55" spans="1:5" x14ac:dyDescent="0.35">
      <c r="A55" t="s">
        <v>856</v>
      </c>
      <c r="B55">
        <f>'Mass balances '!C146</f>
        <v>85.711735743863514</v>
      </c>
      <c r="D55" t="s">
        <v>860</v>
      </c>
      <c r="E55">
        <f>B55*1000*'Refinery '!B9</f>
        <v>27427755.438036323</v>
      </c>
    </row>
    <row r="56" spans="1:5" x14ac:dyDescent="0.35">
      <c r="A56" t="s">
        <v>857</v>
      </c>
      <c r="B56">
        <f>B55*1000*'Expense variable '!C59/1000000</f>
        <v>1.028540828926362</v>
      </c>
    </row>
    <row r="57" spans="1:5" x14ac:dyDescent="0.35">
      <c r="A57" t="s">
        <v>858</v>
      </c>
      <c r="B57">
        <f>E55*'Expense variable '!C60/1000000</f>
        <v>7.295860897241214</v>
      </c>
    </row>
    <row r="58" spans="1:5" x14ac:dyDescent="0.35">
      <c r="A58" t="s">
        <v>859</v>
      </c>
      <c r="B58">
        <f>B56+B57</f>
        <v>8.3244017261675758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34416E-FEBF-4EF8-A828-233B11F3BB8A}">
  <dimension ref="A2:G58"/>
  <sheetViews>
    <sheetView topLeftCell="A27" workbookViewId="0">
      <selection activeCell="G50" sqref="G50"/>
    </sheetView>
  </sheetViews>
  <sheetFormatPr defaultRowHeight="14.5" x14ac:dyDescent="0.35"/>
  <cols>
    <col min="1" max="1" width="44" customWidth="1"/>
    <col min="2" max="2" width="22.26953125" customWidth="1"/>
    <col min="3" max="3" width="14.90625" customWidth="1"/>
    <col min="4" max="4" width="19.36328125" customWidth="1"/>
    <col min="5" max="5" width="16.81640625" customWidth="1"/>
  </cols>
  <sheetData>
    <row r="2" spans="1:7" x14ac:dyDescent="0.35">
      <c r="A2" s="178" t="s">
        <v>592</v>
      </c>
      <c r="B2" s="235" t="s">
        <v>593</v>
      </c>
      <c r="C2" s="236">
        <f>C3+C10+C11+C12</f>
        <v>258.9993543807895</v>
      </c>
    </row>
    <row r="3" spans="1:7" x14ac:dyDescent="0.35">
      <c r="A3" s="237" t="s">
        <v>594</v>
      </c>
      <c r="B3" s="235" t="s">
        <v>593</v>
      </c>
      <c r="C3" s="238">
        <f>C4+C9</f>
        <v>158.70058479215044</v>
      </c>
    </row>
    <row r="4" spans="1:7" x14ac:dyDescent="0.35">
      <c r="A4" s="239" t="s">
        <v>595</v>
      </c>
      <c r="B4" s="235" t="s">
        <v>593</v>
      </c>
      <c r="C4" s="240">
        <f>SUM(C5:C8)</f>
        <v>63.480233916860172</v>
      </c>
    </row>
    <row r="5" spans="1:7" x14ac:dyDescent="0.35">
      <c r="A5" s="241" t="s">
        <v>596</v>
      </c>
      <c r="B5" s="235" t="s">
        <v>593</v>
      </c>
      <c r="C5" s="242">
        <f>'Expense variable '!C75*((('Refinery '!C5)/((8000/24)*('Expense variable '!B75)))^'Expense variable '!C12)</f>
        <v>3.6247232670409826</v>
      </c>
    </row>
    <row r="6" spans="1:7" x14ac:dyDescent="0.35">
      <c r="A6" s="241" t="s">
        <v>597</v>
      </c>
      <c r="B6" s="235" t="s">
        <v>593</v>
      </c>
      <c r="C6" s="242">
        <f>'Expense variable '!C76*((Yields!C28*'Refinery '!B1/24330)^0.75)</f>
        <v>48.950109108948475</v>
      </c>
    </row>
    <row r="7" spans="1:7" x14ac:dyDescent="0.35">
      <c r="A7" s="241" t="s">
        <v>598</v>
      </c>
      <c r="B7" s="235" t="s">
        <v>593</v>
      </c>
      <c r="C7" s="242">
        <f>'Expense variable '!C77*((Yields!C31*'Refinery '!B1/734)^0.75)</f>
        <v>7.8047050135895955</v>
      </c>
    </row>
    <row r="8" spans="1:7" x14ac:dyDescent="0.35">
      <c r="A8" s="241" t="s">
        <v>599</v>
      </c>
      <c r="B8" s="235" t="s">
        <v>593</v>
      </c>
      <c r="C8" s="242">
        <f>'Expense variable '!C82*((Yields!C33*('Refinery '!B1/24)/'Expense variable '!B82)^0.7)</f>
        <v>3.1006965272811193</v>
      </c>
    </row>
    <row r="9" spans="1:7" x14ac:dyDescent="0.35">
      <c r="A9" s="243" t="s">
        <v>600</v>
      </c>
      <c r="B9" s="235" t="s">
        <v>593</v>
      </c>
      <c r="C9" s="240">
        <f>C4*'Expense variable '!C3</f>
        <v>95.220350875290251</v>
      </c>
    </row>
    <row r="10" spans="1:7" x14ac:dyDescent="0.35">
      <c r="A10" s="244" t="s">
        <v>601</v>
      </c>
      <c r="B10" s="235" t="s">
        <v>593</v>
      </c>
      <c r="C10" s="238">
        <f>C3*'Expense variable '!C4</f>
        <v>53.958198829331153</v>
      </c>
    </row>
    <row r="11" spans="1:7" x14ac:dyDescent="0.35">
      <c r="A11" s="244" t="s">
        <v>496</v>
      </c>
      <c r="B11" s="235" t="s">
        <v>593</v>
      </c>
      <c r="C11" s="238">
        <f>C4*'Expense variable '!C5</f>
        <v>14.60045380087784</v>
      </c>
    </row>
    <row r="12" spans="1:7" x14ac:dyDescent="0.35">
      <c r="A12" s="237" t="s">
        <v>602</v>
      </c>
      <c r="B12" s="235" t="s">
        <v>593</v>
      </c>
      <c r="C12" s="238">
        <f>C4*'Expense variable '!C6</f>
        <v>31.740116958430086</v>
      </c>
      <c r="E12">
        <v>100</v>
      </c>
      <c r="F12" t="s">
        <v>486</v>
      </c>
      <c r="G12" t="s">
        <v>590</v>
      </c>
    </row>
    <row r="13" spans="1:7" x14ac:dyDescent="0.35">
      <c r="A13" s="178" t="s">
        <v>498</v>
      </c>
      <c r="B13" s="235" t="s">
        <v>593</v>
      </c>
      <c r="C13" s="236">
        <f>C41*'Expense variable '!C7</f>
        <v>5.17291246292395</v>
      </c>
      <c r="E13">
        <v>3.1</v>
      </c>
      <c r="F13" t="s">
        <v>573</v>
      </c>
      <c r="G13" t="s">
        <v>53</v>
      </c>
    </row>
    <row r="14" spans="1:7" x14ac:dyDescent="0.35">
      <c r="A14" s="178" t="s">
        <v>603</v>
      </c>
      <c r="B14" s="235" t="s">
        <v>593</v>
      </c>
      <c r="C14" s="245">
        <f>'Expense variable '!C8*C2</f>
        <v>25.899935438078952</v>
      </c>
      <c r="F14" s="188"/>
    </row>
    <row r="15" spans="1:7" x14ac:dyDescent="0.35">
      <c r="A15" s="246" t="s">
        <v>604</v>
      </c>
      <c r="B15" s="235" t="s">
        <v>593</v>
      </c>
      <c r="C15" s="247">
        <f>C2+C13+C14</f>
        <v>290.07220228179239</v>
      </c>
      <c r="F15" s="188"/>
    </row>
    <row r="16" spans="1:7" x14ac:dyDescent="0.35">
      <c r="A16" s="246" t="s">
        <v>605</v>
      </c>
      <c r="B16" s="235" t="s">
        <v>593</v>
      </c>
      <c r="C16" s="247">
        <f>C15*'Expense variable '!C9</f>
        <v>261.06498205361316</v>
      </c>
      <c r="F16" s="164"/>
    </row>
    <row r="17" spans="1:6" x14ac:dyDescent="0.35">
      <c r="A17" s="246"/>
      <c r="B17" s="213"/>
      <c r="C17" s="248"/>
      <c r="F17" s="188"/>
    </row>
    <row r="18" spans="1:6" x14ac:dyDescent="0.35">
      <c r="A18" s="178" t="s">
        <v>606</v>
      </c>
      <c r="B18" s="213"/>
      <c r="C18" s="236">
        <f>C19+C28+C31</f>
        <v>52.37122927919448</v>
      </c>
      <c r="F18" s="188"/>
    </row>
    <row r="19" spans="1:6" x14ac:dyDescent="0.35">
      <c r="A19" s="237" t="s">
        <v>607</v>
      </c>
      <c r="B19" s="207" t="s">
        <v>608</v>
      </c>
      <c r="C19" s="238">
        <f>SUM(C20:C27)</f>
        <v>28.197287384923424</v>
      </c>
      <c r="F19" s="188"/>
    </row>
    <row r="20" spans="1:6" x14ac:dyDescent="0.35">
      <c r="A20" s="241" t="s">
        <v>609</v>
      </c>
      <c r="B20" s="249" t="s">
        <v>608</v>
      </c>
      <c r="C20" s="242">
        <f>E12*'Refinery '!C5/1000000</f>
        <v>22.595171083306596</v>
      </c>
      <c r="F20" s="188"/>
    </row>
    <row r="21" spans="1:6" x14ac:dyDescent="0.35">
      <c r="A21" s="241" t="s">
        <v>610</v>
      </c>
      <c r="B21" s="249" t="s">
        <v>608</v>
      </c>
      <c r="C21" s="242">
        <f>E13*Yields!C32*'Refinery '!C4/1000000</f>
        <v>1.4259414987144458E-2</v>
      </c>
      <c r="F21" s="188"/>
    </row>
    <row r="22" spans="1:6" x14ac:dyDescent="0.35">
      <c r="A22" s="241" t="s">
        <v>611</v>
      </c>
      <c r="B22" s="249" t="s">
        <v>608</v>
      </c>
      <c r="C22" s="242">
        <f>'Expense variable '!C65*Yields!C23*'Refinery '!C4/1000000</f>
        <v>0.33717985809674739</v>
      </c>
      <c r="F22" s="188"/>
    </row>
    <row r="23" spans="1:6" x14ac:dyDescent="0.35">
      <c r="A23" s="241" t="s">
        <v>612</v>
      </c>
      <c r="B23" s="249" t="s">
        <v>608</v>
      </c>
      <c r="C23" s="242">
        <f>Yields!C22*'Refinery '!C4*'Expense variable '!C64/1000000</f>
        <v>1.9229461349696111</v>
      </c>
    </row>
    <row r="24" spans="1:6" x14ac:dyDescent="0.35">
      <c r="A24" s="241" t="s">
        <v>613</v>
      </c>
      <c r="B24" s="249" t="s">
        <v>608</v>
      </c>
      <c r="C24" s="176">
        <f>'Expense variable '!C66*'Refinery '!C4*Yields!C24/1000000</f>
        <v>6.5604751619870408E-2</v>
      </c>
    </row>
    <row r="25" spans="1:6" ht="15" customHeight="1" x14ac:dyDescent="0.35">
      <c r="A25" s="241" t="s">
        <v>614</v>
      </c>
      <c r="B25" s="249" t="s">
        <v>608</v>
      </c>
      <c r="C25" s="176">
        <f>(('Mass balances '!G97*8000/1000)*'Expense variable '!I49/1000000)+((Sheet2!B42*1000*'Mass balances '!G97*8000/1000)/('Expense variable '!H56*1000000))</f>
        <v>3.2458565800265116</v>
      </c>
    </row>
    <row r="26" spans="1:6" x14ac:dyDescent="0.35">
      <c r="A26" s="241" t="s">
        <v>615</v>
      </c>
      <c r="B26" s="249" t="s">
        <v>608</v>
      </c>
      <c r="C26" s="242">
        <f>'Expense variable '!C68*'Refinery '!C4*Yields!C36/1000000</f>
        <v>0</v>
      </c>
    </row>
    <row r="27" spans="1:6" x14ac:dyDescent="0.35">
      <c r="A27" s="241" t="s">
        <v>616</v>
      </c>
      <c r="B27" s="249" t="s">
        <v>608</v>
      </c>
      <c r="C27" s="242">
        <f>'Expense variable '!C67*'Refinery '!C4*Yields!C15/1000000</f>
        <v>1.6269561916946378E-2</v>
      </c>
    </row>
    <row r="28" spans="1:6" x14ac:dyDescent="0.35">
      <c r="A28" s="237" t="s">
        <v>617</v>
      </c>
      <c r="B28" s="207" t="s">
        <v>608</v>
      </c>
      <c r="C28" s="250">
        <f t="shared" ref="C28" si="0">SUM(C29:C30)</f>
        <v>0.86399999999999988</v>
      </c>
    </row>
    <row r="29" spans="1:6" x14ac:dyDescent="0.35">
      <c r="A29" s="241" t="s">
        <v>618</v>
      </c>
      <c r="B29" s="249" t="s">
        <v>608</v>
      </c>
      <c r="C29" s="176">
        <f>'Expense variable '!C29*'Expense variable '!C28*'Expense variable '!C27*(8000/24)*'Expense variable '!C70/1000000</f>
        <v>0.57599999999999996</v>
      </c>
    </row>
    <row r="30" spans="1:6" x14ac:dyDescent="0.35">
      <c r="A30" s="241" t="s">
        <v>619</v>
      </c>
      <c r="B30" s="249" t="s">
        <v>608</v>
      </c>
      <c r="C30" s="176">
        <f>C29*'Expense variable '!C30</f>
        <v>0.28799999999999998</v>
      </c>
    </row>
    <row r="31" spans="1:6" x14ac:dyDescent="0.35">
      <c r="A31" s="237" t="s">
        <v>522</v>
      </c>
      <c r="B31" s="207" t="s">
        <v>608</v>
      </c>
      <c r="C31" s="238">
        <f>'Expense variable '!C32*'Expense variable '!C9*'Expenses full_HTL_Up_CoDist'!C2</f>
        <v>23.309941894271059</v>
      </c>
    </row>
    <row r="32" spans="1:6" x14ac:dyDescent="0.35">
      <c r="A32" s="178" t="s">
        <v>524</v>
      </c>
      <c r="B32" s="157" t="s">
        <v>608</v>
      </c>
      <c r="C32" s="236">
        <f>'Expense variable '!C33*C28</f>
        <v>0.60479999999999989</v>
      </c>
    </row>
    <row r="33" spans="1:3" x14ac:dyDescent="0.35">
      <c r="A33" s="178" t="s">
        <v>602</v>
      </c>
      <c r="B33" s="157" t="s">
        <v>608</v>
      </c>
      <c r="C33" s="236">
        <f>'Expense variable '!C39*C18</f>
        <v>10.474245855838896</v>
      </c>
    </row>
    <row r="34" spans="1:3" x14ac:dyDescent="0.35">
      <c r="A34" s="178" t="s">
        <v>620</v>
      </c>
      <c r="B34" s="157" t="s">
        <v>608</v>
      </c>
      <c r="C34" s="236">
        <f t="shared" ref="C34" si="1">SUM(C35:C37)</f>
        <v>41.879445519388</v>
      </c>
    </row>
    <row r="35" spans="1:3" x14ac:dyDescent="0.35">
      <c r="A35" s="237" t="s">
        <v>528</v>
      </c>
      <c r="B35" s="207" t="s">
        <v>608</v>
      </c>
      <c r="C35" s="238">
        <f>C2*'Expense variable '!C35*'Expense variable '!C9</f>
        <v>3.4964912841406579</v>
      </c>
    </row>
    <row r="36" spans="1:3" x14ac:dyDescent="0.35">
      <c r="A36" s="237" t="s">
        <v>531</v>
      </c>
      <c r="B36" s="207" t="s">
        <v>608</v>
      </c>
      <c r="C36" s="238">
        <f>'Expense variable '!C37*C2*'Expense variable '!C9</f>
        <v>2.3309941894271056</v>
      </c>
    </row>
    <row r="37" spans="1:3" x14ac:dyDescent="0.35">
      <c r="A37" s="237" t="s">
        <v>526</v>
      </c>
      <c r="B37" s="207" t="s">
        <v>608</v>
      </c>
      <c r="C37" s="238">
        <f>'Expense variable '!C34*C16</f>
        <v>36.051960045820238</v>
      </c>
    </row>
    <row r="38" spans="1:3" x14ac:dyDescent="0.35">
      <c r="A38" s="178" t="s">
        <v>621</v>
      </c>
      <c r="B38" s="157" t="s">
        <v>608</v>
      </c>
      <c r="C38" s="236">
        <f>C41*'Expense variable '!C38</f>
        <v>2.586456231461975</v>
      </c>
    </row>
    <row r="39" spans="1:3" x14ac:dyDescent="0.35">
      <c r="A39" s="246" t="s">
        <v>622</v>
      </c>
      <c r="B39" s="251" t="s">
        <v>623</v>
      </c>
      <c r="C39" s="247">
        <f>SUM(C38+C34+C32+C18+C33+B58)</f>
        <v>115.7725352599402</v>
      </c>
    </row>
    <row r="40" spans="1:3" x14ac:dyDescent="0.35">
      <c r="A40" s="246"/>
      <c r="B40" s="213"/>
      <c r="C40" s="235"/>
    </row>
    <row r="41" spans="1:3" x14ac:dyDescent="0.35">
      <c r="A41" s="157" t="s">
        <v>624</v>
      </c>
      <c r="B41" s="157" t="s">
        <v>608</v>
      </c>
      <c r="C41" s="236">
        <f t="shared" ref="C41" si="2">SUM(C42:C44)</f>
        <v>25.86456231461975</v>
      </c>
    </row>
    <row r="42" spans="1:3" x14ac:dyDescent="0.35">
      <c r="A42" s="252" t="s">
        <v>625</v>
      </c>
      <c r="B42" s="249" t="s">
        <v>608</v>
      </c>
      <c r="C42" s="242">
        <f>'Mass balances '!B152*(8000/1000)*'Expense variable '!C50/1000000</f>
        <v>25.861695461280195</v>
      </c>
    </row>
    <row r="43" spans="1:3" x14ac:dyDescent="0.35">
      <c r="A43" s="253" t="s">
        <v>626</v>
      </c>
      <c r="B43" s="254" t="s">
        <v>627</v>
      </c>
      <c r="C43" s="242">
        <v>0</v>
      </c>
    </row>
    <row r="44" spans="1:3" x14ac:dyDescent="0.35">
      <c r="A44" s="252" t="s">
        <v>628</v>
      </c>
      <c r="B44" s="249" t="s">
        <v>608</v>
      </c>
      <c r="C44" s="242">
        <f>Yields!C19*'Refinery '!B1*'Expense variable '!C52/1000000</f>
        <v>2.8668533395549349E-3</v>
      </c>
    </row>
    <row r="45" spans="1:3" x14ac:dyDescent="0.35">
      <c r="A45" s="157" t="s">
        <v>629</v>
      </c>
      <c r="B45" s="157" t="s">
        <v>608</v>
      </c>
      <c r="C45" s="236">
        <f>C41-C19</f>
        <v>-2.3327250703036739</v>
      </c>
    </row>
    <row r="46" spans="1:3" x14ac:dyDescent="0.35">
      <c r="A46" s="157" t="s">
        <v>630</v>
      </c>
      <c r="B46" s="157" t="s">
        <v>608</v>
      </c>
      <c r="C46" s="236">
        <f t="shared" ref="C46" si="3">C41-C39</f>
        <v>-89.907972945320452</v>
      </c>
    </row>
    <row r="47" spans="1:3" x14ac:dyDescent="0.35">
      <c r="A47" s="255" t="s">
        <v>631</v>
      </c>
      <c r="B47" s="255" t="s">
        <v>632</v>
      </c>
      <c r="C47" s="236">
        <f>(C39-C44-C50-C51)*1000000/((8000/24)*Yields!C8*'Refinery '!B1)</f>
        <v>986.39717006676085</v>
      </c>
    </row>
    <row r="48" spans="1:3" x14ac:dyDescent="0.35">
      <c r="A48" s="157" t="s">
        <v>633</v>
      </c>
      <c r="C48">
        <f>C47/'[3]Expenses variable '!C50</f>
        <v>1.102119743091353</v>
      </c>
    </row>
    <row r="50" spans="1:5" x14ac:dyDescent="0.35">
      <c r="B50" t="s">
        <v>848</v>
      </c>
      <c r="C50">
        <f>'Mass balances '!B150*(8000/1000)*Sheet2!G65/1000000</f>
        <v>7.9187080806739036</v>
      </c>
    </row>
    <row r="51" spans="1:5" x14ac:dyDescent="0.35">
      <c r="B51" t="s">
        <v>849</v>
      </c>
      <c r="C51">
        <f>'Mass balances '!B151*(8000/1000)*Sheet2!G66/1000000</f>
        <v>28.058774370162961</v>
      </c>
    </row>
    <row r="55" spans="1:5" x14ac:dyDescent="0.35">
      <c r="A55" t="s">
        <v>856</v>
      </c>
      <c r="B55">
        <f>'Mass balances '!C147</f>
        <v>80.892553605322405</v>
      </c>
      <c r="D55" t="s">
        <v>860</v>
      </c>
      <c r="E55">
        <f>B55*1000*'Refinery '!B9</f>
        <v>25885617.153703168</v>
      </c>
    </row>
    <row r="56" spans="1:5" x14ac:dyDescent="0.35">
      <c r="A56" t="s">
        <v>857</v>
      </c>
      <c r="B56">
        <f>B55*1000*'Expense variable '!C59/1000000</f>
        <v>0.97071064326386891</v>
      </c>
    </row>
    <row r="57" spans="1:5" x14ac:dyDescent="0.35">
      <c r="A57" t="s">
        <v>858</v>
      </c>
      <c r="B57">
        <f>E55*'Expense variable '!C60/1000000</f>
        <v>6.8856477307929707</v>
      </c>
    </row>
    <row r="58" spans="1:5" x14ac:dyDescent="0.35">
      <c r="A58" t="s">
        <v>859</v>
      </c>
      <c r="B58">
        <f>B56+B57</f>
        <v>7.8563583740568399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85D56E-BD45-4DB3-89BB-D8BC126A1EDC}">
  <dimension ref="A2:G58"/>
  <sheetViews>
    <sheetView topLeftCell="A22" workbookViewId="0">
      <selection activeCell="C43" sqref="C43"/>
    </sheetView>
  </sheetViews>
  <sheetFormatPr defaultRowHeight="14.5" x14ac:dyDescent="0.35"/>
  <cols>
    <col min="1" max="1" width="44" customWidth="1"/>
    <col min="2" max="2" width="22.26953125" customWidth="1"/>
    <col min="3" max="3" width="14.90625" customWidth="1"/>
    <col min="4" max="4" width="19.36328125" customWidth="1"/>
    <col min="5" max="5" width="16.81640625" customWidth="1"/>
  </cols>
  <sheetData>
    <row r="2" spans="1:7" x14ac:dyDescent="0.35">
      <c r="A2" s="178" t="s">
        <v>592</v>
      </c>
      <c r="B2" s="235" t="s">
        <v>593</v>
      </c>
      <c r="C2" s="236">
        <f>C3+C10+C11+C12</f>
        <v>227.15615792534396</v>
      </c>
    </row>
    <row r="3" spans="1:7" x14ac:dyDescent="0.35">
      <c r="A3" s="237" t="s">
        <v>594</v>
      </c>
      <c r="B3" s="235" t="s">
        <v>593</v>
      </c>
      <c r="C3" s="238">
        <f>C4+C9</f>
        <v>139.18882225817646</v>
      </c>
    </row>
    <row r="4" spans="1:7" x14ac:dyDescent="0.35">
      <c r="A4" s="239" t="s">
        <v>595</v>
      </c>
      <c r="B4" s="235" t="s">
        <v>593</v>
      </c>
      <c r="C4" s="240">
        <f>SUM(C5:C8)</f>
        <v>55.675528903270575</v>
      </c>
    </row>
    <row r="5" spans="1:7" x14ac:dyDescent="0.35">
      <c r="A5" s="241" t="s">
        <v>596</v>
      </c>
      <c r="B5" s="235" t="s">
        <v>593</v>
      </c>
      <c r="C5" s="242">
        <f>'Expense variable '!C75*((('Refinery '!C5)/((8000/24)*('Expense variable '!B75)))^'Expense variable '!C12)</f>
        <v>3.6247232670409826</v>
      </c>
    </row>
    <row r="6" spans="1:7" x14ac:dyDescent="0.35">
      <c r="A6" s="241" t="s">
        <v>597</v>
      </c>
      <c r="B6" s="235" t="s">
        <v>593</v>
      </c>
      <c r="C6" s="242">
        <f>'Expense variable '!C76*((Yields!C28*'Refinery '!B1/24330)^0.75)</f>
        <v>48.950109108948475</v>
      </c>
    </row>
    <row r="7" spans="1:7" x14ac:dyDescent="0.35">
      <c r="A7" s="241" t="s">
        <v>598</v>
      </c>
      <c r="B7" s="235" t="s">
        <v>593</v>
      </c>
      <c r="C7" s="242">
        <v>0</v>
      </c>
    </row>
    <row r="8" spans="1:7" x14ac:dyDescent="0.35">
      <c r="A8" s="241" t="s">
        <v>599</v>
      </c>
      <c r="B8" s="235" t="s">
        <v>593</v>
      </c>
      <c r="C8" s="242">
        <f>'Expense variable '!C82*((Yields!C33*('Refinery '!B1/24)/'Expense variable '!B82)^0.7)</f>
        <v>3.1006965272811193</v>
      </c>
    </row>
    <row r="9" spans="1:7" x14ac:dyDescent="0.35">
      <c r="A9" s="243" t="s">
        <v>600</v>
      </c>
      <c r="B9" s="235" t="s">
        <v>593</v>
      </c>
      <c r="C9" s="240">
        <f>C4*'Expense variable '!C3</f>
        <v>83.513293354905869</v>
      </c>
    </row>
    <row r="10" spans="1:7" x14ac:dyDescent="0.35">
      <c r="A10" s="244" t="s">
        <v>601</v>
      </c>
      <c r="B10" s="235" t="s">
        <v>593</v>
      </c>
      <c r="C10" s="238">
        <f>C3*'Expense variable '!C4</f>
        <v>47.324199567779999</v>
      </c>
    </row>
    <row r="11" spans="1:7" x14ac:dyDescent="0.35">
      <c r="A11" s="244" t="s">
        <v>496</v>
      </c>
      <c r="B11" s="235" t="s">
        <v>593</v>
      </c>
      <c r="C11" s="238">
        <f>C4*'Expense variable '!C5</f>
        <v>12.805371647752233</v>
      </c>
    </row>
    <row r="12" spans="1:7" x14ac:dyDescent="0.35">
      <c r="A12" s="237" t="s">
        <v>602</v>
      </c>
      <c r="B12" s="235" t="s">
        <v>593</v>
      </c>
      <c r="C12" s="238">
        <f>C4*'Expense variable '!C6</f>
        <v>27.837764451635287</v>
      </c>
      <c r="E12">
        <v>100</v>
      </c>
      <c r="F12" t="s">
        <v>486</v>
      </c>
      <c r="G12" t="s">
        <v>590</v>
      </c>
    </row>
    <row r="13" spans="1:7" x14ac:dyDescent="0.35">
      <c r="A13" s="178" t="s">
        <v>498</v>
      </c>
      <c r="B13" s="235" t="s">
        <v>593</v>
      </c>
      <c r="C13" s="236">
        <f>C41*'Expense variable '!C7</f>
        <v>5.17291246292395</v>
      </c>
      <c r="E13">
        <v>3.1</v>
      </c>
      <c r="F13" t="s">
        <v>573</v>
      </c>
      <c r="G13" t="s">
        <v>53</v>
      </c>
    </row>
    <row r="14" spans="1:7" x14ac:dyDescent="0.35">
      <c r="A14" s="178" t="s">
        <v>603</v>
      </c>
      <c r="B14" s="235" t="s">
        <v>593</v>
      </c>
      <c r="C14" s="245">
        <f>'Expense variable '!C8*C2</f>
        <v>22.715615792534397</v>
      </c>
      <c r="F14" s="188"/>
    </row>
    <row r="15" spans="1:7" x14ac:dyDescent="0.35">
      <c r="A15" s="246" t="s">
        <v>604</v>
      </c>
      <c r="B15" s="235" t="s">
        <v>593</v>
      </c>
      <c r="C15" s="247">
        <f>C2+C13+C14</f>
        <v>255.04468618080233</v>
      </c>
      <c r="F15" s="188"/>
    </row>
    <row r="16" spans="1:7" x14ac:dyDescent="0.35">
      <c r="A16" s="246" t="s">
        <v>605</v>
      </c>
      <c r="B16" s="235" t="s">
        <v>593</v>
      </c>
      <c r="C16" s="247">
        <f>C15*'Expense variable '!C9</f>
        <v>229.54021756272209</v>
      </c>
      <c r="F16" s="164"/>
    </row>
    <row r="17" spans="1:6" x14ac:dyDescent="0.35">
      <c r="A17" s="246"/>
      <c r="B17" s="213"/>
      <c r="C17" s="248"/>
      <c r="F17" s="188"/>
    </row>
    <row r="18" spans="1:6" x14ac:dyDescent="0.35">
      <c r="A18" s="178" t="s">
        <v>606</v>
      </c>
      <c r="B18" s="213"/>
      <c r="C18" s="236">
        <f>C19+C28+C31</f>
        <v>49.505341598204382</v>
      </c>
      <c r="F18" s="188"/>
    </row>
    <row r="19" spans="1:6" x14ac:dyDescent="0.35">
      <c r="A19" s="237" t="s">
        <v>607</v>
      </c>
      <c r="B19" s="207" t="s">
        <v>608</v>
      </c>
      <c r="C19" s="238">
        <f>SUM(C20:C27)</f>
        <v>28.197287384923424</v>
      </c>
      <c r="F19" s="188"/>
    </row>
    <row r="20" spans="1:6" x14ac:dyDescent="0.35">
      <c r="A20" s="241" t="s">
        <v>609</v>
      </c>
      <c r="B20" s="249" t="s">
        <v>608</v>
      </c>
      <c r="C20" s="242">
        <f>E12*'Refinery '!C5/1000000</f>
        <v>22.595171083306596</v>
      </c>
      <c r="F20" s="188"/>
    </row>
    <row r="21" spans="1:6" x14ac:dyDescent="0.35">
      <c r="A21" s="241" t="s">
        <v>610</v>
      </c>
      <c r="B21" s="249" t="s">
        <v>608</v>
      </c>
      <c r="C21" s="242">
        <f>E13*Yields!C32*'Refinery '!C4/1000000</f>
        <v>1.4259414987144458E-2</v>
      </c>
      <c r="F21" s="188"/>
    </row>
    <row r="22" spans="1:6" x14ac:dyDescent="0.35">
      <c r="A22" s="241" t="s">
        <v>611</v>
      </c>
      <c r="B22" s="249" t="s">
        <v>608</v>
      </c>
      <c r="C22" s="242">
        <f>'Expense variable '!C65*Yields!C23*'Refinery '!C4/1000000</f>
        <v>0.33717985809674739</v>
      </c>
      <c r="F22" s="188"/>
    </row>
    <row r="23" spans="1:6" x14ac:dyDescent="0.35">
      <c r="A23" s="241" t="s">
        <v>612</v>
      </c>
      <c r="B23" s="249" t="s">
        <v>608</v>
      </c>
      <c r="C23" s="242">
        <f>Yields!C22*'Refinery '!C4*'Expense variable '!C64/1000000</f>
        <v>1.9229461349696111</v>
      </c>
    </row>
    <row r="24" spans="1:6" x14ac:dyDescent="0.35">
      <c r="A24" s="241" t="s">
        <v>613</v>
      </c>
      <c r="B24" s="249" t="s">
        <v>608</v>
      </c>
      <c r="C24" s="176">
        <f>'Expense variable '!C66*'Refinery '!C4*Yields!C24/1000000</f>
        <v>6.5604751619870408E-2</v>
      </c>
    </row>
    <row r="25" spans="1:6" ht="15" customHeight="1" x14ac:dyDescent="0.35">
      <c r="A25" s="241" t="s">
        <v>614</v>
      </c>
      <c r="B25" s="249" t="s">
        <v>608</v>
      </c>
      <c r="C25" s="176">
        <f>(('Mass balances '!G97*8000/1000)*'Expense variable '!I49/1000000)+((Sheet2!B42*1000*'Mass balances '!G97*8000/1000)/('Expense variable '!H56*1000000))</f>
        <v>3.2458565800265116</v>
      </c>
    </row>
    <row r="26" spans="1:6" x14ac:dyDescent="0.35">
      <c r="A26" s="241" t="s">
        <v>615</v>
      </c>
      <c r="B26" s="249" t="s">
        <v>608</v>
      </c>
      <c r="C26" s="242">
        <f>'Expense variable '!C68*'Refinery '!C4*Yields!C36/1000000</f>
        <v>0</v>
      </c>
    </row>
    <row r="27" spans="1:6" x14ac:dyDescent="0.35">
      <c r="A27" s="241" t="s">
        <v>616</v>
      </c>
      <c r="B27" s="249" t="s">
        <v>608</v>
      </c>
      <c r="C27" s="242">
        <f>'Expense variable '!C67*'Refinery '!C4*Yields!C15/1000000</f>
        <v>1.6269561916946378E-2</v>
      </c>
    </row>
    <row r="28" spans="1:6" x14ac:dyDescent="0.35">
      <c r="A28" s="237" t="s">
        <v>617</v>
      </c>
      <c r="B28" s="207" t="s">
        <v>608</v>
      </c>
      <c r="C28" s="250">
        <f t="shared" ref="C28" si="0">SUM(C29:C30)</f>
        <v>0.86399999999999988</v>
      </c>
    </row>
    <row r="29" spans="1:6" x14ac:dyDescent="0.35">
      <c r="A29" s="241" t="s">
        <v>618</v>
      </c>
      <c r="B29" s="249" t="s">
        <v>608</v>
      </c>
      <c r="C29" s="176">
        <f>'Expense variable '!C29*'Expense variable '!C28*'Expense variable '!C27*(8000/24)*'Expense variable '!C70/1000000</f>
        <v>0.57599999999999996</v>
      </c>
    </row>
    <row r="30" spans="1:6" x14ac:dyDescent="0.35">
      <c r="A30" s="241" t="s">
        <v>619</v>
      </c>
      <c r="B30" s="249" t="s">
        <v>608</v>
      </c>
      <c r="C30" s="176">
        <f>C29*'Expense variable '!C30</f>
        <v>0.28799999999999998</v>
      </c>
    </row>
    <row r="31" spans="1:6" x14ac:dyDescent="0.35">
      <c r="A31" s="237" t="s">
        <v>522</v>
      </c>
      <c r="B31" s="207" t="s">
        <v>608</v>
      </c>
      <c r="C31" s="238">
        <f>'Expense variable '!C32*'Expense variable '!C9*'Expenses full_HTL_CoUp_CoDist'!C2</f>
        <v>20.44405421328096</v>
      </c>
    </row>
    <row r="32" spans="1:6" x14ac:dyDescent="0.35">
      <c r="A32" s="178" t="s">
        <v>524</v>
      </c>
      <c r="B32" s="157" t="s">
        <v>608</v>
      </c>
      <c r="C32" s="236">
        <f>'Expense variable '!C33*C28</f>
        <v>0.60479999999999989</v>
      </c>
    </row>
    <row r="33" spans="1:3" x14ac:dyDescent="0.35">
      <c r="A33" s="178" t="s">
        <v>602</v>
      </c>
      <c r="B33" s="157" t="s">
        <v>608</v>
      </c>
      <c r="C33" s="236">
        <f>'Expense variable '!C39*C18</f>
        <v>9.9010683196408777</v>
      </c>
    </row>
    <row r="34" spans="1:3" x14ac:dyDescent="0.35">
      <c r="A34" s="178" t="s">
        <v>620</v>
      </c>
      <c r="B34" s="157" t="s">
        <v>608</v>
      </c>
      <c r="C34" s="236">
        <f t="shared" ref="C34" si="1">SUM(C35:C37)</f>
        <v>36.809538140507826</v>
      </c>
    </row>
    <row r="35" spans="1:3" x14ac:dyDescent="0.35">
      <c r="A35" s="237" t="s">
        <v>528</v>
      </c>
      <c r="B35" s="207" t="s">
        <v>608</v>
      </c>
      <c r="C35" s="238">
        <f>C2*'Expense variable '!C35*'Expense variable '!C9</f>
        <v>3.0666081319921434</v>
      </c>
    </row>
    <row r="36" spans="1:3" x14ac:dyDescent="0.35">
      <c r="A36" s="237" t="s">
        <v>531</v>
      </c>
      <c r="B36" s="207" t="s">
        <v>608</v>
      </c>
      <c r="C36" s="238">
        <f>'Expense variable '!C37*C2*'Expense variable '!C9</f>
        <v>2.0444054213280958</v>
      </c>
    </row>
    <row r="37" spans="1:3" x14ac:dyDescent="0.35">
      <c r="A37" s="237" t="s">
        <v>526</v>
      </c>
      <c r="B37" s="207" t="s">
        <v>608</v>
      </c>
      <c r="C37" s="238">
        <f>'Expense variable '!C34*C16</f>
        <v>31.698524587187585</v>
      </c>
    </row>
    <row r="38" spans="1:3" x14ac:dyDescent="0.35">
      <c r="A38" s="178" t="s">
        <v>621</v>
      </c>
      <c r="B38" s="157" t="s">
        <v>608</v>
      </c>
      <c r="C38" s="236">
        <f>C41*'Expense variable '!C38</f>
        <v>2.586456231461975</v>
      </c>
    </row>
    <row r="39" spans="1:3" x14ac:dyDescent="0.35">
      <c r="A39" s="246" t="s">
        <v>622</v>
      </c>
      <c r="B39" s="251" t="s">
        <v>623</v>
      </c>
      <c r="C39" s="247">
        <f>SUM(C38+C34+C32+C18+C33+B58)</f>
        <v>107.73160601598262</v>
      </c>
    </row>
    <row r="40" spans="1:3" x14ac:dyDescent="0.35">
      <c r="A40" s="246"/>
      <c r="B40" s="213"/>
      <c r="C40" s="235"/>
    </row>
    <row r="41" spans="1:3" x14ac:dyDescent="0.35">
      <c r="A41" s="157" t="s">
        <v>624</v>
      </c>
      <c r="B41" s="157" t="s">
        <v>608</v>
      </c>
      <c r="C41" s="236">
        <f t="shared" ref="C41" si="2">SUM(C42:C44)</f>
        <v>25.86456231461975</v>
      </c>
    </row>
    <row r="42" spans="1:3" x14ac:dyDescent="0.35">
      <c r="A42" s="252" t="s">
        <v>625</v>
      </c>
      <c r="B42" s="249" t="s">
        <v>608</v>
      </c>
      <c r="C42" s="242">
        <f>'Mass balances '!B152*(8000/1000)*'Expense variable '!C50/1000000</f>
        <v>25.861695461280195</v>
      </c>
    </row>
    <row r="43" spans="1:3" x14ac:dyDescent="0.35">
      <c r="A43" s="253" t="s">
        <v>626</v>
      </c>
      <c r="B43" s="254" t="s">
        <v>627</v>
      </c>
      <c r="C43" s="242">
        <v>0</v>
      </c>
    </row>
    <row r="44" spans="1:3" x14ac:dyDescent="0.35">
      <c r="A44" s="252" t="s">
        <v>628</v>
      </c>
      <c r="B44" s="249" t="s">
        <v>608</v>
      </c>
      <c r="C44" s="242">
        <f>Yields!C19*'Refinery '!B1*'Expense variable '!C52/1000000</f>
        <v>2.8668533395549349E-3</v>
      </c>
    </row>
    <row r="45" spans="1:3" x14ac:dyDescent="0.35">
      <c r="A45" s="157" t="s">
        <v>629</v>
      </c>
      <c r="B45" s="157" t="s">
        <v>608</v>
      </c>
      <c r="C45" s="236">
        <f>C41-C19</f>
        <v>-2.3327250703036739</v>
      </c>
    </row>
    <row r="46" spans="1:3" x14ac:dyDescent="0.35">
      <c r="A46" s="157" t="s">
        <v>630</v>
      </c>
      <c r="B46" s="157" t="s">
        <v>608</v>
      </c>
      <c r="C46" s="236">
        <f t="shared" ref="C46" si="3">C41-C39</f>
        <v>-81.867043701362874</v>
      </c>
    </row>
    <row r="47" spans="1:3" x14ac:dyDescent="0.35">
      <c r="A47" s="255" t="s">
        <v>631</v>
      </c>
      <c r="B47" s="255" t="s">
        <v>632</v>
      </c>
      <c r="C47" s="236">
        <f>(C39-C44-C50-C51)*1000000/((8000/24)*Yields!C8*'Refinery '!B1)</f>
        <v>886.99458125506931</v>
      </c>
    </row>
    <row r="48" spans="1:3" x14ac:dyDescent="0.35">
      <c r="A48" s="157" t="s">
        <v>633</v>
      </c>
      <c r="C48">
        <f>C47/'Expense variable '!C50</f>
        <v>0.99662312500569583</v>
      </c>
    </row>
    <row r="50" spans="1:5" x14ac:dyDescent="0.35">
      <c r="B50" t="s">
        <v>848</v>
      </c>
      <c r="C50">
        <f>'Mass balances '!B150*(8000/1000)*Sheet2!G65/1000000</f>
        <v>7.9187080806739036</v>
      </c>
    </row>
    <row r="51" spans="1:5" x14ac:dyDescent="0.35">
      <c r="B51" t="s">
        <v>849</v>
      </c>
      <c r="C51">
        <f>'Mass balances '!B151*(8000/1000)*Sheet2!G66/1000000</f>
        <v>28.058774370162961</v>
      </c>
    </row>
    <row r="55" spans="1:5" x14ac:dyDescent="0.35">
      <c r="A55" t="s">
        <v>856</v>
      </c>
      <c r="B55">
        <f>'Mass balances '!C146</f>
        <v>85.711735743863514</v>
      </c>
      <c r="D55" t="s">
        <v>860</v>
      </c>
      <c r="E55">
        <f>B55*1000*'Refinery '!B9</f>
        <v>27427755.438036323</v>
      </c>
    </row>
    <row r="56" spans="1:5" x14ac:dyDescent="0.35">
      <c r="A56" t="s">
        <v>857</v>
      </c>
      <c r="B56">
        <f>B55*1000*'Expense variable '!C59/1000000</f>
        <v>1.028540828926362</v>
      </c>
    </row>
    <row r="57" spans="1:5" x14ac:dyDescent="0.35">
      <c r="A57" t="s">
        <v>858</v>
      </c>
      <c r="B57">
        <f>E55*'Expense variable '!C60/1000000</f>
        <v>7.295860897241214</v>
      </c>
    </row>
    <row r="58" spans="1:5" x14ac:dyDescent="0.35">
      <c r="A58" t="s">
        <v>859</v>
      </c>
      <c r="B58">
        <f>B56+B57</f>
        <v>8.3244017261675758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01E653-E09F-45BC-B62C-14DF7F3E449F}">
  <dimension ref="A1:X113"/>
  <sheetViews>
    <sheetView topLeftCell="A44" workbookViewId="0">
      <selection activeCell="J72" sqref="J72"/>
    </sheetView>
  </sheetViews>
  <sheetFormatPr defaultColWidth="12.6328125" defaultRowHeight="14.5" x14ac:dyDescent="0.35"/>
  <cols>
    <col min="1" max="1" width="19.26953125" customWidth="1"/>
    <col min="2" max="2" width="7.26953125" customWidth="1"/>
    <col min="3" max="3" width="8.08984375" customWidth="1"/>
    <col min="4" max="4" width="11" customWidth="1"/>
    <col min="5" max="5" width="19.36328125" customWidth="1"/>
    <col min="6" max="6" width="4.90625" customWidth="1"/>
    <col min="7" max="7" width="7.36328125" customWidth="1"/>
    <col min="8" max="8" width="3.26953125" customWidth="1"/>
    <col min="9" max="9" width="13.6328125" customWidth="1"/>
    <col min="10" max="10" width="7.7265625" customWidth="1"/>
    <col min="11" max="11" width="6.453125" customWidth="1"/>
    <col min="12" max="12" width="3.36328125" customWidth="1"/>
    <col min="13" max="13" width="16.453125" customWidth="1"/>
    <col min="14" max="14" width="5.453125" customWidth="1"/>
    <col min="15" max="15" width="7" customWidth="1"/>
    <col min="16" max="16" width="3.453125" customWidth="1"/>
    <col min="17" max="17" width="23" customWidth="1"/>
    <col min="18" max="18" width="12.90625" customWidth="1"/>
    <col min="19" max="19" width="9.7265625" customWidth="1"/>
    <col min="20" max="20" width="7.08984375" customWidth="1"/>
    <col min="21" max="21" width="19.26953125" customWidth="1"/>
    <col min="22" max="22" width="7.08984375" customWidth="1"/>
    <col min="23" max="23" width="19.36328125" customWidth="1"/>
    <col min="24" max="24" width="7.08984375" customWidth="1"/>
  </cols>
  <sheetData>
    <row r="1" spans="1:24" ht="15.75" customHeight="1" x14ac:dyDescent="0.35">
      <c r="A1" s="315" t="s">
        <v>646</v>
      </c>
      <c r="B1" s="313"/>
      <c r="C1" s="313"/>
      <c r="D1" s="39"/>
      <c r="E1" s="315" t="s">
        <v>647</v>
      </c>
      <c r="F1" s="313"/>
      <c r="G1" s="313"/>
      <c r="H1" s="39"/>
      <c r="I1" s="315" t="s">
        <v>648</v>
      </c>
      <c r="J1" s="313"/>
      <c r="K1" s="313"/>
      <c r="L1" s="183"/>
      <c r="M1" s="315" t="s">
        <v>649</v>
      </c>
      <c r="N1" s="313"/>
      <c r="O1" s="313"/>
      <c r="P1" s="183"/>
      <c r="Q1" s="315" t="s">
        <v>650</v>
      </c>
      <c r="R1" s="313"/>
      <c r="S1" s="313"/>
      <c r="T1" s="183"/>
      <c r="U1" s="315" t="s">
        <v>651</v>
      </c>
      <c r="V1" s="313"/>
      <c r="W1" s="313"/>
      <c r="X1" s="183"/>
    </row>
    <row r="2" spans="1:24" ht="15.75" customHeight="1" x14ac:dyDescent="0.35">
      <c r="A2" s="178" t="s">
        <v>652</v>
      </c>
      <c r="B2" s="178" t="s">
        <v>653</v>
      </c>
      <c r="C2" s="178" t="s">
        <v>654</v>
      </c>
      <c r="D2" s="39"/>
      <c r="E2" s="178" t="s">
        <v>652</v>
      </c>
      <c r="F2" s="178" t="s">
        <v>653</v>
      </c>
      <c r="G2" s="178" t="s">
        <v>654</v>
      </c>
      <c r="H2" s="39"/>
      <c r="I2" s="178" t="s">
        <v>652</v>
      </c>
      <c r="J2" s="178" t="s">
        <v>653</v>
      </c>
      <c r="K2" s="178" t="s">
        <v>654</v>
      </c>
      <c r="L2" s="178"/>
      <c r="M2" s="178" t="s">
        <v>652</v>
      </c>
      <c r="N2" s="178" t="s">
        <v>653</v>
      </c>
      <c r="O2" s="178" t="s">
        <v>654</v>
      </c>
      <c r="P2" s="178"/>
      <c r="Q2" s="178" t="s">
        <v>652</v>
      </c>
      <c r="R2" s="256" t="s">
        <v>653</v>
      </c>
      <c r="S2" s="178" t="s">
        <v>654</v>
      </c>
      <c r="T2" s="178"/>
      <c r="U2" s="178" t="s">
        <v>652</v>
      </c>
      <c r="V2" s="256" t="s">
        <v>653</v>
      </c>
      <c r="W2" s="178" t="s">
        <v>654</v>
      </c>
      <c r="X2" s="178"/>
    </row>
    <row r="3" spans="1:24" ht="15.75" customHeight="1" x14ac:dyDescent="0.35">
      <c r="A3" s="257" t="s">
        <v>655</v>
      </c>
      <c r="B3" s="258"/>
      <c r="C3" s="259"/>
      <c r="D3" s="39"/>
      <c r="E3" s="260" t="s">
        <v>656</v>
      </c>
      <c r="F3" s="221"/>
      <c r="G3" s="221"/>
      <c r="H3" s="39"/>
      <c r="I3" s="314" t="s">
        <v>657</v>
      </c>
      <c r="J3" s="313"/>
      <c r="K3" s="313"/>
      <c r="L3" s="183"/>
      <c r="M3" s="314" t="s">
        <v>658</v>
      </c>
      <c r="N3" s="313"/>
      <c r="O3" s="313"/>
      <c r="P3" s="39"/>
      <c r="Q3" s="314" t="s">
        <v>659</v>
      </c>
      <c r="R3" s="313"/>
      <c r="S3" s="313"/>
      <c r="T3" s="39"/>
      <c r="U3" s="314" t="s">
        <v>660</v>
      </c>
      <c r="V3" s="313"/>
      <c r="W3" s="313"/>
      <c r="X3" s="39"/>
    </row>
    <row r="4" spans="1:24" ht="15.75" customHeight="1" x14ac:dyDescent="0.35">
      <c r="A4" s="261" t="s">
        <v>661</v>
      </c>
      <c r="B4" s="262">
        <f>3600</f>
        <v>3600</v>
      </c>
      <c r="C4" s="263" t="s">
        <v>662</v>
      </c>
      <c r="D4" s="39"/>
      <c r="E4" s="264" t="s">
        <v>663</v>
      </c>
      <c r="F4" s="265">
        <f>0.17*F21</f>
        <v>0.17340000000000003</v>
      </c>
      <c r="G4" s="266" t="s">
        <v>664</v>
      </c>
      <c r="H4" s="39"/>
      <c r="I4" s="264" t="s">
        <v>665</v>
      </c>
      <c r="J4" s="267">
        <v>45.8</v>
      </c>
      <c r="K4" s="266" t="s">
        <v>177</v>
      </c>
      <c r="L4" s="39"/>
      <c r="M4" s="264" t="s">
        <v>6</v>
      </c>
      <c r="N4" s="268">
        <v>12.01</v>
      </c>
      <c r="O4" s="266" t="s">
        <v>666</v>
      </c>
      <c r="P4" s="39"/>
      <c r="Q4" s="264" t="s">
        <v>333</v>
      </c>
      <c r="R4" s="269">
        <f>4.182/1000</f>
        <v>4.182E-3</v>
      </c>
      <c r="S4" s="266" t="s">
        <v>667</v>
      </c>
      <c r="T4" s="39"/>
      <c r="U4" s="264" t="s">
        <v>668</v>
      </c>
      <c r="V4" s="270">
        <v>25</v>
      </c>
      <c r="W4" s="266" t="s">
        <v>669</v>
      </c>
      <c r="X4" s="39"/>
    </row>
    <row r="5" spans="1:24" ht="15.75" customHeight="1" x14ac:dyDescent="0.35">
      <c r="A5" s="261" t="s">
        <v>554</v>
      </c>
      <c r="B5" s="39">
        <v>3.6</v>
      </c>
      <c r="C5" s="263" t="s">
        <v>555</v>
      </c>
      <c r="D5" s="39"/>
      <c r="E5" s="261" t="s">
        <v>670</v>
      </c>
      <c r="F5" s="164">
        <v>1.1160000000000001</v>
      </c>
      <c r="G5" s="263" t="s">
        <v>671</v>
      </c>
      <c r="H5" s="39"/>
      <c r="I5" s="261" t="s">
        <v>672</v>
      </c>
      <c r="J5" s="39">
        <v>43.3</v>
      </c>
      <c r="K5" s="263" t="s">
        <v>177</v>
      </c>
      <c r="L5" s="39"/>
      <c r="M5" s="261" t="s">
        <v>7</v>
      </c>
      <c r="N5" s="271">
        <v>1.01</v>
      </c>
      <c r="O5" s="263" t="s">
        <v>666</v>
      </c>
      <c r="P5" s="39"/>
      <c r="Q5" s="261" t="s">
        <v>335</v>
      </c>
      <c r="R5" s="272">
        <f>1.005/1000</f>
        <v>1.0049999999999998E-3</v>
      </c>
      <c r="S5" s="263" t="s">
        <v>667</v>
      </c>
      <c r="T5" s="39"/>
      <c r="U5" s="261" t="s">
        <v>673</v>
      </c>
      <c r="V5" s="222">
        <v>298</v>
      </c>
      <c r="W5" s="263" t="s">
        <v>674</v>
      </c>
      <c r="X5" s="39"/>
    </row>
    <row r="6" spans="1:24" ht="15.75" customHeight="1" x14ac:dyDescent="0.35">
      <c r="A6" s="273" t="s">
        <v>675</v>
      </c>
      <c r="B6" s="274">
        <v>1.1000000000000001</v>
      </c>
      <c r="C6" s="275" t="s">
        <v>676</v>
      </c>
      <c r="D6" s="39"/>
      <c r="E6" s="261" t="s">
        <v>677</v>
      </c>
      <c r="F6" s="177">
        <f>1.28*F10</f>
        <v>1.4080000000000001</v>
      </c>
      <c r="G6" s="263" t="s">
        <v>678</v>
      </c>
      <c r="H6" s="39"/>
      <c r="I6" s="261" t="s">
        <v>679</v>
      </c>
      <c r="J6" s="39">
        <v>45.3</v>
      </c>
      <c r="K6" s="263" t="s">
        <v>177</v>
      </c>
      <c r="L6" s="39"/>
      <c r="M6" s="261" t="s">
        <v>8</v>
      </c>
      <c r="N6" s="271">
        <v>14.01</v>
      </c>
      <c r="O6" s="263" t="s">
        <v>666</v>
      </c>
      <c r="P6" s="39"/>
      <c r="Q6" s="261" t="s">
        <v>680</v>
      </c>
      <c r="R6" s="272">
        <f>0.918/1000</f>
        <v>9.1800000000000009E-4</v>
      </c>
      <c r="S6" s="263" t="s">
        <v>667</v>
      </c>
      <c r="T6" s="39"/>
      <c r="U6" s="273" t="s">
        <v>681</v>
      </c>
      <c r="V6" s="276">
        <v>0</v>
      </c>
      <c r="W6" s="275" t="s">
        <v>682</v>
      </c>
      <c r="X6" s="39"/>
    </row>
    <row r="7" spans="1:24" ht="15.75" customHeight="1" x14ac:dyDescent="0.35">
      <c r="A7" s="260" t="s">
        <v>683</v>
      </c>
      <c r="B7" s="221"/>
      <c r="C7" s="221"/>
      <c r="D7" s="39"/>
      <c r="E7" s="261" t="s">
        <v>684</v>
      </c>
      <c r="F7" s="177">
        <f>1.2314*F10</f>
        <v>1.3545400000000001</v>
      </c>
      <c r="G7" s="263" t="s">
        <v>678</v>
      </c>
      <c r="H7" s="39"/>
      <c r="I7" s="261" t="s">
        <v>685</v>
      </c>
      <c r="J7" s="39">
        <v>40.4</v>
      </c>
      <c r="K7" s="263" t="s">
        <v>177</v>
      </c>
      <c r="L7" s="39"/>
      <c r="M7" s="261" t="s">
        <v>9</v>
      </c>
      <c r="N7" s="271">
        <v>32</v>
      </c>
      <c r="O7" s="263" t="s">
        <v>666</v>
      </c>
      <c r="P7" s="39"/>
      <c r="Q7" s="261" t="s">
        <v>53</v>
      </c>
      <c r="R7" s="272">
        <f>14.304/1000</f>
        <v>1.4304000000000001E-2</v>
      </c>
      <c r="S7" s="263" t="s">
        <v>667</v>
      </c>
      <c r="T7" s="39"/>
      <c r="U7" s="39"/>
      <c r="V7" s="39"/>
      <c r="W7" s="39"/>
      <c r="X7" s="39"/>
    </row>
    <row r="8" spans="1:24" ht="15.75" customHeight="1" x14ac:dyDescent="0.35">
      <c r="A8" s="264" t="s">
        <v>686</v>
      </c>
      <c r="B8" s="267">
        <v>2.5</v>
      </c>
      <c r="C8" s="266" t="s">
        <v>687</v>
      </c>
      <c r="D8" s="39"/>
      <c r="E8" s="261" t="s">
        <v>688</v>
      </c>
      <c r="F8" s="177">
        <f>1.116*F20</f>
        <v>1.2130920000000001</v>
      </c>
      <c r="G8" s="263" t="s">
        <v>678</v>
      </c>
      <c r="H8" s="39"/>
      <c r="I8" s="261" t="s">
        <v>689</v>
      </c>
      <c r="J8" s="39">
        <v>43</v>
      </c>
      <c r="K8" s="263" t="s">
        <v>177</v>
      </c>
      <c r="L8" s="39"/>
      <c r="M8" s="261" t="s">
        <v>10</v>
      </c>
      <c r="N8" s="271">
        <v>16</v>
      </c>
      <c r="O8" s="263" t="s">
        <v>666</v>
      </c>
      <c r="P8" s="39"/>
      <c r="Q8" s="261" t="s">
        <v>690</v>
      </c>
      <c r="R8" s="272">
        <f>3.985/1000</f>
        <v>3.9849999999999998E-3</v>
      </c>
      <c r="S8" s="263" t="s">
        <v>667</v>
      </c>
      <c r="T8" s="39"/>
      <c r="U8" s="314"/>
      <c r="V8" s="313"/>
      <c r="W8" s="313"/>
      <c r="X8" s="39"/>
    </row>
    <row r="9" spans="1:24" ht="15.75" customHeight="1" x14ac:dyDescent="0.35">
      <c r="A9" s="273" t="s">
        <v>691</v>
      </c>
      <c r="B9" s="277">
        <f>0.0025*J7</f>
        <v>0.10099999999999999</v>
      </c>
      <c r="C9" s="275" t="s">
        <v>687</v>
      </c>
      <c r="D9" s="39"/>
      <c r="E9" s="261" t="s">
        <v>692</v>
      </c>
      <c r="F9" s="177">
        <f>1.0046*F10</f>
        <v>1.1050599999999999</v>
      </c>
      <c r="G9" s="263" t="s">
        <v>678</v>
      </c>
      <c r="H9" s="39"/>
      <c r="I9" s="261" t="s">
        <v>693</v>
      </c>
      <c r="J9" s="39">
        <v>35</v>
      </c>
      <c r="K9" s="263" t="s">
        <v>177</v>
      </c>
      <c r="L9" s="39"/>
      <c r="M9" s="261"/>
      <c r="N9" s="39"/>
      <c r="O9" s="263"/>
      <c r="P9" s="39"/>
      <c r="Q9" s="261" t="s">
        <v>694</v>
      </c>
      <c r="R9" s="272">
        <f>0.83/1000</f>
        <v>8.3000000000000001E-4</v>
      </c>
      <c r="S9" s="263" t="s">
        <v>667</v>
      </c>
      <c r="T9" s="39"/>
      <c r="U9" s="264"/>
      <c r="V9" s="265"/>
      <c r="W9" s="266"/>
      <c r="X9" s="39"/>
    </row>
    <row r="10" spans="1:24" ht="15.75" customHeight="1" x14ac:dyDescent="0.35">
      <c r="A10" s="261"/>
      <c r="B10" s="39"/>
      <c r="C10" s="263"/>
      <c r="D10" s="39"/>
      <c r="E10" s="261" t="s">
        <v>695</v>
      </c>
      <c r="F10" s="177">
        <v>1.1000000000000001</v>
      </c>
      <c r="G10" s="263" t="s">
        <v>678</v>
      </c>
      <c r="H10" s="39"/>
      <c r="I10" s="261" t="s">
        <v>696</v>
      </c>
      <c r="J10" s="278">
        <v>35.6</v>
      </c>
      <c r="K10" s="263" t="s">
        <v>177</v>
      </c>
      <c r="L10" s="183"/>
      <c r="M10" s="261" t="s">
        <v>189</v>
      </c>
      <c r="N10" s="39">
        <f>N4+N8</f>
        <v>28.009999999999998</v>
      </c>
      <c r="O10" s="263" t="s">
        <v>666</v>
      </c>
      <c r="P10" s="39"/>
      <c r="Q10" s="279" t="s">
        <v>697</v>
      </c>
      <c r="R10" s="280">
        <v>8.4400000000000002E-4</v>
      </c>
      <c r="S10" s="263" t="s">
        <v>667</v>
      </c>
      <c r="T10" s="39"/>
      <c r="U10" s="261"/>
      <c r="V10" s="177"/>
      <c r="W10" s="263"/>
      <c r="X10" s="39"/>
    </row>
    <row r="11" spans="1:24" ht="15.75" customHeight="1" x14ac:dyDescent="0.35">
      <c r="A11" s="260" t="s">
        <v>698</v>
      </c>
      <c r="B11" s="260"/>
      <c r="C11" s="260"/>
      <c r="D11" s="39"/>
      <c r="E11" s="261" t="s">
        <v>699</v>
      </c>
      <c r="F11" s="177">
        <f>1*0.9986*F10</f>
        <v>1.0984600000000002</v>
      </c>
      <c r="G11" s="263" t="s">
        <v>678</v>
      </c>
      <c r="H11" s="39"/>
      <c r="I11" s="279" t="s">
        <v>700</v>
      </c>
      <c r="J11" s="201">
        <f>J8*1.003</f>
        <v>43.128999999999998</v>
      </c>
      <c r="K11" s="281" t="s">
        <v>177</v>
      </c>
      <c r="L11" s="39"/>
      <c r="M11" s="261" t="s">
        <v>26</v>
      </c>
      <c r="N11" s="39">
        <f>N4+N8*2</f>
        <v>44.01</v>
      </c>
      <c r="O11" s="263" t="s">
        <v>666</v>
      </c>
      <c r="P11" s="39"/>
      <c r="Q11" s="279" t="s">
        <v>701</v>
      </c>
      <c r="R11" s="280">
        <v>3.0000000000000001E-3</v>
      </c>
      <c r="S11" s="263" t="s">
        <v>667</v>
      </c>
      <c r="T11" s="39"/>
      <c r="U11" s="261"/>
      <c r="V11" s="177"/>
      <c r="W11" s="263"/>
      <c r="X11" s="39"/>
    </row>
    <row r="12" spans="1:24" ht="15.75" customHeight="1" x14ac:dyDescent="0.35">
      <c r="A12" s="282">
        <v>2000</v>
      </c>
      <c r="B12" s="267">
        <v>394.1</v>
      </c>
      <c r="C12" s="266" t="s">
        <v>702</v>
      </c>
      <c r="D12" s="39"/>
      <c r="E12" s="261" t="s">
        <v>703</v>
      </c>
      <c r="F12" s="177">
        <v>1.5</v>
      </c>
      <c r="G12" s="263" t="s">
        <v>704</v>
      </c>
      <c r="H12" s="39"/>
      <c r="I12" s="261" t="s">
        <v>705</v>
      </c>
      <c r="J12" s="39">
        <v>9.5</v>
      </c>
      <c r="K12" s="263" t="s">
        <v>177</v>
      </c>
      <c r="L12" s="39"/>
      <c r="M12" s="261" t="s">
        <v>28</v>
      </c>
      <c r="N12" s="39">
        <f>N4+N5*4</f>
        <v>16.05</v>
      </c>
      <c r="O12" s="263" t="s">
        <v>666</v>
      </c>
      <c r="P12" s="39"/>
      <c r="Q12" s="279" t="s">
        <v>706</v>
      </c>
      <c r="R12" s="280">
        <v>1E-3</v>
      </c>
      <c r="S12" s="263" t="s">
        <v>667</v>
      </c>
      <c r="T12" s="39"/>
      <c r="U12" s="261"/>
      <c r="V12" s="177"/>
      <c r="W12" s="263"/>
      <c r="X12" s="39"/>
    </row>
    <row r="13" spans="1:24" ht="15.75" customHeight="1" x14ac:dyDescent="0.35">
      <c r="A13" s="283">
        <v>2001</v>
      </c>
      <c r="B13" s="39">
        <v>394.3</v>
      </c>
      <c r="C13" s="263" t="s">
        <v>702</v>
      </c>
      <c r="D13" s="39"/>
      <c r="E13" s="261" t="s">
        <v>707</v>
      </c>
      <c r="F13" s="177">
        <v>0.125</v>
      </c>
      <c r="G13" s="263" t="s">
        <v>708</v>
      </c>
      <c r="H13" s="39"/>
      <c r="I13" s="261" t="s">
        <v>709</v>
      </c>
      <c r="J13" s="39">
        <v>40</v>
      </c>
      <c r="K13" s="263" t="s">
        <v>177</v>
      </c>
      <c r="L13" s="39"/>
      <c r="M13" s="261" t="s">
        <v>27</v>
      </c>
      <c r="N13" s="39">
        <f>N5*2</f>
        <v>2.02</v>
      </c>
      <c r="O13" s="263" t="s">
        <v>666</v>
      </c>
      <c r="P13" s="39"/>
      <c r="Q13" s="125" t="s">
        <v>710</v>
      </c>
      <c r="R13" s="284">
        <v>1.5E-3</v>
      </c>
      <c r="S13" s="275" t="s">
        <v>667</v>
      </c>
      <c r="T13" s="39"/>
      <c r="U13" s="273"/>
      <c r="V13" s="277"/>
      <c r="W13" s="275"/>
      <c r="X13" s="39"/>
    </row>
    <row r="14" spans="1:24" ht="15.75" customHeight="1" x14ac:dyDescent="0.35">
      <c r="A14" s="283">
        <v>2002</v>
      </c>
      <c r="B14" s="39">
        <v>395.6</v>
      </c>
      <c r="C14" s="263" t="s">
        <v>702</v>
      </c>
      <c r="D14" s="39"/>
      <c r="E14" s="261" t="s">
        <v>711</v>
      </c>
      <c r="F14" s="177">
        <f>0.125*F23</f>
        <v>0.124</v>
      </c>
      <c r="G14" s="263" t="s">
        <v>708</v>
      </c>
      <c r="H14" s="39"/>
      <c r="I14" s="261" t="s">
        <v>712</v>
      </c>
      <c r="J14" s="39">
        <v>48</v>
      </c>
      <c r="K14" s="263" t="s">
        <v>177</v>
      </c>
      <c r="L14" s="39"/>
      <c r="M14" s="261" t="s">
        <v>212</v>
      </c>
      <c r="N14" s="39">
        <f>N5*2+N8</f>
        <v>18.02</v>
      </c>
      <c r="O14" s="263" t="s">
        <v>666</v>
      </c>
      <c r="P14" s="39"/>
      <c r="Q14" s="188"/>
      <c r="R14" s="188"/>
      <c r="S14" s="39"/>
      <c r="T14" s="39"/>
      <c r="U14" s="39"/>
      <c r="V14" s="177"/>
      <c r="W14" s="39"/>
      <c r="X14" s="39"/>
    </row>
    <row r="15" spans="1:24" ht="15.75" customHeight="1" x14ac:dyDescent="0.35">
      <c r="A15" s="283">
        <v>2003</v>
      </c>
      <c r="B15" s="39">
        <v>402</v>
      </c>
      <c r="C15" s="263" t="s">
        <v>702</v>
      </c>
      <c r="D15" s="39"/>
      <c r="E15" s="261" t="s">
        <v>713</v>
      </c>
      <c r="F15" s="177">
        <f>0.1297*F18</f>
        <v>0.16705360000000002</v>
      </c>
      <c r="G15" s="263" t="s">
        <v>714</v>
      </c>
      <c r="H15" s="39"/>
      <c r="I15" s="261" t="s">
        <v>341</v>
      </c>
      <c r="J15" s="39">
        <v>50</v>
      </c>
      <c r="K15" s="263" t="s">
        <v>177</v>
      </c>
      <c r="L15" s="39"/>
      <c r="M15" s="261" t="s">
        <v>715</v>
      </c>
      <c r="N15" s="39">
        <f>N5*2+N7</f>
        <v>34.020000000000003</v>
      </c>
      <c r="O15" s="263" t="s">
        <v>666</v>
      </c>
      <c r="P15" s="39"/>
      <c r="Q15" s="188"/>
      <c r="R15" s="188"/>
      <c r="S15" s="39"/>
      <c r="T15" s="39"/>
      <c r="U15" s="39"/>
      <c r="V15" s="222"/>
      <c r="W15" s="39"/>
      <c r="X15" s="39"/>
    </row>
    <row r="16" spans="1:24" ht="15.75" customHeight="1" x14ac:dyDescent="0.35">
      <c r="A16" s="283">
        <v>2004</v>
      </c>
      <c r="B16" s="39">
        <v>444.2</v>
      </c>
      <c r="C16" s="263" t="s">
        <v>702</v>
      </c>
      <c r="D16" s="39"/>
      <c r="E16" s="261" t="s">
        <v>716</v>
      </c>
      <c r="F16" s="177">
        <f>0.128*F22</f>
        <v>0.12815360000000001</v>
      </c>
      <c r="G16" s="263" t="s">
        <v>714</v>
      </c>
      <c r="H16" s="39"/>
      <c r="I16" s="261" t="s">
        <v>717</v>
      </c>
      <c r="J16" s="39">
        <v>21</v>
      </c>
      <c r="K16" s="263" t="s">
        <v>177</v>
      </c>
      <c r="L16" s="39"/>
      <c r="M16" s="261" t="s">
        <v>718</v>
      </c>
      <c r="N16" s="39">
        <f>N6+N5*3</f>
        <v>17.04</v>
      </c>
      <c r="O16" s="263" t="s">
        <v>666</v>
      </c>
      <c r="P16" s="39"/>
      <c r="Q16" s="39"/>
      <c r="R16" s="39"/>
      <c r="S16" s="39"/>
      <c r="T16" s="39"/>
      <c r="U16" s="39"/>
      <c r="V16" s="39"/>
      <c r="W16" s="39"/>
      <c r="X16" s="39"/>
    </row>
    <row r="17" spans="1:24" ht="15.75" customHeight="1" x14ac:dyDescent="0.35">
      <c r="A17" s="283">
        <v>2005</v>
      </c>
      <c r="B17" s="39">
        <v>468.2</v>
      </c>
      <c r="C17" s="263" t="s">
        <v>702</v>
      </c>
      <c r="D17" s="39"/>
      <c r="E17" s="261" t="s">
        <v>719</v>
      </c>
      <c r="F17" s="177">
        <f>0.115</f>
        <v>0.115</v>
      </c>
      <c r="G17" s="263" t="s">
        <v>714</v>
      </c>
      <c r="H17" s="39"/>
      <c r="I17" s="273" t="s">
        <v>720</v>
      </c>
      <c r="J17" s="274">
        <v>37.26</v>
      </c>
      <c r="K17" s="275" t="s">
        <v>721</v>
      </c>
      <c r="L17" s="183"/>
      <c r="M17" s="261" t="s">
        <v>722</v>
      </c>
      <c r="N17" s="39">
        <f>N8*2</f>
        <v>32</v>
      </c>
      <c r="O17" s="263" t="s">
        <v>666</v>
      </c>
      <c r="P17" s="39"/>
      <c r="Q17" s="314" t="s">
        <v>723</v>
      </c>
      <c r="R17" s="313"/>
      <c r="S17" s="313"/>
      <c r="T17" s="39"/>
      <c r="U17" s="39"/>
      <c r="V17" s="222"/>
      <c r="W17" s="39"/>
      <c r="X17" s="39"/>
    </row>
    <row r="18" spans="1:24" ht="15.75" customHeight="1" x14ac:dyDescent="0.35">
      <c r="A18" s="283">
        <v>2006</v>
      </c>
      <c r="B18" s="39">
        <v>499.6</v>
      </c>
      <c r="C18" s="263" t="s">
        <v>702</v>
      </c>
      <c r="D18" s="39"/>
      <c r="E18" s="261" t="s">
        <v>724</v>
      </c>
      <c r="F18" s="177">
        <v>1.288</v>
      </c>
      <c r="G18" s="263" t="s">
        <v>725</v>
      </c>
      <c r="H18" s="39"/>
      <c r="I18" s="137"/>
      <c r="J18" s="137"/>
      <c r="K18" s="137"/>
      <c r="L18" s="39"/>
      <c r="M18" s="261" t="s">
        <v>726</v>
      </c>
      <c r="N18" s="39">
        <f>N7+2*N8</f>
        <v>64</v>
      </c>
      <c r="O18" s="263" t="s">
        <v>666</v>
      </c>
      <c r="P18" s="39"/>
      <c r="Q18" s="285" t="s">
        <v>727</v>
      </c>
      <c r="R18" s="286">
        <f>(2706.54-379.86)/1000</f>
        <v>2.3266799999999996</v>
      </c>
      <c r="S18" s="287" t="s">
        <v>177</v>
      </c>
      <c r="T18" s="39"/>
      <c r="U18" s="39"/>
      <c r="V18" s="222"/>
      <c r="W18" s="39"/>
      <c r="X18" s="39"/>
    </row>
    <row r="19" spans="1:24" ht="15.75" customHeight="1" x14ac:dyDescent="0.35">
      <c r="A19" s="283">
        <v>2007</v>
      </c>
      <c r="B19" s="39">
        <v>525.4</v>
      </c>
      <c r="C19" s="263" t="s">
        <v>702</v>
      </c>
      <c r="D19" s="39"/>
      <c r="E19" s="261" t="s">
        <v>728</v>
      </c>
      <c r="F19" s="177">
        <v>1.214</v>
      </c>
      <c r="G19" s="263" t="s">
        <v>725</v>
      </c>
      <c r="H19" s="39"/>
      <c r="I19" s="314" t="s">
        <v>729</v>
      </c>
      <c r="J19" s="313"/>
      <c r="K19" s="313"/>
      <c r="L19" s="39"/>
      <c r="M19" s="261" t="s">
        <v>730</v>
      </c>
      <c r="N19" s="39">
        <f>N4*2+N5*4</f>
        <v>28.06</v>
      </c>
      <c r="O19" s="263" t="s">
        <v>666</v>
      </c>
      <c r="P19" s="39"/>
      <c r="Q19" s="279" t="s">
        <v>731</v>
      </c>
      <c r="R19" s="201">
        <f>(2777.22-379.86)/1000</f>
        <v>2.3973599999999995</v>
      </c>
      <c r="S19" s="281" t="s">
        <v>177</v>
      </c>
      <c r="T19" s="39"/>
      <c r="U19" s="39"/>
      <c r="V19" s="222"/>
      <c r="W19" s="39"/>
      <c r="X19" s="39"/>
    </row>
    <row r="20" spans="1:24" ht="15.75" customHeight="1" x14ac:dyDescent="0.35">
      <c r="A20" s="283">
        <v>2008</v>
      </c>
      <c r="B20" s="39">
        <v>575.4</v>
      </c>
      <c r="C20" s="263" t="s">
        <v>702</v>
      </c>
      <c r="D20" s="39"/>
      <c r="E20" s="261" t="s">
        <v>732</v>
      </c>
      <c r="F20" s="177">
        <v>1.087</v>
      </c>
      <c r="G20" s="263" t="s">
        <v>725</v>
      </c>
      <c r="H20" s="39"/>
      <c r="I20" s="264" t="s">
        <v>665</v>
      </c>
      <c r="J20" s="267">
        <v>0.32</v>
      </c>
      <c r="K20" s="266" t="s">
        <v>733</v>
      </c>
      <c r="L20" s="39"/>
      <c r="M20" s="261" t="s">
        <v>734</v>
      </c>
      <c r="N20" s="39">
        <f>N4*3+N5*6</f>
        <v>42.09</v>
      </c>
      <c r="O20" s="263" t="s">
        <v>666</v>
      </c>
      <c r="P20" s="39"/>
      <c r="Q20" s="125" t="s">
        <v>399</v>
      </c>
      <c r="R20" s="126">
        <v>2.8</v>
      </c>
      <c r="S20" s="127" t="s">
        <v>177</v>
      </c>
      <c r="T20" s="39"/>
      <c r="U20" s="39"/>
      <c r="V20" s="39"/>
      <c r="W20" s="39"/>
      <c r="X20" s="39"/>
    </row>
    <row r="21" spans="1:24" ht="15.75" customHeight="1" x14ac:dyDescent="0.35">
      <c r="A21" s="283">
        <v>2009</v>
      </c>
      <c r="B21" s="274">
        <v>521.9</v>
      </c>
      <c r="C21" s="275" t="s">
        <v>702</v>
      </c>
      <c r="D21" s="39"/>
      <c r="E21" s="261" t="s">
        <v>735</v>
      </c>
      <c r="F21" s="39">
        <v>1.02</v>
      </c>
      <c r="G21" s="263" t="s">
        <v>725</v>
      </c>
      <c r="H21" s="39"/>
      <c r="I21" s="261" t="s">
        <v>736</v>
      </c>
      <c r="J21" s="39">
        <v>1.1499999999999999</v>
      </c>
      <c r="K21" s="263" t="s">
        <v>733</v>
      </c>
      <c r="L21" s="39"/>
      <c r="M21" s="261" t="s">
        <v>737</v>
      </c>
      <c r="N21" s="39">
        <f>N4*4+N5*10</f>
        <v>58.14</v>
      </c>
      <c r="O21" s="263" t="s">
        <v>666</v>
      </c>
      <c r="P21" s="39"/>
      <c r="Q21" s="39"/>
      <c r="R21" s="39"/>
      <c r="S21" s="39"/>
      <c r="T21" s="39"/>
      <c r="U21" s="39"/>
      <c r="V21" s="39"/>
      <c r="W21" s="39"/>
      <c r="X21" s="39"/>
    </row>
    <row r="22" spans="1:24" x14ac:dyDescent="0.35">
      <c r="A22" s="288">
        <v>2010</v>
      </c>
      <c r="B22" s="278">
        <v>550.79999999999995</v>
      </c>
      <c r="C22" s="275" t="s">
        <v>702</v>
      </c>
      <c r="D22" s="39"/>
      <c r="E22" s="261" t="s">
        <v>738</v>
      </c>
      <c r="F22" s="177">
        <v>1.0012000000000001</v>
      </c>
      <c r="G22" s="263" t="s">
        <v>725</v>
      </c>
      <c r="H22" s="39"/>
      <c r="I22" s="261" t="s">
        <v>679</v>
      </c>
      <c r="J22" s="39">
        <v>3.16</v>
      </c>
      <c r="K22" s="263" t="s">
        <v>733</v>
      </c>
      <c r="L22" s="39"/>
      <c r="M22" s="273" t="s">
        <v>739</v>
      </c>
      <c r="N22" s="274">
        <f>N4*2+N5*6</f>
        <v>30.08</v>
      </c>
      <c r="O22" s="275" t="s">
        <v>666</v>
      </c>
      <c r="P22" s="39"/>
      <c r="Q22" s="39"/>
      <c r="R22" s="39"/>
      <c r="S22" s="39"/>
      <c r="T22" s="39"/>
      <c r="U22" s="39"/>
      <c r="V22" s="39"/>
      <c r="W22" s="39"/>
      <c r="X22" s="39"/>
    </row>
    <row r="23" spans="1:24" x14ac:dyDescent="0.35">
      <c r="A23" s="288">
        <v>2011</v>
      </c>
      <c r="B23" s="39">
        <v>585.70000000000005</v>
      </c>
      <c r="C23" s="275" t="s">
        <v>702</v>
      </c>
      <c r="D23" s="39"/>
      <c r="E23" s="261" t="s">
        <v>740</v>
      </c>
      <c r="F23" s="177">
        <v>0.99199999999999999</v>
      </c>
      <c r="G23" s="263" t="s">
        <v>725</v>
      </c>
      <c r="H23" s="39"/>
      <c r="I23" s="261" t="s">
        <v>741</v>
      </c>
      <c r="J23" s="39">
        <v>40.479999999999997</v>
      </c>
      <c r="K23" s="263" t="s">
        <v>733</v>
      </c>
      <c r="L23" s="39"/>
      <c r="P23" s="39"/>
      <c r="Q23" s="314" t="s">
        <v>742</v>
      </c>
      <c r="R23" s="313"/>
      <c r="S23" s="313"/>
      <c r="T23" s="39"/>
      <c r="U23" s="39"/>
      <c r="V23" s="39"/>
      <c r="W23" s="39"/>
      <c r="X23" s="39"/>
    </row>
    <row r="24" spans="1:24" x14ac:dyDescent="0.35">
      <c r="A24" s="288">
        <v>2012</v>
      </c>
      <c r="B24" s="39">
        <v>584.6</v>
      </c>
      <c r="C24" s="275" t="s">
        <v>702</v>
      </c>
      <c r="D24" s="39"/>
      <c r="E24" s="261" t="s">
        <v>743</v>
      </c>
      <c r="F24" s="177">
        <v>0.98199999999999998</v>
      </c>
      <c r="G24" s="263" t="s">
        <v>725</v>
      </c>
      <c r="H24" s="39"/>
      <c r="I24" s="273" t="s">
        <v>744</v>
      </c>
      <c r="J24" s="274">
        <v>34316.32</v>
      </c>
      <c r="K24" s="275" t="s">
        <v>733</v>
      </c>
      <c r="L24" s="39"/>
      <c r="P24" s="39"/>
      <c r="Q24" s="264" t="s">
        <v>745</v>
      </c>
      <c r="R24" s="265">
        <v>10</v>
      </c>
      <c r="S24" s="266" t="s">
        <v>746</v>
      </c>
      <c r="T24" s="39"/>
      <c r="U24" s="39"/>
      <c r="V24" s="39"/>
      <c r="W24" s="39"/>
      <c r="X24" s="39"/>
    </row>
    <row r="25" spans="1:24" x14ac:dyDescent="0.35">
      <c r="A25" s="288">
        <v>2013</v>
      </c>
      <c r="B25" s="39">
        <v>567.29999999999995</v>
      </c>
      <c r="C25" s="275" t="s">
        <v>702</v>
      </c>
      <c r="D25" s="39"/>
      <c r="E25" s="261" t="s">
        <v>747</v>
      </c>
      <c r="F25" s="39">
        <v>0.14599999999999999</v>
      </c>
      <c r="G25" s="263" t="s">
        <v>748</v>
      </c>
      <c r="H25" s="39"/>
      <c r="I25" s="39"/>
      <c r="J25" s="39"/>
      <c r="K25" s="39"/>
      <c r="L25" s="183"/>
      <c r="M25" s="39"/>
      <c r="N25" s="39"/>
      <c r="O25" s="39"/>
      <c r="P25" s="39"/>
      <c r="Q25" s="273" t="s">
        <v>749</v>
      </c>
      <c r="R25" s="277">
        <v>6.9000000000000006E-2</v>
      </c>
      <c r="S25" s="275" t="s">
        <v>750</v>
      </c>
      <c r="T25" s="39"/>
      <c r="U25" s="39"/>
      <c r="V25" s="39"/>
      <c r="W25" s="39"/>
      <c r="X25" s="39"/>
    </row>
    <row r="26" spans="1:24" x14ac:dyDescent="0.35">
      <c r="A26" s="288">
        <v>2014</v>
      </c>
      <c r="B26" s="39">
        <v>576.1</v>
      </c>
      <c r="C26" s="275" t="s">
        <v>702</v>
      </c>
      <c r="D26" s="39"/>
      <c r="E26" s="273" t="s">
        <v>751</v>
      </c>
      <c r="F26" s="277">
        <f>0.309196*F23</f>
        <v>0.30672243200000004</v>
      </c>
      <c r="G26" s="275" t="s">
        <v>752</v>
      </c>
      <c r="H26" s="39"/>
      <c r="I26" s="314" t="s">
        <v>753</v>
      </c>
      <c r="J26" s="313"/>
      <c r="K26" s="313"/>
      <c r="L26" s="39"/>
      <c r="M26" s="314" t="s">
        <v>754</v>
      </c>
      <c r="N26" s="313"/>
      <c r="O26" s="313"/>
      <c r="P26" s="39"/>
      <c r="Q26" s="39"/>
      <c r="R26" s="177"/>
      <c r="S26" s="39"/>
      <c r="T26" s="39"/>
      <c r="U26" s="39"/>
      <c r="V26" s="39"/>
      <c r="W26" s="39"/>
      <c r="X26" s="39"/>
    </row>
    <row r="27" spans="1:24" x14ac:dyDescent="0.35">
      <c r="A27" s="288">
        <v>2015</v>
      </c>
      <c r="B27" s="39">
        <v>556.79999999999995</v>
      </c>
      <c r="C27" s="275" t="s">
        <v>702</v>
      </c>
      <c r="D27" s="39"/>
      <c r="E27" s="39"/>
      <c r="F27" s="39"/>
      <c r="G27" s="39"/>
      <c r="H27" s="39"/>
      <c r="I27" s="264" t="s">
        <v>665</v>
      </c>
      <c r="J27" s="289">
        <f t="shared" ref="J27:J31" si="0">14.534*LN(LN(J20+0.8))+10.975</f>
        <v>-20.672246702470083</v>
      </c>
      <c r="K27" s="266" t="s">
        <v>755</v>
      </c>
      <c r="L27" s="39"/>
      <c r="M27" s="264" t="s">
        <v>756</v>
      </c>
      <c r="N27" s="290">
        <v>0.77</v>
      </c>
      <c r="O27" s="266" t="s">
        <v>757</v>
      </c>
      <c r="P27" s="39"/>
      <c r="Q27" s="18"/>
      <c r="R27" s="291"/>
      <c r="S27" s="18"/>
      <c r="T27" s="18"/>
      <c r="U27" s="39"/>
      <c r="V27" s="39"/>
      <c r="W27" s="39"/>
      <c r="X27" s="39"/>
    </row>
    <row r="28" spans="1:24" x14ac:dyDescent="0.35">
      <c r="A28" s="288">
        <v>2016</v>
      </c>
      <c r="B28" s="39">
        <v>541.70000000000005</v>
      </c>
      <c r="C28" s="275" t="s">
        <v>702</v>
      </c>
      <c r="D28" s="39"/>
      <c r="H28" s="39"/>
      <c r="I28" s="261" t="s">
        <v>736</v>
      </c>
      <c r="J28" s="179">
        <f t="shared" si="0"/>
        <v>5.1072961916109039</v>
      </c>
      <c r="K28" s="263" t="s">
        <v>755</v>
      </c>
      <c r="L28" s="39"/>
      <c r="M28" s="273" t="s">
        <v>680</v>
      </c>
      <c r="N28" s="292">
        <v>0.23</v>
      </c>
      <c r="O28" s="275" t="s">
        <v>757</v>
      </c>
      <c r="P28" s="39"/>
      <c r="Q28" s="312"/>
      <c r="R28" s="313"/>
      <c r="S28" s="313"/>
      <c r="T28" s="18"/>
      <c r="U28" s="39"/>
      <c r="V28" s="39"/>
      <c r="W28" s="39"/>
      <c r="X28" s="39"/>
    </row>
    <row r="29" spans="1:24" x14ac:dyDescent="0.35">
      <c r="A29" s="288">
        <v>2017</v>
      </c>
      <c r="B29" s="39">
        <v>567.5</v>
      </c>
      <c r="C29" s="275" t="s">
        <v>702</v>
      </c>
      <c r="D29" s="39"/>
      <c r="H29" s="39"/>
      <c r="I29" s="261" t="s">
        <v>679</v>
      </c>
      <c r="J29" s="179">
        <f t="shared" si="0"/>
        <v>15.616550156404832</v>
      </c>
      <c r="K29" s="263" t="s">
        <v>755</v>
      </c>
      <c r="L29" s="39"/>
      <c r="M29" s="39"/>
      <c r="N29" s="39"/>
      <c r="O29" s="39"/>
      <c r="P29" s="39"/>
      <c r="Q29" s="293"/>
      <c r="R29" s="294"/>
      <c r="S29" s="295"/>
      <c r="T29" s="18"/>
      <c r="U29" s="39"/>
      <c r="V29" s="39"/>
      <c r="W29" s="39"/>
      <c r="X29" s="39"/>
    </row>
    <row r="30" spans="1:24" x14ac:dyDescent="0.35">
      <c r="A30" s="288">
        <v>2018</v>
      </c>
      <c r="B30" s="39">
        <v>603.1</v>
      </c>
      <c r="C30" s="275" t="s">
        <v>702</v>
      </c>
      <c r="D30" s="39"/>
      <c r="H30" s="39"/>
      <c r="I30" s="261" t="s">
        <v>741</v>
      </c>
      <c r="J30" s="179">
        <f t="shared" si="0"/>
        <v>30.070137035137158</v>
      </c>
      <c r="K30" s="263" t="s">
        <v>755</v>
      </c>
      <c r="L30" s="39"/>
      <c r="M30" s="39"/>
      <c r="N30" s="39"/>
      <c r="O30" s="39"/>
      <c r="P30" s="39"/>
      <c r="Q30" s="296"/>
      <c r="R30" s="291"/>
      <c r="S30" s="297"/>
      <c r="T30" s="18"/>
      <c r="U30" s="39"/>
      <c r="V30" s="39"/>
      <c r="W30" s="39"/>
      <c r="X30" s="39"/>
    </row>
    <row r="31" spans="1:24" x14ac:dyDescent="0.35">
      <c r="A31" s="288">
        <v>2019</v>
      </c>
      <c r="B31" s="39">
        <v>607.5</v>
      </c>
      <c r="C31" s="275" t="s">
        <v>702</v>
      </c>
      <c r="D31" s="39"/>
      <c r="H31" s="39"/>
      <c r="I31" s="261" t="s">
        <v>758</v>
      </c>
      <c r="J31" s="179">
        <f t="shared" si="0"/>
        <v>45.071330376468957</v>
      </c>
      <c r="K31" s="263" t="s">
        <v>755</v>
      </c>
      <c r="L31" s="39"/>
      <c r="M31" s="39"/>
      <c r="N31" s="39"/>
      <c r="O31" s="39"/>
      <c r="P31" s="39"/>
      <c r="Q31" s="296"/>
      <c r="R31" s="291"/>
      <c r="S31" s="297"/>
      <c r="T31" s="18"/>
      <c r="U31" s="39"/>
      <c r="V31" s="39"/>
      <c r="W31" s="39"/>
      <c r="X31" s="39"/>
    </row>
    <row r="32" spans="1:24" x14ac:dyDescent="0.35">
      <c r="A32" s="288">
        <v>2020</v>
      </c>
      <c r="B32" s="39">
        <v>596.20000000000005</v>
      </c>
      <c r="C32" s="275" t="s">
        <v>702</v>
      </c>
      <c r="D32" s="39"/>
      <c r="H32" s="39"/>
      <c r="I32" s="273" t="s">
        <v>759</v>
      </c>
      <c r="J32" s="298">
        <f>J30*(28.89/46.18)+J31*(17.29/46.18)</f>
        <v>35.686651389221751</v>
      </c>
      <c r="K32" s="275" t="s">
        <v>755</v>
      </c>
      <c r="L32" s="39"/>
      <c r="M32" s="39"/>
      <c r="N32" s="39"/>
      <c r="O32" s="39"/>
      <c r="P32" s="39"/>
      <c r="Q32" s="296"/>
      <c r="R32" s="291"/>
      <c r="S32" s="297"/>
      <c r="T32" s="18"/>
      <c r="U32" s="39"/>
      <c r="V32" s="39"/>
      <c r="W32" s="39"/>
      <c r="X32" s="39"/>
    </row>
    <row r="33" spans="1:24" x14ac:dyDescent="0.35">
      <c r="A33" s="288">
        <v>2021</v>
      </c>
      <c r="B33" s="39">
        <v>708</v>
      </c>
      <c r="C33" s="275" t="s">
        <v>702</v>
      </c>
      <c r="D33" s="39"/>
      <c r="H33" s="39"/>
      <c r="I33" s="39"/>
      <c r="J33" s="39"/>
      <c r="K33" s="39"/>
      <c r="L33" s="39"/>
      <c r="M33" s="39"/>
      <c r="N33" s="39"/>
      <c r="O33" s="39"/>
      <c r="P33" s="39"/>
      <c r="Q33" s="296"/>
      <c r="R33" s="291"/>
      <c r="S33" s="297"/>
      <c r="T33" s="18"/>
      <c r="U33" s="39"/>
      <c r="V33" s="39"/>
      <c r="W33" s="39"/>
      <c r="X33" s="39"/>
    </row>
    <row r="34" spans="1:24" x14ac:dyDescent="0.35">
      <c r="A34" s="288">
        <v>2022</v>
      </c>
      <c r="B34" s="39">
        <v>813</v>
      </c>
      <c r="C34" s="275" t="s">
        <v>702</v>
      </c>
      <c r="D34" s="39"/>
      <c r="H34" s="39"/>
      <c r="I34" s="314" t="s">
        <v>760</v>
      </c>
      <c r="J34" s="313"/>
      <c r="K34" s="313"/>
      <c r="L34" s="39"/>
      <c r="M34" s="39"/>
      <c r="N34" s="39"/>
      <c r="O34" s="39"/>
      <c r="P34" s="39"/>
      <c r="Q34" s="296"/>
      <c r="R34" s="291"/>
      <c r="S34" s="297"/>
      <c r="T34" s="18"/>
      <c r="U34" s="39"/>
      <c r="V34" s="39"/>
      <c r="W34" s="39"/>
      <c r="X34" s="39"/>
    </row>
    <row r="35" spans="1:24" x14ac:dyDescent="0.35">
      <c r="A35" s="288">
        <v>2023</v>
      </c>
      <c r="B35" s="39"/>
      <c r="C35" s="275" t="s">
        <v>702</v>
      </c>
      <c r="D35" s="39"/>
      <c r="H35" s="39"/>
      <c r="I35" s="264" t="s">
        <v>761</v>
      </c>
      <c r="J35" s="267">
        <v>0.9</v>
      </c>
      <c r="K35" s="266" t="s">
        <v>762</v>
      </c>
      <c r="L35" s="39"/>
      <c r="M35" s="39"/>
      <c r="N35" s="39"/>
      <c r="O35" s="39"/>
      <c r="P35" s="39"/>
      <c r="Q35" s="296"/>
      <c r="R35" s="291"/>
      <c r="S35" s="297"/>
      <c r="T35" s="18"/>
      <c r="U35" s="39"/>
      <c r="V35" s="39"/>
      <c r="W35" s="39"/>
      <c r="X35" s="39"/>
    </row>
    <row r="36" spans="1:24" x14ac:dyDescent="0.35">
      <c r="A36" s="39"/>
      <c r="B36" s="39"/>
      <c r="C36" s="39"/>
      <c r="D36" s="39"/>
      <c r="H36" s="39"/>
      <c r="I36" s="261" t="s">
        <v>763</v>
      </c>
      <c r="J36" s="39">
        <v>1</v>
      </c>
      <c r="K36" s="263" t="s">
        <v>762</v>
      </c>
      <c r="L36" s="39"/>
      <c r="M36" s="39"/>
      <c r="N36" s="39"/>
      <c r="O36" s="39"/>
      <c r="P36" s="39"/>
      <c r="Q36" s="296"/>
      <c r="R36" s="291"/>
      <c r="S36" s="297"/>
      <c r="T36" s="18"/>
      <c r="U36" s="39"/>
      <c r="V36" s="39"/>
      <c r="W36" s="39"/>
      <c r="X36" s="39"/>
    </row>
    <row r="37" spans="1:24" x14ac:dyDescent="0.35">
      <c r="A37" s="39"/>
      <c r="B37" s="39"/>
      <c r="C37" s="39"/>
      <c r="D37" s="39"/>
      <c r="H37" s="39"/>
      <c r="I37" s="261" t="s">
        <v>764</v>
      </c>
      <c r="J37" s="39">
        <v>1.1000000000000001</v>
      </c>
      <c r="K37" s="263" t="s">
        <v>762</v>
      </c>
      <c r="L37" s="39"/>
      <c r="M37" s="39"/>
      <c r="N37" s="39"/>
      <c r="O37" s="39"/>
      <c r="P37" s="39"/>
      <c r="Q37" s="296"/>
      <c r="R37" s="291"/>
      <c r="S37" s="297"/>
      <c r="T37" s="18"/>
      <c r="U37" s="39"/>
      <c r="V37" s="39"/>
      <c r="W37" s="39"/>
      <c r="X37" s="39"/>
    </row>
    <row r="38" spans="1:24" x14ac:dyDescent="0.35">
      <c r="A38" s="39"/>
      <c r="B38" s="39"/>
      <c r="C38" s="39"/>
      <c r="D38" s="39"/>
      <c r="H38" s="39"/>
      <c r="I38" s="261" t="s">
        <v>765</v>
      </c>
      <c r="J38" s="39">
        <v>0.72</v>
      </c>
      <c r="K38" s="263" t="s">
        <v>762</v>
      </c>
      <c r="L38" s="183"/>
      <c r="M38" s="39"/>
      <c r="N38" s="39"/>
      <c r="O38" s="39"/>
      <c r="P38" s="39"/>
      <c r="Q38" s="299"/>
      <c r="R38" s="300"/>
      <c r="S38" s="301"/>
      <c r="T38" s="18"/>
      <c r="U38" s="39"/>
      <c r="V38" s="39"/>
      <c r="W38" s="39"/>
      <c r="X38" s="39"/>
    </row>
    <row r="39" spans="1:24" x14ac:dyDescent="0.35">
      <c r="A39" s="39"/>
      <c r="B39" s="39"/>
      <c r="C39" s="39"/>
      <c r="D39" s="39"/>
      <c r="E39" s="39"/>
      <c r="F39" s="39"/>
      <c r="G39" s="39"/>
      <c r="H39" s="39"/>
      <c r="I39" s="261" t="s">
        <v>766</v>
      </c>
      <c r="J39" s="39">
        <v>0.84</v>
      </c>
      <c r="K39" s="263" t="s">
        <v>762</v>
      </c>
      <c r="L39" s="39"/>
      <c r="M39" s="39"/>
      <c r="N39" s="39"/>
      <c r="O39" s="39"/>
      <c r="P39" s="39"/>
      <c r="Q39" s="18"/>
      <c r="R39" s="18"/>
      <c r="S39" s="18"/>
      <c r="T39" s="18"/>
      <c r="U39" s="39"/>
      <c r="V39" s="39"/>
      <c r="W39" s="39"/>
      <c r="X39" s="39"/>
    </row>
    <row r="40" spans="1:24" x14ac:dyDescent="0.35">
      <c r="A40" s="39"/>
      <c r="B40" s="39"/>
      <c r="C40" s="39"/>
      <c r="D40" s="39"/>
      <c r="E40" s="39"/>
      <c r="F40" s="39"/>
      <c r="G40" s="39"/>
      <c r="H40" s="39"/>
      <c r="I40" s="261" t="s">
        <v>767</v>
      </c>
      <c r="J40" s="39">
        <v>7.5</v>
      </c>
      <c r="K40" s="263" t="s">
        <v>768</v>
      </c>
      <c r="L40" s="39"/>
      <c r="M40" s="39"/>
      <c r="N40" s="39"/>
      <c r="O40" s="39"/>
      <c r="P40" s="39"/>
      <c r="Q40" s="312"/>
      <c r="R40" s="313"/>
      <c r="S40" s="313"/>
      <c r="T40" s="18"/>
      <c r="U40" s="39"/>
      <c r="V40" s="39"/>
      <c r="W40" s="39"/>
      <c r="X40" s="39"/>
    </row>
    <row r="41" spans="1:24" x14ac:dyDescent="0.35">
      <c r="A41" s="39" t="s">
        <v>769</v>
      </c>
      <c r="B41" s="39"/>
      <c r="C41" s="39"/>
      <c r="D41" s="39"/>
      <c r="E41" s="39"/>
      <c r="F41" s="39"/>
      <c r="G41" s="39"/>
      <c r="H41" s="39"/>
      <c r="I41" s="261" t="s">
        <v>763</v>
      </c>
      <c r="J41" s="39">
        <v>6.7</v>
      </c>
      <c r="K41" s="263" t="s">
        <v>770</v>
      </c>
      <c r="L41" s="39"/>
      <c r="M41" s="39"/>
      <c r="N41" s="39"/>
      <c r="O41" s="39"/>
      <c r="P41" s="39"/>
      <c r="Q41" s="302"/>
      <c r="R41" s="303"/>
      <c r="S41" s="304"/>
      <c r="T41" s="18"/>
      <c r="U41" s="39"/>
      <c r="V41" s="39"/>
      <c r="W41" s="39"/>
      <c r="X41" s="39"/>
    </row>
    <row r="42" spans="1:24" x14ac:dyDescent="0.35">
      <c r="A42" s="39" t="s">
        <v>771</v>
      </c>
      <c r="B42" s="39">
        <v>97.27</v>
      </c>
      <c r="C42" s="39" t="s">
        <v>772</v>
      </c>
      <c r="D42" s="39"/>
      <c r="E42" s="39"/>
      <c r="F42" s="39"/>
      <c r="G42" s="39"/>
      <c r="H42" s="39"/>
      <c r="I42" s="261" t="s">
        <v>720</v>
      </c>
      <c r="J42" s="222">
        <f>1000/3.31</f>
        <v>302.11480362537765</v>
      </c>
      <c r="K42" s="263" t="s">
        <v>773</v>
      </c>
      <c r="L42" s="39"/>
      <c r="M42" s="39"/>
      <c r="N42" s="39"/>
      <c r="O42" s="39"/>
      <c r="P42" s="39"/>
      <c r="Q42" s="18"/>
      <c r="R42" s="291"/>
      <c r="S42" s="18"/>
      <c r="T42" s="18"/>
      <c r="U42" s="39"/>
      <c r="V42" s="39"/>
      <c r="W42" s="39"/>
      <c r="X42" s="39"/>
    </row>
    <row r="43" spans="1:24" x14ac:dyDescent="0.35">
      <c r="A43" s="39" t="s">
        <v>641</v>
      </c>
      <c r="B43" s="39">
        <f>'Expense variable '!I49</f>
        <v>706.72709968621325</v>
      </c>
      <c r="C43" s="39" t="s">
        <v>632</v>
      </c>
      <c r="D43" s="39"/>
      <c r="E43" s="39"/>
      <c r="F43" s="39"/>
      <c r="G43" s="39"/>
      <c r="H43" s="39"/>
      <c r="I43" s="261" t="s">
        <v>761</v>
      </c>
      <c r="J43" s="222">
        <f>1000/(J35*J49)</f>
        <v>293.52464095332101</v>
      </c>
      <c r="K43" s="263" t="s">
        <v>773</v>
      </c>
      <c r="L43" s="39"/>
      <c r="M43" s="39"/>
      <c r="N43" s="39"/>
      <c r="O43" s="39"/>
      <c r="P43" s="39"/>
      <c r="Q43" s="39"/>
      <c r="R43" s="177"/>
      <c r="S43" s="39"/>
      <c r="T43" s="39"/>
      <c r="U43" s="39"/>
      <c r="V43" s="39"/>
      <c r="W43" s="39"/>
      <c r="X43" s="39"/>
    </row>
    <row r="44" spans="1:24" x14ac:dyDescent="0.35">
      <c r="A44" s="39"/>
      <c r="B44" s="39"/>
      <c r="C44" s="39"/>
      <c r="D44" s="39"/>
      <c r="E44" s="39"/>
      <c r="F44" s="39"/>
      <c r="G44" s="39"/>
      <c r="H44" s="39"/>
      <c r="I44" s="261" t="s">
        <v>763</v>
      </c>
      <c r="J44" s="222">
        <f>1000/(J36*J49)</f>
        <v>264.17217685798897</v>
      </c>
      <c r="K44" s="263" t="s">
        <v>773</v>
      </c>
      <c r="L44" s="39"/>
      <c r="M44" s="39"/>
      <c r="N44" s="39"/>
      <c r="O44" s="39"/>
      <c r="P44" s="39"/>
      <c r="Q44" s="39"/>
      <c r="R44" s="177"/>
      <c r="S44" s="39"/>
      <c r="T44" s="39"/>
      <c r="U44" s="39"/>
      <c r="V44" s="39"/>
      <c r="W44" s="39"/>
      <c r="X44" s="39"/>
    </row>
    <row r="45" spans="1:24" x14ac:dyDescent="0.35">
      <c r="A45" s="39"/>
      <c r="B45" s="39"/>
      <c r="C45" s="39"/>
      <c r="D45" s="39"/>
      <c r="E45" s="39"/>
      <c r="F45" s="39"/>
      <c r="G45" s="39"/>
      <c r="H45" s="39"/>
      <c r="I45" s="261" t="s">
        <v>765</v>
      </c>
      <c r="J45" s="222">
        <f>1000/(J38*J49)</f>
        <v>366.90580119165134</v>
      </c>
      <c r="K45" s="263" t="s">
        <v>773</v>
      </c>
      <c r="L45" s="39"/>
      <c r="M45" s="39"/>
      <c r="N45" s="39"/>
      <c r="O45" s="39"/>
      <c r="P45" s="39"/>
      <c r="Q45" s="39"/>
      <c r="R45" s="177"/>
      <c r="S45" s="39"/>
      <c r="T45" s="39"/>
      <c r="U45" s="39"/>
      <c r="V45" s="39"/>
      <c r="W45" s="39"/>
      <c r="X45" s="39"/>
    </row>
    <row r="46" spans="1:24" x14ac:dyDescent="0.35">
      <c r="A46" s="39"/>
      <c r="B46" s="39"/>
      <c r="C46" s="39"/>
      <c r="D46" s="39"/>
      <c r="E46" s="39"/>
      <c r="F46" s="39"/>
      <c r="G46" s="39"/>
      <c r="H46" s="39"/>
      <c r="I46" s="273" t="s">
        <v>766</v>
      </c>
      <c r="J46" s="276">
        <f>1000/(J39*J49)</f>
        <v>314.49068673570116</v>
      </c>
      <c r="K46" s="275" t="s">
        <v>773</v>
      </c>
      <c r="L46" s="39"/>
      <c r="M46" s="39"/>
      <c r="N46" s="39"/>
      <c r="O46" s="39"/>
      <c r="P46" s="39"/>
      <c r="Q46" s="39"/>
      <c r="R46" s="177"/>
      <c r="S46" s="39"/>
      <c r="T46" s="39"/>
      <c r="U46" s="39"/>
      <c r="V46" s="39"/>
      <c r="W46" s="39"/>
      <c r="X46" s="39"/>
    </row>
    <row r="47" spans="1:24" x14ac:dyDescent="0.35">
      <c r="A47" s="39"/>
      <c r="B47" s="39"/>
      <c r="C47" s="39"/>
      <c r="D47" s="39"/>
      <c r="E47" s="39"/>
      <c r="F47" s="39"/>
      <c r="G47" s="39"/>
      <c r="H47" s="39"/>
      <c r="L47" s="39"/>
      <c r="M47" s="39"/>
      <c r="N47" s="39"/>
      <c r="O47" s="39"/>
      <c r="P47" s="39"/>
      <c r="Q47" s="39"/>
      <c r="R47" s="177"/>
      <c r="S47" s="39"/>
      <c r="T47" s="39"/>
      <c r="U47" s="39"/>
      <c r="V47" s="39"/>
      <c r="W47" s="39"/>
      <c r="X47" s="39"/>
    </row>
    <row r="48" spans="1:24" x14ac:dyDescent="0.35">
      <c r="A48" s="39"/>
      <c r="B48" s="39"/>
      <c r="C48" s="39"/>
      <c r="D48" s="39"/>
      <c r="E48" s="39"/>
      <c r="F48" s="39"/>
      <c r="G48" s="39"/>
      <c r="H48" s="39"/>
      <c r="I48" s="314" t="s">
        <v>774</v>
      </c>
      <c r="J48" s="313"/>
      <c r="K48" s="313"/>
      <c r="L48" s="39"/>
      <c r="M48" s="39"/>
      <c r="N48" s="39"/>
      <c r="O48" s="39"/>
      <c r="P48" s="39"/>
      <c r="Q48" s="39"/>
      <c r="R48" s="177"/>
      <c r="S48" s="39"/>
      <c r="T48" s="39"/>
      <c r="U48" s="39"/>
      <c r="V48" s="39"/>
      <c r="W48" s="39"/>
      <c r="X48" s="39"/>
    </row>
    <row r="49" spans="1:24" x14ac:dyDescent="0.35">
      <c r="A49" s="39"/>
      <c r="B49" s="39"/>
      <c r="C49" s="39"/>
      <c r="D49" s="39"/>
      <c r="E49" s="39"/>
      <c r="F49" s="39"/>
      <c r="G49" s="39"/>
      <c r="H49" s="39"/>
      <c r="I49" s="305" t="s">
        <v>775</v>
      </c>
      <c r="J49" s="306">
        <v>3.7854100000000002</v>
      </c>
      <c r="K49" s="307" t="s">
        <v>776</v>
      </c>
      <c r="L49" s="39"/>
      <c r="M49" s="39"/>
      <c r="N49" s="39"/>
      <c r="O49" s="39"/>
      <c r="P49" s="39"/>
      <c r="Q49" s="39"/>
      <c r="R49" s="177"/>
      <c r="S49" s="39"/>
      <c r="T49" s="39"/>
      <c r="U49" s="39"/>
      <c r="V49" s="39"/>
      <c r="W49" s="39"/>
      <c r="X49" s="39"/>
    </row>
    <row r="50" spans="1:24" x14ac:dyDescent="0.35">
      <c r="A50" s="39"/>
      <c r="B50" s="39"/>
      <c r="C50" s="39"/>
      <c r="D50" s="39"/>
      <c r="E50" s="39"/>
      <c r="F50" s="39"/>
      <c r="G50" s="39"/>
      <c r="H50" s="39"/>
      <c r="I50" s="39"/>
      <c r="J50" s="39"/>
      <c r="K50" s="39"/>
      <c r="L50" s="39"/>
      <c r="M50" s="39"/>
      <c r="N50" s="39"/>
      <c r="O50" s="39"/>
      <c r="P50" s="39"/>
      <c r="Q50" s="39"/>
      <c r="R50" s="177"/>
      <c r="S50" s="39"/>
      <c r="T50" s="39"/>
      <c r="U50" s="39"/>
      <c r="V50" s="39"/>
      <c r="W50" s="39"/>
      <c r="X50" s="39"/>
    </row>
    <row r="51" spans="1:24" x14ac:dyDescent="0.35">
      <c r="A51" s="39"/>
      <c r="B51" s="39"/>
      <c r="C51" s="39"/>
      <c r="D51" s="39"/>
      <c r="E51" s="39"/>
      <c r="F51" s="39"/>
      <c r="G51" s="39"/>
      <c r="H51" s="39"/>
      <c r="I51" s="39"/>
      <c r="J51" s="39"/>
      <c r="K51" s="39"/>
      <c r="L51" s="39"/>
      <c r="M51" s="39"/>
      <c r="N51" s="39"/>
      <c r="O51" s="39"/>
      <c r="P51" s="39"/>
      <c r="Q51" s="39"/>
      <c r="R51" s="177"/>
      <c r="S51" s="39"/>
      <c r="T51" s="39"/>
      <c r="U51" s="39"/>
      <c r="V51" s="39"/>
      <c r="W51" s="39"/>
      <c r="X51" s="39"/>
    </row>
    <row r="52" spans="1:24" x14ac:dyDescent="0.35">
      <c r="A52" s="39"/>
      <c r="B52" s="39"/>
      <c r="C52" s="39"/>
      <c r="D52" s="39"/>
      <c r="E52" s="39"/>
      <c r="F52" s="39"/>
      <c r="G52" s="39"/>
      <c r="H52" s="39"/>
      <c r="I52" s="39"/>
      <c r="J52" s="39"/>
      <c r="K52" s="39"/>
      <c r="L52" s="39"/>
      <c r="M52" s="39"/>
      <c r="N52" s="39"/>
      <c r="O52" s="39"/>
      <c r="P52" s="39"/>
      <c r="Q52" s="39"/>
      <c r="R52" s="177"/>
      <c r="S52" s="39"/>
      <c r="T52" s="39"/>
      <c r="U52" s="39"/>
      <c r="V52" s="39"/>
      <c r="W52" s="39"/>
      <c r="X52" s="39"/>
    </row>
    <row r="53" spans="1:24" x14ac:dyDescent="0.35">
      <c r="A53" s="39"/>
      <c r="B53" s="39"/>
      <c r="C53" s="39"/>
      <c r="D53" s="39"/>
      <c r="E53" s="39"/>
      <c r="F53" s="39"/>
      <c r="G53" s="39"/>
      <c r="H53" s="39"/>
      <c r="I53" s="39"/>
      <c r="J53" s="39"/>
      <c r="K53" s="39"/>
      <c r="L53" s="39"/>
      <c r="M53" s="39"/>
      <c r="N53" s="39"/>
      <c r="O53" s="39"/>
      <c r="P53" s="39"/>
      <c r="Q53" s="39"/>
      <c r="R53" s="177"/>
      <c r="S53" s="39"/>
      <c r="T53" s="39"/>
      <c r="U53" s="39"/>
      <c r="V53" s="39"/>
      <c r="W53" s="39"/>
      <c r="X53" s="39"/>
    </row>
    <row r="54" spans="1:24" x14ac:dyDescent="0.35">
      <c r="A54" t="s">
        <v>780</v>
      </c>
      <c r="B54" s="308" t="s">
        <v>698</v>
      </c>
    </row>
    <row r="55" spans="1:24" x14ac:dyDescent="0.35">
      <c r="A55" s="309" t="s">
        <v>781</v>
      </c>
      <c r="B55" s="309" t="s">
        <v>782</v>
      </c>
    </row>
    <row r="56" spans="1:24" x14ac:dyDescent="0.35">
      <c r="A56" s="309" t="s">
        <v>783</v>
      </c>
      <c r="B56" s="309" t="s">
        <v>784</v>
      </c>
    </row>
    <row r="57" spans="1:24" x14ac:dyDescent="0.35">
      <c r="A57" s="309" t="s">
        <v>785</v>
      </c>
      <c r="B57" s="309" t="s">
        <v>786</v>
      </c>
    </row>
    <row r="58" spans="1:24" x14ac:dyDescent="0.35">
      <c r="A58" s="309" t="s">
        <v>787</v>
      </c>
      <c r="B58" s="309">
        <v>789.6</v>
      </c>
    </row>
    <row r="59" spans="1:24" x14ac:dyDescent="0.35">
      <c r="A59" s="309" t="s">
        <v>788</v>
      </c>
      <c r="B59" s="309">
        <v>789.2</v>
      </c>
    </row>
    <row r="60" spans="1:24" x14ac:dyDescent="0.35">
      <c r="A60" s="309" t="s">
        <v>789</v>
      </c>
      <c r="B60" s="309">
        <v>790.7</v>
      </c>
    </row>
    <row r="61" spans="1:24" x14ac:dyDescent="0.35">
      <c r="A61" s="309" t="s">
        <v>790</v>
      </c>
      <c r="B61" s="309">
        <v>793.3</v>
      </c>
    </row>
    <row r="62" spans="1:24" x14ac:dyDescent="0.35">
      <c r="A62" s="309" t="s">
        <v>791</v>
      </c>
      <c r="B62" s="309">
        <v>798.7</v>
      </c>
    </row>
    <row r="63" spans="1:24" x14ac:dyDescent="0.35">
      <c r="A63" s="309" t="s">
        <v>792</v>
      </c>
      <c r="B63" s="309">
        <v>798.7</v>
      </c>
    </row>
    <row r="64" spans="1:24" x14ac:dyDescent="0.35">
      <c r="A64" s="309" t="s">
        <v>793</v>
      </c>
      <c r="B64" s="309">
        <v>803.3</v>
      </c>
      <c r="E64" t="s">
        <v>850</v>
      </c>
      <c r="F64" t="s">
        <v>851</v>
      </c>
      <c r="G64" t="s">
        <v>632</v>
      </c>
    </row>
    <row r="65" spans="1:7" x14ac:dyDescent="0.35">
      <c r="A65" s="309" t="s">
        <v>794</v>
      </c>
      <c r="B65" s="309">
        <v>808.8</v>
      </c>
      <c r="E65" t="s">
        <v>852</v>
      </c>
      <c r="F65">
        <v>655</v>
      </c>
      <c r="G65">
        <v>617.20833372595951</v>
      </c>
    </row>
    <row r="66" spans="1:7" x14ac:dyDescent="0.35">
      <c r="A66" s="309" t="s">
        <v>795</v>
      </c>
      <c r="B66" s="309">
        <v>803.3</v>
      </c>
      <c r="E66" t="s">
        <v>853</v>
      </c>
      <c r="F66">
        <v>788.95463510848128</v>
      </c>
      <c r="G66">
        <v>743.43416140561555</v>
      </c>
    </row>
    <row r="67" spans="1:7" x14ac:dyDescent="0.35">
      <c r="A67" s="309" t="s">
        <v>796</v>
      </c>
      <c r="B67" s="309">
        <v>799.1</v>
      </c>
    </row>
    <row r="68" spans="1:7" x14ac:dyDescent="0.35">
      <c r="A68" s="309" t="s">
        <v>797</v>
      </c>
      <c r="B68" s="309">
        <v>798</v>
      </c>
    </row>
    <row r="69" spans="1:7" x14ac:dyDescent="0.35">
      <c r="A69" s="309" t="s">
        <v>798</v>
      </c>
      <c r="B69" s="309">
        <v>802.6</v>
      </c>
    </row>
    <row r="70" spans="1:7" x14ac:dyDescent="0.35">
      <c r="A70" s="309" t="s">
        <v>799</v>
      </c>
      <c r="B70" s="309">
        <v>802.9</v>
      </c>
    </row>
    <row r="71" spans="1:7" x14ac:dyDescent="0.35">
      <c r="A71" s="309" t="s">
        <v>800</v>
      </c>
      <c r="B71" s="309">
        <v>814.6</v>
      </c>
    </row>
    <row r="72" spans="1:7" x14ac:dyDescent="0.35">
      <c r="A72" s="309" t="s">
        <v>801</v>
      </c>
      <c r="B72" s="309">
        <v>816.2</v>
      </c>
    </row>
    <row r="73" spans="1:7" x14ac:dyDescent="0.35">
      <c r="A73" s="309" t="s">
        <v>802</v>
      </c>
      <c r="B73" s="309">
        <v>821.3</v>
      </c>
    </row>
    <row r="74" spans="1:7" x14ac:dyDescent="0.35">
      <c r="A74" s="309" t="s">
        <v>803</v>
      </c>
      <c r="B74" s="309">
        <v>824.5</v>
      </c>
    </row>
    <row r="75" spans="1:7" x14ac:dyDescent="0.35">
      <c r="A75" s="309" t="s">
        <v>804</v>
      </c>
      <c r="B75" s="309">
        <v>829.8</v>
      </c>
    </row>
    <row r="76" spans="1:7" x14ac:dyDescent="0.35">
      <c r="A76" s="309" t="s">
        <v>805</v>
      </c>
      <c r="B76" s="309">
        <v>832.6</v>
      </c>
    </row>
    <row r="77" spans="1:7" x14ac:dyDescent="0.35">
      <c r="A77" s="309" t="s">
        <v>806</v>
      </c>
      <c r="B77" s="309">
        <v>831.1</v>
      </c>
    </row>
    <row r="78" spans="1:7" x14ac:dyDescent="0.35">
      <c r="A78" s="309" t="s">
        <v>807</v>
      </c>
      <c r="B78" s="309">
        <v>816.3</v>
      </c>
    </row>
    <row r="79" spans="1:7" x14ac:dyDescent="0.35">
      <c r="A79" s="309" t="s">
        <v>808</v>
      </c>
      <c r="B79" s="309">
        <v>803.6</v>
      </c>
    </row>
    <row r="80" spans="1:7" x14ac:dyDescent="0.35">
      <c r="A80" s="309" t="s">
        <v>809</v>
      </c>
      <c r="B80" s="309">
        <v>801.3</v>
      </c>
    </row>
    <row r="81" spans="1:5" x14ac:dyDescent="0.35">
      <c r="A81" s="309" t="s">
        <v>810</v>
      </c>
      <c r="B81" s="309">
        <v>797.6</v>
      </c>
    </row>
    <row r="82" spans="1:5" x14ac:dyDescent="0.35">
      <c r="A82" s="309" t="s">
        <v>811</v>
      </c>
      <c r="B82" s="309">
        <v>776.3</v>
      </c>
    </row>
    <row r="83" spans="1:5" x14ac:dyDescent="0.35">
      <c r="A83" s="309" t="s">
        <v>812</v>
      </c>
      <c r="B83" s="309">
        <v>773.1</v>
      </c>
    </row>
    <row r="84" spans="1:5" x14ac:dyDescent="0.35">
      <c r="A84" s="309" t="s">
        <v>813</v>
      </c>
      <c r="B84" s="309">
        <v>761.4</v>
      </c>
    </row>
    <row r="85" spans="1:5" x14ac:dyDescent="0.35">
      <c r="A85" s="309" t="s">
        <v>814</v>
      </c>
      <c r="B85" s="309">
        <v>754</v>
      </c>
    </row>
    <row r="86" spans="1:5" x14ac:dyDescent="0.35">
      <c r="A86" s="309" t="s">
        <v>815</v>
      </c>
      <c r="B86" s="309">
        <v>735.2</v>
      </c>
    </row>
    <row r="87" spans="1:5" x14ac:dyDescent="0.35">
      <c r="A87" s="309" t="s">
        <v>816</v>
      </c>
      <c r="B87" s="309">
        <v>720.2</v>
      </c>
    </row>
    <row r="88" spans="1:5" x14ac:dyDescent="0.35">
      <c r="A88" s="309" t="s">
        <v>817</v>
      </c>
      <c r="B88" s="309">
        <v>701.4</v>
      </c>
    </row>
    <row r="89" spans="1:5" x14ac:dyDescent="0.35">
      <c r="A89" s="309" t="s">
        <v>818</v>
      </c>
      <c r="B89" s="309">
        <v>686.7</v>
      </c>
    </row>
    <row r="90" spans="1:5" x14ac:dyDescent="0.35">
      <c r="A90" s="309" t="s">
        <v>819</v>
      </c>
      <c r="B90" s="309" t="s">
        <v>820</v>
      </c>
      <c r="C90">
        <v>2023</v>
      </c>
      <c r="D90">
        <f>AVERAGE(B58:B69)</f>
        <v>797.94166666666672</v>
      </c>
    </row>
    <row r="91" spans="1:5" x14ac:dyDescent="0.35">
      <c r="A91" s="309">
        <v>2022</v>
      </c>
      <c r="B91" s="309" t="s">
        <v>821</v>
      </c>
    </row>
    <row r="92" spans="1:5" x14ac:dyDescent="0.35">
      <c r="A92" s="309">
        <v>2021</v>
      </c>
      <c r="B92" s="309">
        <v>708.8</v>
      </c>
    </row>
    <row r="93" spans="1:5" x14ac:dyDescent="0.35">
      <c r="A93" s="309">
        <v>2020</v>
      </c>
      <c r="B93" s="309">
        <v>596.20000000000005</v>
      </c>
    </row>
    <row r="94" spans="1:5" x14ac:dyDescent="0.35">
      <c r="A94" s="309">
        <v>2019</v>
      </c>
      <c r="B94" s="309" t="s">
        <v>822</v>
      </c>
    </row>
    <row r="95" spans="1:5" x14ac:dyDescent="0.35">
      <c r="A95" s="309">
        <v>2018</v>
      </c>
      <c r="B95" s="309" t="s">
        <v>823</v>
      </c>
      <c r="E95" t="s">
        <v>779</v>
      </c>
    </row>
    <row r="96" spans="1:5" x14ac:dyDescent="0.35">
      <c r="A96" s="309">
        <v>2017</v>
      </c>
      <c r="B96" s="309" t="s">
        <v>824</v>
      </c>
      <c r="E96">
        <f>D90/B98</f>
        <v>1.4330848898467434</v>
      </c>
    </row>
    <row r="97" spans="1:5" x14ac:dyDescent="0.35">
      <c r="A97" s="309">
        <v>2016</v>
      </c>
      <c r="B97" s="309" t="s">
        <v>825</v>
      </c>
    </row>
    <row r="98" spans="1:5" x14ac:dyDescent="0.35">
      <c r="A98" s="309">
        <v>2015</v>
      </c>
      <c r="B98" s="309">
        <v>556.79999999999995</v>
      </c>
      <c r="E98" t="s">
        <v>842</v>
      </c>
    </row>
    <row r="99" spans="1:5" x14ac:dyDescent="0.35">
      <c r="A99" s="309">
        <v>2014</v>
      </c>
      <c r="B99" s="309" t="s">
        <v>826</v>
      </c>
      <c r="E99">
        <f>D90/B93</f>
        <v>1.338379179246338</v>
      </c>
    </row>
    <row r="100" spans="1:5" x14ac:dyDescent="0.35">
      <c r="A100" s="309">
        <v>2013</v>
      </c>
      <c r="B100" s="309" t="s">
        <v>827</v>
      </c>
    </row>
    <row r="101" spans="1:5" x14ac:dyDescent="0.35">
      <c r="A101" s="309">
        <v>2012</v>
      </c>
      <c r="B101" s="309" t="s">
        <v>828</v>
      </c>
    </row>
    <row r="102" spans="1:5" x14ac:dyDescent="0.35">
      <c r="A102" s="309">
        <v>2011</v>
      </c>
      <c r="B102" s="309" t="s">
        <v>829</v>
      </c>
    </row>
    <row r="103" spans="1:5" x14ac:dyDescent="0.35">
      <c r="A103" s="309">
        <v>2010</v>
      </c>
      <c r="B103" s="309" t="s">
        <v>830</v>
      </c>
    </row>
    <row r="104" spans="1:5" x14ac:dyDescent="0.35">
      <c r="A104" s="309">
        <v>2009</v>
      </c>
      <c r="B104" s="309" t="s">
        <v>831</v>
      </c>
    </row>
    <row r="105" spans="1:5" x14ac:dyDescent="0.35">
      <c r="A105" s="309">
        <v>2008</v>
      </c>
      <c r="B105" s="309" t="s">
        <v>832</v>
      </c>
    </row>
    <row r="106" spans="1:5" x14ac:dyDescent="0.35">
      <c r="A106" s="309">
        <v>2007</v>
      </c>
      <c r="B106" s="309" t="s">
        <v>833</v>
      </c>
    </row>
    <row r="107" spans="1:5" x14ac:dyDescent="0.35">
      <c r="A107" s="309">
        <v>2006</v>
      </c>
      <c r="B107" s="309" t="s">
        <v>834</v>
      </c>
    </row>
    <row r="108" spans="1:5" x14ac:dyDescent="0.35">
      <c r="A108" s="309">
        <v>2005</v>
      </c>
      <c r="B108" s="309" t="s">
        <v>835</v>
      </c>
    </row>
    <row r="109" spans="1:5" x14ac:dyDescent="0.35">
      <c r="A109" s="309">
        <v>2004</v>
      </c>
      <c r="B109" s="309" t="s">
        <v>836</v>
      </c>
    </row>
    <row r="110" spans="1:5" x14ac:dyDescent="0.35">
      <c r="A110" s="309">
        <v>2003</v>
      </c>
      <c r="B110" s="309" t="s">
        <v>837</v>
      </c>
    </row>
    <row r="111" spans="1:5" x14ac:dyDescent="0.35">
      <c r="A111" s="309">
        <v>2002</v>
      </c>
      <c r="B111" s="309" t="s">
        <v>838</v>
      </c>
    </row>
    <row r="112" spans="1:5" x14ac:dyDescent="0.35">
      <c r="A112" s="309">
        <v>2001</v>
      </c>
      <c r="B112" s="309" t="s">
        <v>839</v>
      </c>
    </row>
    <row r="113" spans="1:2" x14ac:dyDescent="0.35">
      <c r="A113" s="310" t="s">
        <v>840</v>
      </c>
      <c r="B113" s="310" t="s">
        <v>841</v>
      </c>
    </row>
  </sheetData>
  <mergeCells count="20">
    <mergeCell ref="U1:W1"/>
    <mergeCell ref="Q17:S17"/>
    <mergeCell ref="A1:C1"/>
    <mergeCell ref="E1:G1"/>
    <mergeCell ref="I1:K1"/>
    <mergeCell ref="M1:O1"/>
    <mergeCell ref="Q1:S1"/>
    <mergeCell ref="I3:K3"/>
    <mergeCell ref="M3:O3"/>
    <mergeCell ref="Q3:S3"/>
    <mergeCell ref="U3:W3"/>
    <mergeCell ref="U8:W8"/>
    <mergeCell ref="Q40:S40"/>
    <mergeCell ref="I48:K48"/>
    <mergeCell ref="I19:K19"/>
    <mergeCell ref="Q23:S23"/>
    <mergeCell ref="I26:K26"/>
    <mergeCell ref="M26:O26"/>
    <mergeCell ref="Q28:S28"/>
    <mergeCell ref="I34:K34"/>
  </mergeCells>
  <hyperlinks>
    <hyperlink ref="B54" r:id="rId1" xr:uid="{B6902A94-DD91-49F0-9842-8BC5A53A8F90}"/>
  </hyperlinks>
  <pageMargins left="0.7" right="0.7" top="0.75" bottom="0.75" header="0.3" footer="0.3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80CD39-6BE4-4778-B878-AAB50A6C2C70}">
  <dimension ref="A1:P191"/>
  <sheetViews>
    <sheetView tabSelected="1" workbookViewId="0">
      <selection activeCell="E10" sqref="E10"/>
    </sheetView>
  </sheetViews>
  <sheetFormatPr defaultRowHeight="14.5" x14ac:dyDescent="0.35"/>
  <cols>
    <col min="1" max="1" width="29.1796875" customWidth="1"/>
    <col min="3" max="3" width="21.36328125" customWidth="1"/>
    <col min="4" max="4" width="17.1796875" customWidth="1"/>
    <col min="5" max="5" width="31.1796875" customWidth="1"/>
    <col min="7" max="7" width="20.08984375" customWidth="1"/>
  </cols>
  <sheetData>
    <row r="1" spans="1:9" ht="15" thickBot="1" x14ac:dyDescent="0.4">
      <c r="A1" s="14" t="s">
        <v>132</v>
      </c>
      <c r="B1" s="15"/>
      <c r="C1" s="15"/>
      <c r="E1" s="16"/>
      <c r="F1" s="17"/>
      <c r="G1" s="18"/>
    </row>
    <row r="2" spans="1:9" ht="15" thickBot="1" x14ac:dyDescent="0.4">
      <c r="A2" s="19"/>
      <c r="B2" s="19"/>
      <c r="C2" s="19"/>
      <c r="E2" s="20" t="s">
        <v>635</v>
      </c>
      <c r="F2" s="21">
        <v>20</v>
      </c>
      <c r="G2" s="20" t="s">
        <v>634</v>
      </c>
    </row>
    <row r="3" spans="1:9" ht="15" thickBot="1" x14ac:dyDescent="0.4">
      <c r="A3" s="22" t="s">
        <v>133</v>
      </c>
      <c r="B3" s="15"/>
      <c r="C3" s="15"/>
      <c r="E3" s="20"/>
      <c r="F3" s="21"/>
      <c r="G3" s="20"/>
    </row>
    <row r="4" spans="1:9" ht="15" thickBot="1" x14ac:dyDescent="0.4">
      <c r="A4" s="23" t="s">
        <v>134</v>
      </c>
      <c r="B4" s="24" t="s">
        <v>135</v>
      </c>
      <c r="C4" s="25">
        <v>0.8</v>
      </c>
      <c r="E4" s="20"/>
      <c r="F4" s="21"/>
      <c r="G4" s="20"/>
    </row>
    <row r="5" spans="1:9" ht="15" thickBot="1" x14ac:dyDescent="0.4">
      <c r="A5" s="23" t="s">
        <v>136</v>
      </c>
      <c r="B5" s="24" t="s">
        <v>137</v>
      </c>
      <c r="C5" s="25">
        <v>0.22</v>
      </c>
      <c r="E5" s="20"/>
      <c r="F5" s="21"/>
      <c r="G5" s="20"/>
    </row>
    <row r="6" spans="1:9" ht="15" thickBot="1" x14ac:dyDescent="0.4">
      <c r="A6" s="23" t="s">
        <v>138</v>
      </c>
      <c r="B6" s="24" t="s">
        <v>137</v>
      </c>
      <c r="C6" s="25">
        <v>0.03</v>
      </c>
      <c r="E6" s="18"/>
      <c r="F6" s="26"/>
      <c r="G6" s="20"/>
    </row>
    <row r="7" spans="1:9" ht="15" thickBot="1" x14ac:dyDescent="0.4">
      <c r="A7" s="22" t="s">
        <v>139</v>
      </c>
      <c r="B7" s="15"/>
      <c r="C7" s="15"/>
      <c r="E7" s="27"/>
      <c r="F7" s="28"/>
      <c r="G7" s="20"/>
    </row>
    <row r="8" spans="1:9" ht="15" thickBot="1" x14ac:dyDescent="0.4">
      <c r="A8" s="23" t="s">
        <v>140</v>
      </c>
      <c r="B8" s="24" t="s">
        <v>141</v>
      </c>
      <c r="C8" s="29"/>
      <c r="E8" s="18"/>
      <c r="F8" s="26"/>
      <c r="G8" s="20"/>
      <c r="H8" s="311"/>
      <c r="I8" s="311"/>
    </row>
    <row r="9" spans="1:9" ht="15" thickBot="1" x14ac:dyDescent="0.4">
      <c r="A9" s="19"/>
      <c r="B9" s="19"/>
      <c r="C9" s="19"/>
      <c r="E9" s="18"/>
      <c r="F9" s="26"/>
      <c r="G9" s="20"/>
      <c r="I9" s="30"/>
    </row>
    <row r="10" spans="1:9" ht="15" thickBot="1" x14ac:dyDescent="0.4">
      <c r="A10" s="23" t="s">
        <v>142</v>
      </c>
      <c r="B10" s="24" t="s">
        <v>6</v>
      </c>
      <c r="C10" s="31">
        <v>25</v>
      </c>
      <c r="E10" s="18"/>
      <c r="F10" s="26"/>
      <c r="G10" s="20"/>
      <c r="H10" s="32"/>
      <c r="I10" s="33"/>
    </row>
    <row r="11" spans="1:9" ht="15" thickBot="1" x14ac:dyDescent="0.4">
      <c r="A11" s="23" t="s">
        <v>143</v>
      </c>
      <c r="B11" s="24" t="s">
        <v>6</v>
      </c>
      <c r="C11" s="31">
        <v>150</v>
      </c>
      <c r="E11" s="18"/>
      <c r="F11" s="26"/>
      <c r="G11" s="20"/>
      <c r="I11" s="30"/>
    </row>
    <row r="12" spans="1:9" ht="15" thickBot="1" x14ac:dyDescent="0.4">
      <c r="A12" s="23" t="s">
        <v>144</v>
      </c>
      <c r="B12" s="24" t="s">
        <v>6</v>
      </c>
      <c r="C12" s="31">
        <v>126</v>
      </c>
      <c r="E12" s="18"/>
      <c r="F12" s="26"/>
      <c r="G12" s="20"/>
    </row>
    <row r="13" spans="1:9" ht="15" thickBot="1" x14ac:dyDescent="0.4">
      <c r="A13" s="19" t="s">
        <v>145</v>
      </c>
      <c r="B13" s="19" t="s">
        <v>146</v>
      </c>
      <c r="C13" s="34">
        <v>5</v>
      </c>
      <c r="E13" s="20"/>
      <c r="F13" s="21"/>
      <c r="G13" s="20"/>
    </row>
    <row r="14" spans="1:9" ht="15" thickBot="1" x14ac:dyDescent="0.4">
      <c r="A14" s="19" t="s">
        <v>147</v>
      </c>
      <c r="B14" s="19" t="s">
        <v>146</v>
      </c>
      <c r="C14" s="34">
        <v>5</v>
      </c>
      <c r="E14" s="18"/>
      <c r="F14" s="26"/>
      <c r="G14" s="20"/>
    </row>
    <row r="15" spans="1:9" ht="15" thickBot="1" x14ac:dyDescent="0.4">
      <c r="A15" s="19" t="s">
        <v>148</v>
      </c>
      <c r="B15" s="19" t="s">
        <v>146</v>
      </c>
      <c r="C15" s="34">
        <v>5</v>
      </c>
      <c r="F15" s="35"/>
    </row>
    <row r="16" spans="1:9" ht="15" thickBot="1" x14ac:dyDescent="0.4">
      <c r="A16" s="19" t="s">
        <v>149</v>
      </c>
      <c r="B16" s="19" t="s">
        <v>150</v>
      </c>
      <c r="C16">
        <v>0.1</v>
      </c>
    </row>
    <row r="17" spans="1:13" ht="15" thickBot="1" x14ac:dyDescent="0.4">
      <c r="A17" s="19"/>
      <c r="B17" s="19"/>
      <c r="C17" s="19"/>
      <c r="E17" s="32"/>
      <c r="F17" s="35"/>
    </row>
    <row r="18" spans="1:13" ht="15" thickBot="1" x14ac:dyDescent="0.4">
      <c r="A18" s="19" t="s">
        <v>151</v>
      </c>
      <c r="B18" s="19" t="s">
        <v>152</v>
      </c>
      <c r="C18" s="34">
        <v>25</v>
      </c>
      <c r="E18" s="36" t="s">
        <v>153</v>
      </c>
      <c r="F18" s="37"/>
      <c r="G18" s="38"/>
    </row>
    <row r="19" spans="1:13" ht="15" thickBot="1" x14ac:dyDescent="0.4">
      <c r="A19" s="19"/>
      <c r="B19" s="19"/>
      <c r="C19" s="19"/>
      <c r="E19" s="39" t="s">
        <v>154</v>
      </c>
      <c r="F19" s="40" t="s">
        <v>155</v>
      </c>
      <c r="G19" s="41">
        <v>0.8</v>
      </c>
    </row>
    <row r="20" spans="1:13" ht="15" thickBot="1" x14ac:dyDescent="0.4">
      <c r="A20" s="14" t="s">
        <v>156</v>
      </c>
      <c r="B20" s="15"/>
      <c r="C20" s="15"/>
      <c r="E20" s="39" t="s">
        <v>157</v>
      </c>
      <c r="F20" s="40" t="s">
        <v>155</v>
      </c>
      <c r="G20" s="41">
        <v>0.2</v>
      </c>
    </row>
    <row r="21" spans="1:13" ht="15" thickBot="1" x14ac:dyDescent="0.4">
      <c r="A21" s="23" t="s">
        <v>158</v>
      </c>
      <c r="B21" s="24" t="s">
        <v>6</v>
      </c>
      <c r="C21" s="31">
        <v>300</v>
      </c>
      <c r="E21" s="39" t="s">
        <v>159</v>
      </c>
      <c r="F21" s="40" t="s">
        <v>155</v>
      </c>
      <c r="G21" s="41">
        <v>0.8</v>
      </c>
      <c r="H21" s="311"/>
      <c r="I21" s="311"/>
      <c r="K21" s="42"/>
      <c r="L21" s="42"/>
      <c r="M21" s="42"/>
    </row>
    <row r="22" spans="1:13" ht="15" thickBot="1" x14ac:dyDescent="0.4">
      <c r="A22" s="43" t="s">
        <v>160</v>
      </c>
      <c r="B22" s="19"/>
      <c r="C22" s="19"/>
      <c r="E22" s="39"/>
      <c r="F22" s="40"/>
      <c r="G22" s="44"/>
      <c r="H22" s="32"/>
      <c r="I22" s="32"/>
      <c r="K22" s="45"/>
      <c r="L22" s="46"/>
      <c r="M22" s="46"/>
    </row>
    <row r="23" spans="1:13" ht="15" thickBot="1" x14ac:dyDescent="0.4">
      <c r="A23" s="43" t="s">
        <v>161</v>
      </c>
      <c r="B23" s="19" t="s">
        <v>146</v>
      </c>
      <c r="C23" s="19">
        <v>150</v>
      </c>
      <c r="F23" s="47"/>
      <c r="H23" s="48"/>
      <c r="I23" s="47"/>
      <c r="K23" s="45"/>
      <c r="L23" s="46"/>
      <c r="M23" s="46"/>
    </row>
    <row r="24" spans="1:13" ht="15" thickBot="1" x14ac:dyDescent="0.4">
      <c r="A24" s="23" t="s">
        <v>162</v>
      </c>
      <c r="B24" s="24" t="s">
        <v>163</v>
      </c>
      <c r="C24" s="31"/>
      <c r="E24" s="32"/>
      <c r="F24" s="47"/>
      <c r="G24" s="33"/>
      <c r="H24" s="32"/>
      <c r="I24" s="47"/>
      <c r="J24" s="33"/>
      <c r="K24" s="45"/>
      <c r="L24" s="46"/>
      <c r="M24" s="46"/>
    </row>
    <row r="25" spans="1:13" ht="25" thickBot="1" x14ac:dyDescent="0.4">
      <c r="A25" s="23" t="s">
        <v>164</v>
      </c>
      <c r="B25" s="24" t="s">
        <v>165</v>
      </c>
      <c r="C25" s="31"/>
      <c r="E25" s="32"/>
      <c r="F25" s="47"/>
      <c r="G25" s="33"/>
      <c r="H25" s="32"/>
      <c r="I25" s="47"/>
      <c r="J25" s="33"/>
      <c r="K25" s="45"/>
      <c r="L25" s="46"/>
    </row>
    <row r="26" spans="1:13" ht="15" thickBot="1" x14ac:dyDescent="0.4">
      <c r="A26" s="19" t="s">
        <v>166</v>
      </c>
      <c r="B26" s="19" t="s">
        <v>167</v>
      </c>
      <c r="C26" s="49"/>
      <c r="E26" s="50"/>
      <c r="F26" s="51"/>
      <c r="H26" s="50"/>
      <c r="I26" s="51"/>
      <c r="K26" s="45"/>
      <c r="L26" s="46"/>
    </row>
    <row r="27" spans="1:13" ht="15" thickBot="1" x14ac:dyDescent="0.4">
      <c r="A27" s="19"/>
      <c r="B27" s="19"/>
      <c r="C27" s="19"/>
      <c r="K27" s="45"/>
      <c r="L27" s="46"/>
    </row>
    <row r="28" spans="1:13" ht="15" thickBot="1" x14ac:dyDescent="0.4">
      <c r="A28" s="52" t="s">
        <v>168</v>
      </c>
      <c r="B28" s="19"/>
      <c r="C28" s="19"/>
    </row>
    <row r="29" spans="1:13" ht="15" thickBot="1" x14ac:dyDescent="0.4">
      <c r="A29" s="5" t="s">
        <v>20</v>
      </c>
      <c r="B29" s="53" t="s">
        <v>169</v>
      </c>
      <c r="C29">
        <v>39.5</v>
      </c>
    </row>
    <row r="30" spans="1:13" ht="15" thickBot="1" x14ac:dyDescent="0.4">
      <c r="A30" s="5" t="s">
        <v>21</v>
      </c>
      <c r="B30" s="53" t="s">
        <v>169</v>
      </c>
      <c r="C30">
        <v>12</v>
      </c>
      <c r="E30" s="5"/>
    </row>
    <row r="31" spans="1:13" ht="15" thickBot="1" x14ac:dyDescent="0.4">
      <c r="A31" s="5" t="s">
        <v>22</v>
      </c>
      <c r="B31" s="53" t="s">
        <v>169</v>
      </c>
      <c r="C31">
        <v>48.2</v>
      </c>
      <c r="E31" s="5"/>
    </row>
    <row r="32" spans="1:13" ht="15" thickBot="1" x14ac:dyDescent="0.4">
      <c r="A32" s="5" t="s">
        <v>23</v>
      </c>
      <c r="B32" s="53" t="s">
        <v>169</v>
      </c>
      <c r="C32">
        <v>0.3</v>
      </c>
      <c r="E32" s="5"/>
    </row>
    <row r="33" spans="1:16" ht="15" thickBot="1" x14ac:dyDescent="0.4">
      <c r="A33" s="52" t="s">
        <v>170</v>
      </c>
      <c r="B33" s="53"/>
      <c r="C33" s="19">
        <f>SUM(C29:C32)</f>
        <v>100</v>
      </c>
      <c r="E33" s="48"/>
      <c r="F33" s="47"/>
      <c r="H33" s="54"/>
      <c r="I33" s="47"/>
    </row>
    <row r="34" spans="1:16" ht="15" thickBot="1" x14ac:dyDescent="0.4">
      <c r="A34" s="19"/>
      <c r="B34" s="19"/>
      <c r="C34" s="19"/>
      <c r="E34" s="32"/>
      <c r="F34" s="47"/>
      <c r="H34" s="32"/>
      <c r="I34" s="47"/>
      <c r="J34" s="33"/>
    </row>
    <row r="35" spans="1:16" ht="15" thickBot="1" x14ac:dyDescent="0.4">
      <c r="A35" s="55" t="s">
        <v>171</v>
      </c>
      <c r="B35" s="19"/>
      <c r="C35" s="19"/>
      <c r="E35" s="32"/>
      <c r="F35" s="47"/>
      <c r="G35" s="56"/>
      <c r="H35" s="32"/>
      <c r="I35" s="47"/>
      <c r="J35" s="33"/>
    </row>
    <row r="36" spans="1:16" ht="15" thickBot="1" x14ac:dyDescent="0.4">
      <c r="A36" s="23" t="s">
        <v>172</v>
      </c>
      <c r="B36" s="53" t="s">
        <v>150</v>
      </c>
      <c r="C36" s="57">
        <v>0.95</v>
      </c>
      <c r="E36" s="50"/>
      <c r="F36" s="51"/>
      <c r="H36" s="50"/>
      <c r="I36" s="51"/>
    </row>
    <row r="37" spans="1:16" ht="15" thickBot="1" x14ac:dyDescent="0.4">
      <c r="A37" s="23" t="s">
        <v>173</v>
      </c>
      <c r="B37" s="53" t="s">
        <v>150</v>
      </c>
      <c r="C37" s="57">
        <v>0</v>
      </c>
    </row>
    <row r="38" spans="1:16" ht="15" thickBot="1" x14ac:dyDescent="0.4">
      <c r="A38" s="58" t="s">
        <v>174</v>
      </c>
      <c r="B38" s="59" t="s">
        <v>150</v>
      </c>
      <c r="C38" s="60">
        <v>0</v>
      </c>
    </row>
    <row r="39" spans="1:16" ht="15" thickBot="1" x14ac:dyDescent="0.4">
      <c r="A39" s="58" t="s">
        <v>175</v>
      </c>
      <c r="B39" s="59" t="s">
        <v>150</v>
      </c>
      <c r="C39" s="57">
        <v>0.05</v>
      </c>
    </row>
    <row r="40" spans="1:16" ht="15" thickBot="1" x14ac:dyDescent="0.4">
      <c r="A40" s="19"/>
      <c r="B40" s="19"/>
      <c r="C40" s="19"/>
    </row>
    <row r="41" spans="1:16" ht="15" thickBot="1" x14ac:dyDescent="0.4">
      <c r="A41" s="52" t="s">
        <v>176</v>
      </c>
      <c r="B41" s="19"/>
      <c r="C41" s="19"/>
      <c r="D41" s="61"/>
    </row>
    <row r="42" spans="1:16" ht="15" thickBot="1" x14ac:dyDescent="0.4">
      <c r="A42" s="23" t="s">
        <v>20</v>
      </c>
      <c r="B42" s="24" t="s">
        <v>177</v>
      </c>
      <c r="C42" s="31">
        <v>31.184999999999999</v>
      </c>
      <c r="D42" s="62"/>
    </row>
    <row r="43" spans="1:16" ht="15" thickBot="1" x14ac:dyDescent="0.4">
      <c r="A43" s="23" t="s">
        <v>178</v>
      </c>
      <c r="B43" s="24" t="s">
        <v>177</v>
      </c>
      <c r="C43" s="31">
        <v>28.11</v>
      </c>
    </row>
    <row r="44" spans="1:16" ht="15" thickBot="1" x14ac:dyDescent="0.4">
      <c r="A44" s="23" t="s">
        <v>179</v>
      </c>
      <c r="B44" s="24" t="s">
        <v>177</v>
      </c>
      <c r="C44" s="31">
        <v>3.6</v>
      </c>
      <c r="D44" s="63"/>
      <c r="E44" s="64"/>
      <c r="F44" s="64"/>
      <c r="G44" s="64"/>
      <c r="H44" s="64"/>
      <c r="P44" s="50"/>
    </row>
    <row r="45" spans="1:16" ht="15" thickBot="1" x14ac:dyDescent="0.4">
      <c r="A45" s="19"/>
      <c r="B45" s="19"/>
      <c r="C45" s="19"/>
      <c r="D45" s="63"/>
      <c r="E45" s="64"/>
      <c r="F45" s="64"/>
      <c r="G45" s="64"/>
      <c r="H45" s="64"/>
      <c r="P45" s="50"/>
    </row>
    <row r="46" spans="1:16" ht="15" thickBot="1" x14ac:dyDescent="0.4">
      <c r="A46" s="14" t="s">
        <v>180</v>
      </c>
      <c r="B46" s="15"/>
      <c r="C46" s="15"/>
      <c r="D46" s="63"/>
      <c r="E46" s="64"/>
      <c r="F46" s="64"/>
      <c r="G46" s="64"/>
      <c r="H46" s="64"/>
      <c r="P46" s="50"/>
    </row>
    <row r="47" spans="1:16" ht="15" thickBot="1" x14ac:dyDescent="0.4">
      <c r="A47" s="19" t="s">
        <v>144</v>
      </c>
      <c r="B47" s="19" t="s">
        <v>6</v>
      </c>
      <c r="C47" s="34">
        <v>117</v>
      </c>
      <c r="D47" s="65"/>
      <c r="E47" s="64"/>
      <c r="F47" s="64"/>
      <c r="G47" s="64"/>
      <c r="H47" s="64"/>
      <c r="P47" s="50"/>
    </row>
    <row r="48" spans="1:16" ht="15" thickBot="1" x14ac:dyDescent="0.4">
      <c r="A48" s="19" t="s">
        <v>148</v>
      </c>
      <c r="B48" s="19" t="s">
        <v>146</v>
      </c>
      <c r="C48" s="34">
        <v>1</v>
      </c>
      <c r="P48" s="50"/>
    </row>
    <row r="49" spans="1:16" ht="15" thickBot="1" x14ac:dyDescent="0.4">
      <c r="A49" s="19"/>
      <c r="B49" s="19"/>
      <c r="C49" s="19"/>
      <c r="D49" s="63"/>
      <c r="P49" s="50"/>
    </row>
    <row r="50" spans="1:16" ht="15" thickBot="1" x14ac:dyDescent="0.4">
      <c r="A50" s="14" t="s">
        <v>181</v>
      </c>
      <c r="B50" s="15"/>
      <c r="C50" s="15"/>
      <c r="D50" s="66"/>
      <c r="F50" s="67"/>
      <c r="G50" s="67"/>
      <c r="P50" s="50"/>
    </row>
    <row r="51" spans="1:16" ht="15" thickBot="1" x14ac:dyDescent="0.4">
      <c r="A51" s="19" t="s">
        <v>182</v>
      </c>
      <c r="B51" s="53" t="s">
        <v>150</v>
      </c>
      <c r="C51" s="25">
        <v>1</v>
      </c>
      <c r="P51" s="50"/>
    </row>
    <row r="52" spans="1:16" ht="15" thickBot="1" x14ac:dyDescent="0.4">
      <c r="A52" s="19"/>
      <c r="B52" s="19"/>
      <c r="C52" s="19"/>
      <c r="P52" s="50"/>
    </row>
    <row r="53" spans="1:16" ht="15" thickBot="1" x14ac:dyDescent="0.4">
      <c r="A53" s="14" t="s">
        <v>183</v>
      </c>
      <c r="B53" s="15"/>
      <c r="C53" s="15"/>
    </row>
    <row r="54" spans="1:16" ht="15" thickBot="1" x14ac:dyDescent="0.4">
      <c r="A54" s="19" t="s">
        <v>184</v>
      </c>
      <c r="B54" s="53" t="s">
        <v>150</v>
      </c>
      <c r="C54" s="68">
        <v>1</v>
      </c>
    </row>
    <row r="55" spans="1:16" ht="15" thickBot="1" x14ac:dyDescent="0.4">
      <c r="A55" s="23" t="s">
        <v>185</v>
      </c>
      <c r="B55" s="24" t="s">
        <v>155</v>
      </c>
      <c r="C55" s="25">
        <v>0.2</v>
      </c>
    </row>
    <row r="56" spans="1:16" ht="15" thickBot="1" x14ac:dyDescent="0.4">
      <c r="A56" s="69" t="s">
        <v>186</v>
      </c>
      <c r="B56" s="19"/>
      <c r="C56" s="19"/>
    </row>
    <row r="57" spans="1:16" ht="15" thickBot="1" x14ac:dyDescent="0.4">
      <c r="A57" s="23" t="s">
        <v>26</v>
      </c>
      <c r="B57" s="53" t="s">
        <v>187</v>
      </c>
      <c r="C57" s="31" t="s">
        <v>188</v>
      </c>
    </row>
    <row r="58" spans="1:16" ht="15" thickBot="1" x14ac:dyDescent="0.4">
      <c r="A58" s="23" t="s">
        <v>189</v>
      </c>
      <c r="B58" s="53" t="s">
        <v>187</v>
      </c>
      <c r="C58" s="31" t="s">
        <v>190</v>
      </c>
    </row>
    <row r="59" spans="1:16" ht="15" thickBot="1" x14ac:dyDescent="0.4">
      <c r="A59" s="23" t="s">
        <v>28</v>
      </c>
      <c r="B59" s="53" t="s">
        <v>187</v>
      </c>
      <c r="C59" s="31" t="s">
        <v>191</v>
      </c>
    </row>
    <row r="60" spans="1:16" ht="15" thickBot="1" x14ac:dyDescent="0.4">
      <c r="A60" s="23" t="s">
        <v>27</v>
      </c>
      <c r="B60" s="53" t="s">
        <v>187</v>
      </c>
      <c r="C60" s="31" t="s">
        <v>192</v>
      </c>
    </row>
    <row r="61" spans="1:16" ht="15" thickBot="1" x14ac:dyDescent="0.4">
      <c r="A61" s="23" t="s">
        <v>193</v>
      </c>
      <c r="B61" s="53" t="s">
        <v>187</v>
      </c>
      <c r="C61" s="31" t="s">
        <v>194</v>
      </c>
    </row>
    <row r="62" spans="1:16" ht="15" thickBot="1" x14ac:dyDescent="0.4">
      <c r="A62" s="23" t="s">
        <v>195</v>
      </c>
      <c r="B62" s="53" t="s">
        <v>187</v>
      </c>
      <c r="C62" s="31" t="s">
        <v>196</v>
      </c>
    </row>
    <row r="63" spans="1:16" ht="15" thickBot="1" x14ac:dyDescent="0.4">
      <c r="A63" s="23" t="s">
        <v>197</v>
      </c>
      <c r="B63" s="53" t="s">
        <v>187</v>
      </c>
      <c r="C63" s="31" t="s">
        <v>198</v>
      </c>
    </row>
    <row r="64" spans="1:16" ht="15" thickBot="1" x14ac:dyDescent="0.4">
      <c r="A64" s="69" t="s">
        <v>199</v>
      </c>
      <c r="B64" s="53" t="s">
        <v>187</v>
      </c>
      <c r="C64" s="19" t="s">
        <v>200</v>
      </c>
    </row>
    <row r="65" spans="1:4" ht="15" thickBot="1" x14ac:dyDescent="0.4">
      <c r="A65" s="69"/>
      <c r="B65" s="19"/>
      <c r="C65" s="19"/>
    </row>
    <row r="66" spans="1:4" ht="15" thickBot="1" x14ac:dyDescent="0.4">
      <c r="A66" s="69"/>
      <c r="B66" s="19"/>
      <c r="C66" s="19"/>
    </row>
    <row r="67" spans="1:4" ht="15" thickBot="1" x14ac:dyDescent="0.4">
      <c r="A67" s="69" t="s">
        <v>201</v>
      </c>
      <c r="B67" s="19"/>
      <c r="C67" s="19"/>
      <c r="D67" s="70"/>
    </row>
    <row r="68" spans="1:4" ht="15" thickBot="1" x14ac:dyDescent="0.4">
      <c r="A68" s="23" t="s">
        <v>26</v>
      </c>
      <c r="B68" s="53" t="s">
        <v>187</v>
      </c>
      <c r="C68" s="31" t="s">
        <v>202</v>
      </c>
      <c r="D68" s="70"/>
    </row>
    <row r="69" spans="1:4" ht="15" thickBot="1" x14ac:dyDescent="0.4">
      <c r="A69" s="23" t="s">
        <v>189</v>
      </c>
      <c r="B69" s="53" t="s">
        <v>187</v>
      </c>
      <c r="C69" s="31" t="s">
        <v>190</v>
      </c>
      <c r="D69" s="70"/>
    </row>
    <row r="70" spans="1:4" ht="15" thickBot="1" x14ac:dyDescent="0.4">
      <c r="A70" s="23" t="s">
        <v>28</v>
      </c>
      <c r="B70" s="53" t="s">
        <v>187</v>
      </c>
      <c r="C70" s="31" t="s">
        <v>203</v>
      </c>
      <c r="D70" s="71"/>
    </row>
    <row r="71" spans="1:4" ht="15" thickBot="1" x14ac:dyDescent="0.4">
      <c r="A71" s="23" t="s">
        <v>27</v>
      </c>
      <c r="B71" s="53" t="s">
        <v>187</v>
      </c>
      <c r="C71" s="31" t="s">
        <v>190</v>
      </c>
      <c r="D71" s="71"/>
    </row>
    <row r="72" spans="1:4" ht="15" thickBot="1" x14ac:dyDescent="0.4">
      <c r="A72" s="23" t="s">
        <v>193</v>
      </c>
      <c r="B72" s="53" t="s">
        <v>187</v>
      </c>
      <c r="C72" s="31" t="s">
        <v>204</v>
      </c>
      <c r="D72" s="71"/>
    </row>
    <row r="73" spans="1:4" ht="15" thickBot="1" x14ac:dyDescent="0.4">
      <c r="A73" s="23" t="s">
        <v>195</v>
      </c>
      <c r="B73" s="53" t="s">
        <v>187</v>
      </c>
      <c r="C73" s="31" t="s">
        <v>196</v>
      </c>
      <c r="D73" s="70"/>
    </row>
    <row r="74" spans="1:4" ht="15" thickBot="1" x14ac:dyDescent="0.4">
      <c r="A74" s="23" t="s">
        <v>197</v>
      </c>
      <c r="B74" s="53" t="s">
        <v>187</v>
      </c>
      <c r="C74" s="31" t="s">
        <v>205</v>
      </c>
      <c r="D74" s="70"/>
    </row>
    <row r="75" spans="1:4" ht="15" thickBot="1" x14ac:dyDescent="0.4">
      <c r="A75" s="69" t="s">
        <v>199</v>
      </c>
      <c r="B75" s="53" t="s">
        <v>187</v>
      </c>
      <c r="C75" s="72" t="s">
        <v>200</v>
      </c>
      <c r="D75" s="73"/>
    </row>
    <row r="76" spans="1:4" ht="15" thickBot="1" x14ac:dyDescent="0.4">
      <c r="A76" s="19"/>
      <c r="B76" s="19"/>
      <c r="C76" s="19"/>
      <c r="D76" s="70"/>
    </row>
    <row r="77" spans="1:4" ht="15" thickBot="1" x14ac:dyDescent="0.4">
      <c r="A77" s="74" t="s">
        <v>206</v>
      </c>
      <c r="B77" s="19"/>
      <c r="C77" s="75" t="s">
        <v>207</v>
      </c>
      <c r="D77" s="70"/>
    </row>
    <row r="78" spans="1:4" ht="15" thickBot="1" x14ac:dyDescent="0.4">
      <c r="A78" s="19"/>
      <c r="B78" s="19"/>
      <c r="C78" s="19"/>
      <c r="D78" s="70"/>
    </row>
    <row r="79" spans="1:4" ht="15" thickBot="1" x14ac:dyDescent="0.4">
      <c r="A79" s="14" t="s">
        <v>208</v>
      </c>
      <c r="B79" s="15"/>
      <c r="C79" s="15"/>
      <c r="D79" s="70"/>
    </row>
    <row r="80" spans="1:4" ht="26.5" thickBot="1" x14ac:dyDescent="0.4">
      <c r="A80" s="69" t="s">
        <v>209</v>
      </c>
      <c r="B80" s="19" t="s">
        <v>210</v>
      </c>
      <c r="C80" s="19"/>
      <c r="D80" s="76"/>
    </row>
    <row r="81" spans="1:4" ht="15" thickBot="1" x14ac:dyDescent="0.4">
      <c r="A81" s="19" t="s">
        <v>211</v>
      </c>
      <c r="B81" s="53" t="s">
        <v>150</v>
      </c>
      <c r="C81" s="25">
        <v>0.95</v>
      </c>
      <c r="D81" s="70"/>
    </row>
    <row r="82" spans="1:4" ht="15" thickBot="1" x14ac:dyDescent="0.4">
      <c r="A82" s="19" t="s">
        <v>212</v>
      </c>
      <c r="B82" s="53" t="s">
        <v>150</v>
      </c>
      <c r="C82" s="25">
        <v>0.05</v>
      </c>
      <c r="D82" s="73"/>
    </row>
    <row r="83" spans="1:4" ht="15" thickBot="1" x14ac:dyDescent="0.4">
      <c r="A83" s="19" t="s">
        <v>213</v>
      </c>
      <c r="B83" s="53" t="s">
        <v>150</v>
      </c>
      <c r="C83" s="31" t="s">
        <v>190</v>
      </c>
      <c r="D83" s="73"/>
    </row>
    <row r="84" spans="1:4" ht="15" thickBot="1" x14ac:dyDescent="0.4">
      <c r="A84" s="69" t="s">
        <v>214</v>
      </c>
      <c r="B84" s="53" t="s">
        <v>150</v>
      </c>
      <c r="C84" s="72" t="s">
        <v>200</v>
      </c>
      <c r="D84" s="73"/>
    </row>
    <row r="85" spans="1:4" ht="15" thickBot="1" x14ac:dyDescent="0.4">
      <c r="A85" s="19"/>
      <c r="B85" s="19"/>
      <c r="C85" s="19"/>
      <c r="D85" s="77"/>
    </row>
    <row r="86" spans="1:4" ht="15" thickBot="1" x14ac:dyDescent="0.4">
      <c r="A86" s="14" t="s">
        <v>215</v>
      </c>
      <c r="B86" s="15"/>
      <c r="C86" s="15"/>
      <c r="D86" s="77"/>
    </row>
    <row r="87" spans="1:4" ht="15" thickBot="1" x14ac:dyDescent="0.4">
      <c r="A87" s="19" t="s">
        <v>216</v>
      </c>
      <c r="B87" s="53" t="s">
        <v>150</v>
      </c>
      <c r="C87" s="25">
        <v>0.25</v>
      </c>
      <c r="D87" s="77"/>
    </row>
    <row r="88" spans="1:4" ht="15" thickBot="1" x14ac:dyDescent="0.4">
      <c r="A88" s="14" t="s">
        <v>217</v>
      </c>
      <c r="B88" s="15"/>
      <c r="C88" s="15"/>
      <c r="D88" s="78"/>
    </row>
    <row r="89" spans="1:4" ht="15" thickBot="1" x14ac:dyDescent="0.4">
      <c r="A89" s="23" t="s">
        <v>218</v>
      </c>
      <c r="B89" s="24" t="s">
        <v>6</v>
      </c>
      <c r="C89" s="79">
        <v>375</v>
      </c>
      <c r="D89" s="70"/>
    </row>
    <row r="90" spans="1:4" ht="15" thickBot="1" x14ac:dyDescent="0.4">
      <c r="A90" s="19" t="s">
        <v>219</v>
      </c>
      <c r="B90" s="19" t="s">
        <v>146</v>
      </c>
      <c r="C90" s="79">
        <v>106</v>
      </c>
      <c r="D90" s="77"/>
    </row>
    <row r="91" spans="1:4" ht="15" thickBot="1" x14ac:dyDescent="0.4">
      <c r="A91" s="19"/>
      <c r="B91" s="19"/>
      <c r="C91" s="19"/>
      <c r="D91" s="70"/>
    </row>
    <row r="92" spans="1:4" ht="15" thickBot="1" x14ac:dyDescent="0.4">
      <c r="A92" s="19" t="s">
        <v>220</v>
      </c>
      <c r="B92" s="19" t="s">
        <v>150</v>
      </c>
      <c r="C92" s="31" t="s">
        <v>221</v>
      </c>
      <c r="D92" s="70"/>
    </row>
    <row r="93" spans="1:4" ht="15" thickBot="1" x14ac:dyDescent="0.4">
      <c r="A93" s="19"/>
      <c r="B93" s="19"/>
      <c r="C93" s="19"/>
      <c r="D93" s="73"/>
    </row>
    <row r="94" spans="1:4" ht="15" thickBot="1" x14ac:dyDescent="0.4">
      <c r="A94" s="22" t="s">
        <v>222</v>
      </c>
      <c r="B94" s="15"/>
      <c r="C94" s="15"/>
      <c r="D94" s="70"/>
    </row>
    <row r="95" spans="1:4" ht="15" thickBot="1" x14ac:dyDescent="0.4">
      <c r="A95" s="23" t="s">
        <v>223</v>
      </c>
      <c r="B95" s="24" t="s">
        <v>6</v>
      </c>
      <c r="C95" s="79">
        <v>400</v>
      </c>
      <c r="D95" s="70"/>
    </row>
    <row r="96" spans="1:4" ht="15" thickBot="1" x14ac:dyDescent="0.4">
      <c r="A96" s="19" t="s">
        <v>224</v>
      </c>
      <c r="B96" s="19" t="s">
        <v>146</v>
      </c>
      <c r="C96" s="79">
        <v>106</v>
      </c>
      <c r="D96" s="73"/>
    </row>
    <row r="97" spans="1:4" ht="15" thickBot="1" x14ac:dyDescent="0.4">
      <c r="A97" s="19"/>
      <c r="B97" s="19"/>
      <c r="C97" s="19"/>
      <c r="D97" s="73"/>
    </row>
    <row r="98" spans="1:4" ht="26.5" thickBot="1" x14ac:dyDescent="0.4">
      <c r="A98" s="19" t="s">
        <v>164</v>
      </c>
      <c r="B98" s="19" t="s">
        <v>165</v>
      </c>
      <c r="C98" s="31" t="s">
        <v>225</v>
      </c>
      <c r="D98" s="80"/>
    </row>
    <row r="99" spans="1:4" ht="15" thickBot="1" x14ac:dyDescent="0.4">
      <c r="A99" s="23"/>
      <c r="B99" s="24"/>
      <c r="C99" s="19"/>
      <c r="D99" s="70"/>
    </row>
    <row r="100" spans="1:4" ht="15" thickBot="1" x14ac:dyDescent="0.4">
      <c r="A100" s="23" t="s">
        <v>226</v>
      </c>
      <c r="B100" s="24" t="s">
        <v>150</v>
      </c>
      <c r="C100" s="25">
        <v>0.01</v>
      </c>
      <c r="D100" s="70"/>
    </row>
    <row r="101" spans="1:4" ht="15" thickBot="1" x14ac:dyDescent="0.4">
      <c r="A101" s="19"/>
      <c r="B101" s="19"/>
      <c r="C101" s="79"/>
      <c r="D101" s="73"/>
    </row>
    <row r="102" spans="1:4" ht="15" thickBot="1" x14ac:dyDescent="0.4">
      <c r="A102" s="19"/>
      <c r="B102" s="19"/>
      <c r="C102" s="19"/>
      <c r="D102" s="73"/>
    </row>
    <row r="103" spans="1:4" ht="15" thickBot="1" x14ac:dyDescent="0.4">
      <c r="A103" s="23" t="s">
        <v>227</v>
      </c>
      <c r="B103" s="24" t="s">
        <v>150</v>
      </c>
      <c r="C103" s="25">
        <v>0.53</v>
      </c>
      <c r="D103" s="73"/>
    </row>
    <row r="104" spans="1:4" ht="15" thickBot="1" x14ac:dyDescent="0.4">
      <c r="A104" s="19"/>
      <c r="B104" s="19"/>
      <c r="C104" s="19"/>
      <c r="D104" s="73"/>
    </row>
    <row r="105" spans="1:4" ht="15" thickBot="1" x14ac:dyDescent="0.4">
      <c r="A105" s="14" t="s">
        <v>228</v>
      </c>
      <c r="B105" s="15"/>
      <c r="C105" s="15"/>
      <c r="D105" s="73"/>
    </row>
    <row r="106" spans="1:4" ht="15" thickBot="1" x14ac:dyDescent="0.4">
      <c r="A106" s="19"/>
      <c r="B106" s="19"/>
      <c r="C106" s="19"/>
      <c r="D106" s="70"/>
    </row>
    <row r="107" spans="1:4" ht="15" thickBot="1" x14ac:dyDescent="0.4">
      <c r="A107" s="22" t="s">
        <v>229</v>
      </c>
      <c r="B107" s="15"/>
      <c r="C107" s="15"/>
      <c r="D107" s="70"/>
    </row>
    <row r="108" spans="1:4" ht="15" thickBot="1" x14ac:dyDescent="0.4">
      <c r="A108" s="19" t="s">
        <v>230</v>
      </c>
      <c r="B108" s="19" t="s">
        <v>150</v>
      </c>
      <c r="C108" s="25">
        <v>1</v>
      </c>
      <c r="D108" s="70"/>
    </row>
    <row r="109" spans="1:4" ht="15" thickBot="1" x14ac:dyDescent="0.4">
      <c r="A109" s="19"/>
      <c r="B109" s="19"/>
      <c r="C109" s="19"/>
      <c r="D109" s="81"/>
    </row>
    <row r="110" spans="1:4" ht="15" thickBot="1" x14ac:dyDescent="0.4">
      <c r="A110" s="52" t="s">
        <v>231</v>
      </c>
      <c r="B110" s="19"/>
      <c r="C110" s="19"/>
      <c r="D110" s="81"/>
    </row>
    <row r="111" spans="1:4" ht="15" thickBot="1" x14ac:dyDescent="0.4">
      <c r="A111" s="23" t="s">
        <v>232</v>
      </c>
      <c r="B111" s="24" t="s">
        <v>150</v>
      </c>
      <c r="C111" s="25">
        <v>1</v>
      </c>
      <c r="D111" s="82"/>
    </row>
    <row r="112" spans="1:4" ht="15" thickBot="1" x14ac:dyDescent="0.4">
      <c r="A112" s="19" t="s">
        <v>233</v>
      </c>
      <c r="B112" s="19" t="s">
        <v>150</v>
      </c>
      <c r="C112" s="25">
        <v>0.04</v>
      </c>
      <c r="D112" s="81"/>
    </row>
    <row r="113" spans="1:4" ht="15" thickBot="1" x14ac:dyDescent="0.4">
      <c r="A113" s="19"/>
      <c r="B113" s="19"/>
      <c r="C113" s="19"/>
      <c r="D113" s="70"/>
    </row>
    <row r="114" spans="1:4" ht="15" thickBot="1" x14ac:dyDescent="0.4">
      <c r="A114" s="19" t="s">
        <v>234</v>
      </c>
      <c r="B114" s="19" t="s">
        <v>150</v>
      </c>
      <c r="C114" s="25">
        <v>0.2</v>
      </c>
      <c r="D114" s="70"/>
    </row>
    <row r="115" spans="1:4" ht="15" thickBot="1" x14ac:dyDescent="0.4">
      <c r="A115" s="14" t="s">
        <v>235</v>
      </c>
      <c r="B115" s="15"/>
      <c r="C115" s="15"/>
      <c r="D115" s="73"/>
    </row>
    <row r="116" spans="1:4" ht="15" thickBot="1" x14ac:dyDescent="0.4">
      <c r="A116" s="19" t="s">
        <v>236</v>
      </c>
      <c r="B116" s="19" t="s">
        <v>150</v>
      </c>
      <c r="C116" s="25">
        <v>0.85</v>
      </c>
      <c r="D116" s="73"/>
    </row>
    <row r="117" spans="1:4" ht="15" thickBot="1" x14ac:dyDescent="0.4">
      <c r="A117" s="23" t="s">
        <v>237</v>
      </c>
      <c r="B117" s="24" t="s">
        <v>155</v>
      </c>
      <c r="C117" s="31" t="s">
        <v>238</v>
      </c>
      <c r="D117" s="73"/>
    </row>
    <row r="118" spans="1:4" ht="15" thickBot="1" x14ac:dyDescent="0.4">
      <c r="A118" s="15"/>
      <c r="B118" s="15"/>
      <c r="C118" s="15"/>
      <c r="D118" s="70"/>
    </row>
    <row r="119" spans="1:4" ht="15" thickBot="1" x14ac:dyDescent="0.4">
      <c r="B119" s="83"/>
      <c r="C119" s="70"/>
      <c r="D119" s="70"/>
    </row>
    <row r="120" spans="1:4" ht="15" thickBot="1" x14ac:dyDescent="0.4">
      <c r="B120" s="70"/>
      <c r="C120" s="70"/>
      <c r="D120" s="77"/>
    </row>
    <row r="121" spans="1:4" ht="15" thickBot="1" x14ac:dyDescent="0.4">
      <c r="B121" s="70"/>
      <c r="C121" s="70"/>
      <c r="D121" s="77"/>
    </row>
    <row r="122" spans="1:4" ht="15" thickBot="1" x14ac:dyDescent="0.4">
      <c r="B122" s="70"/>
      <c r="C122" s="70"/>
      <c r="D122" s="70"/>
    </row>
    <row r="123" spans="1:4" ht="15" thickBot="1" x14ac:dyDescent="0.4">
      <c r="B123" s="83"/>
      <c r="C123" s="70"/>
      <c r="D123" s="70"/>
    </row>
    <row r="124" spans="1:4" ht="15" thickBot="1" x14ac:dyDescent="0.4">
      <c r="B124" s="70"/>
      <c r="C124" s="84"/>
      <c r="D124" s="71"/>
    </row>
    <row r="125" spans="1:4" ht="15" thickBot="1" x14ac:dyDescent="0.4">
      <c r="B125" s="70"/>
      <c r="C125" s="70"/>
      <c r="D125" s="70"/>
    </row>
    <row r="126" spans="1:4" ht="15" thickBot="1" x14ac:dyDescent="0.4">
      <c r="B126" s="83"/>
      <c r="C126" s="70"/>
      <c r="D126" s="70"/>
    </row>
    <row r="127" spans="1:4" ht="15" thickBot="1" x14ac:dyDescent="0.4">
      <c r="B127" s="70"/>
      <c r="C127" s="84"/>
      <c r="D127" s="85"/>
    </row>
    <row r="128" spans="1:4" ht="15" thickBot="1" x14ac:dyDescent="0.4">
      <c r="B128" s="86"/>
      <c r="C128" s="87"/>
      <c r="D128" s="71"/>
    </row>
    <row r="129" spans="2:4" ht="15" thickBot="1" x14ac:dyDescent="0.4">
      <c r="B129" s="88"/>
      <c r="C129" s="70"/>
      <c r="D129" s="70"/>
    </row>
    <row r="130" spans="2:4" ht="15" thickBot="1" x14ac:dyDescent="0.4">
      <c r="B130" s="86"/>
      <c r="C130" s="84"/>
      <c r="D130" s="73"/>
    </row>
    <row r="131" spans="2:4" ht="15" thickBot="1" x14ac:dyDescent="0.4">
      <c r="B131" s="86"/>
      <c r="C131" s="84"/>
      <c r="D131" s="73"/>
    </row>
    <row r="132" spans="2:4" ht="15" thickBot="1" x14ac:dyDescent="0.4">
      <c r="B132" s="86"/>
      <c r="C132" s="84"/>
      <c r="D132" s="73"/>
    </row>
    <row r="133" spans="2:4" ht="15" thickBot="1" x14ac:dyDescent="0.4">
      <c r="B133" s="86"/>
      <c r="C133" s="84"/>
      <c r="D133" s="73"/>
    </row>
    <row r="134" spans="2:4" ht="15" thickBot="1" x14ac:dyDescent="0.4">
      <c r="B134" s="86"/>
      <c r="C134" s="84"/>
      <c r="D134" s="73"/>
    </row>
    <row r="135" spans="2:4" ht="15" thickBot="1" x14ac:dyDescent="0.4">
      <c r="B135" s="86"/>
      <c r="C135" s="84"/>
      <c r="D135" s="73"/>
    </row>
    <row r="136" spans="2:4" ht="15" thickBot="1" x14ac:dyDescent="0.4">
      <c r="B136" s="86"/>
      <c r="C136" s="84"/>
      <c r="D136" s="73"/>
    </row>
    <row r="137" spans="2:4" ht="15" thickBot="1" x14ac:dyDescent="0.4">
      <c r="B137" s="88"/>
      <c r="C137" s="84"/>
      <c r="D137" s="70"/>
    </row>
    <row r="138" spans="2:4" ht="15" thickBot="1" x14ac:dyDescent="0.4">
      <c r="B138" s="88"/>
      <c r="C138" s="70"/>
      <c r="D138" s="70"/>
    </row>
    <row r="139" spans="2:4" ht="15" thickBot="1" x14ac:dyDescent="0.4">
      <c r="B139" s="88"/>
      <c r="C139" s="70"/>
      <c r="D139" s="70"/>
    </row>
    <row r="140" spans="2:4" ht="15" thickBot="1" x14ac:dyDescent="0.4">
      <c r="B140" s="88"/>
      <c r="C140" s="70"/>
      <c r="D140" s="70"/>
    </row>
    <row r="141" spans="2:4" ht="15" thickBot="1" x14ac:dyDescent="0.4">
      <c r="B141" s="86"/>
      <c r="C141" s="84"/>
      <c r="D141" s="73"/>
    </row>
    <row r="142" spans="2:4" ht="15" thickBot="1" x14ac:dyDescent="0.4">
      <c r="B142" s="86"/>
      <c r="C142" s="84"/>
      <c r="D142" s="73"/>
    </row>
    <row r="143" spans="2:4" ht="15" thickBot="1" x14ac:dyDescent="0.4">
      <c r="B143" s="86"/>
      <c r="C143" s="84"/>
      <c r="D143" s="73"/>
    </row>
    <row r="144" spans="2:4" ht="15" thickBot="1" x14ac:dyDescent="0.4">
      <c r="B144" s="86"/>
      <c r="C144" s="84"/>
      <c r="D144" s="73"/>
    </row>
    <row r="145" spans="2:4" ht="15" thickBot="1" x14ac:dyDescent="0.4">
      <c r="B145" s="86"/>
      <c r="C145" s="84"/>
      <c r="D145" s="73"/>
    </row>
    <row r="146" spans="2:4" ht="15" thickBot="1" x14ac:dyDescent="0.4">
      <c r="B146" s="86"/>
      <c r="C146" s="84"/>
      <c r="D146" s="73"/>
    </row>
    <row r="147" spans="2:4" ht="15" thickBot="1" x14ac:dyDescent="0.4">
      <c r="B147" s="86"/>
      <c r="C147" s="84"/>
      <c r="D147" s="73"/>
    </row>
    <row r="148" spans="2:4" ht="15" thickBot="1" x14ac:dyDescent="0.4">
      <c r="B148" s="88"/>
      <c r="C148" s="84"/>
      <c r="D148" s="89"/>
    </row>
    <row r="149" spans="2:4" ht="15" thickBot="1" x14ac:dyDescent="0.4">
      <c r="B149" s="70"/>
      <c r="C149" s="70"/>
      <c r="D149" s="70"/>
    </row>
    <row r="150" spans="2:4" ht="15" thickBot="1" x14ac:dyDescent="0.4">
      <c r="B150" s="90"/>
      <c r="C150" s="70"/>
      <c r="D150" s="91"/>
    </row>
    <row r="151" spans="2:4" ht="15" thickBot="1" x14ac:dyDescent="0.4">
      <c r="B151" s="70"/>
      <c r="C151" s="70"/>
      <c r="D151" s="70"/>
    </row>
    <row r="152" spans="2:4" ht="15" thickBot="1" x14ac:dyDescent="0.4">
      <c r="B152" s="83"/>
      <c r="C152" s="70"/>
      <c r="D152" s="70"/>
    </row>
    <row r="153" spans="2:4" ht="15" thickBot="1" x14ac:dyDescent="0.4">
      <c r="B153" s="88"/>
      <c r="C153" s="70"/>
      <c r="D153" s="70"/>
    </row>
    <row r="154" spans="2:4" ht="15" thickBot="1" x14ac:dyDescent="0.4">
      <c r="B154" s="70"/>
      <c r="C154" s="84"/>
      <c r="D154" s="73"/>
    </row>
    <row r="155" spans="2:4" ht="15" thickBot="1" x14ac:dyDescent="0.4">
      <c r="B155" s="70"/>
      <c r="C155" s="84"/>
      <c r="D155" s="73"/>
    </row>
    <row r="156" spans="2:4" ht="15" thickBot="1" x14ac:dyDescent="0.4">
      <c r="B156" s="70"/>
      <c r="C156" s="84"/>
      <c r="D156" s="73"/>
    </row>
    <row r="157" spans="2:4" ht="15" thickBot="1" x14ac:dyDescent="0.4">
      <c r="B157" s="88"/>
      <c r="C157" s="84"/>
      <c r="D157" s="89"/>
    </row>
    <row r="158" spans="2:4" ht="15" thickBot="1" x14ac:dyDescent="0.4">
      <c r="B158" s="70"/>
      <c r="C158" s="70"/>
      <c r="D158" s="70"/>
    </row>
    <row r="159" spans="2:4" ht="15" thickBot="1" x14ac:dyDescent="0.4">
      <c r="B159" s="83"/>
      <c r="C159" s="70"/>
      <c r="D159" s="70"/>
    </row>
    <row r="160" spans="2:4" ht="15" thickBot="1" x14ac:dyDescent="0.4">
      <c r="B160" s="70"/>
      <c r="C160" s="84"/>
      <c r="D160" s="71"/>
    </row>
    <row r="161" spans="2:4" ht="15" thickBot="1" x14ac:dyDescent="0.4">
      <c r="B161" s="83"/>
      <c r="C161" s="70"/>
      <c r="D161" s="70"/>
    </row>
    <row r="162" spans="2:4" ht="15" thickBot="1" x14ac:dyDescent="0.4">
      <c r="B162" s="86"/>
      <c r="C162" s="87"/>
      <c r="D162" s="92"/>
    </row>
    <row r="163" spans="2:4" ht="15" thickBot="1" x14ac:dyDescent="0.4">
      <c r="B163" s="70"/>
      <c r="C163" s="70"/>
      <c r="D163" s="92"/>
    </row>
    <row r="164" spans="2:4" ht="15" thickBot="1" x14ac:dyDescent="0.4">
      <c r="B164" s="70"/>
      <c r="C164" s="70"/>
      <c r="D164" s="70"/>
    </row>
    <row r="165" spans="2:4" ht="15" thickBot="1" x14ac:dyDescent="0.4">
      <c r="B165" s="70"/>
      <c r="C165" s="70"/>
      <c r="D165" s="73"/>
    </row>
    <row r="166" spans="2:4" ht="15" thickBot="1" x14ac:dyDescent="0.4">
      <c r="B166" s="70"/>
      <c r="C166" s="70"/>
      <c r="D166" s="70"/>
    </row>
    <row r="167" spans="2:4" ht="15" thickBot="1" x14ac:dyDescent="0.4">
      <c r="B167" s="93"/>
      <c r="C167" s="70"/>
      <c r="D167" s="70"/>
    </row>
    <row r="168" spans="2:4" ht="15" thickBot="1" x14ac:dyDescent="0.4">
      <c r="B168" s="86"/>
      <c r="C168" s="87"/>
      <c r="D168" s="92"/>
    </row>
    <row r="169" spans="2:4" ht="15" thickBot="1" x14ac:dyDescent="0.4">
      <c r="B169" s="70"/>
      <c r="C169" s="70"/>
      <c r="D169" s="92"/>
    </row>
    <row r="170" spans="2:4" ht="15" thickBot="1" x14ac:dyDescent="0.4">
      <c r="B170" s="70"/>
      <c r="C170" s="70"/>
      <c r="D170" s="70"/>
    </row>
    <row r="171" spans="2:4" ht="15" thickBot="1" x14ac:dyDescent="0.4">
      <c r="B171" s="70"/>
      <c r="C171" s="70"/>
      <c r="D171" s="73"/>
    </row>
    <row r="172" spans="2:4" ht="15" thickBot="1" x14ac:dyDescent="0.4">
      <c r="B172" s="86"/>
      <c r="C172" s="87"/>
      <c r="D172" s="70"/>
    </row>
    <row r="173" spans="2:4" ht="15" thickBot="1" x14ac:dyDescent="0.4">
      <c r="B173" s="86"/>
      <c r="C173" s="87"/>
      <c r="D173" s="71"/>
    </row>
    <row r="174" spans="2:4" ht="15" thickBot="1" x14ac:dyDescent="0.4">
      <c r="B174" s="70"/>
      <c r="C174" s="70"/>
      <c r="D174" s="92"/>
    </row>
    <row r="175" spans="2:4" ht="15" thickBot="1" x14ac:dyDescent="0.4">
      <c r="B175" s="70"/>
      <c r="C175" s="70"/>
      <c r="D175" s="70"/>
    </row>
    <row r="176" spans="2:4" ht="15" thickBot="1" x14ac:dyDescent="0.4">
      <c r="B176" s="86"/>
      <c r="C176" s="87"/>
      <c r="D176" s="71"/>
    </row>
    <row r="177" spans="2:4" ht="15" thickBot="1" x14ac:dyDescent="0.4">
      <c r="B177" s="70"/>
      <c r="C177" s="70"/>
      <c r="D177" s="70"/>
    </row>
    <row r="178" spans="2:4" ht="15" thickBot="1" x14ac:dyDescent="0.4">
      <c r="B178" s="83"/>
      <c r="C178" s="70"/>
      <c r="D178" s="70"/>
    </row>
    <row r="179" spans="2:4" ht="15" thickBot="1" x14ac:dyDescent="0.4">
      <c r="B179" s="70"/>
      <c r="C179" s="70"/>
      <c r="D179" s="70"/>
    </row>
    <row r="180" spans="2:4" ht="15" thickBot="1" x14ac:dyDescent="0.4">
      <c r="B180" s="93"/>
      <c r="C180" s="70"/>
      <c r="D180" s="70"/>
    </row>
    <row r="181" spans="2:4" ht="15" thickBot="1" x14ac:dyDescent="0.4">
      <c r="B181" s="70"/>
      <c r="C181" s="70"/>
      <c r="D181" s="71"/>
    </row>
    <row r="182" spans="2:4" ht="15" thickBot="1" x14ac:dyDescent="0.4">
      <c r="B182" s="70"/>
      <c r="C182" s="70"/>
      <c r="D182" s="70"/>
    </row>
    <row r="183" spans="2:4" ht="15" thickBot="1" x14ac:dyDescent="0.4">
      <c r="B183" s="94"/>
      <c r="C183" s="70"/>
      <c r="D183" s="70"/>
    </row>
    <row r="184" spans="2:4" ht="15" thickBot="1" x14ac:dyDescent="0.4">
      <c r="B184" s="86"/>
      <c r="C184" s="87"/>
      <c r="D184" s="71"/>
    </row>
    <row r="185" spans="2:4" ht="15" thickBot="1" x14ac:dyDescent="0.4">
      <c r="B185" s="70"/>
      <c r="C185" s="70"/>
      <c r="D185" s="71"/>
    </row>
    <row r="186" spans="2:4" ht="15" thickBot="1" x14ac:dyDescent="0.4">
      <c r="B186" s="70"/>
      <c r="C186" s="70"/>
      <c r="D186" s="70"/>
    </row>
    <row r="187" spans="2:4" ht="15" thickBot="1" x14ac:dyDescent="0.4">
      <c r="B187" s="70"/>
      <c r="C187" s="70"/>
      <c r="D187" s="71"/>
    </row>
    <row r="188" spans="2:4" ht="15" thickBot="1" x14ac:dyDescent="0.4">
      <c r="B188" s="83"/>
      <c r="C188" s="70"/>
      <c r="D188" s="70"/>
    </row>
    <row r="189" spans="2:4" ht="15" thickBot="1" x14ac:dyDescent="0.4">
      <c r="B189" s="70"/>
      <c r="C189" s="70"/>
      <c r="D189" s="71"/>
    </row>
    <row r="190" spans="2:4" ht="15" thickBot="1" x14ac:dyDescent="0.4">
      <c r="B190" s="86"/>
      <c r="C190" s="87"/>
      <c r="D190" s="73"/>
    </row>
    <row r="191" spans="2:4" ht="15" thickBot="1" x14ac:dyDescent="0.4">
      <c r="B191" s="70"/>
      <c r="C191" s="70"/>
      <c r="D191" s="70"/>
    </row>
  </sheetData>
  <mergeCells count="2">
    <mergeCell ref="H8:I8"/>
    <mergeCell ref="H21:I21"/>
  </mergeCells>
  <pageMargins left="0.7" right="0.7" top="0.75" bottom="0.75" header="0.3" footer="0.3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A2DE0A-C694-4BE1-AC4F-7306BDF6FF0B}">
  <dimension ref="A1:N174"/>
  <sheetViews>
    <sheetView topLeftCell="A134" workbookViewId="0">
      <selection activeCell="C143" sqref="C1:C143"/>
    </sheetView>
  </sheetViews>
  <sheetFormatPr defaultRowHeight="14.5" x14ac:dyDescent="0.35"/>
  <cols>
    <col min="1" max="1" width="35.453125" customWidth="1"/>
    <col min="2" max="2" width="21.81640625" customWidth="1"/>
    <col min="3" max="3" width="14.26953125" customWidth="1"/>
    <col min="7" max="7" width="10.26953125" customWidth="1"/>
    <col min="12" max="12" width="38.1796875" customWidth="1"/>
    <col min="14" max="14" width="11" bestFit="1" customWidth="1"/>
  </cols>
  <sheetData>
    <row r="1" spans="1:5" ht="15" thickBot="1" x14ac:dyDescent="0.4">
      <c r="A1" s="22" t="s">
        <v>241</v>
      </c>
      <c r="B1" s="15"/>
      <c r="C1" s="15"/>
      <c r="D1" t="s">
        <v>242</v>
      </c>
    </row>
    <row r="2" spans="1:5" ht="15" thickBot="1" x14ac:dyDescent="0.4">
      <c r="A2" s="19"/>
      <c r="B2" s="19"/>
      <c r="C2" s="19"/>
    </row>
    <row r="3" spans="1:5" ht="15" thickBot="1" x14ac:dyDescent="0.4">
      <c r="A3" s="22" t="s">
        <v>243</v>
      </c>
      <c r="B3" s="15"/>
      <c r="C3" s="15"/>
    </row>
    <row r="4" spans="1:5" ht="15" thickBot="1" x14ac:dyDescent="0.4">
      <c r="A4" s="69" t="s">
        <v>244</v>
      </c>
      <c r="B4" s="19"/>
      <c r="C4" s="19"/>
    </row>
    <row r="5" spans="1:5" ht="15" thickBot="1" x14ac:dyDescent="0.4">
      <c r="A5" s="96" t="s">
        <v>245</v>
      </c>
      <c r="B5" s="96" t="s">
        <v>246</v>
      </c>
      <c r="C5" s="97"/>
      <c r="D5">
        <f>Experimental_Background!F6</f>
        <v>28125</v>
      </c>
      <c r="E5">
        <f>SUM(D6:D8)</f>
        <v>28185.745136576203</v>
      </c>
    </row>
    <row r="6" spans="1:5" ht="15" thickBot="1" x14ac:dyDescent="0.4">
      <c r="A6" s="98" t="s">
        <v>247</v>
      </c>
      <c r="B6" s="99" t="s">
        <v>246</v>
      </c>
      <c r="C6" s="98"/>
      <c r="D6">
        <v>26410.9306</v>
      </c>
    </row>
    <row r="7" spans="1:5" ht="15" thickBot="1" x14ac:dyDescent="0.4">
      <c r="A7" s="98" t="s">
        <v>248</v>
      </c>
      <c r="B7" s="99" t="s">
        <v>246</v>
      </c>
      <c r="C7" s="98"/>
      <c r="D7">
        <f>D5*Experimental_Background!D5/100</f>
        <v>1714.0693961874356</v>
      </c>
    </row>
    <row r="8" spans="1:5" ht="15" thickBot="1" x14ac:dyDescent="0.4">
      <c r="A8" s="98" t="s">
        <v>249</v>
      </c>
      <c r="B8" s="99" t="s">
        <v>246</v>
      </c>
      <c r="C8" s="98"/>
      <c r="D8">
        <f>D5*Experimental_Background!D8/100</f>
        <v>60.745140388768903</v>
      </c>
    </row>
    <row r="9" spans="1:5" ht="15" thickBot="1" x14ac:dyDescent="0.4">
      <c r="A9" s="22" t="s">
        <v>139</v>
      </c>
      <c r="B9" s="22"/>
      <c r="C9" s="22"/>
    </row>
    <row r="10" spans="1:5" ht="15" thickBot="1" x14ac:dyDescent="0.4">
      <c r="A10" s="100" t="s">
        <v>250</v>
      </c>
      <c r="B10" s="19"/>
      <c r="C10" s="101"/>
    </row>
    <row r="11" spans="1:5" ht="15" thickBot="1" x14ac:dyDescent="0.4">
      <c r="A11" s="69"/>
      <c r="B11" s="19"/>
      <c r="C11" s="19"/>
    </row>
    <row r="12" spans="1:5" ht="15" thickBot="1" x14ac:dyDescent="0.4">
      <c r="A12" s="69" t="s">
        <v>251</v>
      </c>
      <c r="B12" s="19"/>
      <c r="C12" s="72"/>
      <c r="D12" s="102"/>
    </row>
    <row r="13" spans="1:5" ht="15" thickBot="1" x14ac:dyDescent="0.4">
      <c r="A13" s="96" t="s">
        <v>252</v>
      </c>
      <c r="B13" s="96" t="s">
        <v>246</v>
      </c>
      <c r="C13" s="97"/>
    </row>
    <row r="14" spans="1:5" ht="15" thickBot="1" x14ac:dyDescent="0.4">
      <c r="A14" s="96" t="s">
        <v>212</v>
      </c>
      <c r="B14" s="96" t="s">
        <v>246</v>
      </c>
      <c r="C14" s="97"/>
    </row>
    <row r="15" spans="1:5" ht="15" thickBot="1" x14ac:dyDescent="0.4">
      <c r="A15" s="103" t="s">
        <v>253</v>
      </c>
      <c r="B15" s="96" t="s">
        <v>246</v>
      </c>
      <c r="C15" s="97"/>
      <c r="D15" s="102"/>
    </row>
    <row r="16" spans="1:5" ht="15" thickBot="1" x14ac:dyDescent="0.4">
      <c r="A16" s="104" t="s">
        <v>254</v>
      </c>
      <c r="B16" s="105" t="s">
        <v>246</v>
      </c>
      <c r="C16" s="104"/>
      <c r="D16" s="102"/>
    </row>
    <row r="17" spans="1:7" ht="15" thickBot="1" x14ac:dyDescent="0.4">
      <c r="A17" s="104" t="s">
        <v>248</v>
      </c>
      <c r="B17" s="105" t="s">
        <v>246</v>
      </c>
      <c r="C17" s="104"/>
      <c r="D17" s="102"/>
      <c r="F17" s="102"/>
    </row>
    <row r="18" spans="1:7" ht="15" thickBot="1" x14ac:dyDescent="0.4">
      <c r="A18" s="19"/>
      <c r="B18" s="19"/>
      <c r="C18" s="19"/>
    </row>
    <row r="19" spans="1:7" ht="15" thickBot="1" x14ac:dyDescent="0.4">
      <c r="A19" s="69" t="s">
        <v>244</v>
      </c>
      <c r="B19" s="19"/>
      <c r="C19" s="19"/>
      <c r="D19" t="s">
        <v>854</v>
      </c>
    </row>
    <row r="20" spans="1:7" ht="15" thickBot="1" x14ac:dyDescent="0.4">
      <c r="A20" s="96" t="s">
        <v>255</v>
      </c>
      <c r="B20" s="96" t="s">
        <v>246</v>
      </c>
      <c r="C20" s="72"/>
      <c r="D20">
        <f>SUM(D21:D24)</f>
        <v>291371.5526</v>
      </c>
    </row>
    <row r="21" spans="1:7" ht="15" thickBot="1" x14ac:dyDescent="0.4">
      <c r="A21" s="98" t="s">
        <v>256</v>
      </c>
      <c r="B21" s="99" t="s">
        <v>246</v>
      </c>
      <c r="C21" s="98"/>
      <c r="D21">
        <f>D6-D22</f>
        <v>26350.185459611232</v>
      </c>
    </row>
    <row r="22" spans="1:7" ht="15" thickBot="1" x14ac:dyDescent="0.4">
      <c r="A22" s="106" t="s">
        <v>257</v>
      </c>
      <c r="B22" s="107" t="s">
        <v>246</v>
      </c>
      <c r="C22" s="106"/>
      <c r="D22">
        <f>D8</f>
        <v>60.745140388768903</v>
      </c>
    </row>
    <row r="23" spans="1:7" ht="15" thickBot="1" x14ac:dyDescent="0.4">
      <c r="A23" s="98" t="s">
        <v>258</v>
      </c>
      <c r="B23" s="99" t="s">
        <v>246</v>
      </c>
      <c r="C23" s="98"/>
      <c r="D23" s="102">
        <v>417.62200000000001</v>
      </c>
    </row>
    <row r="24" spans="1:7" ht="15" thickBot="1" x14ac:dyDescent="0.4">
      <c r="A24" s="98" t="s">
        <v>248</v>
      </c>
      <c r="B24" s="99" t="s">
        <v>246</v>
      </c>
      <c r="C24" s="98"/>
      <c r="D24" s="102">
        <v>264543</v>
      </c>
    </row>
    <row r="25" spans="1:7" ht="15" thickBot="1" x14ac:dyDescent="0.4">
      <c r="A25" s="19"/>
      <c r="B25" s="19"/>
      <c r="C25" s="19"/>
    </row>
    <row r="26" spans="1:7" ht="15" thickBot="1" x14ac:dyDescent="0.4">
      <c r="A26" s="22" t="s">
        <v>156</v>
      </c>
      <c r="B26" s="15"/>
      <c r="C26" s="15"/>
    </row>
    <row r="27" spans="1:7" ht="15" thickBot="1" x14ac:dyDescent="0.4">
      <c r="A27" s="96" t="s">
        <v>255</v>
      </c>
      <c r="B27" s="96" t="s">
        <v>246</v>
      </c>
      <c r="C27" s="97"/>
      <c r="D27">
        <f>D20</f>
        <v>291371.5526</v>
      </c>
    </row>
    <row r="28" spans="1:7" ht="15" thickBot="1" x14ac:dyDescent="0.4">
      <c r="A28" s="19"/>
      <c r="B28" s="19"/>
      <c r="C28" s="19"/>
    </row>
    <row r="29" spans="1:7" ht="15" thickBot="1" x14ac:dyDescent="0.4">
      <c r="A29" s="96" t="s">
        <v>259</v>
      </c>
      <c r="B29" s="96" t="s">
        <v>246</v>
      </c>
      <c r="C29" s="97"/>
      <c r="D29">
        <f>D30+D33+D36+D39+D40</f>
        <v>291371.90286574076</v>
      </c>
    </row>
    <row r="30" spans="1:7" ht="15" thickBot="1" x14ac:dyDescent="0.4">
      <c r="A30" s="98" t="s">
        <v>260</v>
      </c>
      <c r="B30" s="99" t="s">
        <v>246</v>
      </c>
      <c r="C30" s="98"/>
      <c r="D30">
        <f>13897.2-D36</f>
        <v>10677.77941253308</v>
      </c>
      <c r="E30">
        <f>D30/$D$6</f>
        <v>0.40429394837503685</v>
      </c>
      <c r="G30">
        <v>1157024.7477684901</v>
      </c>
    </row>
    <row r="31" spans="1:7" ht="15" thickBot="1" x14ac:dyDescent="0.4">
      <c r="A31" s="108" t="s">
        <v>261</v>
      </c>
      <c r="B31" s="109" t="s">
        <v>246</v>
      </c>
      <c r="C31" s="108"/>
      <c r="E31">
        <f t="shared" ref="E31:E40" si="0">D31/$D$6</f>
        <v>0</v>
      </c>
    </row>
    <row r="32" spans="1:7" ht="15" thickBot="1" x14ac:dyDescent="0.4">
      <c r="A32" s="108" t="s">
        <v>262</v>
      </c>
      <c r="B32" s="109" t="s">
        <v>246</v>
      </c>
      <c r="C32" s="108"/>
      <c r="E32">
        <f t="shared" si="0"/>
        <v>0</v>
      </c>
    </row>
    <row r="33" spans="1:7" ht="15" thickBot="1" x14ac:dyDescent="0.4">
      <c r="A33" s="98" t="s">
        <v>263</v>
      </c>
      <c r="B33" s="99" t="s">
        <v>246</v>
      </c>
      <c r="C33" s="98"/>
      <c r="D33">
        <v>12931.339359658799</v>
      </c>
      <c r="E33">
        <f t="shared" si="0"/>
        <v>0.48962073906092501</v>
      </c>
    </row>
    <row r="34" spans="1:7" ht="15" thickBot="1" x14ac:dyDescent="0.4">
      <c r="A34" s="108" t="s">
        <v>261</v>
      </c>
      <c r="B34" s="109" t="s">
        <v>246</v>
      </c>
      <c r="C34" s="108"/>
      <c r="E34">
        <f t="shared" si="0"/>
        <v>0</v>
      </c>
    </row>
    <row r="35" spans="1:7" ht="15" thickBot="1" x14ac:dyDescent="0.4">
      <c r="A35" s="108" t="s">
        <v>262</v>
      </c>
      <c r="B35" s="109" t="s">
        <v>246</v>
      </c>
      <c r="C35" s="108"/>
      <c r="E35">
        <f t="shared" si="0"/>
        <v>0</v>
      </c>
    </row>
    <row r="36" spans="1:7" ht="15" thickBot="1" x14ac:dyDescent="0.4">
      <c r="A36" s="98" t="s">
        <v>264</v>
      </c>
      <c r="B36" s="99" t="s">
        <v>246</v>
      </c>
      <c r="C36" s="98"/>
      <c r="D36">
        <v>3219.4205874669201</v>
      </c>
      <c r="E36">
        <f t="shared" si="0"/>
        <v>0.12189727943425516</v>
      </c>
    </row>
    <row r="37" spans="1:7" ht="15" thickBot="1" x14ac:dyDescent="0.4">
      <c r="A37" s="108" t="s">
        <v>261</v>
      </c>
      <c r="B37" s="109" t="s">
        <v>246</v>
      </c>
      <c r="C37" s="108"/>
      <c r="E37">
        <f t="shared" si="0"/>
        <v>0</v>
      </c>
    </row>
    <row r="38" spans="1:7" ht="15" thickBot="1" x14ac:dyDescent="0.4">
      <c r="A38" s="108" t="s">
        <v>262</v>
      </c>
      <c r="B38" s="109" t="s">
        <v>246</v>
      </c>
      <c r="C38" s="108"/>
      <c r="E38">
        <f t="shared" si="0"/>
        <v>0</v>
      </c>
    </row>
    <row r="39" spans="1:7" ht="15" thickBot="1" x14ac:dyDescent="0.4">
      <c r="A39" s="98" t="s">
        <v>248</v>
      </c>
      <c r="B39" s="99" t="s">
        <v>246</v>
      </c>
      <c r="C39" s="98"/>
      <c r="D39">
        <v>264543.36350608198</v>
      </c>
      <c r="E39">
        <f t="shared" si="0"/>
        <v>10.016434767583766</v>
      </c>
      <c r="G39">
        <v>51380.707767106003</v>
      </c>
    </row>
    <row r="40" spans="1:7" ht="15" thickBot="1" x14ac:dyDescent="0.4">
      <c r="A40" s="98" t="s">
        <v>265</v>
      </c>
      <c r="B40" s="99" t="s">
        <v>246</v>
      </c>
      <c r="C40" s="98"/>
      <c r="D40">
        <v>0</v>
      </c>
      <c r="E40">
        <f t="shared" si="0"/>
        <v>0</v>
      </c>
      <c r="G40">
        <f>G39+D33</f>
        <v>64312.047126764803</v>
      </c>
    </row>
    <row r="41" spans="1:7" ht="15" thickBot="1" x14ac:dyDescent="0.4">
      <c r="A41" s="108" t="s">
        <v>261</v>
      </c>
      <c r="B41" s="109" t="s">
        <v>246</v>
      </c>
      <c r="C41" s="108"/>
    </row>
    <row r="42" spans="1:7" ht="15" thickBot="1" x14ac:dyDescent="0.4">
      <c r="A42" s="108" t="s">
        <v>262</v>
      </c>
      <c r="B42" s="109" t="s">
        <v>246</v>
      </c>
      <c r="C42" s="108"/>
    </row>
    <row r="43" spans="1:7" ht="15" thickBot="1" x14ac:dyDescent="0.4">
      <c r="A43" s="98"/>
      <c r="B43" s="99"/>
      <c r="C43" s="99"/>
      <c r="E43">
        <f>SUM(E30:E36)</f>
        <v>1.015811966870217</v>
      </c>
    </row>
    <row r="44" spans="1:7" ht="15" thickBot="1" x14ac:dyDescent="0.4">
      <c r="A44" s="22" t="s">
        <v>266</v>
      </c>
      <c r="B44" s="15"/>
      <c r="C44" s="15"/>
    </row>
    <row r="45" spans="1:7" ht="15" thickBot="1" x14ac:dyDescent="0.4">
      <c r="A45" s="52" t="s">
        <v>251</v>
      </c>
      <c r="B45" s="19"/>
      <c r="C45" s="99"/>
    </row>
    <row r="46" spans="1:7" ht="15" thickBot="1" x14ac:dyDescent="0.4">
      <c r="A46" s="96" t="s">
        <v>259</v>
      </c>
      <c r="B46" s="96" t="s">
        <v>246</v>
      </c>
      <c r="C46" s="97"/>
      <c r="D46">
        <f>D29</f>
        <v>291371.90286574076</v>
      </c>
    </row>
    <row r="47" spans="1:7" ht="15" thickBot="1" x14ac:dyDescent="0.4">
      <c r="A47" s="19"/>
      <c r="B47" s="19"/>
      <c r="C47" s="19"/>
    </row>
    <row r="48" spans="1:7" ht="15" thickBot="1" x14ac:dyDescent="0.4">
      <c r="A48" s="69" t="s">
        <v>244</v>
      </c>
      <c r="B48" s="19"/>
      <c r="C48" s="19"/>
    </row>
    <row r="49" spans="1:4" ht="15" thickBot="1" x14ac:dyDescent="0.4">
      <c r="A49" s="96" t="s">
        <v>267</v>
      </c>
      <c r="B49" s="96" t="s">
        <v>246</v>
      </c>
      <c r="C49" s="97"/>
      <c r="D49">
        <f>D46</f>
        <v>291371.90286574076</v>
      </c>
    </row>
    <row r="50" spans="1:4" ht="15" thickBot="1" x14ac:dyDescent="0.4">
      <c r="A50" s="19"/>
      <c r="B50" s="19"/>
      <c r="C50" s="19"/>
    </row>
    <row r="51" spans="1:4" ht="15" thickBot="1" x14ac:dyDescent="0.4">
      <c r="A51" s="22" t="s">
        <v>268</v>
      </c>
      <c r="B51" s="15"/>
      <c r="C51" s="15"/>
    </row>
    <row r="52" spans="1:4" ht="15" thickBot="1" x14ac:dyDescent="0.4">
      <c r="A52" s="69" t="s">
        <v>251</v>
      </c>
      <c r="B52" s="19"/>
      <c r="C52" s="19"/>
    </row>
    <row r="53" spans="1:4" ht="15" thickBot="1" x14ac:dyDescent="0.4">
      <c r="A53" s="96" t="s">
        <v>269</v>
      </c>
      <c r="B53" s="96" t="s">
        <v>246</v>
      </c>
      <c r="C53" s="97"/>
      <c r="D53">
        <f>D49</f>
        <v>291371.90286574076</v>
      </c>
    </row>
    <row r="54" spans="1:4" ht="15" thickBot="1" x14ac:dyDescent="0.4">
      <c r="A54" s="19"/>
      <c r="B54" s="19"/>
      <c r="C54" s="19"/>
    </row>
    <row r="55" spans="1:4" ht="15" thickBot="1" x14ac:dyDescent="0.4">
      <c r="A55" s="69" t="s">
        <v>244</v>
      </c>
      <c r="B55" s="19"/>
      <c r="C55" s="72"/>
      <c r="D55">
        <f>SUM(D56:D57)</f>
        <v>291371.86838017689</v>
      </c>
    </row>
    <row r="56" spans="1:4" ht="15" thickBot="1" x14ac:dyDescent="0.4">
      <c r="A56" s="96" t="s">
        <v>270</v>
      </c>
      <c r="B56" s="96" t="s">
        <v>246</v>
      </c>
      <c r="C56" s="97"/>
      <c r="D56">
        <v>288152.44779270998</v>
      </c>
    </row>
    <row r="57" spans="1:4" ht="15" thickBot="1" x14ac:dyDescent="0.4">
      <c r="A57" s="96" t="s">
        <v>271</v>
      </c>
      <c r="B57" s="96" t="s">
        <v>246</v>
      </c>
      <c r="C57" s="97"/>
      <c r="D57">
        <f>D36</f>
        <v>3219.4205874669201</v>
      </c>
    </row>
    <row r="58" spans="1:4" ht="15" thickBot="1" x14ac:dyDescent="0.4">
      <c r="A58" s="19"/>
      <c r="B58" s="19"/>
      <c r="C58" s="19"/>
    </row>
    <row r="59" spans="1:4" ht="15" thickBot="1" x14ac:dyDescent="0.4">
      <c r="A59" s="14" t="s">
        <v>183</v>
      </c>
      <c r="B59" s="15"/>
      <c r="C59" s="15"/>
    </row>
    <row r="60" spans="1:4" ht="15" thickBot="1" x14ac:dyDescent="0.4">
      <c r="A60" s="69" t="s">
        <v>251</v>
      </c>
      <c r="B60" s="19"/>
      <c r="C60" s="19"/>
    </row>
    <row r="61" spans="1:4" ht="15" thickBot="1" x14ac:dyDescent="0.4">
      <c r="A61" s="96" t="s">
        <v>270</v>
      </c>
      <c r="B61" s="96" t="s">
        <v>246</v>
      </c>
      <c r="C61" s="97"/>
      <c r="D61">
        <f>D56</f>
        <v>288152.44779270998</v>
      </c>
    </row>
    <row r="62" spans="1:4" ht="15" thickBot="1" x14ac:dyDescent="0.4">
      <c r="A62" s="19"/>
      <c r="B62" s="19"/>
      <c r="C62" s="19"/>
    </row>
    <row r="63" spans="1:4" ht="15" thickBot="1" x14ac:dyDescent="0.4">
      <c r="A63" s="69" t="s">
        <v>244</v>
      </c>
      <c r="B63" s="19"/>
      <c r="C63" s="72"/>
      <c r="D63">
        <f>D64+D65</f>
        <v>288152.44779270998</v>
      </c>
    </row>
    <row r="64" spans="1:4" ht="15" thickBot="1" x14ac:dyDescent="0.4">
      <c r="A64" s="96" t="s">
        <v>272</v>
      </c>
      <c r="B64" s="96" t="s">
        <v>246</v>
      </c>
      <c r="C64" s="97"/>
      <c r="D64">
        <v>288152.44779270998</v>
      </c>
    </row>
    <row r="65" spans="1:14" ht="15" thickBot="1" x14ac:dyDescent="0.4">
      <c r="A65" s="96" t="s">
        <v>273</v>
      </c>
      <c r="B65" s="96" t="s">
        <v>246</v>
      </c>
      <c r="C65" s="97"/>
      <c r="D65">
        <v>0</v>
      </c>
    </row>
    <row r="66" spans="1:14" ht="15" thickBot="1" x14ac:dyDescent="0.4">
      <c r="A66" s="14" t="s">
        <v>208</v>
      </c>
      <c r="B66" s="15"/>
      <c r="C66" s="15"/>
    </row>
    <row r="67" spans="1:14" ht="15" thickBot="1" x14ac:dyDescent="0.4">
      <c r="A67" s="69" t="s">
        <v>251</v>
      </c>
      <c r="B67" s="19"/>
      <c r="C67" s="19"/>
    </row>
    <row r="68" spans="1:14" ht="15" thickBot="1" x14ac:dyDescent="0.4">
      <c r="A68" s="96" t="s">
        <v>272</v>
      </c>
      <c r="B68" s="96" t="s">
        <v>246</v>
      </c>
      <c r="C68" s="97"/>
      <c r="D68">
        <f>D64</f>
        <v>288152.44779270998</v>
      </c>
    </row>
    <row r="69" spans="1:14" ht="15" thickBot="1" x14ac:dyDescent="0.4">
      <c r="A69" s="19"/>
      <c r="B69" s="19"/>
      <c r="C69" s="19"/>
    </row>
    <row r="70" spans="1:14" ht="15" thickBot="1" x14ac:dyDescent="0.4">
      <c r="A70" s="69" t="s">
        <v>244</v>
      </c>
      <c r="B70" s="19"/>
      <c r="C70" s="72"/>
      <c r="D70">
        <f>D71+D75</f>
        <v>288152.31496798294</v>
      </c>
    </row>
    <row r="71" spans="1:14" ht="15" thickBot="1" x14ac:dyDescent="0.4">
      <c r="A71" s="96" t="s">
        <v>20</v>
      </c>
      <c r="B71" s="96" t="s">
        <v>246</v>
      </c>
      <c r="C71" s="97"/>
      <c r="D71">
        <f>SUM(D72:D74)</f>
        <v>10713.966967982939</v>
      </c>
    </row>
    <row r="72" spans="1:14" ht="15" thickBot="1" x14ac:dyDescent="0.4">
      <c r="A72" s="98" t="s">
        <v>254</v>
      </c>
      <c r="B72" s="99" t="s">
        <v>246</v>
      </c>
      <c r="C72" s="98"/>
      <c r="D72">
        <v>10067.4</v>
      </c>
    </row>
    <row r="73" spans="1:14" ht="15" thickBot="1" x14ac:dyDescent="0.4">
      <c r="A73" s="98" t="s">
        <v>248</v>
      </c>
      <c r="B73" s="99" t="s">
        <v>246</v>
      </c>
      <c r="C73" s="98"/>
      <c r="D73">
        <v>646.56696798293899</v>
      </c>
    </row>
    <row r="74" spans="1:14" ht="15" thickBot="1" x14ac:dyDescent="0.4">
      <c r="A74" s="98" t="s">
        <v>249</v>
      </c>
      <c r="B74" s="99" t="s">
        <v>246</v>
      </c>
      <c r="C74" s="98"/>
      <c r="D74">
        <v>0</v>
      </c>
    </row>
    <row r="75" spans="1:14" ht="15" thickBot="1" x14ac:dyDescent="0.4">
      <c r="A75" s="96" t="s">
        <v>307</v>
      </c>
      <c r="B75" s="96" t="s">
        <v>246</v>
      </c>
      <c r="C75" s="97"/>
      <c r="D75">
        <f>SUM(D76:D77)</f>
        <v>277438.348</v>
      </c>
    </row>
    <row r="76" spans="1:14" ht="15" thickBot="1" x14ac:dyDescent="0.4">
      <c r="A76" s="98" t="s">
        <v>254</v>
      </c>
      <c r="B76" s="99" t="s">
        <v>246</v>
      </c>
      <c r="C76" s="98"/>
      <c r="D76">
        <v>610.34799999999996</v>
      </c>
    </row>
    <row r="77" spans="1:14" ht="15" thickBot="1" x14ac:dyDescent="0.4">
      <c r="A77" s="98" t="s">
        <v>248</v>
      </c>
      <c r="B77" s="99" t="s">
        <v>246</v>
      </c>
      <c r="C77" s="98"/>
      <c r="D77">
        <v>276828</v>
      </c>
    </row>
    <row r="78" spans="1:14" ht="15" thickBot="1" x14ac:dyDescent="0.4">
      <c r="A78" s="22" t="s">
        <v>215</v>
      </c>
      <c r="B78" s="15"/>
      <c r="C78" s="15"/>
    </row>
    <row r="79" spans="1:14" ht="15" thickBot="1" x14ac:dyDescent="0.4">
      <c r="A79" s="69" t="s">
        <v>251</v>
      </c>
      <c r="B79" s="19"/>
      <c r="C79" s="19"/>
    </row>
    <row r="80" spans="1:14" ht="15" thickBot="1" x14ac:dyDescent="0.4">
      <c r="A80" s="96" t="s">
        <v>307</v>
      </c>
      <c r="B80" s="96" t="s">
        <v>246</v>
      </c>
      <c r="C80" s="97"/>
      <c r="D80">
        <f>D75</f>
        <v>277438.348</v>
      </c>
      <c r="L80" s="19"/>
      <c r="M80" s="19"/>
      <c r="N80" s="19"/>
    </row>
    <row r="81" spans="1:14" ht="15" thickBot="1" x14ac:dyDescent="0.4">
      <c r="A81" s="19"/>
      <c r="B81" s="19"/>
      <c r="C81" s="19"/>
    </row>
    <row r="82" spans="1:14" ht="15" thickBot="1" x14ac:dyDescent="0.4">
      <c r="A82" s="69" t="s">
        <v>244</v>
      </c>
      <c r="B82" s="19"/>
      <c r="C82" s="72"/>
      <c r="D82">
        <f>D83+D87</f>
        <v>277438.38209703908</v>
      </c>
    </row>
    <row r="83" spans="1:14" ht="15" thickBot="1" x14ac:dyDescent="0.4">
      <c r="A83" s="103" t="s">
        <v>308</v>
      </c>
      <c r="B83" s="96" t="s">
        <v>246</v>
      </c>
      <c r="C83" s="97"/>
      <c r="D83">
        <f>D84+D85</f>
        <v>208078.761</v>
      </c>
    </row>
    <row r="84" spans="1:14" ht="15" thickBot="1" x14ac:dyDescent="0.4">
      <c r="A84" s="98" t="s">
        <v>254</v>
      </c>
      <c r="B84" s="99" t="s">
        <v>246</v>
      </c>
      <c r="C84" s="98"/>
      <c r="D84">
        <v>457.76100000000002</v>
      </c>
    </row>
    <row r="85" spans="1:14" ht="15" thickBot="1" x14ac:dyDescent="0.4">
      <c r="A85" s="98" t="s">
        <v>248</v>
      </c>
      <c r="B85" s="99" t="s">
        <v>246</v>
      </c>
      <c r="C85" s="98"/>
      <c r="D85">
        <v>207621</v>
      </c>
    </row>
    <row r="86" spans="1:14" ht="15" thickBot="1" x14ac:dyDescent="0.4">
      <c r="A86" s="19"/>
      <c r="B86" s="19"/>
      <c r="C86" s="19"/>
    </row>
    <row r="87" spans="1:14" ht="15" thickBot="1" x14ac:dyDescent="0.4">
      <c r="A87" s="96" t="s">
        <v>309</v>
      </c>
      <c r="B87" s="96" t="s">
        <v>246</v>
      </c>
      <c r="C87" s="97"/>
      <c r="D87">
        <v>69359.621097039097</v>
      </c>
    </row>
    <row r="88" spans="1:14" ht="15" thickBot="1" x14ac:dyDescent="0.4">
      <c r="A88" s="22" t="s">
        <v>217</v>
      </c>
      <c r="B88" s="15"/>
      <c r="C88" s="15"/>
    </row>
    <row r="89" spans="1:14" ht="15" thickBot="1" x14ac:dyDescent="0.4">
      <c r="A89" s="52" t="s">
        <v>244</v>
      </c>
      <c r="B89" s="19"/>
      <c r="C89" s="113"/>
    </row>
    <row r="90" spans="1:14" ht="15" thickBot="1" x14ac:dyDescent="0.4">
      <c r="A90" s="23" t="s">
        <v>310</v>
      </c>
      <c r="B90" s="23" t="s">
        <v>246</v>
      </c>
      <c r="C90" s="114"/>
      <c r="D90">
        <f>SUM(D91:D92)</f>
        <v>574.97641077195397</v>
      </c>
      <c r="L90" s="19"/>
      <c r="M90" s="19"/>
      <c r="N90" s="19"/>
    </row>
    <row r="91" spans="1:14" ht="15" thickBot="1" x14ac:dyDescent="0.4">
      <c r="A91" s="53" t="s">
        <v>311</v>
      </c>
      <c r="B91" s="53" t="s">
        <v>246</v>
      </c>
      <c r="C91" s="115"/>
      <c r="D91">
        <v>429.38243999999997</v>
      </c>
    </row>
    <row r="92" spans="1:14" ht="15" thickBot="1" x14ac:dyDescent="0.4">
      <c r="A92" s="53" t="s">
        <v>312</v>
      </c>
      <c r="B92" s="53" t="s">
        <v>246</v>
      </c>
      <c r="C92" s="115"/>
      <c r="D92">
        <v>145.59397077195399</v>
      </c>
    </row>
    <row r="93" spans="1:14" ht="15" thickBot="1" x14ac:dyDescent="0.4">
      <c r="A93" s="23"/>
      <c r="B93" s="23"/>
      <c r="C93" s="113"/>
    </row>
    <row r="94" spans="1:14" ht="15" thickBot="1" x14ac:dyDescent="0.4">
      <c r="A94" s="22" t="s">
        <v>222</v>
      </c>
      <c r="B94" s="15"/>
      <c r="C94" s="15"/>
    </row>
    <row r="95" spans="1:14" ht="15" thickBot="1" x14ac:dyDescent="0.4">
      <c r="A95" s="52" t="s">
        <v>251</v>
      </c>
      <c r="B95" s="23"/>
      <c r="C95" s="116"/>
      <c r="D95">
        <f>D96+D97</f>
        <v>11288.943378754893</v>
      </c>
    </row>
    <row r="96" spans="1:14" ht="15" thickBot="1" x14ac:dyDescent="0.4">
      <c r="A96" s="23" t="s">
        <v>313</v>
      </c>
      <c r="B96" s="23" t="s">
        <v>246</v>
      </c>
      <c r="C96" s="31"/>
      <c r="D96">
        <f>D71</f>
        <v>10713.966967982939</v>
      </c>
      <c r="G96" t="s">
        <v>643</v>
      </c>
      <c r="H96" t="s">
        <v>644</v>
      </c>
    </row>
    <row r="97" spans="1:14" ht="15" thickBot="1" x14ac:dyDescent="0.4">
      <c r="A97" s="23" t="s">
        <v>310</v>
      </c>
      <c r="B97" s="23" t="s">
        <v>246</v>
      </c>
      <c r="C97" s="31"/>
      <c r="D97">
        <f>D90</f>
        <v>574.97641077195397</v>
      </c>
      <c r="F97" t="s">
        <v>777</v>
      </c>
      <c r="G97">
        <f>H97*D96/1000</f>
        <v>4.392726456873004</v>
      </c>
      <c r="H97">
        <v>0.41</v>
      </c>
      <c r="I97" t="s">
        <v>645</v>
      </c>
    </row>
    <row r="98" spans="1:14" ht="15" thickBot="1" x14ac:dyDescent="0.4">
      <c r="A98" s="19"/>
      <c r="B98" s="19"/>
      <c r="C98" s="19"/>
    </row>
    <row r="99" spans="1:14" ht="15" thickBot="1" x14ac:dyDescent="0.4">
      <c r="A99" s="52" t="s">
        <v>244</v>
      </c>
      <c r="B99" s="19"/>
      <c r="C99" s="19"/>
    </row>
    <row r="100" spans="1:14" ht="15" thickBot="1" x14ac:dyDescent="0.4">
      <c r="A100" s="23" t="s">
        <v>314</v>
      </c>
      <c r="B100" s="23" t="s">
        <v>246</v>
      </c>
      <c r="C100" s="31"/>
      <c r="D100">
        <f>SUM(D101:D104)</f>
        <v>11288.938</v>
      </c>
    </row>
    <row r="101" spans="1:14" ht="15" thickBot="1" x14ac:dyDescent="0.4">
      <c r="A101" s="106" t="s">
        <v>254</v>
      </c>
      <c r="B101" s="107" t="s">
        <v>246</v>
      </c>
      <c r="C101" s="106"/>
      <c r="D101">
        <v>9408.44</v>
      </c>
      <c r="L101" s="22" t="s">
        <v>153</v>
      </c>
      <c r="M101" s="15"/>
      <c r="N101" s="15"/>
    </row>
    <row r="102" spans="1:14" ht="15" thickBot="1" x14ac:dyDescent="0.4">
      <c r="A102" s="106" t="s">
        <v>248</v>
      </c>
      <c r="B102" s="107" t="s">
        <v>246</v>
      </c>
      <c r="C102" s="106"/>
      <c r="D102">
        <v>1589.31</v>
      </c>
      <c r="L102" s="69" t="s">
        <v>251</v>
      </c>
      <c r="M102" s="19"/>
      <c r="N102" s="72">
        <f>N103+N106+N147+N148</f>
        <v>40061.377811866951</v>
      </c>
    </row>
    <row r="103" spans="1:14" ht="15" thickBot="1" x14ac:dyDescent="0.4">
      <c r="A103" s="106" t="s">
        <v>249</v>
      </c>
      <c r="B103" s="107" t="s">
        <v>246</v>
      </c>
      <c r="C103" s="106"/>
      <c r="D103">
        <v>0</v>
      </c>
      <c r="L103" s="96" t="s">
        <v>315</v>
      </c>
      <c r="M103" s="96" t="s">
        <v>246</v>
      </c>
      <c r="N103" s="97">
        <f>D36</f>
        <v>3219.4205874669201</v>
      </c>
    </row>
    <row r="104" spans="1:14" ht="15" thickBot="1" x14ac:dyDescent="0.4">
      <c r="A104" s="106" t="s">
        <v>316</v>
      </c>
      <c r="B104" s="107" t="s">
        <v>246</v>
      </c>
      <c r="C104" s="106"/>
      <c r="D104">
        <v>291.18799999999999</v>
      </c>
      <c r="L104" s="99" t="s">
        <v>317</v>
      </c>
      <c r="M104" s="99" t="s">
        <v>246</v>
      </c>
      <c r="N104" s="97">
        <f>N103</f>
        <v>3219.4205874669201</v>
      </c>
    </row>
    <row r="105" spans="1:14" ht="15" thickBot="1" x14ac:dyDescent="0.4">
      <c r="A105" s="22" t="s">
        <v>228</v>
      </c>
      <c r="B105" s="15"/>
      <c r="C105" s="15"/>
      <c r="L105" s="99" t="s">
        <v>249</v>
      </c>
      <c r="M105" s="99" t="s">
        <v>246</v>
      </c>
      <c r="N105" s="97">
        <v>0</v>
      </c>
    </row>
    <row r="106" spans="1:14" ht="15" thickBot="1" x14ac:dyDescent="0.4">
      <c r="A106" s="52" t="s">
        <v>251</v>
      </c>
      <c r="B106" s="19"/>
      <c r="C106" s="19"/>
      <c r="L106" s="96" t="s">
        <v>318</v>
      </c>
      <c r="M106" s="96" t="s">
        <v>246</v>
      </c>
      <c r="N106" s="97">
        <v>0</v>
      </c>
    </row>
    <row r="107" spans="1:14" ht="15" thickBot="1" x14ac:dyDescent="0.4">
      <c r="A107" s="23" t="s">
        <v>314</v>
      </c>
      <c r="B107" s="23" t="s">
        <v>246</v>
      </c>
      <c r="C107" s="31"/>
      <c r="D107">
        <f>D100</f>
        <v>11288.938</v>
      </c>
      <c r="L107" s="110" t="s">
        <v>274</v>
      </c>
      <c r="N107" s="97">
        <v>0</v>
      </c>
    </row>
    <row r="108" spans="1:14" ht="15" thickBot="1" x14ac:dyDescent="0.4">
      <c r="A108" s="19"/>
      <c r="B108" s="19"/>
      <c r="C108" s="19"/>
      <c r="L108" s="110" t="s">
        <v>275</v>
      </c>
      <c r="N108" s="97">
        <v>0</v>
      </c>
    </row>
    <row r="109" spans="1:14" ht="15" thickBot="1" x14ac:dyDescent="0.4">
      <c r="A109" s="52" t="s">
        <v>244</v>
      </c>
      <c r="B109" s="19"/>
      <c r="C109" s="19"/>
      <c r="L109" s="110" t="s">
        <v>276</v>
      </c>
      <c r="N109" s="97">
        <v>0</v>
      </c>
    </row>
    <row r="110" spans="1:14" ht="15" thickBot="1" x14ac:dyDescent="0.4">
      <c r="A110" s="23" t="s">
        <v>319</v>
      </c>
      <c r="B110" s="23" t="s">
        <v>246</v>
      </c>
      <c r="C110" s="31"/>
      <c r="D110">
        <f>D100</f>
        <v>11288.938</v>
      </c>
      <c r="L110" s="110" t="s">
        <v>277</v>
      </c>
      <c r="N110" s="97">
        <v>0</v>
      </c>
    </row>
    <row r="111" spans="1:14" ht="15" thickBot="1" x14ac:dyDescent="0.4">
      <c r="A111" s="22" t="s">
        <v>229</v>
      </c>
      <c r="B111" s="15"/>
      <c r="C111" s="15"/>
      <c r="L111" s="110" t="s">
        <v>34</v>
      </c>
      <c r="N111" s="97">
        <v>0</v>
      </c>
    </row>
    <row r="112" spans="1:14" ht="15" thickBot="1" x14ac:dyDescent="0.4">
      <c r="A112" s="52" t="s">
        <v>251</v>
      </c>
      <c r="B112" s="19"/>
      <c r="C112" s="19"/>
      <c r="L112" s="110" t="s">
        <v>278</v>
      </c>
      <c r="N112" s="97">
        <v>0</v>
      </c>
    </row>
    <row r="113" spans="1:14" ht="15" thickBot="1" x14ac:dyDescent="0.4">
      <c r="A113" s="19" t="s">
        <v>319</v>
      </c>
      <c r="B113" s="23" t="s">
        <v>246</v>
      </c>
      <c r="C113" s="31"/>
      <c r="D113">
        <f>D110</f>
        <v>11288.938</v>
      </c>
      <c r="L113" s="111" t="s">
        <v>279</v>
      </c>
      <c r="N113" s="97">
        <v>0</v>
      </c>
    </row>
    <row r="114" spans="1:14" ht="15" thickBot="1" x14ac:dyDescent="0.4">
      <c r="A114" s="19"/>
      <c r="B114" s="19"/>
      <c r="C114" s="19"/>
      <c r="L114" s="112" t="s">
        <v>280</v>
      </c>
      <c r="N114" s="97">
        <v>0</v>
      </c>
    </row>
    <row r="115" spans="1:14" ht="15" thickBot="1" x14ac:dyDescent="0.4">
      <c r="A115" s="52" t="s">
        <v>244</v>
      </c>
      <c r="B115" s="19"/>
      <c r="C115" s="79"/>
      <c r="D115">
        <f>D116+D117+D118</f>
        <v>11288.939815325815</v>
      </c>
      <c r="L115" s="112" t="s">
        <v>281</v>
      </c>
      <c r="N115" s="97">
        <v>0</v>
      </c>
    </row>
    <row r="116" spans="1:14" ht="15" thickBot="1" x14ac:dyDescent="0.4">
      <c r="A116" s="23" t="s">
        <v>320</v>
      </c>
      <c r="B116" s="23" t="s">
        <v>246</v>
      </c>
      <c r="C116" s="31"/>
      <c r="D116">
        <v>10111.569200665301</v>
      </c>
      <c r="L116" s="112" t="s">
        <v>35</v>
      </c>
      <c r="N116" s="97">
        <v>0</v>
      </c>
    </row>
    <row r="117" spans="1:14" ht="15" thickBot="1" x14ac:dyDescent="0.4">
      <c r="A117" s="23" t="s">
        <v>321</v>
      </c>
      <c r="B117" s="23" t="s">
        <v>246</v>
      </c>
      <c r="C117" s="31"/>
      <c r="D117">
        <v>886.182673116606</v>
      </c>
      <c r="L117" s="112" t="s">
        <v>36</v>
      </c>
      <c r="N117" s="97">
        <v>0</v>
      </c>
    </row>
    <row r="118" spans="1:14" ht="15" thickBot="1" x14ac:dyDescent="0.4">
      <c r="A118" s="23" t="s">
        <v>322</v>
      </c>
      <c r="B118" s="23" t="s">
        <v>246</v>
      </c>
      <c r="C118" s="31"/>
      <c r="D118">
        <f>D119</f>
        <v>291.18794154390901</v>
      </c>
      <c r="L118" s="112" t="s">
        <v>282</v>
      </c>
      <c r="N118" s="97">
        <v>0</v>
      </c>
    </row>
    <row r="119" spans="1:14" ht="15" thickBot="1" x14ac:dyDescent="0.4">
      <c r="A119" s="106" t="s">
        <v>316</v>
      </c>
      <c r="B119" s="107" t="s">
        <v>246</v>
      </c>
      <c r="C119" s="106"/>
      <c r="D119">
        <v>291.18794154390901</v>
      </c>
      <c r="L119" s="112" t="s">
        <v>283</v>
      </c>
      <c r="N119" s="97">
        <v>0</v>
      </c>
    </row>
    <row r="120" spans="1:14" ht="15" thickBot="1" x14ac:dyDescent="0.4">
      <c r="A120" s="22" t="s">
        <v>323</v>
      </c>
      <c r="B120" s="15"/>
      <c r="C120" s="15"/>
      <c r="L120" s="112" t="s">
        <v>98</v>
      </c>
      <c r="N120" s="97">
        <v>0</v>
      </c>
    </row>
    <row r="121" spans="1:14" ht="15" thickBot="1" x14ac:dyDescent="0.4">
      <c r="A121" s="52" t="s">
        <v>251</v>
      </c>
      <c r="B121" s="19"/>
      <c r="C121" s="19"/>
      <c r="L121" s="112" t="s">
        <v>284</v>
      </c>
      <c r="N121" s="97">
        <v>0</v>
      </c>
    </row>
    <row r="122" spans="1:14" ht="15" thickBot="1" x14ac:dyDescent="0.4">
      <c r="A122" s="23" t="s">
        <v>179</v>
      </c>
      <c r="B122" s="23" t="s">
        <v>246</v>
      </c>
      <c r="C122" s="31"/>
      <c r="D122">
        <f>D118</f>
        <v>291.18794154390901</v>
      </c>
      <c r="L122" s="112" t="s">
        <v>285</v>
      </c>
      <c r="N122" s="97">
        <v>0</v>
      </c>
    </row>
    <row r="123" spans="1:14" ht="15" thickBot="1" x14ac:dyDescent="0.4">
      <c r="A123" s="19"/>
      <c r="B123" s="19"/>
      <c r="C123" s="19"/>
      <c r="L123" s="112" t="s">
        <v>286</v>
      </c>
      <c r="N123" s="97">
        <v>0</v>
      </c>
    </row>
    <row r="124" spans="1:14" ht="15" thickBot="1" x14ac:dyDescent="0.4">
      <c r="A124" s="23" t="s">
        <v>244</v>
      </c>
      <c r="B124" s="19"/>
      <c r="C124" s="116"/>
      <c r="D124">
        <f>D125+D126+D127+D128+D129</f>
        <v>291.18794154390798</v>
      </c>
      <c r="L124" s="112" t="s">
        <v>287</v>
      </c>
      <c r="N124" s="97">
        <v>0</v>
      </c>
    </row>
    <row r="125" spans="1:14" ht="15" thickBot="1" x14ac:dyDescent="0.4">
      <c r="A125" s="23" t="s">
        <v>324</v>
      </c>
      <c r="B125" s="23" t="s">
        <v>246</v>
      </c>
      <c r="C125" s="31"/>
      <c r="D125">
        <v>145.59397077195399</v>
      </c>
      <c r="L125" s="112" t="s">
        <v>78</v>
      </c>
      <c r="N125" s="97">
        <v>0</v>
      </c>
    </row>
    <row r="126" spans="1:14" ht="15" thickBot="1" x14ac:dyDescent="0.4">
      <c r="A126" s="23" t="s">
        <v>325</v>
      </c>
      <c r="B126" s="23" t="s">
        <v>246</v>
      </c>
      <c r="C126" s="31"/>
      <c r="D126">
        <v>0</v>
      </c>
      <c r="L126" s="112" t="s">
        <v>288</v>
      </c>
      <c r="N126" s="97">
        <v>0</v>
      </c>
    </row>
    <row r="127" spans="1:14" ht="15" thickBot="1" x14ac:dyDescent="0.4">
      <c r="A127" s="23" t="s">
        <v>326</v>
      </c>
      <c r="B127" s="23" t="s">
        <v>246</v>
      </c>
      <c r="C127" s="31"/>
      <c r="D127">
        <v>145.59397077195399</v>
      </c>
      <c r="L127" s="112" t="s">
        <v>289</v>
      </c>
      <c r="N127" s="97">
        <v>0</v>
      </c>
    </row>
    <row r="128" spans="1:14" ht="15" thickBot="1" x14ac:dyDescent="0.4">
      <c r="A128" s="23" t="s">
        <v>327</v>
      </c>
      <c r="B128" s="23" t="s">
        <v>246</v>
      </c>
      <c r="C128" s="31"/>
      <c r="D128">
        <v>0</v>
      </c>
      <c r="L128" s="112" t="s">
        <v>290</v>
      </c>
      <c r="N128" s="97">
        <v>0</v>
      </c>
    </row>
    <row r="129" spans="1:14" ht="15" thickBot="1" x14ac:dyDescent="0.4">
      <c r="A129" s="23" t="s">
        <v>328</v>
      </c>
      <c r="B129" s="23" t="s">
        <v>246</v>
      </c>
      <c r="C129" s="31"/>
      <c r="D129">
        <v>0</v>
      </c>
      <c r="L129" s="112" t="s">
        <v>291</v>
      </c>
      <c r="N129" s="97">
        <v>0</v>
      </c>
    </row>
    <row r="130" spans="1:14" ht="15" thickBot="1" x14ac:dyDescent="0.4">
      <c r="A130" s="117" t="s">
        <v>330</v>
      </c>
      <c r="B130" s="15"/>
      <c r="C130" s="15"/>
      <c r="L130" s="112" t="s">
        <v>292</v>
      </c>
      <c r="N130" s="97">
        <v>0</v>
      </c>
    </row>
    <row r="131" spans="1:14" ht="15" thickBot="1" x14ac:dyDescent="0.4">
      <c r="A131" s="118" t="s">
        <v>331</v>
      </c>
      <c r="B131" s="70"/>
      <c r="C131" s="92"/>
      <c r="D131">
        <f>SUM(D132:D135)</f>
        <v>65396.339660587466</v>
      </c>
      <c r="L131" s="112" t="s">
        <v>293</v>
      </c>
      <c r="N131" s="97">
        <v>0</v>
      </c>
    </row>
    <row r="132" spans="1:14" ht="15" thickBot="1" x14ac:dyDescent="0.4">
      <c r="A132" s="96" t="s">
        <v>332</v>
      </c>
      <c r="B132" s="96" t="s">
        <v>246</v>
      </c>
      <c r="C132" s="97"/>
      <c r="D132">
        <f>D6</f>
        <v>26410.9306</v>
      </c>
      <c r="L132" s="112" t="s">
        <v>294</v>
      </c>
      <c r="N132" s="97">
        <v>0</v>
      </c>
    </row>
    <row r="133" spans="1:14" ht="15" thickBot="1" x14ac:dyDescent="0.4">
      <c r="A133" s="96" t="s">
        <v>333</v>
      </c>
      <c r="B133" s="96" t="s">
        <v>246</v>
      </c>
      <c r="C133" s="97"/>
      <c r="D133">
        <f>D7+D14</f>
        <v>1714.0693961874356</v>
      </c>
      <c r="L133" s="112" t="s">
        <v>295</v>
      </c>
      <c r="N133" s="97">
        <v>0</v>
      </c>
    </row>
    <row r="134" spans="1:14" ht="15" thickBot="1" x14ac:dyDescent="0.4">
      <c r="A134" s="96" t="s">
        <v>334</v>
      </c>
      <c r="B134" s="96" t="s">
        <v>246</v>
      </c>
      <c r="C134" s="97"/>
      <c r="D134">
        <f>D91</f>
        <v>429.38243999999997</v>
      </c>
      <c r="L134" s="112" t="s">
        <v>89</v>
      </c>
      <c r="N134" s="97">
        <v>0</v>
      </c>
    </row>
    <row r="135" spans="1:14" ht="15" thickBot="1" x14ac:dyDescent="0.4">
      <c r="A135" s="96" t="s">
        <v>335</v>
      </c>
      <c r="B135" s="96" t="s">
        <v>246</v>
      </c>
      <c r="C135" s="97"/>
      <c r="D135">
        <f>N148</f>
        <v>36841.95722440003</v>
      </c>
      <c r="L135" s="112" t="s">
        <v>84</v>
      </c>
      <c r="N135" s="97">
        <v>0</v>
      </c>
    </row>
    <row r="136" spans="1:14" ht="15" thickBot="1" x14ac:dyDescent="0.4">
      <c r="A136" s="19" t="s">
        <v>336</v>
      </c>
      <c r="B136" s="19" t="s">
        <v>246</v>
      </c>
      <c r="C136" s="19"/>
      <c r="D136">
        <f>N147</f>
        <v>0</v>
      </c>
      <c r="L136" s="112" t="s">
        <v>296</v>
      </c>
      <c r="N136" s="97">
        <v>0</v>
      </c>
    </row>
    <row r="137" spans="1:14" ht="15" thickBot="1" x14ac:dyDescent="0.4">
      <c r="A137" s="119" t="s">
        <v>337</v>
      </c>
      <c r="B137" s="19"/>
      <c r="C137" s="97"/>
      <c r="D137">
        <f>D138+D139+D140+D141</f>
        <v>120479.49592307667</v>
      </c>
      <c r="L137" s="112" t="s">
        <v>297</v>
      </c>
      <c r="N137" s="97">
        <v>0</v>
      </c>
    </row>
    <row r="138" spans="1:14" ht="15" thickBot="1" x14ac:dyDescent="0.4">
      <c r="A138" s="96" t="s">
        <v>338</v>
      </c>
      <c r="B138" s="19" t="s">
        <v>246</v>
      </c>
      <c r="C138" s="97"/>
      <c r="D138">
        <f>D116</f>
        <v>10111.569200665301</v>
      </c>
      <c r="L138" s="112" t="s">
        <v>298</v>
      </c>
      <c r="N138" s="97">
        <v>0</v>
      </c>
    </row>
    <row r="139" spans="1:14" ht="15" thickBot="1" x14ac:dyDescent="0.4">
      <c r="A139" s="96" t="s">
        <v>478</v>
      </c>
      <c r="B139" s="19" t="s">
        <v>246</v>
      </c>
      <c r="C139" s="97"/>
      <c r="D139">
        <f>D65+N155</f>
        <v>40061.3778118669</v>
      </c>
      <c r="L139" s="112" t="s">
        <v>299</v>
      </c>
      <c r="N139" s="97">
        <v>0</v>
      </c>
    </row>
    <row r="140" spans="1:14" ht="15" thickBot="1" x14ac:dyDescent="0.4">
      <c r="A140" s="96" t="s">
        <v>339</v>
      </c>
      <c r="B140" s="19" t="s">
        <v>246</v>
      </c>
      <c r="C140" s="97"/>
      <c r="D140">
        <f>D117+D87</f>
        <v>70245.803770155704</v>
      </c>
      <c r="L140" s="112" t="s">
        <v>300</v>
      </c>
      <c r="N140" s="97">
        <v>0</v>
      </c>
    </row>
    <row r="141" spans="1:14" ht="15" thickBot="1" x14ac:dyDescent="0.4">
      <c r="A141" s="96" t="s">
        <v>213</v>
      </c>
      <c r="B141" s="19" t="s">
        <v>246</v>
      </c>
      <c r="C141" s="97"/>
      <c r="D141">
        <f>D8</f>
        <v>60.745140388768903</v>
      </c>
      <c r="L141" s="112" t="s">
        <v>301</v>
      </c>
      <c r="N141" s="97">
        <v>0</v>
      </c>
    </row>
    <row r="142" spans="1:14" ht="15" thickBot="1" x14ac:dyDescent="0.4">
      <c r="A142" s="117"/>
      <c r="B142" s="15"/>
      <c r="C142" s="15"/>
      <c r="L142" s="112" t="s">
        <v>302</v>
      </c>
      <c r="N142" s="97">
        <v>0</v>
      </c>
    </row>
    <row r="143" spans="1:14" ht="15" thickBot="1" x14ac:dyDescent="0.4">
      <c r="A143" s="96" t="s">
        <v>340</v>
      </c>
      <c r="B143" s="19"/>
      <c r="C143" s="97"/>
      <c r="D143">
        <f>(D131-D137)/D131</f>
        <v>-0.84229723786339483</v>
      </c>
      <c r="L143" s="112" t="s">
        <v>303</v>
      </c>
      <c r="N143" s="97">
        <v>0</v>
      </c>
    </row>
    <row r="144" spans="1:14" ht="15" thickBot="1" x14ac:dyDescent="0.4">
      <c r="A144" s="96"/>
      <c r="B144" s="19"/>
      <c r="C144" s="120"/>
      <c r="L144" s="112" t="s">
        <v>304</v>
      </c>
      <c r="N144" s="97">
        <v>0</v>
      </c>
    </row>
    <row r="145" spans="1:14" ht="15" thickBot="1" x14ac:dyDescent="0.4">
      <c r="A145" s="96"/>
      <c r="B145" s="19"/>
      <c r="C145" s="79"/>
      <c r="L145" s="112" t="s">
        <v>305</v>
      </c>
      <c r="N145" s="97">
        <v>0</v>
      </c>
    </row>
    <row r="146" spans="1:14" ht="15" thickBot="1" x14ac:dyDescent="0.4">
      <c r="A146" s="96"/>
      <c r="B146" s="19" t="s">
        <v>843</v>
      </c>
      <c r="C146" s="79">
        <f>D96*8000/1000000</f>
        <v>85.711735743863514</v>
      </c>
      <c r="L146" s="112" t="s">
        <v>306</v>
      </c>
      <c r="N146" s="97">
        <v>0</v>
      </c>
    </row>
    <row r="147" spans="1:14" ht="15" thickBot="1" x14ac:dyDescent="0.4">
      <c r="A147" s="96"/>
      <c r="B147" s="19" t="s">
        <v>844</v>
      </c>
      <c r="C147" s="97">
        <f>D116*8000/1000000</f>
        <v>80.892553605322405</v>
      </c>
      <c r="L147" s="96" t="s">
        <v>341</v>
      </c>
      <c r="M147" s="96" t="s">
        <v>246</v>
      </c>
      <c r="N147" s="97">
        <v>0</v>
      </c>
    </row>
    <row r="148" spans="1:14" ht="15" thickBot="1" x14ac:dyDescent="0.4">
      <c r="A148" s="97"/>
      <c r="B148" s="19"/>
      <c r="C148" s="97"/>
      <c r="L148" s="96" t="s">
        <v>335</v>
      </c>
      <c r="M148" s="19"/>
      <c r="N148" s="97">
        <f>SUM(N149:N152)</f>
        <v>36841.95722440003</v>
      </c>
    </row>
    <row r="149" spans="1:14" ht="15" thickBot="1" x14ac:dyDescent="0.4">
      <c r="A149" s="97"/>
      <c r="B149" s="19"/>
      <c r="C149" s="97"/>
      <c r="L149" s="99" t="s">
        <v>342</v>
      </c>
      <c r="M149" s="99" t="s">
        <v>246</v>
      </c>
      <c r="N149" s="98">
        <v>8581.1181960000304</v>
      </c>
    </row>
    <row r="150" spans="1:14" ht="15" thickBot="1" x14ac:dyDescent="0.4">
      <c r="A150" s="97" t="s">
        <v>845</v>
      </c>
      <c r="B150" s="19">
        <v>1603.73484283465</v>
      </c>
      <c r="C150" s="79" t="s">
        <v>846</v>
      </c>
      <c r="D150">
        <f>B150/$D$132</f>
        <v>6.0722390555774282E-2</v>
      </c>
      <c r="L150" s="99" t="s">
        <v>343</v>
      </c>
      <c r="M150" s="99" t="s">
        <v>246</v>
      </c>
      <c r="N150" s="98">
        <v>28260.839028400002</v>
      </c>
    </row>
    <row r="151" spans="1:14" ht="15" thickBot="1" x14ac:dyDescent="0.4">
      <c r="A151" s="97"/>
      <c r="B151" s="19">
        <v>4717.7638294681101</v>
      </c>
      <c r="C151" s="79" t="s">
        <v>847</v>
      </c>
      <c r="D151">
        <f t="shared" ref="D151:D152" si="1">B151/$D$132</f>
        <v>0.17862921609691823</v>
      </c>
      <c r="L151" s="99" t="s">
        <v>344</v>
      </c>
      <c r="M151" s="99" t="s">
        <v>246</v>
      </c>
      <c r="N151" s="98" t="s">
        <v>329</v>
      </c>
    </row>
    <row r="152" spans="1:14" ht="15" thickBot="1" x14ac:dyDescent="0.4">
      <c r="B152">
        <v>3632.2605984944098</v>
      </c>
      <c r="C152" t="s">
        <v>679</v>
      </c>
      <c r="D152">
        <f t="shared" si="1"/>
        <v>0.13752868664515783</v>
      </c>
      <c r="L152" s="99" t="s">
        <v>345</v>
      </c>
      <c r="M152" s="99" t="s">
        <v>246</v>
      </c>
      <c r="N152" s="98" t="s">
        <v>329</v>
      </c>
    </row>
    <row r="153" spans="1:14" ht="15" thickBot="1" x14ac:dyDescent="0.4">
      <c r="L153" s="19"/>
      <c r="M153" s="19"/>
      <c r="N153" s="19"/>
    </row>
    <row r="154" spans="1:14" ht="15" thickBot="1" x14ac:dyDescent="0.4">
      <c r="L154" s="69" t="s">
        <v>244</v>
      </c>
      <c r="M154" s="19"/>
      <c r="N154" s="72">
        <f>N155+N161+N167</f>
        <v>40061.3778118669</v>
      </c>
    </row>
    <row r="155" spans="1:14" ht="15" thickBot="1" x14ac:dyDescent="0.4">
      <c r="L155" s="96" t="s">
        <v>346</v>
      </c>
      <c r="M155" s="96" t="s">
        <v>246</v>
      </c>
      <c r="N155" s="97">
        <f>SUM(N156:N160)</f>
        <v>40061.3778118669</v>
      </c>
    </row>
    <row r="156" spans="1:14" ht="15" thickBot="1" x14ac:dyDescent="0.4">
      <c r="L156" s="99" t="s">
        <v>347</v>
      </c>
      <c r="M156" s="99" t="s">
        <v>246</v>
      </c>
      <c r="N156" s="98">
        <v>11796.3580193407</v>
      </c>
    </row>
    <row r="157" spans="1:14" ht="15" thickBot="1" x14ac:dyDescent="0.4">
      <c r="L157" s="99" t="s">
        <v>248</v>
      </c>
      <c r="M157" s="99" t="s">
        <v>246</v>
      </c>
      <c r="N157" s="98">
        <v>0</v>
      </c>
    </row>
    <row r="158" spans="1:14" ht="15" thickBot="1" x14ac:dyDescent="0.4">
      <c r="L158" s="99" t="s">
        <v>348</v>
      </c>
      <c r="M158" s="99" t="s">
        <v>246</v>
      </c>
      <c r="N158" s="98">
        <v>28260.839028400002</v>
      </c>
    </row>
    <row r="159" spans="1:14" ht="15" thickBot="1" x14ac:dyDescent="0.4">
      <c r="L159" s="99" t="s">
        <v>349</v>
      </c>
      <c r="M159" s="99" t="s">
        <v>246</v>
      </c>
      <c r="N159" s="98">
        <v>4.1807641261961397</v>
      </c>
    </row>
    <row r="160" spans="1:14" ht="15" thickBot="1" x14ac:dyDescent="0.4">
      <c r="L160" s="99" t="s">
        <v>350</v>
      </c>
      <c r="M160" s="99" t="s">
        <v>246</v>
      </c>
      <c r="N160" s="98">
        <v>0</v>
      </c>
    </row>
    <row r="161" spans="12:14" ht="15" thickBot="1" x14ac:dyDescent="0.4">
      <c r="L161" s="96" t="s">
        <v>351</v>
      </c>
      <c r="M161" s="96" t="s">
        <v>246</v>
      </c>
      <c r="N161" s="97">
        <v>0</v>
      </c>
    </row>
    <row r="162" spans="12:14" ht="15" thickBot="1" x14ac:dyDescent="0.4">
      <c r="L162" s="99" t="s">
        <v>347</v>
      </c>
      <c r="M162" s="99" t="s">
        <v>246</v>
      </c>
      <c r="N162" s="98">
        <v>0</v>
      </c>
    </row>
    <row r="163" spans="12:14" ht="15" thickBot="1" x14ac:dyDescent="0.4">
      <c r="L163" s="99" t="s">
        <v>248</v>
      </c>
      <c r="M163" s="99" t="s">
        <v>246</v>
      </c>
      <c r="N163" s="98">
        <v>0</v>
      </c>
    </row>
    <row r="164" spans="12:14" ht="15" thickBot="1" x14ac:dyDescent="0.4">
      <c r="L164" s="99" t="s">
        <v>348</v>
      </c>
      <c r="M164" s="99" t="s">
        <v>246</v>
      </c>
      <c r="N164" s="98">
        <v>0</v>
      </c>
    </row>
    <row r="165" spans="12:14" ht="15" thickBot="1" x14ac:dyDescent="0.4">
      <c r="L165" s="99" t="s">
        <v>349</v>
      </c>
      <c r="M165" s="99" t="s">
        <v>246</v>
      </c>
      <c r="N165" s="98">
        <v>0</v>
      </c>
    </row>
    <row r="166" spans="12:14" ht="15" thickBot="1" x14ac:dyDescent="0.4">
      <c r="L166" s="99"/>
      <c r="M166" s="99"/>
      <c r="N166" s="19"/>
    </row>
    <row r="167" spans="12:14" ht="15" thickBot="1" x14ac:dyDescent="0.4">
      <c r="L167" s="96" t="s">
        <v>352</v>
      </c>
      <c r="M167" s="99" t="s">
        <v>246</v>
      </c>
      <c r="N167" s="98">
        <v>0</v>
      </c>
    </row>
    <row r="173" spans="12:14" x14ac:dyDescent="0.35">
      <c r="M173">
        <v>100</v>
      </c>
      <c r="N173">
        <v>21</v>
      </c>
    </row>
    <row r="174" spans="12:14" x14ac:dyDescent="0.35">
      <c r="M174">
        <f>M173*N174/N173</f>
        <v>1276.3761904761905</v>
      </c>
      <c r="N174">
        <v>268.03899999999999</v>
      </c>
    </row>
  </sheetData>
  <hyperlinks>
    <hyperlink ref="A15" r:id="rId1" location="rangeid=1683197145" display="https://docs.google.com/spreadsheets/d/1m0lR_lQfkmeN9bK33kXO5TYEvZGSXG9z7Usf_a0I6Xk/edit - rangeid=1683197145" xr:uid="{BB3AD5A5-DA99-45D2-8047-CE573BA79CF6}"/>
    <hyperlink ref="A83" r:id="rId2" location="rangeid=1966810199" display="https://docs.google.com/spreadsheets/d/1m0lR_lQfkmeN9bK33kXO5TYEvZGSXG9z7Usf_a0I6Xk/edit - rangeid=1966810199" xr:uid="{098F175A-FF01-41BD-A838-991F8073A836}"/>
  </hyperlink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CF84E2-043F-4F3B-92B8-A20D0EA595EB}">
  <dimension ref="A2:S88"/>
  <sheetViews>
    <sheetView topLeftCell="A52" workbookViewId="0">
      <selection activeCell="E36" sqref="E36"/>
    </sheetView>
  </sheetViews>
  <sheetFormatPr defaultRowHeight="14.5" x14ac:dyDescent="0.35"/>
  <cols>
    <col min="1" max="1" width="27.7265625" customWidth="1"/>
    <col min="3" max="3" width="11.08984375" customWidth="1"/>
    <col min="4" max="4" width="11.6328125" bestFit="1" customWidth="1"/>
    <col min="7" max="7" width="19.54296875" customWidth="1"/>
    <col min="11" max="11" width="33.36328125" customWidth="1"/>
    <col min="12" max="12" width="18" customWidth="1"/>
    <col min="17" max="17" width="15.7265625" customWidth="1"/>
    <col min="18" max="18" width="15.08984375" customWidth="1"/>
  </cols>
  <sheetData>
    <row r="2" spans="1:19" x14ac:dyDescent="0.35">
      <c r="A2" t="s">
        <v>356</v>
      </c>
    </row>
    <row r="3" spans="1:19" x14ac:dyDescent="0.35">
      <c r="L3" t="s">
        <v>357</v>
      </c>
    </row>
    <row r="4" spans="1:19" x14ac:dyDescent="0.35">
      <c r="A4" t="s">
        <v>358</v>
      </c>
      <c r="B4">
        <v>1251.0205900000001</v>
      </c>
      <c r="K4" t="s">
        <v>359</v>
      </c>
      <c r="P4" t="s">
        <v>360</v>
      </c>
      <c r="Q4" t="s">
        <v>361</v>
      </c>
      <c r="R4" t="s">
        <v>362</v>
      </c>
      <c r="S4" t="s">
        <v>363</v>
      </c>
    </row>
    <row r="5" spans="1:19" x14ac:dyDescent="0.35">
      <c r="A5" t="s">
        <v>364</v>
      </c>
      <c r="B5">
        <v>9.9102626399999991</v>
      </c>
      <c r="C5" t="s">
        <v>365</v>
      </c>
      <c r="K5" s="121" t="e">
        <f>P5/$P$47</f>
        <v>#DIV/0!</v>
      </c>
      <c r="L5" t="s">
        <v>366</v>
      </c>
      <c r="M5" t="s">
        <v>131</v>
      </c>
      <c r="N5">
        <v>0</v>
      </c>
      <c r="P5">
        <f>N5+O5</f>
        <v>0</v>
      </c>
      <c r="Q5">
        <v>2</v>
      </c>
      <c r="R5">
        <v>141.80000000000001</v>
      </c>
      <c r="S5">
        <f>R5*P5</f>
        <v>0</v>
      </c>
    </row>
    <row r="6" spans="1:19" x14ac:dyDescent="0.35">
      <c r="B6">
        <v>110.13484699999999</v>
      </c>
      <c r="K6" s="121" t="e">
        <f t="shared" ref="K6:K46" si="0">P6/$P$47</f>
        <v>#DIV/0!</v>
      </c>
      <c r="L6" t="s">
        <v>274</v>
      </c>
      <c r="M6" t="s">
        <v>131</v>
      </c>
      <c r="N6">
        <v>0</v>
      </c>
      <c r="P6">
        <f t="shared" ref="P6:P46" si="1">N6+O6</f>
        <v>0</v>
      </c>
      <c r="Q6">
        <v>18</v>
      </c>
      <c r="R6">
        <v>0</v>
      </c>
      <c r="S6">
        <f t="shared" ref="S6:S46" si="2">R6*P6</f>
        <v>0</v>
      </c>
    </row>
    <row r="7" spans="1:19" x14ac:dyDescent="0.35">
      <c r="B7">
        <v>112.69483200000001</v>
      </c>
      <c r="K7" s="121" t="e">
        <f t="shared" si="0"/>
        <v>#DIV/0!</v>
      </c>
      <c r="L7" t="s">
        <v>367</v>
      </c>
      <c r="M7" t="s">
        <v>131</v>
      </c>
      <c r="N7">
        <v>0</v>
      </c>
      <c r="P7">
        <f t="shared" si="1"/>
        <v>0</v>
      </c>
      <c r="Q7">
        <v>0</v>
      </c>
      <c r="R7" s="6">
        <v>0</v>
      </c>
      <c r="S7">
        <f t="shared" si="2"/>
        <v>0</v>
      </c>
    </row>
    <row r="8" spans="1:19" x14ac:dyDescent="0.35">
      <c r="B8">
        <v>150.33775800000001</v>
      </c>
      <c r="K8" s="121" t="e">
        <f t="shared" si="0"/>
        <v>#DIV/0!</v>
      </c>
      <c r="L8" t="s">
        <v>275</v>
      </c>
      <c r="M8" t="s">
        <v>131</v>
      </c>
      <c r="N8">
        <v>0</v>
      </c>
      <c r="P8">
        <f t="shared" si="1"/>
        <v>0</v>
      </c>
      <c r="Q8">
        <v>16.04</v>
      </c>
      <c r="R8" s="6">
        <v>55.5</v>
      </c>
      <c r="S8">
        <f t="shared" si="2"/>
        <v>0</v>
      </c>
    </row>
    <row r="9" spans="1:19" x14ac:dyDescent="0.35">
      <c r="B9">
        <f>SUM(B4:B8)</f>
        <v>1634.0982896400001</v>
      </c>
      <c r="C9" t="s">
        <v>365</v>
      </c>
      <c r="K9" s="121" t="e">
        <f t="shared" si="0"/>
        <v>#DIV/0!</v>
      </c>
      <c r="L9" t="s">
        <v>276</v>
      </c>
      <c r="M9" t="s">
        <v>131</v>
      </c>
      <c r="N9">
        <v>0</v>
      </c>
      <c r="P9">
        <f t="shared" si="1"/>
        <v>0</v>
      </c>
      <c r="Q9">
        <v>84.12</v>
      </c>
      <c r="R9" s="6"/>
      <c r="S9">
        <f t="shared" si="2"/>
        <v>0</v>
      </c>
    </row>
    <row r="10" spans="1:19" x14ac:dyDescent="0.35">
      <c r="B10">
        <f>B9/'Mass balances '!D6</f>
        <v>6.1872045116047526E-2</v>
      </c>
      <c r="C10" t="s">
        <v>368</v>
      </c>
      <c r="K10" s="121" t="e">
        <f t="shared" si="0"/>
        <v>#DIV/0!</v>
      </c>
      <c r="L10" t="s">
        <v>277</v>
      </c>
      <c r="M10" t="s">
        <v>131</v>
      </c>
      <c r="N10">
        <v>0</v>
      </c>
      <c r="P10">
        <f t="shared" si="1"/>
        <v>0</v>
      </c>
      <c r="Q10">
        <v>82.04</v>
      </c>
      <c r="R10" s="6"/>
      <c r="S10">
        <f t="shared" si="2"/>
        <v>0</v>
      </c>
    </row>
    <row r="11" spans="1:19" x14ac:dyDescent="0.35">
      <c r="A11" t="s">
        <v>369</v>
      </c>
      <c r="K11" s="121" t="e">
        <f t="shared" si="0"/>
        <v>#DIV/0!</v>
      </c>
      <c r="L11" t="s">
        <v>34</v>
      </c>
      <c r="M11" t="s">
        <v>131</v>
      </c>
      <c r="N11">
        <v>0</v>
      </c>
      <c r="P11">
        <f t="shared" si="1"/>
        <v>0</v>
      </c>
      <c r="Q11">
        <v>96.12</v>
      </c>
      <c r="R11" s="6"/>
      <c r="S11">
        <f t="shared" si="2"/>
        <v>0</v>
      </c>
    </row>
    <row r="12" spans="1:19" x14ac:dyDescent="0.35">
      <c r="B12" s="102"/>
      <c r="K12" s="121" t="e">
        <f t="shared" si="0"/>
        <v>#DIV/0!</v>
      </c>
      <c r="L12" t="s">
        <v>278</v>
      </c>
      <c r="M12" t="s">
        <v>131</v>
      </c>
      <c r="N12">
        <v>0</v>
      </c>
      <c r="P12">
        <f t="shared" si="1"/>
        <v>0</v>
      </c>
      <c r="Q12">
        <v>110.11</v>
      </c>
      <c r="R12" s="6"/>
      <c r="S12">
        <f t="shared" si="2"/>
        <v>0</v>
      </c>
    </row>
    <row r="13" spans="1:19" x14ac:dyDescent="0.35">
      <c r="K13" s="121" t="e">
        <f t="shared" si="0"/>
        <v>#DIV/0!</v>
      </c>
      <c r="L13" t="s">
        <v>279</v>
      </c>
      <c r="M13" t="s">
        <v>131</v>
      </c>
      <c r="N13">
        <v>0</v>
      </c>
      <c r="P13">
        <f t="shared" si="1"/>
        <v>0</v>
      </c>
      <c r="Q13">
        <v>86.09</v>
      </c>
      <c r="R13" s="6"/>
      <c r="S13">
        <f t="shared" si="2"/>
        <v>0</v>
      </c>
    </row>
    <row r="14" spans="1:19" x14ac:dyDescent="0.35">
      <c r="A14" t="s">
        <v>370</v>
      </c>
      <c r="K14" s="121" t="e">
        <f t="shared" si="0"/>
        <v>#DIV/0!</v>
      </c>
      <c r="L14" t="s">
        <v>280</v>
      </c>
      <c r="M14" t="s">
        <v>131</v>
      </c>
      <c r="N14">
        <v>0</v>
      </c>
      <c r="P14">
        <f t="shared" si="1"/>
        <v>0</v>
      </c>
      <c r="Q14">
        <v>114.14</v>
      </c>
      <c r="R14" s="6"/>
      <c r="S14">
        <f t="shared" si="2"/>
        <v>0</v>
      </c>
    </row>
    <row r="15" spans="1:19" x14ac:dyDescent="0.35">
      <c r="A15" t="s">
        <v>371</v>
      </c>
      <c r="K15" s="121" t="e">
        <f t="shared" si="0"/>
        <v>#DIV/0!</v>
      </c>
      <c r="L15" t="s">
        <v>281</v>
      </c>
      <c r="M15" t="s">
        <v>131</v>
      </c>
      <c r="N15">
        <v>0</v>
      </c>
      <c r="P15">
        <f t="shared" si="1"/>
        <v>0</v>
      </c>
      <c r="Q15">
        <v>96.13</v>
      </c>
      <c r="R15" s="6"/>
      <c r="S15">
        <f t="shared" si="2"/>
        <v>0</v>
      </c>
    </row>
    <row r="16" spans="1:19" x14ac:dyDescent="0.35">
      <c r="A16" s="122" t="s">
        <v>372</v>
      </c>
      <c r="B16">
        <v>16273.375171531199</v>
      </c>
      <c r="C16" t="s">
        <v>373</v>
      </c>
      <c r="D16">
        <v>0</v>
      </c>
      <c r="E16">
        <v>104177.01845138401</v>
      </c>
      <c r="K16" s="121" t="e">
        <f t="shared" si="0"/>
        <v>#DIV/0!</v>
      </c>
      <c r="L16" t="s">
        <v>35</v>
      </c>
      <c r="M16" t="s">
        <v>131</v>
      </c>
      <c r="N16">
        <v>0</v>
      </c>
      <c r="P16">
        <f t="shared" si="1"/>
        <v>0</v>
      </c>
      <c r="Q16">
        <v>110.15</v>
      </c>
      <c r="R16" s="6"/>
      <c r="S16">
        <f t="shared" si="2"/>
        <v>0</v>
      </c>
    </row>
    <row r="17" spans="1:19" x14ac:dyDescent="0.35">
      <c r="A17" t="s">
        <v>374</v>
      </c>
      <c r="B17">
        <v>46881.922151937601</v>
      </c>
      <c r="C17" t="s">
        <v>373</v>
      </c>
      <c r="D17">
        <v>1069.6254765408</v>
      </c>
      <c r="E17">
        <v>97117.815057868705</v>
      </c>
      <c r="K17" s="121" t="e">
        <f t="shared" si="0"/>
        <v>#DIV/0!</v>
      </c>
      <c r="L17" t="s">
        <v>36</v>
      </c>
      <c r="M17" t="s">
        <v>131</v>
      </c>
      <c r="N17">
        <v>0</v>
      </c>
      <c r="P17">
        <f t="shared" si="1"/>
        <v>0</v>
      </c>
      <c r="Q17">
        <v>110.15</v>
      </c>
      <c r="R17" s="6"/>
      <c r="S17">
        <f t="shared" si="2"/>
        <v>0</v>
      </c>
    </row>
    <row r="18" spans="1:19" x14ac:dyDescent="0.35">
      <c r="A18" s="6"/>
      <c r="B18">
        <f>B16+B17+D16+D17+E16+E17</f>
        <v>265519.7563092623</v>
      </c>
      <c r="C18" t="s">
        <v>373</v>
      </c>
      <c r="K18" s="121" t="e">
        <f t="shared" si="0"/>
        <v>#DIV/0!</v>
      </c>
      <c r="L18" t="s">
        <v>282</v>
      </c>
      <c r="M18" t="s">
        <v>131</v>
      </c>
      <c r="N18">
        <v>0</v>
      </c>
      <c r="P18">
        <f t="shared" si="1"/>
        <v>0</v>
      </c>
      <c r="Q18">
        <v>112.13</v>
      </c>
      <c r="R18" s="6"/>
      <c r="S18">
        <f t="shared" si="2"/>
        <v>0</v>
      </c>
    </row>
    <row r="19" spans="1:19" x14ac:dyDescent="0.35">
      <c r="B19">
        <f>B18/'Mass balances '!D27</f>
        <v>0.91127549666378205</v>
      </c>
      <c r="C19" t="s">
        <v>375</v>
      </c>
      <c r="K19" s="121" t="e">
        <f t="shared" si="0"/>
        <v>#DIV/0!</v>
      </c>
      <c r="L19" t="s">
        <v>283</v>
      </c>
      <c r="M19" t="s">
        <v>131</v>
      </c>
      <c r="N19">
        <v>0</v>
      </c>
      <c r="P19">
        <f t="shared" si="1"/>
        <v>0</v>
      </c>
      <c r="Q19">
        <v>126.15300000000001</v>
      </c>
      <c r="R19" s="6"/>
      <c r="S19">
        <f t="shared" si="2"/>
        <v>0</v>
      </c>
    </row>
    <row r="20" spans="1:19" x14ac:dyDescent="0.35">
      <c r="K20" s="121" t="e">
        <f t="shared" si="0"/>
        <v>#DIV/0!</v>
      </c>
      <c r="L20" t="s">
        <v>98</v>
      </c>
      <c r="M20" t="s">
        <v>131</v>
      </c>
      <c r="N20">
        <v>0</v>
      </c>
      <c r="P20">
        <f t="shared" si="1"/>
        <v>0</v>
      </c>
      <c r="Q20">
        <v>166.17599999999999</v>
      </c>
      <c r="R20" s="6"/>
      <c r="S20">
        <f t="shared" si="2"/>
        <v>0</v>
      </c>
    </row>
    <row r="21" spans="1:19" x14ac:dyDescent="0.35">
      <c r="A21" t="s">
        <v>376</v>
      </c>
      <c r="K21" s="121" t="e">
        <f t="shared" si="0"/>
        <v>#DIV/0!</v>
      </c>
      <c r="L21" t="s">
        <v>284</v>
      </c>
      <c r="M21" t="s">
        <v>131</v>
      </c>
      <c r="N21">
        <v>0</v>
      </c>
      <c r="P21">
        <f t="shared" si="1"/>
        <v>0</v>
      </c>
      <c r="Q21">
        <v>210.227</v>
      </c>
      <c r="R21" s="6"/>
      <c r="S21">
        <f t="shared" si="2"/>
        <v>0</v>
      </c>
    </row>
    <row r="22" spans="1:19" x14ac:dyDescent="0.35">
      <c r="A22" s="122" t="s">
        <v>358</v>
      </c>
      <c r="E22" t="s">
        <v>377</v>
      </c>
      <c r="G22" t="s">
        <v>378</v>
      </c>
      <c r="K22" s="121" t="e">
        <f t="shared" si="0"/>
        <v>#DIV/0!</v>
      </c>
      <c r="L22" t="s">
        <v>285</v>
      </c>
      <c r="M22" t="s">
        <v>131</v>
      </c>
      <c r="N22">
        <v>0</v>
      </c>
      <c r="P22">
        <f t="shared" si="1"/>
        <v>0</v>
      </c>
      <c r="Q22">
        <v>282.45999999999998</v>
      </c>
      <c r="R22" s="6"/>
      <c r="S22">
        <f t="shared" si="2"/>
        <v>0</v>
      </c>
    </row>
    <row r="23" spans="1:19" x14ac:dyDescent="0.35">
      <c r="A23" s="123" t="s">
        <v>379</v>
      </c>
      <c r="B23">
        <v>986.56495399999994</v>
      </c>
      <c r="C23" t="s">
        <v>365</v>
      </c>
      <c r="E23">
        <f>B23+B24</f>
        <v>1058.3120061</v>
      </c>
      <c r="G23">
        <v>7.0000000000000007E-2</v>
      </c>
      <c r="H23" t="s">
        <v>380</v>
      </c>
      <c r="K23" s="121" t="e">
        <f t="shared" si="0"/>
        <v>#DIV/0!</v>
      </c>
      <c r="L23" t="s">
        <v>286</v>
      </c>
      <c r="M23" t="s">
        <v>131</v>
      </c>
      <c r="N23">
        <v>0</v>
      </c>
      <c r="P23">
        <f t="shared" si="1"/>
        <v>0</v>
      </c>
      <c r="Q23">
        <v>94</v>
      </c>
      <c r="R23" s="6"/>
      <c r="S23">
        <f t="shared" si="2"/>
        <v>0</v>
      </c>
    </row>
    <row r="24" spans="1:19" x14ac:dyDescent="0.35">
      <c r="A24" s="123" t="s">
        <v>381</v>
      </c>
      <c r="B24">
        <v>71.747052100000005</v>
      </c>
      <c r="C24" t="s">
        <v>365</v>
      </c>
      <c r="E24">
        <f>E23/'Mass balances '!D95</f>
        <v>9.3747658269920903E-2</v>
      </c>
      <c r="K24" s="121" t="e">
        <f t="shared" si="0"/>
        <v>#DIV/0!</v>
      </c>
      <c r="L24" t="s">
        <v>287</v>
      </c>
      <c r="M24" t="s">
        <v>131</v>
      </c>
      <c r="N24">
        <v>0</v>
      </c>
      <c r="P24">
        <f t="shared" si="1"/>
        <v>0</v>
      </c>
      <c r="Q24">
        <v>108.14</v>
      </c>
      <c r="R24" s="6"/>
      <c r="S24">
        <f t="shared" si="2"/>
        <v>0</v>
      </c>
    </row>
    <row r="25" spans="1:19" x14ac:dyDescent="0.35">
      <c r="A25" s="122" t="s">
        <v>382</v>
      </c>
      <c r="B25">
        <f>SUM(B26:F26)</f>
        <v>0</v>
      </c>
      <c r="C25" t="s">
        <v>373</v>
      </c>
      <c r="K25" s="121" t="e">
        <f t="shared" si="0"/>
        <v>#DIV/0!</v>
      </c>
      <c r="L25" t="s">
        <v>78</v>
      </c>
      <c r="M25" t="s">
        <v>131</v>
      </c>
      <c r="N25">
        <v>0</v>
      </c>
      <c r="P25">
        <f t="shared" si="1"/>
        <v>0</v>
      </c>
      <c r="Q25">
        <v>124.14</v>
      </c>
      <c r="R25" s="6"/>
      <c r="S25">
        <f t="shared" si="2"/>
        <v>0</v>
      </c>
    </row>
    <row r="26" spans="1:19" x14ac:dyDescent="0.35">
      <c r="K26" s="121" t="e">
        <f t="shared" si="0"/>
        <v>#DIV/0!</v>
      </c>
      <c r="L26" t="s">
        <v>288</v>
      </c>
      <c r="M26" t="s">
        <v>131</v>
      </c>
      <c r="N26">
        <v>0</v>
      </c>
      <c r="P26">
        <f t="shared" si="1"/>
        <v>0</v>
      </c>
      <c r="Q26">
        <v>122.16</v>
      </c>
      <c r="R26" s="6"/>
      <c r="S26">
        <f t="shared" si="2"/>
        <v>0</v>
      </c>
    </row>
    <row r="27" spans="1:19" x14ac:dyDescent="0.35">
      <c r="K27" s="121" t="e">
        <f t="shared" si="0"/>
        <v>#DIV/0!</v>
      </c>
      <c r="L27" t="s">
        <v>289</v>
      </c>
      <c r="M27" t="s">
        <v>131</v>
      </c>
      <c r="N27">
        <v>0</v>
      </c>
      <c r="P27">
        <f t="shared" si="1"/>
        <v>0</v>
      </c>
      <c r="Q27">
        <v>138.16</v>
      </c>
      <c r="R27" s="6"/>
      <c r="S27">
        <f t="shared" si="2"/>
        <v>0</v>
      </c>
    </row>
    <row r="28" spans="1:19" x14ac:dyDescent="0.35">
      <c r="K28" s="121" t="e">
        <f t="shared" si="0"/>
        <v>#DIV/0!</v>
      </c>
      <c r="L28" t="s">
        <v>290</v>
      </c>
      <c r="M28" t="s">
        <v>131</v>
      </c>
      <c r="N28">
        <v>0</v>
      </c>
      <c r="P28">
        <f t="shared" si="1"/>
        <v>0</v>
      </c>
      <c r="Q28">
        <v>110.1</v>
      </c>
      <c r="R28" s="6"/>
      <c r="S28">
        <f t="shared" si="2"/>
        <v>0</v>
      </c>
    </row>
    <row r="29" spans="1:19" x14ac:dyDescent="0.35">
      <c r="K29" s="121" t="e">
        <f t="shared" si="0"/>
        <v>#DIV/0!</v>
      </c>
      <c r="L29" t="s">
        <v>291</v>
      </c>
      <c r="M29" t="s">
        <v>131</v>
      </c>
      <c r="N29">
        <v>0</v>
      </c>
      <c r="P29">
        <f t="shared" si="1"/>
        <v>0</v>
      </c>
      <c r="Q29">
        <v>140.13659999999999</v>
      </c>
      <c r="R29" s="6"/>
      <c r="S29">
        <f t="shared" si="2"/>
        <v>0</v>
      </c>
    </row>
    <row r="30" spans="1:19" x14ac:dyDescent="0.35">
      <c r="K30" s="121" t="e">
        <f t="shared" si="0"/>
        <v>#DIV/0!</v>
      </c>
      <c r="L30" t="s">
        <v>292</v>
      </c>
      <c r="M30" t="s">
        <v>131</v>
      </c>
      <c r="N30">
        <v>0</v>
      </c>
      <c r="P30">
        <f t="shared" si="1"/>
        <v>0</v>
      </c>
      <c r="Q30">
        <v>124.13720000000001</v>
      </c>
      <c r="R30" s="6"/>
      <c r="S30">
        <f t="shared" si="2"/>
        <v>0</v>
      </c>
    </row>
    <row r="31" spans="1:19" x14ac:dyDescent="0.35">
      <c r="K31" s="121" t="e">
        <f t="shared" si="0"/>
        <v>#DIV/0!</v>
      </c>
      <c r="L31" t="s">
        <v>293</v>
      </c>
      <c r="M31" t="s">
        <v>131</v>
      </c>
      <c r="N31">
        <v>0</v>
      </c>
      <c r="P31">
        <f t="shared" si="1"/>
        <v>0</v>
      </c>
      <c r="Q31">
        <v>152.19</v>
      </c>
      <c r="R31" s="6"/>
      <c r="S31">
        <f t="shared" si="2"/>
        <v>0</v>
      </c>
    </row>
    <row r="32" spans="1:19" x14ac:dyDescent="0.35">
      <c r="A32" t="s">
        <v>383</v>
      </c>
      <c r="B32">
        <f>B9+F17</f>
        <v>1634.0982896400001</v>
      </c>
      <c r="C32" t="s">
        <v>384</v>
      </c>
      <c r="K32" s="121" t="e">
        <f t="shared" si="0"/>
        <v>#DIV/0!</v>
      </c>
      <c r="L32" t="s">
        <v>294</v>
      </c>
      <c r="M32" t="s">
        <v>131</v>
      </c>
      <c r="N32">
        <v>0</v>
      </c>
      <c r="P32">
        <f t="shared" si="1"/>
        <v>0</v>
      </c>
      <c r="Q32">
        <v>124.13720000000001</v>
      </c>
      <c r="R32" s="6"/>
      <c r="S32">
        <f t="shared" si="2"/>
        <v>0</v>
      </c>
    </row>
    <row r="33" spans="1:19" x14ac:dyDescent="0.35">
      <c r="A33" t="s">
        <v>385</v>
      </c>
      <c r="B33" s="102">
        <f>B12+B18</f>
        <v>265519.7563092623</v>
      </c>
      <c r="C33" t="s">
        <v>373</v>
      </c>
      <c r="K33" s="121" t="e">
        <f t="shared" si="0"/>
        <v>#DIV/0!</v>
      </c>
      <c r="L33" t="s">
        <v>295</v>
      </c>
      <c r="M33" t="s">
        <v>131</v>
      </c>
      <c r="N33">
        <v>0</v>
      </c>
      <c r="P33">
        <f t="shared" si="1"/>
        <v>0</v>
      </c>
      <c r="Q33">
        <v>154.16</v>
      </c>
      <c r="R33" s="6"/>
      <c r="S33">
        <f t="shared" si="2"/>
        <v>0</v>
      </c>
    </row>
    <row r="34" spans="1:19" x14ac:dyDescent="0.35">
      <c r="J34" s="124"/>
      <c r="K34" s="121" t="e">
        <f t="shared" si="0"/>
        <v>#DIV/0!</v>
      </c>
      <c r="L34" t="s">
        <v>89</v>
      </c>
      <c r="M34" t="s">
        <v>131</v>
      </c>
      <c r="N34">
        <v>0</v>
      </c>
      <c r="P34">
        <f t="shared" si="1"/>
        <v>0</v>
      </c>
      <c r="Q34">
        <v>164.2</v>
      </c>
      <c r="R34" s="6"/>
      <c r="S34">
        <f t="shared" si="2"/>
        <v>0</v>
      </c>
    </row>
    <row r="35" spans="1:19" x14ac:dyDescent="0.35">
      <c r="K35" s="121" t="e">
        <f t="shared" si="0"/>
        <v>#DIV/0!</v>
      </c>
      <c r="L35" t="s">
        <v>84</v>
      </c>
      <c r="M35" t="s">
        <v>131</v>
      </c>
      <c r="N35">
        <v>0</v>
      </c>
      <c r="P35">
        <f t="shared" si="1"/>
        <v>0</v>
      </c>
      <c r="Q35">
        <v>166.21700000000001</v>
      </c>
      <c r="R35" s="6"/>
      <c r="S35">
        <f t="shared" si="2"/>
        <v>0</v>
      </c>
    </row>
    <row r="36" spans="1:19" x14ac:dyDescent="0.35">
      <c r="K36" s="121" t="e">
        <f t="shared" si="0"/>
        <v>#DIV/0!</v>
      </c>
      <c r="L36" t="s">
        <v>296</v>
      </c>
      <c r="M36" t="s">
        <v>131</v>
      </c>
      <c r="N36">
        <v>0</v>
      </c>
      <c r="P36">
        <f t="shared" si="1"/>
        <v>0</v>
      </c>
      <c r="Q36">
        <v>256.39999999999998</v>
      </c>
      <c r="R36" s="6"/>
      <c r="S36">
        <f t="shared" si="2"/>
        <v>0</v>
      </c>
    </row>
    <row r="37" spans="1:19" x14ac:dyDescent="0.35">
      <c r="K37" s="121" t="e">
        <f t="shared" si="0"/>
        <v>#DIV/0!</v>
      </c>
      <c r="L37" t="s">
        <v>297</v>
      </c>
      <c r="M37" t="s">
        <v>131</v>
      </c>
      <c r="N37">
        <v>0</v>
      </c>
      <c r="P37">
        <f t="shared" si="1"/>
        <v>0</v>
      </c>
      <c r="Q37">
        <v>282.45999999999998</v>
      </c>
      <c r="R37" s="6"/>
      <c r="S37">
        <f t="shared" si="2"/>
        <v>0</v>
      </c>
    </row>
    <row r="38" spans="1:19" x14ac:dyDescent="0.35">
      <c r="A38" t="s">
        <v>153</v>
      </c>
      <c r="K38" s="121" t="e">
        <f t="shared" si="0"/>
        <v>#DIV/0!</v>
      </c>
      <c r="L38" t="s">
        <v>298</v>
      </c>
      <c r="M38" t="s">
        <v>131</v>
      </c>
      <c r="N38">
        <v>0</v>
      </c>
      <c r="P38">
        <f t="shared" si="1"/>
        <v>0</v>
      </c>
      <c r="Q38">
        <v>270.45</v>
      </c>
      <c r="S38">
        <f t="shared" si="2"/>
        <v>0</v>
      </c>
    </row>
    <row r="39" spans="1:19" x14ac:dyDescent="0.35">
      <c r="A39" t="s">
        <v>386</v>
      </c>
      <c r="B39" t="s">
        <v>373</v>
      </c>
      <c r="C39">
        <f>S47</f>
        <v>82095.224980406463</v>
      </c>
      <c r="K39" s="121" t="e">
        <f t="shared" si="0"/>
        <v>#DIV/0!</v>
      </c>
      <c r="L39" t="s">
        <v>299</v>
      </c>
      <c r="M39" t="s">
        <v>131</v>
      </c>
      <c r="N39">
        <v>0</v>
      </c>
      <c r="P39">
        <f t="shared" si="1"/>
        <v>0</v>
      </c>
      <c r="Q39">
        <v>294.5</v>
      </c>
      <c r="S39">
        <f t="shared" si="2"/>
        <v>0</v>
      </c>
    </row>
    <row r="40" spans="1:19" x14ac:dyDescent="0.35">
      <c r="A40" t="s">
        <v>387</v>
      </c>
      <c r="B40" t="s">
        <v>373</v>
      </c>
      <c r="C40">
        <f>C39*'Process variables '!G19</f>
        <v>65676.179984325179</v>
      </c>
      <c r="K40" s="121" t="e">
        <f t="shared" si="0"/>
        <v>#DIV/0!</v>
      </c>
      <c r="L40" t="s">
        <v>300</v>
      </c>
      <c r="M40" t="s">
        <v>131</v>
      </c>
      <c r="N40">
        <v>0</v>
      </c>
      <c r="P40">
        <f t="shared" si="1"/>
        <v>0</v>
      </c>
      <c r="Q40">
        <v>296.5</v>
      </c>
      <c r="S40">
        <f t="shared" si="2"/>
        <v>0</v>
      </c>
    </row>
    <row r="41" spans="1:19" x14ac:dyDescent="0.35">
      <c r="A41" t="s">
        <v>388</v>
      </c>
      <c r="B41" t="s">
        <v>389</v>
      </c>
      <c r="C41">
        <f>(C40*'Process variables '!G21/3.6)</f>
        <v>14594.706663183373</v>
      </c>
      <c r="K41" s="121" t="e">
        <f t="shared" si="0"/>
        <v>#DIV/0!</v>
      </c>
      <c r="L41" t="s">
        <v>301</v>
      </c>
      <c r="M41" t="s">
        <v>131</v>
      </c>
      <c r="N41">
        <v>0</v>
      </c>
      <c r="P41">
        <f t="shared" si="1"/>
        <v>0</v>
      </c>
      <c r="Q41">
        <v>296.5</v>
      </c>
      <c r="S41">
        <f t="shared" si="2"/>
        <v>0</v>
      </c>
    </row>
    <row r="42" spans="1:19" x14ac:dyDescent="0.35">
      <c r="A42" t="s">
        <v>390</v>
      </c>
      <c r="K42" s="121" t="e">
        <f t="shared" si="0"/>
        <v>#DIV/0!</v>
      </c>
      <c r="L42" t="s">
        <v>391</v>
      </c>
      <c r="M42" t="s">
        <v>131</v>
      </c>
      <c r="N42">
        <v>0</v>
      </c>
      <c r="P42">
        <f t="shared" si="1"/>
        <v>0</v>
      </c>
      <c r="S42">
        <f t="shared" si="2"/>
        <v>0</v>
      </c>
    </row>
    <row r="43" spans="1:19" x14ac:dyDescent="0.35">
      <c r="A43" t="s">
        <v>392</v>
      </c>
      <c r="B43" t="s">
        <v>389</v>
      </c>
      <c r="C43">
        <f>B32</f>
        <v>1634.0982896400001</v>
      </c>
      <c r="K43" s="121" t="e">
        <f t="shared" si="0"/>
        <v>#DIV/0!</v>
      </c>
      <c r="L43" t="s">
        <v>302</v>
      </c>
      <c r="M43" t="s">
        <v>131</v>
      </c>
      <c r="N43">
        <v>0</v>
      </c>
      <c r="P43">
        <f t="shared" si="1"/>
        <v>0</v>
      </c>
      <c r="Q43">
        <v>44.01</v>
      </c>
      <c r="S43">
        <f t="shared" si="2"/>
        <v>0</v>
      </c>
    </row>
    <row r="44" spans="1:19" x14ac:dyDescent="0.35">
      <c r="A44" t="s">
        <v>392</v>
      </c>
      <c r="B44" t="s">
        <v>373</v>
      </c>
      <c r="C44">
        <f>C43*3.6</f>
        <v>5882.7538427040008</v>
      </c>
      <c r="K44" s="121" t="e">
        <f t="shared" si="0"/>
        <v>#DIV/0!</v>
      </c>
      <c r="L44" t="s">
        <v>303</v>
      </c>
      <c r="M44" t="s">
        <v>131</v>
      </c>
      <c r="N44">
        <v>0</v>
      </c>
      <c r="P44">
        <f t="shared" si="1"/>
        <v>0</v>
      </c>
      <c r="Q44">
        <v>30.07</v>
      </c>
      <c r="R44">
        <v>51.9</v>
      </c>
      <c r="S44">
        <f t="shared" si="2"/>
        <v>0</v>
      </c>
    </row>
    <row r="45" spans="1:19" x14ac:dyDescent="0.35">
      <c r="A45" t="s">
        <v>393</v>
      </c>
      <c r="B45" t="s">
        <v>373</v>
      </c>
      <c r="C45">
        <f>C44/'Process variables '!G21</f>
        <v>7353.4423033800003</v>
      </c>
      <c r="K45" s="121" t="e">
        <f t="shared" si="0"/>
        <v>#DIV/0!</v>
      </c>
      <c r="L45" t="s">
        <v>304</v>
      </c>
      <c r="M45" t="s">
        <v>131</v>
      </c>
      <c r="N45">
        <v>0</v>
      </c>
      <c r="P45">
        <f t="shared" si="1"/>
        <v>0</v>
      </c>
      <c r="Q45">
        <v>58.12</v>
      </c>
      <c r="R45">
        <v>49.5</v>
      </c>
      <c r="S45">
        <f t="shared" si="2"/>
        <v>0</v>
      </c>
    </row>
    <row r="46" spans="1:19" x14ac:dyDescent="0.35">
      <c r="A46" t="s">
        <v>394</v>
      </c>
      <c r="B46" t="s">
        <v>373</v>
      </c>
      <c r="C46">
        <v>0</v>
      </c>
      <c r="K46" s="121" t="e">
        <f t="shared" si="0"/>
        <v>#DIV/0!</v>
      </c>
      <c r="L46" t="s">
        <v>305</v>
      </c>
      <c r="M46" t="s">
        <v>131</v>
      </c>
      <c r="N46">
        <v>0</v>
      </c>
      <c r="P46">
        <f t="shared" si="1"/>
        <v>0</v>
      </c>
      <c r="Q46">
        <v>44.1</v>
      </c>
      <c r="R46">
        <v>50.35</v>
      </c>
      <c r="S46">
        <f t="shared" si="2"/>
        <v>0</v>
      </c>
    </row>
    <row r="47" spans="1:19" x14ac:dyDescent="0.35">
      <c r="A47" t="s">
        <v>395</v>
      </c>
      <c r="B47" t="s">
        <v>373</v>
      </c>
      <c r="C47">
        <f>C40-C45</f>
        <v>58322.737680945182</v>
      </c>
      <c r="O47" t="s">
        <v>396</v>
      </c>
      <c r="P47">
        <f>SUM(P5:P46)</f>
        <v>0</v>
      </c>
      <c r="S47">
        <f>SUM(S5:S46)+S51</f>
        <v>82095.224980406463</v>
      </c>
    </row>
    <row r="48" spans="1:19" x14ac:dyDescent="0.35">
      <c r="A48" t="s">
        <v>397</v>
      </c>
      <c r="B48" t="s">
        <v>373</v>
      </c>
      <c r="C48" s="102">
        <f>B33</f>
        <v>265519.7563092623</v>
      </c>
      <c r="L48" t="s">
        <v>336</v>
      </c>
      <c r="Q48">
        <v>50</v>
      </c>
      <c r="R48" t="s">
        <v>177</v>
      </c>
    </row>
    <row r="49" spans="1:19" x14ac:dyDescent="0.35">
      <c r="A49" t="s">
        <v>398</v>
      </c>
      <c r="C49">
        <f>C48*'Process variables '!C4</f>
        <v>212415.80504740984</v>
      </c>
      <c r="L49" s="125" t="s">
        <v>399</v>
      </c>
      <c r="M49" s="126">
        <v>2.8</v>
      </c>
      <c r="N49" s="127" t="s">
        <v>177</v>
      </c>
    </row>
    <row r="50" spans="1:19" x14ac:dyDescent="0.35">
      <c r="A50" t="s">
        <v>400</v>
      </c>
      <c r="B50" t="s">
        <v>373</v>
      </c>
      <c r="C50" s="102">
        <f>C48-C49</f>
        <v>53103.95126185246</v>
      </c>
    </row>
    <row r="51" spans="1:19" x14ac:dyDescent="0.35">
      <c r="A51" t="s">
        <v>401</v>
      </c>
      <c r="B51" t="s">
        <v>373</v>
      </c>
      <c r="C51">
        <f>C47</f>
        <v>58322.737680945182</v>
      </c>
      <c r="L51" t="s">
        <v>402</v>
      </c>
      <c r="M51" t="s">
        <v>403</v>
      </c>
      <c r="N51">
        <f>'Mass balances '!N104</f>
        <v>3219.4205874669201</v>
      </c>
      <c r="P51">
        <f>N51</f>
        <v>3219.4205874669201</v>
      </c>
      <c r="Q51">
        <v>12</v>
      </c>
      <c r="R51" s="128">
        <f>Experimental_Background!C31</f>
        <v>25.5</v>
      </c>
      <c r="S51">
        <f>R51*P51</f>
        <v>82095.224980406463</v>
      </c>
    </row>
    <row r="52" spans="1:19" x14ac:dyDescent="0.35">
      <c r="A52" t="s">
        <v>404</v>
      </c>
      <c r="B52" t="s">
        <v>373</v>
      </c>
      <c r="C52" s="102">
        <v>0</v>
      </c>
    </row>
    <row r="53" spans="1:19" x14ac:dyDescent="0.35">
      <c r="A53" t="s">
        <v>405</v>
      </c>
      <c r="B53" t="s">
        <v>246</v>
      </c>
      <c r="C53">
        <v>0</v>
      </c>
    </row>
    <row r="54" spans="1:19" x14ac:dyDescent="0.35">
      <c r="A54" t="s">
        <v>406</v>
      </c>
      <c r="B54" t="s">
        <v>373</v>
      </c>
      <c r="C54" s="102">
        <f>C47-C50</f>
        <v>5218.7864190927212</v>
      </c>
    </row>
    <row r="55" spans="1:19" x14ac:dyDescent="0.35">
      <c r="A55" t="s">
        <v>407</v>
      </c>
      <c r="B55" t="s">
        <v>389</v>
      </c>
      <c r="C55">
        <f>C54*'Process variables '!G21/3.6</f>
        <v>1159.7303153539381</v>
      </c>
    </row>
    <row r="57" spans="1:19" x14ac:dyDescent="0.35">
      <c r="A57" t="s">
        <v>408</v>
      </c>
      <c r="B57" t="s">
        <v>246</v>
      </c>
      <c r="C57" s="102">
        <f>SUM(C58:C60)</f>
        <v>23707.12109904128</v>
      </c>
    </row>
    <row r="58" spans="1:19" x14ac:dyDescent="0.35">
      <c r="A58" t="s">
        <v>136</v>
      </c>
      <c r="B58" t="s">
        <v>246</v>
      </c>
      <c r="C58" s="102">
        <f>C48/M49*'Process variables '!C5</f>
        <v>20862.266567156326</v>
      </c>
    </row>
    <row r="59" spans="1:19" x14ac:dyDescent="0.35">
      <c r="A59" t="s">
        <v>409</v>
      </c>
      <c r="B59" t="s">
        <v>246</v>
      </c>
      <c r="C59" s="102">
        <f>C48/M49*0.03</f>
        <v>2844.8545318849533</v>
      </c>
    </row>
    <row r="60" spans="1:19" x14ac:dyDescent="0.35">
      <c r="A60" t="s">
        <v>410</v>
      </c>
      <c r="B60" t="s">
        <v>246</v>
      </c>
      <c r="C60">
        <f>H40</f>
        <v>0</v>
      </c>
    </row>
    <row r="69" spans="2:2" x14ac:dyDescent="0.35">
      <c r="B69">
        <v>2624.5723290681599</v>
      </c>
    </row>
    <row r="70" spans="2:2" x14ac:dyDescent="0.35">
      <c r="B70">
        <v>27.914007384000001</v>
      </c>
    </row>
    <row r="71" spans="2:2" x14ac:dyDescent="0.35">
      <c r="B71">
        <v>281.71783188000001</v>
      </c>
    </row>
    <row r="72" spans="2:2" x14ac:dyDescent="0.35">
      <c r="B72">
        <v>317.07966024000001</v>
      </c>
    </row>
    <row r="73" spans="2:2" x14ac:dyDescent="0.35">
      <c r="B73">
        <v>422.99449559999999</v>
      </c>
    </row>
    <row r="74" spans="2:2" x14ac:dyDescent="0.35">
      <c r="B74">
        <v>66336.067496735996</v>
      </c>
    </row>
    <row r="75" spans="2:2" x14ac:dyDescent="0.35">
      <c r="B75">
        <v>70703.892235324704</v>
      </c>
    </row>
    <row r="76" spans="2:2" x14ac:dyDescent="0.35">
      <c r="B76">
        <v>11613.559462259</v>
      </c>
    </row>
    <row r="77" spans="2:2" x14ac:dyDescent="0.35">
      <c r="B77">
        <v>334838.28430483199</v>
      </c>
    </row>
    <row r="78" spans="2:2" x14ac:dyDescent="0.35">
      <c r="B78">
        <v>-243271.00888243201</v>
      </c>
    </row>
    <row r="79" spans="2:2" x14ac:dyDescent="0.35">
      <c r="B79">
        <v>-26.182932394075198</v>
      </c>
    </row>
    <row r="82" spans="1:4" x14ac:dyDescent="0.35">
      <c r="B82">
        <v>0</v>
      </c>
    </row>
    <row r="83" spans="1:4" x14ac:dyDescent="0.35">
      <c r="B83">
        <v>0</v>
      </c>
    </row>
    <row r="84" spans="1:4" x14ac:dyDescent="0.35">
      <c r="B84">
        <v>0</v>
      </c>
    </row>
    <row r="85" spans="1:4" x14ac:dyDescent="0.35">
      <c r="B85">
        <v>0</v>
      </c>
    </row>
    <row r="86" spans="1:4" x14ac:dyDescent="0.35">
      <c r="B86">
        <v>0</v>
      </c>
    </row>
    <row r="87" spans="1:4" x14ac:dyDescent="0.35">
      <c r="B87">
        <f>SUM(B66:B86)</f>
        <v>243868.89000849778</v>
      </c>
      <c r="C87" t="s">
        <v>373</v>
      </c>
    </row>
    <row r="88" spans="1:4" x14ac:dyDescent="0.35">
      <c r="A88">
        <v>2.777778E-4</v>
      </c>
      <c r="B88">
        <f>B87*A88</f>
        <v>67.741363755002496</v>
      </c>
      <c r="C88" t="s">
        <v>411</v>
      </c>
      <c r="D88" s="129"/>
    </row>
  </sheetData>
  <pageMargins left="0.7" right="0.7" top="0.75" bottom="0.75" header="0.3" footer="0.3"/>
  <legacy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6BF17D-ECA2-4E5C-AA3C-6F76F5560A95}">
  <dimension ref="A1:E54"/>
  <sheetViews>
    <sheetView workbookViewId="0">
      <selection activeCell="D32" sqref="D32"/>
    </sheetView>
  </sheetViews>
  <sheetFormatPr defaultRowHeight="14.5" x14ac:dyDescent="0.35"/>
  <cols>
    <col min="1" max="1" width="33.54296875" customWidth="1"/>
    <col min="2" max="2" width="5.36328125" customWidth="1"/>
    <col min="3" max="3" width="26.90625" customWidth="1"/>
    <col min="4" max="4" width="31.26953125" customWidth="1"/>
  </cols>
  <sheetData>
    <row r="1" spans="1:4" x14ac:dyDescent="0.35">
      <c r="A1" s="130" t="s">
        <v>412</v>
      </c>
      <c r="B1" s="131"/>
      <c r="C1" s="131"/>
      <c r="D1" s="131"/>
    </row>
    <row r="2" spans="1:4" x14ac:dyDescent="0.35">
      <c r="A2" s="132" t="s">
        <v>413</v>
      </c>
      <c r="B2" s="133"/>
      <c r="C2" s="134"/>
      <c r="D2" s="135">
        <f t="shared" ref="D2" si="0">SUM(D3:D5)</f>
        <v>446344.72713999997</v>
      </c>
    </row>
    <row r="3" spans="1:4" x14ac:dyDescent="0.35">
      <c r="A3" s="133" t="s">
        <v>414</v>
      </c>
      <c r="B3" s="133" t="s">
        <v>373</v>
      </c>
      <c r="C3" s="133" t="str">
        <f t="shared" ref="C3:C6" si="1">A3</f>
        <v>Biomass</v>
      </c>
      <c r="D3" s="136">
        <f>'Mass balances '!D6*Experimental_Background!B19</f>
        <v>446344.72713999997</v>
      </c>
    </row>
    <row r="4" spans="1:4" x14ac:dyDescent="0.35">
      <c r="A4" s="133" t="s">
        <v>341</v>
      </c>
      <c r="B4" s="133" t="s">
        <v>373</v>
      </c>
      <c r="C4" s="133" t="str">
        <f t="shared" si="1"/>
        <v>Natural Gas</v>
      </c>
    </row>
    <row r="5" spans="1:4" x14ac:dyDescent="0.35">
      <c r="A5" s="137" t="s">
        <v>415</v>
      </c>
      <c r="B5" s="137" t="s">
        <v>373</v>
      </c>
      <c r="C5" s="133" t="str">
        <f t="shared" si="1"/>
        <v>Biomass in Recycled Aqueous, est.</v>
      </c>
      <c r="D5" s="136">
        <f>'Mass balances '!D16*Experimental_Background!B19</f>
        <v>0</v>
      </c>
    </row>
    <row r="6" spans="1:4" x14ac:dyDescent="0.35">
      <c r="A6" s="138" t="s">
        <v>416</v>
      </c>
      <c r="B6" s="138" t="s">
        <v>373</v>
      </c>
      <c r="C6" s="138" t="str">
        <f t="shared" si="1"/>
        <v>Biomass in Recycled Aqueous, alt est.</v>
      </c>
      <c r="D6" s="135" t="e">
        <f>D13*'[1]2.2 Mass'!C24</f>
        <v>#VALUE!</v>
      </c>
    </row>
    <row r="7" spans="1:4" x14ac:dyDescent="0.35">
      <c r="A7" s="137"/>
      <c r="B7" s="137"/>
      <c r="C7" s="137"/>
      <c r="D7" s="136"/>
    </row>
    <row r="8" spans="1:4" x14ac:dyDescent="0.35">
      <c r="A8" s="139" t="s">
        <v>417</v>
      </c>
      <c r="B8" s="137"/>
      <c r="C8" s="138"/>
      <c r="D8" s="135">
        <f t="shared" ref="D8" si="2">SUM(D9:D12)</f>
        <v>446344.72713999997</v>
      </c>
    </row>
    <row r="9" spans="1:4" x14ac:dyDescent="0.35">
      <c r="A9" s="137" t="s">
        <v>20</v>
      </c>
      <c r="B9" s="137" t="s">
        <v>373</v>
      </c>
      <c r="C9" s="133" t="str">
        <f t="shared" ref="C9:C43" si="3">A9</f>
        <v>Biocrude</v>
      </c>
      <c r="D9" s="136">
        <f>Experimental_Background!B31*'Mass balances '!D71</f>
        <v>281777.33125795127</v>
      </c>
    </row>
    <row r="10" spans="1:4" x14ac:dyDescent="0.35">
      <c r="A10" s="140" t="s">
        <v>178</v>
      </c>
      <c r="B10" s="140" t="s">
        <v>373</v>
      </c>
      <c r="C10" s="133" t="str">
        <f t="shared" si="3"/>
        <v>Char</v>
      </c>
      <c r="D10" s="136">
        <f>Experimental_Background!C31*'Mass balances '!D57</f>
        <v>82095.224980406463</v>
      </c>
    </row>
    <row r="11" spans="1:4" x14ac:dyDescent="0.35">
      <c r="A11" s="137" t="s">
        <v>179</v>
      </c>
      <c r="B11" s="137" t="s">
        <v>373</v>
      </c>
      <c r="C11" s="133" t="str">
        <f t="shared" si="3"/>
        <v>Gas</v>
      </c>
      <c r="D11" s="136">
        <f>'Mass balances '!D40*1.8</f>
        <v>0</v>
      </c>
    </row>
    <row r="12" spans="1:4" x14ac:dyDescent="0.35">
      <c r="A12" s="141" t="s">
        <v>418</v>
      </c>
      <c r="B12" s="141" t="s">
        <v>373</v>
      </c>
      <c r="C12" s="133" t="str">
        <f t="shared" si="3"/>
        <v>Aqueous&amp; Losses</v>
      </c>
      <c r="D12" s="142">
        <f>(D3+D4+D5)-SUM(D9:D11)</f>
        <v>82472.170901642239</v>
      </c>
    </row>
    <row r="13" spans="1:4" x14ac:dyDescent="0.35">
      <c r="A13" s="143" t="s">
        <v>419</v>
      </c>
      <c r="B13" s="143" t="s">
        <v>420</v>
      </c>
      <c r="C13" s="133" t="str">
        <f t="shared" si="3"/>
        <v>Aqueous energy content [calculated]</v>
      </c>
      <c r="D13" s="144">
        <f>D12/'[2]Mass balances '!D115</f>
        <v>0.44288436048479474</v>
      </c>
    </row>
    <row r="14" spans="1:4" x14ac:dyDescent="0.35">
      <c r="A14" s="137"/>
      <c r="B14" s="137"/>
      <c r="C14" s="133">
        <f t="shared" si="3"/>
        <v>0</v>
      </c>
      <c r="D14" s="133"/>
    </row>
    <row r="15" spans="1:4" x14ac:dyDescent="0.35">
      <c r="A15" s="139" t="s">
        <v>417</v>
      </c>
      <c r="B15" s="137"/>
      <c r="C15" s="133" t="str">
        <f t="shared" si="3"/>
        <v>Energy Out, Reactor</v>
      </c>
      <c r="D15" s="145">
        <f t="shared" ref="D15" si="4">SUM(D16:D19)</f>
        <v>0.99999999999999989</v>
      </c>
    </row>
    <row r="16" spans="1:4" x14ac:dyDescent="0.35">
      <c r="A16" s="137" t="s">
        <v>20</v>
      </c>
      <c r="B16" s="137" t="s">
        <v>155</v>
      </c>
      <c r="C16" s="133" t="str">
        <f t="shared" si="3"/>
        <v>Biocrude</v>
      </c>
      <c r="D16" s="146">
        <f>D9/D8</f>
        <v>0.63129978719244351</v>
      </c>
    </row>
    <row r="17" spans="1:5" x14ac:dyDescent="0.35">
      <c r="A17" s="140" t="s">
        <v>421</v>
      </c>
      <c r="B17" s="137" t="s">
        <v>155</v>
      </c>
      <c r="C17" s="133" t="str">
        <f t="shared" si="3"/>
        <v>Char (Combustible)</v>
      </c>
      <c r="D17" s="146">
        <f>D10/D8</f>
        <v>0.1839278476670714</v>
      </c>
    </row>
    <row r="18" spans="1:5" x14ac:dyDescent="0.35">
      <c r="A18" s="137" t="s">
        <v>422</v>
      </c>
      <c r="B18" s="137" t="s">
        <v>155</v>
      </c>
      <c r="C18" s="133" t="str">
        <f t="shared" si="3"/>
        <v>Gas (Combustible)</v>
      </c>
      <c r="D18" s="146">
        <f>D11/D8</f>
        <v>0</v>
      </c>
    </row>
    <row r="19" spans="1:5" x14ac:dyDescent="0.35">
      <c r="A19" s="141" t="s">
        <v>418</v>
      </c>
      <c r="B19" s="137" t="s">
        <v>155</v>
      </c>
      <c r="C19" s="133" t="str">
        <f t="shared" si="3"/>
        <v>Aqueous&amp; Losses</v>
      </c>
      <c r="D19" s="146">
        <f>D12/D8</f>
        <v>0.18477236514048503</v>
      </c>
    </row>
    <row r="20" spans="1:5" x14ac:dyDescent="0.35">
      <c r="A20" s="137"/>
      <c r="B20" s="137"/>
      <c r="C20" s="133">
        <f t="shared" si="3"/>
        <v>0</v>
      </c>
      <c r="D20" s="146"/>
    </row>
    <row r="21" spans="1:5" x14ac:dyDescent="0.35">
      <c r="A21" s="147" t="s">
        <v>423</v>
      </c>
      <c r="B21" s="148"/>
      <c r="C21" s="133" t="str">
        <f t="shared" si="3"/>
        <v>Orangnics Mass Out, Reactor</v>
      </c>
      <c r="D21" s="149">
        <f>SUM(D22:D26)</f>
        <v>0.99999950648320857</v>
      </c>
    </row>
    <row r="22" spans="1:5" x14ac:dyDescent="0.35">
      <c r="A22" s="148" t="s">
        <v>20</v>
      </c>
      <c r="B22" s="148" t="s">
        <v>155</v>
      </c>
      <c r="C22" s="133" t="str">
        <f t="shared" si="3"/>
        <v>Biocrude</v>
      </c>
      <c r="D22" s="150">
        <f>'Mass balances '!D30/(SUM('Mass balances '!D21:D23))</f>
        <v>0.39800057691271351</v>
      </c>
      <c r="E22" s="30"/>
    </row>
    <row r="23" spans="1:5" x14ac:dyDescent="0.35">
      <c r="A23" s="151" t="s">
        <v>178</v>
      </c>
      <c r="B23" s="148" t="s">
        <v>155</v>
      </c>
      <c r="C23" s="133" t="str">
        <f t="shared" si="3"/>
        <v>Char</v>
      </c>
      <c r="D23" s="150">
        <f>'Mass balances '!D36/(SUM('Mass balances '!D21:D23))</f>
        <v>0.11999978662534781</v>
      </c>
    </row>
    <row r="24" spans="1:5" x14ac:dyDescent="0.35">
      <c r="A24" s="148" t="s">
        <v>179</v>
      </c>
      <c r="B24" s="148" t="s">
        <v>155</v>
      </c>
      <c r="C24" s="133" t="str">
        <f t="shared" si="3"/>
        <v>Gas</v>
      </c>
      <c r="D24" s="150">
        <f>'Mass balances '!D40/(SUM('Mass balances '!D21:D23))</f>
        <v>0</v>
      </c>
    </row>
    <row r="25" spans="1:5" x14ac:dyDescent="0.35">
      <c r="A25" s="148" t="s">
        <v>307</v>
      </c>
      <c r="B25" s="148" t="s">
        <v>155</v>
      </c>
      <c r="C25" s="133" t="str">
        <f t="shared" si="3"/>
        <v>Aqueous</v>
      </c>
      <c r="D25" s="150">
        <f>'Mass balances '!D33/(SUM('Mass balances '!D21:D23))</f>
        <v>0.48199914294514717</v>
      </c>
    </row>
    <row r="26" spans="1:5" x14ac:dyDescent="0.35">
      <c r="B26" s="148"/>
      <c r="C26" s="133"/>
      <c r="D26" s="150"/>
      <c r="E26" s="148"/>
    </row>
    <row r="27" spans="1:5" x14ac:dyDescent="0.35">
      <c r="A27" s="137"/>
      <c r="B27" s="137"/>
      <c r="C27" s="133">
        <f t="shared" si="3"/>
        <v>0</v>
      </c>
      <c r="D27" s="136"/>
    </row>
    <row r="28" spans="1:5" x14ac:dyDescent="0.35">
      <c r="A28" s="139" t="s">
        <v>424</v>
      </c>
      <c r="B28" s="137"/>
      <c r="C28" s="133" t="str">
        <f t="shared" si="3"/>
        <v>Energy Out, System</v>
      </c>
      <c r="D28" s="136">
        <f>D29+D30+D41+D42</f>
        <v>446174.59812057734</v>
      </c>
    </row>
    <row r="29" spans="1:5" x14ac:dyDescent="0.35">
      <c r="A29" s="137" t="s">
        <v>338</v>
      </c>
      <c r="B29" s="137" t="s">
        <v>373</v>
      </c>
      <c r="C29" s="133" t="str">
        <f t="shared" si="3"/>
        <v>Biofuel</v>
      </c>
      <c r="D29" s="136">
        <f>'Mass balances '!D116*E29</f>
        <v>281607.20223852864</v>
      </c>
      <c r="E29">
        <v>27.85</v>
      </c>
    </row>
    <row r="30" spans="1:5" x14ac:dyDescent="0.35">
      <c r="A30" s="137" t="s">
        <v>425</v>
      </c>
      <c r="B30" s="137" t="s">
        <v>373</v>
      </c>
      <c r="C30" s="133" t="str">
        <f t="shared" si="3"/>
        <v>Biomass Combustion</v>
      </c>
      <c r="D30" s="136">
        <f>'Utilities from Aspen '!C39</f>
        <v>82095.224980406463</v>
      </c>
    </row>
    <row r="31" spans="1:5" x14ac:dyDescent="0.35">
      <c r="A31" s="152" t="s">
        <v>426</v>
      </c>
      <c r="B31" s="138" t="s">
        <v>373</v>
      </c>
      <c r="C31" s="133" t="str">
        <f t="shared" si="3"/>
        <v>of which, internal heat</v>
      </c>
      <c r="D31" s="135">
        <f>'Utilities from Aspen '!C45</f>
        <v>7353.4423033800003</v>
      </c>
    </row>
    <row r="32" spans="1:5" x14ac:dyDescent="0.35">
      <c r="A32" s="152" t="s">
        <v>427</v>
      </c>
      <c r="B32" s="138" t="s">
        <v>373</v>
      </c>
      <c r="C32" s="133" t="str">
        <f t="shared" si="3"/>
        <v>of which, internal electricity</v>
      </c>
      <c r="D32" s="135">
        <f>'Utilities from Aspen '!C44-'Utilities from Aspen '!C46</f>
        <v>5882.7538427040008</v>
      </c>
    </row>
    <row r="33" spans="1:4" x14ac:dyDescent="0.35">
      <c r="A33" s="152" t="s">
        <v>428</v>
      </c>
      <c r="B33" s="138" t="s">
        <v>373</v>
      </c>
      <c r="C33" s="133" t="str">
        <f t="shared" si="3"/>
        <v>of which, salable electricity</v>
      </c>
      <c r="D33" s="135">
        <f>'Utilities from Aspen '!C55*3.6</f>
        <v>4175.029135274177</v>
      </c>
    </row>
    <row r="34" spans="1:4" x14ac:dyDescent="0.35">
      <c r="A34" s="152" t="s">
        <v>429</v>
      </c>
      <c r="B34" s="138" t="s">
        <v>373</v>
      </c>
      <c r="C34" s="133" t="str">
        <f t="shared" si="3"/>
        <v>of which, known losses</v>
      </c>
      <c r="D34" s="135">
        <f>D30-D31-D32-D33</f>
        <v>64683.99969904829</v>
      </c>
    </row>
    <row r="35" spans="1:4" x14ac:dyDescent="0.35">
      <c r="A35" s="153" t="s">
        <v>430</v>
      </c>
      <c r="B35" s="143" t="s">
        <v>373</v>
      </c>
      <c r="C35" s="133" t="str">
        <f t="shared" si="3"/>
        <v xml:space="preserve">sum </v>
      </c>
      <c r="D35" s="154">
        <f t="shared" ref="D35" si="5">SUM(D31:D34)</f>
        <v>82095.224980406463</v>
      </c>
    </row>
    <row r="36" spans="1:4" x14ac:dyDescent="0.35">
      <c r="A36" s="133" t="s">
        <v>431</v>
      </c>
      <c r="B36" s="133" t="s">
        <v>373</v>
      </c>
      <c r="C36" s="133" t="str">
        <f t="shared" si="3"/>
        <v>Natural Gas Combustion</v>
      </c>
      <c r="D36" s="136">
        <f>'[2]utilities demand from Aspen plu'!C53*'[2]utilities demand from Aspen plu'!Q48</f>
        <v>0</v>
      </c>
    </row>
    <row r="37" spans="1:4" x14ac:dyDescent="0.35">
      <c r="A37" s="152" t="s">
        <v>426</v>
      </c>
      <c r="B37" s="138" t="s">
        <v>373</v>
      </c>
      <c r="C37" s="133" t="str">
        <f t="shared" si="3"/>
        <v>of which, internal heat</v>
      </c>
      <c r="D37" s="135">
        <f>'[2]utilities demand from Aspen plu'!C52</f>
        <v>0</v>
      </c>
    </row>
    <row r="38" spans="1:4" x14ac:dyDescent="0.35">
      <c r="A38" s="152" t="s">
        <v>427</v>
      </c>
      <c r="B38" s="138" t="s">
        <v>373</v>
      </c>
      <c r="C38" s="133" t="str">
        <f t="shared" si="3"/>
        <v>of which, internal electricity</v>
      </c>
      <c r="D38" s="135">
        <f>'[2]utilities demand from Aspen plu'!C46</f>
        <v>0</v>
      </c>
    </row>
    <row r="39" spans="1:4" x14ac:dyDescent="0.35">
      <c r="A39" s="152" t="s">
        <v>429</v>
      </c>
      <c r="B39" s="138" t="s">
        <v>373</v>
      </c>
      <c r="C39" s="133" t="str">
        <f t="shared" si="3"/>
        <v>of which, known losses</v>
      </c>
      <c r="D39" s="135">
        <f>D36-D37-D38</f>
        <v>0</v>
      </c>
    </row>
    <row r="40" spans="1:4" x14ac:dyDescent="0.35">
      <c r="A40" s="153" t="s">
        <v>430</v>
      </c>
      <c r="B40" s="143"/>
      <c r="C40" s="133" t="str">
        <f t="shared" si="3"/>
        <v xml:space="preserve">sum </v>
      </c>
      <c r="D40" s="154">
        <f t="shared" ref="D40" si="6">SUM(D37:D39)</f>
        <v>0</v>
      </c>
    </row>
    <row r="41" spans="1:4" x14ac:dyDescent="0.35">
      <c r="A41" s="141" t="s">
        <v>432</v>
      </c>
      <c r="B41" s="141" t="s">
        <v>373</v>
      </c>
      <c r="C41" s="133" t="str">
        <f t="shared" si="3"/>
        <v>Aqueous Waste Purge</v>
      </c>
      <c r="D41" s="142">
        <f>D12*'Process variables '!C87</f>
        <v>20618.04272541056</v>
      </c>
    </row>
    <row r="42" spans="1:4" x14ac:dyDescent="0.35">
      <c r="A42" s="141" t="s">
        <v>433</v>
      </c>
      <c r="B42" s="141" t="s">
        <v>373</v>
      </c>
      <c r="C42" s="133" t="str">
        <f t="shared" si="3"/>
        <v>Aqueous &amp; Other Losses</v>
      </c>
      <c r="D42" s="142">
        <f t="shared" ref="D42" si="7">D12-D41</f>
        <v>61854.128176231679</v>
      </c>
    </row>
    <row r="43" spans="1:4" x14ac:dyDescent="0.35">
      <c r="A43" s="137"/>
      <c r="B43" s="137"/>
      <c r="C43" s="133">
        <f t="shared" si="3"/>
        <v>0</v>
      </c>
      <c r="D43" s="136"/>
    </row>
    <row r="44" spans="1:4" x14ac:dyDescent="0.35">
      <c r="A44" s="141" t="s">
        <v>434</v>
      </c>
      <c r="B44" s="141" t="s">
        <v>373</v>
      </c>
      <c r="C44" s="133" t="s">
        <v>435</v>
      </c>
      <c r="D44" s="155">
        <f t="shared" ref="D44" si="8">D2-D28</f>
        <v>170.12901942263125</v>
      </c>
    </row>
    <row r="45" spans="1:4" x14ac:dyDescent="0.35">
      <c r="A45" s="141"/>
      <c r="B45" s="141"/>
      <c r="C45" s="133"/>
      <c r="D45" s="142"/>
    </row>
    <row r="46" spans="1:4" x14ac:dyDescent="0.35">
      <c r="A46" s="156" t="s">
        <v>436</v>
      </c>
      <c r="B46" s="141"/>
      <c r="C46" s="133"/>
      <c r="D46" s="157"/>
    </row>
    <row r="47" spans="1:4" x14ac:dyDescent="0.35">
      <c r="A47" s="141" t="s">
        <v>338</v>
      </c>
      <c r="B47" s="141"/>
      <c r="C47" s="133" t="str">
        <f t="shared" ref="C47:C53" si="9">A47</f>
        <v>Biofuel</v>
      </c>
      <c r="D47" s="158">
        <f>D29/D$2</f>
        <v>0.6309186266027067</v>
      </c>
    </row>
    <row r="48" spans="1:4" x14ac:dyDescent="0.35">
      <c r="A48" s="141" t="s">
        <v>437</v>
      </c>
      <c r="B48" s="141"/>
      <c r="C48" s="133" t="str">
        <f t="shared" si="9"/>
        <v>Salable Electricity</v>
      </c>
      <c r="D48" s="158">
        <f t="shared" ref="D48" si="10">D33/D2</f>
        <v>9.3538220156113589E-3</v>
      </c>
    </row>
    <row r="49" spans="1:4" x14ac:dyDescent="0.35">
      <c r="A49" s="141" t="s">
        <v>438</v>
      </c>
      <c r="B49" s="141"/>
      <c r="C49" s="133" t="str">
        <f t="shared" si="9"/>
        <v>Process Energy, from Biogas and Char</v>
      </c>
      <c r="D49" s="158">
        <f t="shared" ref="D49" si="11">SUM(D31:D32)/D2</f>
        <v>2.9654648842602663E-2</v>
      </c>
    </row>
    <row r="50" spans="1:4" x14ac:dyDescent="0.35">
      <c r="A50" s="141" t="s">
        <v>439</v>
      </c>
      <c r="B50" s="141"/>
      <c r="C50" s="133" t="str">
        <f t="shared" si="9"/>
        <v>Process Energy, from Natural Gas</v>
      </c>
      <c r="D50" s="158">
        <f t="shared" ref="D50" si="12">SUM(D37:D38)/D2</f>
        <v>0</v>
      </c>
    </row>
    <row r="51" spans="1:4" x14ac:dyDescent="0.35">
      <c r="A51" s="141" t="s">
        <v>440</v>
      </c>
      <c r="B51" s="141"/>
      <c r="C51" s="133" t="str">
        <f t="shared" si="9"/>
        <v>Aqueous Recyclate</v>
      </c>
      <c r="D51" s="158">
        <f t="shared" ref="D51" si="13">D42/D2</f>
        <v>0.13857927385536378</v>
      </c>
    </row>
    <row r="52" spans="1:4" x14ac:dyDescent="0.35">
      <c r="A52" s="141" t="s">
        <v>441</v>
      </c>
      <c r="B52" s="141"/>
      <c r="C52" s="133" t="str">
        <f t="shared" si="9"/>
        <v>Combustion Losses</v>
      </c>
      <c r="D52" s="158">
        <f t="shared" ref="D52" si="14">SUM(D34,D39)/D2</f>
        <v>0.14491937680885739</v>
      </c>
    </row>
    <row r="53" spans="1:4" x14ac:dyDescent="0.35">
      <c r="A53" s="141" t="s">
        <v>442</v>
      </c>
      <c r="B53" s="141"/>
      <c r="C53" s="133" t="str">
        <f t="shared" si="9"/>
        <v>Waste Aqueous &amp; Unknown Losses</v>
      </c>
      <c r="D53" s="158">
        <f t="shared" ref="D53" si="15">(D41+D44)/D2</f>
        <v>4.6574251874858148E-2</v>
      </c>
    </row>
    <row r="54" spans="1:4" x14ac:dyDescent="0.35">
      <c r="D54" s="30">
        <f>SUM(D47:D52)</f>
        <v>0.95342574812514191</v>
      </c>
    </row>
  </sheetData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CD7414-66DD-481A-82AD-6D1232FD3716}">
  <dimension ref="A1:C48"/>
  <sheetViews>
    <sheetView topLeftCell="A28" workbookViewId="0">
      <selection activeCell="F24" sqref="F24"/>
    </sheetView>
  </sheetViews>
  <sheetFormatPr defaultRowHeight="14.5" x14ac:dyDescent="0.35"/>
  <cols>
    <col min="1" max="1" width="20.7265625" customWidth="1"/>
    <col min="2" max="2" width="21" customWidth="1"/>
    <col min="3" max="3" width="33.26953125" customWidth="1"/>
  </cols>
  <sheetData>
    <row r="1" spans="1:3" x14ac:dyDescent="0.35">
      <c r="A1" s="159" t="s">
        <v>443</v>
      </c>
      <c r="B1" s="160"/>
      <c r="C1" s="161"/>
    </row>
    <row r="2" spans="1:3" x14ac:dyDescent="0.35">
      <c r="A2" s="162" t="s">
        <v>444</v>
      </c>
      <c r="B2" s="40" t="s">
        <v>246</v>
      </c>
      <c r="C2" s="163">
        <f>'Mass balances '!D5</f>
        <v>28125</v>
      </c>
    </row>
    <row r="3" spans="1:3" x14ac:dyDescent="0.35">
      <c r="A3" s="162" t="s">
        <v>445</v>
      </c>
      <c r="B3" s="40" t="s">
        <v>446</v>
      </c>
      <c r="C3" s="164">
        <f>'Mass balances '!D6</f>
        <v>26410.9306</v>
      </c>
    </row>
    <row r="4" spans="1:3" x14ac:dyDescent="0.35">
      <c r="A4" s="162" t="s">
        <v>447</v>
      </c>
      <c r="B4" s="40" t="s">
        <v>155</v>
      </c>
      <c r="C4" s="165">
        <f>Experimental_Background!B5/100</f>
        <v>6.4899999999999999E-2</v>
      </c>
    </row>
    <row r="5" spans="1:3" x14ac:dyDescent="0.35">
      <c r="A5" s="166"/>
      <c r="B5" s="167"/>
      <c r="C5" s="168"/>
    </row>
    <row r="6" spans="1:3" x14ac:dyDescent="0.35">
      <c r="A6" s="169"/>
      <c r="B6" s="40"/>
      <c r="C6" s="39"/>
    </row>
    <row r="7" spans="1:3" x14ac:dyDescent="0.35">
      <c r="A7" s="170" t="s">
        <v>448</v>
      </c>
      <c r="B7" s="171"/>
      <c r="C7" s="170"/>
    </row>
    <row r="8" spans="1:3" x14ac:dyDescent="0.35">
      <c r="A8" s="172" t="s">
        <v>449</v>
      </c>
      <c r="B8" s="173" t="s">
        <v>450</v>
      </c>
      <c r="C8" s="174">
        <f>'Mass balances '!D116/'Mass balances '!D6</f>
        <v>0.38285546820774657</v>
      </c>
    </row>
    <row r="9" spans="1:3" x14ac:dyDescent="0.35">
      <c r="A9" s="175" t="s">
        <v>451</v>
      </c>
      <c r="B9" s="40" t="s">
        <v>452</v>
      </c>
      <c r="C9" s="176">
        <f>'Mass balances '!D116/'Mass balances '!D5</f>
        <v>0.3595224604680996</v>
      </c>
    </row>
    <row r="10" spans="1:3" x14ac:dyDescent="0.35">
      <c r="A10" s="175" t="s">
        <v>453</v>
      </c>
      <c r="B10" s="40" t="s">
        <v>177</v>
      </c>
      <c r="C10" s="176">
        <f>'Energy balance '!E29</f>
        <v>27.85</v>
      </c>
    </row>
    <row r="11" spans="1:3" x14ac:dyDescent="0.35">
      <c r="A11" s="39" t="s">
        <v>454</v>
      </c>
      <c r="B11" s="39" t="s">
        <v>455</v>
      </c>
      <c r="C11" s="177">
        <f>C8*'Energy balance '!E29</f>
        <v>10.662524789585742</v>
      </c>
    </row>
    <row r="12" spans="1:3" x14ac:dyDescent="0.35">
      <c r="A12" s="39"/>
      <c r="B12" s="40" t="s">
        <v>456</v>
      </c>
      <c r="C12" s="140">
        <f>C11/Experimental_Background!B31</f>
        <v>0.40541919352037042</v>
      </c>
    </row>
    <row r="13" spans="1:3" x14ac:dyDescent="0.35">
      <c r="A13" s="39"/>
      <c r="B13" s="40"/>
      <c r="C13" s="137"/>
    </row>
    <row r="14" spans="1:3" x14ac:dyDescent="0.35">
      <c r="A14" s="178" t="s">
        <v>443</v>
      </c>
      <c r="B14" s="40"/>
      <c r="C14" s="39"/>
    </row>
    <row r="15" spans="1:3" x14ac:dyDescent="0.35">
      <c r="A15" s="39" t="s">
        <v>333</v>
      </c>
      <c r="B15" s="40" t="s">
        <v>450</v>
      </c>
      <c r="C15" s="177">
        <f>('Mass balances '!D133+'Utilities from Aspen '!C57)/'Mass balances '!D6</f>
        <v>0.96252536043651238</v>
      </c>
    </row>
    <row r="16" spans="1:3" x14ac:dyDescent="0.35">
      <c r="A16" s="39" t="s">
        <v>341</v>
      </c>
      <c r="B16" s="40" t="s">
        <v>457</v>
      </c>
      <c r="C16" s="177">
        <f>('Utilities from Aspen '!C53*'Utilities from Aspen '!Q48*3.6)/'Mass balances '!D6</f>
        <v>0</v>
      </c>
    </row>
    <row r="17" spans="1:3" x14ac:dyDescent="0.35">
      <c r="A17" s="39"/>
      <c r="B17" s="40"/>
      <c r="C17" s="39"/>
    </row>
    <row r="18" spans="1:3" x14ac:dyDescent="0.35">
      <c r="A18" s="178" t="s">
        <v>458</v>
      </c>
      <c r="B18" s="40"/>
      <c r="C18" s="39"/>
    </row>
    <row r="19" spans="1:3" x14ac:dyDescent="0.35">
      <c r="A19" s="39" t="s">
        <v>459</v>
      </c>
      <c r="B19" s="40" t="s">
        <v>457</v>
      </c>
      <c r="C19" s="179">
        <f>'Utilities from Aspen '!C55/'Mass balances '!D6</f>
        <v>4.3910997795508881E-2</v>
      </c>
    </row>
    <row r="20" spans="1:3" x14ac:dyDescent="0.35">
      <c r="A20" s="39"/>
      <c r="B20" s="40"/>
      <c r="C20" s="39"/>
    </row>
    <row r="21" spans="1:3" x14ac:dyDescent="0.35">
      <c r="A21" s="178" t="s">
        <v>460</v>
      </c>
      <c r="B21" s="40"/>
      <c r="C21" s="39"/>
    </row>
    <row r="22" spans="1:3" x14ac:dyDescent="0.35">
      <c r="A22" s="39" t="s">
        <v>461</v>
      </c>
      <c r="B22" s="40" t="s">
        <v>450</v>
      </c>
      <c r="C22" s="177">
        <f>'Mass balances '!N155/'Mass balances '!D6</f>
        <v>1.5168483995738833</v>
      </c>
    </row>
    <row r="23" spans="1:3" x14ac:dyDescent="0.35">
      <c r="A23" s="39" t="s">
        <v>462</v>
      </c>
      <c r="B23" s="40" t="s">
        <v>450</v>
      </c>
      <c r="C23" s="177">
        <f>'Mass balances '!D140/'Mass balances '!D6</f>
        <v>2.6597246736226592</v>
      </c>
    </row>
    <row r="24" spans="1:3" x14ac:dyDescent="0.35">
      <c r="A24" s="39" t="s">
        <v>315</v>
      </c>
      <c r="B24" s="40" t="s">
        <v>450</v>
      </c>
      <c r="C24" s="177">
        <f>'Mass balances '!D141/'Mass balances '!D6</f>
        <v>2.3000000003320178E-3</v>
      </c>
    </row>
    <row r="25" spans="1:3" x14ac:dyDescent="0.35">
      <c r="A25" s="39"/>
      <c r="B25" s="40"/>
      <c r="C25" s="177"/>
    </row>
    <row r="26" spans="1:3" x14ac:dyDescent="0.35">
      <c r="A26" s="178" t="s">
        <v>463</v>
      </c>
      <c r="B26" s="40"/>
      <c r="C26" s="177"/>
    </row>
    <row r="27" spans="1:3" x14ac:dyDescent="0.35">
      <c r="A27" s="39" t="s">
        <v>464</v>
      </c>
      <c r="B27" s="40" t="s">
        <v>457</v>
      </c>
      <c r="C27" s="177">
        <f>'Mass balances '!D5/'Mass balances '!D6</f>
        <v>1.0649000001537243</v>
      </c>
    </row>
    <row r="28" spans="1:3" x14ac:dyDescent="0.35">
      <c r="A28" s="39" t="s">
        <v>465</v>
      </c>
      <c r="B28" s="40" t="s">
        <v>450</v>
      </c>
      <c r="C28" s="177">
        <f>'Mass balances '!D27/'Mass balances '!D6</f>
        <v>11.03223347230332</v>
      </c>
    </row>
    <row r="29" spans="1:3" x14ac:dyDescent="0.35">
      <c r="A29" s="39" t="s">
        <v>466</v>
      </c>
      <c r="B29" s="40" t="s">
        <v>457</v>
      </c>
      <c r="C29" s="177">
        <f>'Mass balances '!D53/'Mass balances '!D6</f>
        <v>11.032246734453983</v>
      </c>
    </row>
    <row r="30" spans="1:3" x14ac:dyDescent="0.35">
      <c r="A30" s="18" t="s">
        <v>467</v>
      </c>
      <c r="B30" s="40" t="s">
        <v>457</v>
      </c>
      <c r="C30" s="177">
        <f>('Mass balances '!D71*24*4*1)/(1000*'Mass balances '!D6)</f>
        <v>3.8943755693574916E-2</v>
      </c>
    </row>
    <row r="31" spans="1:3" x14ac:dyDescent="0.35">
      <c r="A31" s="39" t="s">
        <v>468</v>
      </c>
      <c r="B31" s="40" t="s">
        <v>450</v>
      </c>
      <c r="C31" s="177">
        <f>'Mass balances '!D100/'Mass balances '!D6</f>
        <v>0.42743431388214698</v>
      </c>
    </row>
    <row r="32" spans="1:3" x14ac:dyDescent="0.35">
      <c r="A32" s="39" t="s">
        <v>469</v>
      </c>
      <c r="B32" s="40" t="s">
        <v>450</v>
      </c>
      <c r="C32" s="177">
        <f>'Mass balances '!D90/'Mass balances '!D6</f>
        <v>2.1770395730469034E-2</v>
      </c>
    </row>
    <row r="33" spans="1:3" x14ac:dyDescent="0.35">
      <c r="A33" s="18" t="s">
        <v>470</v>
      </c>
      <c r="B33" s="40" t="s">
        <v>471</v>
      </c>
      <c r="C33" s="177">
        <f>'Utilities from Aspen '!C41/'Mass balances '!D6</f>
        <v>0.55260100010195679</v>
      </c>
    </row>
    <row r="34" spans="1:3" x14ac:dyDescent="0.35">
      <c r="A34" s="39"/>
      <c r="B34" s="40"/>
      <c r="C34" s="180"/>
    </row>
    <row r="35" spans="1:3" x14ac:dyDescent="0.35">
      <c r="A35" s="178" t="s">
        <v>472</v>
      </c>
      <c r="B35" s="40"/>
      <c r="C35" s="177"/>
    </row>
    <row r="36" spans="1:3" x14ac:dyDescent="0.35">
      <c r="A36" s="39" t="s">
        <v>341</v>
      </c>
      <c r="B36" s="40" t="s">
        <v>455</v>
      </c>
      <c r="C36" s="177">
        <v>0</v>
      </c>
    </row>
    <row r="37" spans="1:3" x14ac:dyDescent="0.35">
      <c r="A37" s="39" t="s">
        <v>473</v>
      </c>
      <c r="B37" s="40" t="s">
        <v>456</v>
      </c>
      <c r="C37" s="177">
        <v>0</v>
      </c>
    </row>
    <row r="38" spans="1:3" x14ac:dyDescent="0.35">
      <c r="A38" s="39" t="s">
        <v>474</v>
      </c>
      <c r="B38" s="40" t="s">
        <v>456</v>
      </c>
      <c r="C38" s="177">
        <v>0</v>
      </c>
    </row>
    <row r="39" spans="1:3" x14ac:dyDescent="0.35">
      <c r="A39" s="178"/>
      <c r="B39" s="40"/>
      <c r="C39" s="177"/>
    </row>
    <row r="40" spans="1:3" x14ac:dyDescent="0.35">
      <c r="A40" s="181" t="s">
        <v>475</v>
      </c>
      <c r="B40" s="40" t="s">
        <v>476</v>
      </c>
      <c r="C40" s="177">
        <f>('Utilities from Aspen '!C45+'Utilities from Aspen '!C52)/(Yields!C3*Yields!C11)</f>
        <v>2.6112408507050339E-2</v>
      </c>
    </row>
    <row r="41" spans="1:3" x14ac:dyDescent="0.35">
      <c r="A41" s="178"/>
      <c r="B41" s="40"/>
      <c r="C41" s="177"/>
    </row>
    <row r="42" spans="1:3" x14ac:dyDescent="0.35">
      <c r="A42" s="178" t="s">
        <v>477</v>
      </c>
      <c r="B42" s="40"/>
      <c r="C42" s="177"/>
    </row>
    <row r="43" spans="1:3" x14ac:dyDescent="0.35">
      <c r="A43" s="18" t="s">
        <v>26</v>
      </c>
      <c r="B43" s="39" t="s">
        <v>450</v>
      </c>
      <c r="C43" s="177">
        <f>'Mass balances '!N162/'Mass balances '!D6</f>
        <v>0</v>
      </c>
    </row>
    <row r="44" spans="1:3" x14ac:dyDescent="0.35">
      <c r="A44" s="39"/>
      <c r="B44" s="39"/>
      <c r="C44" s="164"/>
    </row>
    <row r="45" spans="1:3" x14ac:dyDescent="0.35">
      <c r="A45" s="178"/>
      <c r="B45" s="40"/>
      <c r="C45" s="177"/>
    </row>
    <row r="46" spans="1:3" x14ac:dyDescent="0.35">
      <c r="A46" s="39"/>
      <c r="B46" s="40"/>
      <c r="C46" s="177"/>
    </row>
    <row r="47" spans="1:3" x14ac:dyDescent="0.35">
      <c r="A47" s="39"/>
      <c r="B47" s="40"/>
      <c r="C47" s="177"/>
    </row>
    <row r="48" spans="1:3" x14ac:dyDescent="0.35">
      <c r="A48" s="39"/>
      <c r="B48" s="40"/>
      <c r="C48" s="177"/>
    </row>
  </sheetData>
  <conditionalFormatting sqref="A43">
    <cfRule type="cellIs" dxfId="0" priority="1" operator="lessThan">
      <formula>-0.00001</formula>
    </cfRule>
  </conditionalFormatting>
  <pageMargins left="0.7" right="0.7" top="0.75" bottom="0.75" header="0.3" footer="0.3"/>
  <legacy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7E0F6D-C39B-41E5-A9BB-F294B4256AAC}">
  <dimension ref="A1:E10"/>
  <sheetViews>
    <sheetView workbookViewId="0">
      <selection activeCell="G21" sqref="G21"/>
    </sheetView>
  </sheetViews>
  <sheetFormatPr defaultRowHeight="14.5" x14ac:dyDescent="0.35"/>
  <cols>
    <col min="1" max="1" width="50.90625" customWidth="1"/>
  </cols>
  <sheetData>
    <row r="1" spans="1:5" x14ac:dyDescent="0.35">
      <c r="A1" t="s">
        <v>479</v>
      </c>
      <c r="B1">
        <f>'Mass balances '!D6*24/1000</f>
        <v>633.86233440000001</v>
      </c>
      <c r="C1" t="s">
        <v>480</v>
      </c>
    </row>
    <row r="2" spans="1:5" x14ac:dyDescent="0.35">
      <c r="A2" t="s">
        <v>122</v>
      </c>
      <c r="B2">
        <v>8000</v>
      </c>
    </row>
    <row r="3" spans="1:5" x14ac:dyDescent="0.35">
      <c r="A3" t="s">
        <v>481</v>
      </c>
    </row>
    <row r="4" spans="1:5" x14ac:dyDescent="0.35">
      <c r="A4" t="s">
        <v>482</v>
      </c>
      <c r="B4" t="s">
        <v>483</v>
      </c>
      <c r="C4">
        <f>B1/24*8000</f>
        <v>211287.4448</v>
      </c>
    </row>
    <row r="5" spans="1:5" x14ac:dyDescent="0.35">
      <c r="A5" t="s">
        <v>484</v>
      </c>
      <c r="B5" t="s">
        <v>483</v>
      </c>
      <c r="C5" s="102">
        <f>(B1/(1-(Experimental_Background!B5/100)))/24*8000</f>
        <v>225951.71083306597</v>
      </c>
      <c r="E5" s="62"/>
    </row>
    <row r="7" spans="1:5" x14ac:dyDescent="0.35">
      <c r="A7" t="s">
        <v>485</v>
      </c>
      <c r="B7">
        <v>100</v>
      </c>
      <c r="C7" t="s">
        <v>486</v>
      </c>
    </row>
    <row r="8" spans="1:5" x14ac:dyDescent="0.35">
      <c r="A8" t="s">
        <v>855</v>
      </c>
      <c r="B8">
        <v>15</v>
      </c>
      <c r="C8" t="s">
        <v>487</v>
      </c>
    </row>
    <row r="9" spans="1:5" x14ac:dyDescent="0.35">
      <c r="A9" t="s">
        <v>488</v>
      </c>
      <c r="B9">
        <v>320</v>
      </c>
      <c r="C9" t="s">
        <v>487</v>
      </c>
    </row>
    <row r="10" spans="1:5" x14ac:dyDescent="0.35">
      <c r="A10" t="s">
        <v>489</v>
      </c>
      <c r="B10">
        <v>15</v>
      </c>
      <c r="C10" t="s">
        <v>487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187674-D616-41EF-A783-4812D39C5F11}">
  <dimension ref="A1:L84"/>
  <sheetViews>
    <sheetView topLeftCell="A49" workbookViewId="0">
      <selection activeCell="C29" sqref="C29"/>
    </sheetView>
  </sheetViews>
  <sheetFormatPr defaultRowHeight="14.5" x14ac:dyDescent="0.35"/>
  <cols>
    <col min="1" max="1" width="36.26953125" customWidth="1"/>
    <col min="2" max="2" width="15.08984375" customWidth="1"/>
    <col min="3" max="3" width="27.81640625" customWidth="1"/>
    <col min="7" max="7" width="18.54296875" customWidth="1"/>
  </cols>
  <sheetData>
    <row r="1" spans="1:5" x14ac:dyDescent="0.35">
      <c r="A1" s="182" t="s">
        <v>490</v>
      </c>
      <c r="B1" s="182"/>
      <c r="C1" s="182"/>
    </row>
    <row r="2" spans="1:5" x14ac:dyDescent="0.35">
      <c r="A2" s="183" t="s">
        <v>491</v>
      </c>
      <c r="B2" s="184"/>
      <c r="C2" s="185"/>
    </row>
    <row r="3" spans="1:5" x14ac:dyDescent="0.35">
      <c r="A3" s="137" t="s">
        <v>492</v>
      </c>
      <c r="B3" s="186" t="s">
        <v>493</v>
      </c>
      <c r="C3" s="187">
        <v>1.5</v>
      </c>
    </row>
    <row r="4" spans="1:5" x14ac:dyDescent="0.35">
      <c r="A4" s="188" t="s">
        <v>494</v>
      </c>
      <c r="B4" s="186" t="s">
        <v>495</v>
      </c>
      <c r="C4" s="188">
        <v>0.34</v>
      </c>
    </row>
    <row r="5" spans="1:5" x14ac:dyDescent="0.35">
      <c r="A5" s="188" t="s">
        <v>496</v>
      </c>
      <c r="B5" s="186" t="s">
        <v>493</v>
      </c>
      <c r="C5" s="188">
        <v>0.23</v>
      </c>
    </row>
    <row r="6" spans="1:5" x14ac:dyDescent="0.35">
      <c r="A6" s="188" t="s">
        <v>497</v>
      </c>
      <c r="B6" s="186" t="s">
        <v>493</v>
      </c>
      <c r="C6" s="188">
        <v>0.5</v>
      </c>
    </row>
    <row r="7" spans="1:5" x14ac:dyDescent="0.35">
      <c r="A7" s="188" t="s">
        <v>498</v>
      </c>
      <c r="B7" s="186" t="s">
        <v>499</v>
      </c>
      <c r="C7" s="188">
        <v>0.2</v>
      </c>
    </row>
    <row r="8" spans="1:5" x14ac:dyDescent="0.35">
      <c r="A8" s="188" t="s">
        <v>500</v>
      </c>
      <c r="B8" s="186" t="s">
        <v>501</v>
      </c>
      <c r="C8" s="188">
        <v>0.1</v>
      </c>
    </row>
    <row r="9" spans="1:5" x14ac:dyDescent="0.35">
      <c r="A9" s="188" t="s">
        <v>502</v>
      </c>
      <c r="B9" s="189" t="s">
        <v>503</v>
      </c>
      <c r="C9" s="188">
        <v>0.9</v>
      </c>
      <c r="D9">
        <v>1.2</v>
      </c>
      <c r="E9">
        <v>1</v>
      </c>
    </row>
    <row r="10" spans="1:5" x14ac:dyDescent="0.35">
      <c r="A10" s="188"/>
      <c r="B10" s="190"/>
      <c r="C10" s="188"/>
    </row>
    <row r="11" spans="1:5" x14ac:dyDescent="0.35">
      <c r="A11" s="191" t="s">
        <v>504</v>
      </c>
      <c r="B11" s="184"/>
      <c r="C11" s="185"/>
    </row>
    <row r="12" spans="1:5" x14ac:dyDescent="0.35">
      <c r="A12" s="191" t="s">
        <v>636</v>
      </c>
      <c r="B12" s="190"/>
      <c r="C12" s="192">
        <v>0.7</v>
      </c>
    </row>
    <row r="13" spans="1:5" x14ac:dyDescent="0.35">
      <c r="A13" s="188" t="s">
        <v>505</v>
      </c>
      <c r="B13" s="190" t="s">
        <v>506</v>
      </c>
      <c r="C13" s="192">
        <v>0.75</v>
      </c>
    </row>
    <row r="14" spans="1:5" x14ac:dyDescent="0.35">
      <c r="A14" s="188" t="s">
        <v>507</v>
      </c>
      <c r="B14" s="190" t="s">
        <v>506</v>
      </c>
      <c r="C14" s="193">
        <v>0.75</v>
      </c>
    </row>
    <row r="15" spans="1:5" x14ac:dyDescent="0.35">
      <c r="A15" s="188" t="s">
        <v>508</v>
      </c>
      <c r="B15" s="190" t="s">
        <v>506</v>
      </c>
      <c r="C15" s="193">
        <v>0.65</v>
      </c>
    </row>
    <row r="16" spans="1:5" x14ac:dyDescent="0.35">
      <c r="A16" s="188" t="s">
        <v>509</v>
      </c>
      <c r="B16" s="190" t="s">
        <v>506</v>
      </c>
      <c r="C16" s="193">
        <v>0.7</v>
      </c>
    </row>
    <row r="17" spans="1:3" x14ac:dyDescent="0.35">
      <c r="A17" s="188" t="s">
        <v>510</v>
      </c>
      <c r="B17" s="190" t="s">
        <v>506</v>
      </c>
      <c r="C17" s="193">
        <v>0.7</v>
      </c>
    </row>
    <row r="20" spans="1:3" x14ac:dyDescent="0.35">
      <c r="A20" s="194" t="s">
        <v>511</v>
      </c>
      <c r="B20" s="194"/>
      <c r="C20" s="194"/>
    </row>
    <row r="21" spans="1:3" x14ac:dyDescent="0.35">
      <c r="A21" s="39" t="s">
        <v>512</v>
      </c>
      <c r="B21" s="40" t="s">
        <v>155</v>
      </c>
      <c r="C21" s="195">
        <f>SUM(C22:C24)</f>
        <v>0.125</v>
      </c>
    </row>
    <row r="22" spans="1:3" x14ac:dyDescent="0.35">
      <c r="A22" s="196" t="s">
        <v>513</v>
      </c>
      <c r="B22" s="197" t="s">
        <v>155</v>
      </c>
      <c r="C22" s="198">
        <v>3.4000000000000002E-2</v>
      </c>
    </row>
    <row r="23" spans="1:3" x14ac:dyDescent="0.35">
      <c r="A23" s="196" t="s">
        <v>514</v>
      </c>
      <c r="B23" s="197" t="s">
        <v>155</v>
      </c>
      <c r="C23" s="198">
        <v>2.5999999999999999E-2</v>
      </c>
    </row>
    <row r="24" spans="1:3" x14ac:dyDescent="0.35">
      <c r="A24" s="196" t="s">
        <v>515</v>
      </c>
      <c r="B24" s="197" t="s">
        <v>155</v>
      </c>
      <c r="C24" s="198">
        <v>6.5000000000000002E-2</v>
      </c>
    </row>
    <row r="25" spans="1:3" x14ac:dyDescent="0.35">
      <c r="A25" s="178"/>
      <c r="B25" s="40"/>
      <c r="C25" s="39"/>
    </row>
    <row r="26" spans="1:3" x14ac:dyDescent="0.35">
      <c r="A26" s="199" t="s">
        <v>516</v>
      </c>
      <c r="B26" s="200"/>
      <c r="C26" s="200"/>
    </row>
    <row r="27" spans="1:3" x14ac:dyDescent="0.35">
      <c r="A27" s="188" t="s">
        <v>517</v>
      </c>
      <c r="B27" s="186" t="s">
        <v>152</v>
      </c>
      <c r="C27" s="188">
        <v>6</v>
      </c>
    </row>
    <row r="28" spans="1:3" x14ac:dyDescent="0.35">
      <c r="A28" s="188" t="s">
        <v>518</v>
      </c>
      <c r="B28" s="186" t="s">
        <v>152</v>
      </c>
      <c r="C28" s="188">
        <v>3</v>
      </c>
    </row>
    <row r="29" spans="1:3" x14ac:dyDescent="0.35">
      <c r="A29" s="188" t="s">
        <v>519</v>
      </c>
      <c r="B29" s="186" t="s">
        <v>152</v>
      </c>
      <c r="C29" s="188">
        <v>8</v>
      </c>
    </row>
    <row r="30" spans="1:3" x14ac:dyDescent="0.35">
      <c r="A30" s="188" t="s">
        <v>520</v>
      </c>
      <c r="B30" s="186"/>
      <c r="C30" s="201">
        <v>0.5</v>
      </c>
    </row>
    <row r="31" spans="1:3" x14ac:dyDescent="0.35">
      <c r="A31" s="199" t="s">
        <v>521</v>
      </c>
      <c r="B31" s="200"/>
      <c r="C31" s="200"/>
    </row>
    <row r="32" spans="1:3" x14ac:dyDescent="0.35">
      <c r="A32" s="188" t="s">
        <v>522</v>
      </c>
      <c r="B32" s="186" t="s">
        <v>523</v>
      </c>
      <c r="C32" s="188">
        <v>0.1</v>
      </c>
    </row>
    <row r="33" spans="1:4" x14ac:dyDescent="0.35">
      <c r="A33" s="188" t="s">
        <v>524</v>
      </c>
      <c r="B33" s="186" t="s">
        <v>525</v>
      </c>
      <c r="C33" s="188">
        <v>0.7</v>
      </c>
    </row>
    <row r="34" spans="1:4" x14ac:dyDescent="0.35">
      <c r="A34" s="188" t="s">
        <v>526</v>
      </c>
      <c r="B34" s="186" t="s">
        <v>527</v>
      </c>
      <c r="C34" s="164">
        <f>C21/(1-POWER((1+C21),-'Process variables '!F2))</f>
        <v>0.13809573295592931</v>
      </c>
    </row>
    <row r="35" spans="1:4" x14ac:dyDescent="0.35">
      <c r="A35" s="188" t="s">
        <v>528</v>
      </c>
      <c r="B35" s="186" t="s">
        <v>523</v>
      </c>
      <c r="C35" s="188">
        <v>1.4999999999999999E-2</v>
      </c>
    </row>
    <row r="36" spans="1:4" x14ac:dyDescent="0.35">
      <c r="A36" s="188" t="s">
        <v>529</v>
      </c>
      <c r="B36" s="186" t="s">
        <v>530</v>
      </c>
      <c r="C36" s="188">
        <v>0.25</v>
      </c>
    </row>
    <row r="37" spans="1:4" x14ac:dyDescent="0.35">
      <c r="A37" s="188" t="s">
        <v>531</v>
      </c>
      <c r="B37" s="186" t="s">
        <v>523</v>
      </c>
      <c r="C37" s="188">
        <v>0.01</v>
      </c>
    </row>
    <row r="38" spans="1:4" x14ac:dyDescent="0.35">
      <c r="A38" s="188" t="s">
        <v>532</v>
      </c>
      <c r="B38" s="186" t="s">
        <v>533</v>
      </c>
      <c r="C38" s="188">
        <v>0.1</v>
      </c>
    </row>
    <row r="39" spans="1:4" x14ac:dyDescent="0.35">
      <c r="A39" s="188" t="s">
        <v>497</v>
      </c>
      <c r="B39" s="186" t="s">
        <v>534</v>
      </c>
      <c r="C39" s="188">
        <v>0.2</v>
      </c>
    </row>
    <row r="43" spans="1:4" x14ac:dyDescent="0.35">
      <c r="A43" s="202" t="s">
        <v>535</v>
      </c>
      <c r="B43" s="202"/>
      <c r="C43" s="202"/>
      <c r="D43" s="202"/>
    </row>
    <row r="44" spans="1:4" x14ac:dyDescent="0.35">
      <c r="A44" s="203" t="s">
        <v>536</v>
      </c>
      <c r="B44" s="204" t="s">
        <v>537</v>
      </c>
      <c r="C44" s="205"/>
      <c r="D44" s="205"/>
    </row>
    <row r="45" spans="1:4" x14ac:dyDescent="0.35">
      <c r="A45" s="39" t="s">
        <v>590</v>
      </c>
      <c r="B45" s="40" t="s">
        <v>538</v>
      </c>
      <c r="C45" s="39">
        <f>'Refinery '!B7</f>
        <v>100</v>
      </c>
      <c r="D45" s="39"/>
    </row>
    <row r="46" spans="1:4" x14ac:dyDescent="0.35">
      <c r="A46" s="193" t="s">
        <v>591</v>
      </c>
      <c r="B46" s="192"/>
      <c r="C46" s="95">
        <f>C59+(C60*30)</f>
        <v>19.980085261140374</v>
      </c>
      <c r="D46" s="193"/>
    </row>
    <row r="47" spans="1:4" x14ac:dyDescent="0.35">
      <c r="A47" s="203" t="s">
        <v>539</v>
      </c>
      <c r="B47" s="204" t="s">
        <v>537</v>
      </c>
      <c r="C47" s="205"/>
      <c r="D47" s="205"/>
    </row>
    <row r="48" spans="1:4" x14ac:dyDescent="0.35">
      <c r="A48" s="193" t="s">
        <v>590</v>
      </c>
      <c r="B48" s="40" t="s">
        <v>538</v>
      </c>
      <c r="C48" s="201">
        <f>C46+C45</f>
        <v>119.98008526114037</v>
      </c>
      <c r="D48" s="39"/>
    </row>
    <row r="49" spans="1:12" x14ac:dyDescent="0.35">
      <c r="A49" s="203" t="s">
        <v>540</v>
      </c>
      <c r="B49" s="204"/>
      <c r="C49" s="205"/>
      <c r="D49" s="205"/>
      <c r="F49" t="s">
        <v>641</v>
      </c>
      <c r="G49">
        <v>750</v>
      </c>
      <c r="H49" t="s">
        <v>640</v>
      </c>
      <c r="I49">
        <f>G49/H56</f>
        <v>706.72709968621325</v>
      </c>
      <c r="J49" t="s">
        <v>642</v>
      </c>
    </row>
    <row r="50" spans="1:12" x14ac:dyDescent="0.35">
      <c r="A50" s="39" t="s">
        <v>541</v>
      </c>
      <c r="B50" s="40" t="s">
        <v>542</v>
      </c>
      <c r="C50" s="206">
        <v>890</v>
      </c>
      <c r="D50" s="206"/>
    </row>
    <row r="51" spans="1:12" x14ac:dyDescent="0.35">
      <c r="A51" s="207" t="s">
        <v>543</v>
      </c>
      <c r="B51" s="208" t="s">
        <v>544</v>
      </c>
      <c r="C51" s="209">
        <f>C50/G52</f>
        <v>21.39423076923077</v>
      </c>
      <c r="D51" s="209"/>
      <c r="F51" t="s">
        <v>545</v>
      </c>
      <c r="G51" t="s">
        <v>546</v>
      </c>
    </row>
    <row r="52" spans="1:12" x14ac:dyDescent="0.35">
      <c r="A52" s="188" t="s">
        <v>547</v>
      </c>
      <c r="B52" s="186" t="s">
        <v>548</v>
      </c>
      <c r="C52" s="210">
        <v>103</v>
      </c>
      <c r="D52" s="210"/>
      <c r="F52" t="s">
        <v>549</v>
      </c>
      <c r="G52">
        <v>41.6</v>
      </c>
      <c r="J52" t="s">
        <v>550</v>
      </c>
      <c r="K52">
        <v>3.6</v>
      </c>
      <c r="L52" t="s">
        <v>551</v>
      </c>
    </row>
    <row r="53" spans="1:12" x14ac:dyDescent="0.35">
      <c r="A53" s="207" t="s">
        <v>552</v>
      </c>
      <c r="B53" s="208" t="s">
        <v>544</v>
      </c>
      <c r="C53" s="209">
        <f>C52/K52</f>
        <v>28.611111111111111</v>
      </c>
      <c r="D53" s="209"/>
      <c r="F53" t="s">
        <v>553</v>
      </c>
      <c r="G53">
        <v>50</v>
      </c>
      <c r="H53" t="s">
        <v>177</v>
      </c>
      <c r="J53" t="s">
        <v>554</v>
      </c>
      <c r="K53">
        <v>3.6</v>
      </c>
      <c r="L53" t="s">
        <v>555</v>
      </c>
    </row>
    <row r="54" spans="1:12" x14ac:dyDescent="0.35">
      <c r="A54" s="137" t="s">
        <v>556</v>
      </c>
      <c r="B54" s="190" t="s">
        <v>542</v>
      </c>
      <c r="C54" s="137">
        <v>640</v>
      </c>
      <c r="D54" s="137"/>
    </row>
    <row r="55" spans="1:12" x14ac:dyDescent="0.35">
      <c r="A55" s="203" t="s">
        <v>557</v>
      </c>
      <c r="B55" s="211"/>
      <c r="C55" s="212"/>
      <c r="D55" s="212"/>
    </row>
    <row r="56" spans="1:12" x14ac:dyDescent="0.35">
      <c r="A56" s="213" t="s">
        <v>558</v>
      </c>
      <c r="B56" s="214" t="s">
        <v>559</v>
      </c>
      <c r="C56" s="215">
        <f>88/H56</f>
        <v>82.922646363182352</v>
      </c>
      <c r="D56" s="215"/>
      <c r="G56" t="s">
        <v>560</v>
      </c>
      <c r="H56" s="216">
        <v>1.0612299999999999</v>
      </c>
    </row>
    <row r="58" spans="1:12" x14ac:dyDescent="0.35">
      <c r="A58" s="203" t="s">
        <v>561</v>
      </c>
      <c r="B58" s="211"/>
      <c r="C58" s="212"/>
      <c r="D58" s="212"/>
    </row>
    <row r="59" spans="1:12" x14ac:dyDescent="0.35">
      <c r="A59" s="39" t="s">
        <v>562</v>
      </c>
      <c r="B59" s="40" t="s">
        <v>563</v>
      </c>
      <c r="C59" s="217">
        <v>12</v>
      </c>
      <c r="D59" s="218"/>
    </row>
    <row r="60" spans="1:12" x14ac:dyDescent="0.35">
      <c r="A60" s="39" t="s">
        <v>564</v>
      </c>
      <c r="B60" s="40" t="s">
        <v>565</v>
      </c>
      <c r="C60" s="217">
        <f>0.003207843137*C56</f>
        <v>0.2660028420380125</v>
      </c>
      <c r="D60" s="217"/>
    </row>
    <row r="62" spans="1:12" x14ac:dyDescent="0.35">
      <c r="A62" s="183"/>
      <c r="B62" s="184"/>
      <c r="C62" s="185"/>
      <c r="D62" s="185"/>
    </row>
    <row r="63" spans="1:12" x14ac:dyDescent="0.35">
      <c r="A63" s="219" t="s">
        <v>566</v>
      </c>
      <c r="B63" s="220" t="s">
        <v>567</v>
      </c>
      <c r="C63" s="221"/>
      <c r="D63" s="221"/>
    </row>
    <row r="64" spans="1:12" x14ac:dyDescent="0.35">
      <c r="A64" s="188" t="s">
        <v>568</v>
      </c>
      <c r="B64" s="186" t="s">
        <v>563</v>
      </c>
      <c r="C64" s="164">
        <v>6</v>
      </c>
      <c r="D64" s="164"/>
    </row>
    <row r="65" spans="1:11" x14ac:dyDescent="0.35">
      <c r="A65" s="188" t="s">
        <v>569</v>
      </c>
      <c r="B65" s="186" t="s">
        <v>563</v>
      </c>
      <c r="C65" s="164">
        <v>0.6</v>
      </c>
      <c r="D65" s="164"/>
    </row>
    <row r="66" spans="1:11" x14ac:dyDescent="0.35">
      <c r="A66" s="39" t="s">
        <v>570</v>
      </c>
      <c r="B66" s="40" t="s">
        <v>563</v>
      </c>
      <c r="C66" s="222">
        <v>135</v>
      </c>
      <c r="D66" s="223"/>
    </row>
    <row r="67" spans="1:11" x14ac:dyDescent="0.35">
      <c r="A67" s="39" t="s">
        <v>333</v>
      </c>
      <c r="B67" s="40" t="s">
        <v>563</v>
      </c>
      <c r="C67" s="39">
        <v>0.08</v>
      </c>
      <c r="D67" s="188"/>
    </row>
    <row r="68" spans="1:11" x14ac:dyDescent="0.35">
      <c r="A68" s="39" t="s">
        <v>341</v>
      </c>
      <c r="B68" s="40" t="s">
        <v>563</v>
      </c>
      <c r="C68" s="222">
        <f>J68*1000</f>
        <v>1388.8888888888891</v>
      </c>
      <c r="D68" s="223"/>
      <c r="F68">
        <v>0.1</v>
      </c>
      <c r="G68" t="s">
        <v>571</v>
      </c>
      <c r="H68">
        <f>F68/K53</f>
        <v>2.777777777777778E-2</v>
      </c>
      <c r="I68" t="s">
        <v>572</v>
      </c>
      <c r="J68">
        <f>H68*G53</f>
        <v>1.3888888888888891</v>
      </c>
      <c r="K68" t="s">
        <v>573</v>
      </c>
    </row>
    <row r="69" spans="1:11" x14ac:dyDescent="0.35">
      <c r="A69" s="224" t="s">
        <v>574</v>
      </c>
      <c r="B69" s="225" t="s">
        <v>544</v>
      </c>
      <c r="C69" s="224">
        <f>C68/'[3]Utilities demand'!Q48</f>
        <v>27.777777777777782</v>
      </c>
      <c r="D69" s="224"/>
    </row>
    <row r="70" spans="1:11" x14ac:dyDescent="0.35">
      <c r="A70" s="39" t="s">
        <v>575</v>
      </c>
      <c r="B70" s="40" t="s">
        <v>576</v>
      </c>
      <c r="C70" s="222">
        <v>12</v>
      </c>
      <c r="D70" s="222"/>
    </row>
    <row r="71" spans="1:11" x14ac:dyDescent="0.35">
      <c r="A71" s="226" t="s">
        <v>577</v>
      </c>
      <c r="B71" s="227" t="s">
        <v>563</v>
      </c>
      <c r="C71" s="226">
        <f>[3]Sheet4!B42*1000/'[3]Expenses variable '!H56</f>
        <v>91657.793315303948</v>
      </c>
      <c r="D71" s="226"/>
      <c r="G71" t="s">
        <v>578</v>
      </c>
      <c r="H71" t="s">
        <v>579</v>
      </c>
    </row>
    <row r="72" spans="1:11" x14ac:dyDescent="0.35">
      <c r="A72" s="39"/>
      <c r="B72" s="40"/>
      <c r="C72" s="137"/>
      <c r="D72" s="137"/>
    </row>
    <row r="73" spans="1:11" x14ac:dyDescent="0.35">
      <c r="A73" s="228" t="s">
        <v>580</v>
      </c>
      <c r="B73" s="229" t="s">
        <v>581</v>
      </c>
      <c r="C73" s="230" t="s">
        <v>582</v>
      </c>
      <c r="D73" s="230"/>
    </row>
    <row r="74" spans="1:11" x14ac:dyDescent="0.35">
      <c r="A74" s="170" t="s">
        <v>505</v>
      </c>
      <c r="B74" s="231" t="s">
        <v>583</v>
      </c>
      <c r="C74" s="232" t="s">
        <v>584</v>
      </c>
      <c r="D74" s="232"/>
    </row>
    <row r="75" spans="1:11" x14ac:dyDescent="0.35">
      <c r="A75" s="188" t="s">
        <v>585</v>
      </c>
      <c r="B75" s="223">
        <f>46.3*60*60*24/1000</f>
        <v>4000.32</v>
      </c>
      <c r="C75" s="201">
        <f>Sheet2!E96*9.3/H56</f>
        <v>12.558719104788516</v>
      </c>
      <c r="D75" s="201"/>
    </row>
    <row r="76" spans="1:11" x14ac:dyDescent="0.35">
      <c r="A76" s="188" t="s">
        <v>586</v>
      </c>
      <c r="B76" s="223">
        <f>281.6*60*60*24/1000</f>
        <v>24330.240000000002</v>
      </c>
      <c r="C76" s="201">
        <v>124.7</v>
      </c>
      <c r="D76" s="201"/>
    </row>
    <row r="77" spans="1:11" ht="16.5" x14ac:dyDescent="0.55000000000000004">
      <c r="A77" s="188" t="s">
        <v>587</v>
      </c>
      <c r="B77" s="223">
        <v>734.4</v>
      </c>
      <c r="C77" s="233">
        <f>17.49/H56</f>
        <v>16.48087596468249</v>
      </c>
      <c r="D77" s="233"/>
    </row>
    <row r="78" spans="1:11" x14ac:dyDescent="0.35">
      <c r="A78" s="170"/>
      <c r="B78" s="171"/>
      <c r="C78" s="170"/>
      <c r="D78" s="170"/>
    </row>
    <row r="79" spans="1:11" x14ac:dyDescent="0.35">
      <c r="A79" s="39"/>
      <c r="B79" s="40"/>
      <c r="C79" s="39"/>
      <c r="D79" s="39"/>
    </row>
    <row r="80" spans="1:11" x14ac:dyDescent="0.35">
      <c r="A80" s="39"/>
      <c r="B80" s="40"/>
      <c r="C80" s="39"/>
      <c r="D80" s="39"/>
    </row>
    <row r="81" spans="1:4" x14ac:dyDescent="0.35">
      <c r="A81" s="39" t="s">
        <v>588</v>
      </c>
      <c r="B81" s="40">
        <v>50</v>
      </c>
      <c r="C81" s="39">
        <f>15.9*Sheet2!E96/H56</f>
        <v>21.471358469477138</v>
      </c>
      <c r="D81" s="39"/>
    </row>
    <row r="82" spans="1:4" x14ac:dyDescent="0.35">
      <c r="A82" s="39" t="s">
        <v>589</v>
      </c>
      <c r="B82" s="40">
        <v>500</v>
      </c>
      <c r="C82" s="39">
        <f>29.17641*Sheet2!E99/H56</f>
        <v>36.796075939386043</v>
      </c>
      <c r="D82" s="39"/>
    </row>
    <row r="83" spans="1:4" x14ac:dyDescent="0.35">
      <c r="A83" s="39"/>
      <c r="B83" s="40"/>
      <c r="C83" s="39"/>
      <c r="D83" s="39"/>
    </row>
    <row r="84" spans="1:4" x14ac:dyDescent="0.35">
      <c r="A84" s="234"/>
      <c r="B84" s="234"/>
      <c r="C84" s="234"/>
      <c r="D84" s="234"/>
    </row>
  </sheetData>
  <pageMargins left="0.7" right="0.7" top="0.75" bottom="0.75" header="0.3" footer="0.3"/>
  <legacy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DB31AB-117A-42B9-90A4-BE6BF077F614}">
  <dimension ref="A2:G58"/>
  <sheetViews>
    <sheetView workbookViewId="0">
      <selection activeCell="C40" sqref="C40"/>
    </sheetView>
  </sheetViews>
  <sheetFormatPr defaultRowHeight="14.5" x14ac:dyDescent="0.35"/>
  <cols>
    <col min="1" max="1" width="44" customWidth="1"/>
    <col min="2" max="2" width="22.26953125" customWidth="1"/>
    <col min="3" max="3" width="14.90625" customWidth="1"/>
    <col min="4" max="4" width="19.36328125" customWidth="1"/>
    <col min="5" max="5" width="16.81640625" customWidth="1"/>
  </cols>
  <sheetData>
    <row r="2" spans="1:7" x14ac:dyDescent="0.35">
      <c r="A2" s="178" t="s">
        <v>592</v>
      </c>
      <c r="B2" s="235" t="s">
        <v>593</v>
      </c>
      <c r="C2" s="236">
        <f>C3+C10+C11+C12</f>
        <v>227.15615792534396</v>
      </c>
    </row>
    <row r="3" spans="1:7" x14ac:dyDescent="0.35">
      <c r="A3" s="237" t="s">
        <v>594</v>
      </c>
      <c r="B3" s="235" t="s">
        <v>593</v>
      </c>
      <c r="C3" s="238">
        <f>C4+C9</f>
        <v>139.18882225817646</v>
      </c>
    </row>
    <row r="4" spans="1:7" x14ac:dyDescent="0.35">
      <c r="A4" s="239" t="s">
        <v>595</v>
      </c>
      <c r="B4" s="235" t="s">
        <v>593</v>
      </c>
      <c r="C4" s="240">
        <f>SUM(C5:C8)</f>
        <v>55.675528903270575</v>
      </c>
    </row>
    <row r="5" spans="1:7" x14ac:dyDescent="0.35">
      <c r="A5" s="241" t="s">
        <v>596</v>
      </c>
      <c r="B5" s="235" t="s">
        <v>593</v>
      </c>
      <c r="C5" s="242">
        <f>'Expense variable '!C75*((('Refinery '!C5)/((8000/24)*('Expense variable '!B75)))^'Expense variable '!C12)</f>
        <v>3.6247232670409826</v>
      </c>
    </row>
    <row r="6" spans="1:7" x14ac:dyDescent="0.35">
      <c r="A6" s="241" t="s">
        <v>597</v>
      </c>
      <c r="B6" s="235" t="s">
        <v>593</v>
      </c>
      <c r="C6" s="242">
        <f>'Expense variable '!C76*((Yields!C28*'Refinery '!B1/24330)^0.75)</f>
        <v>48.950109108948475</v>
      </c>
    </row>
    <row r="7" spans="1:7" x14ac:dyDescent="0.35">
      <c r="A7" s="241" t="s">
        <v>598</v>
      </c>
      <c r="B7" s="235" t="s">
        <v>593</v>
      </c>
      <c r="C7" s="242">
        <v>0</v>
      </c>
    </row>
    <row r="8" spans="1:7" x14ac:dyDescent="0.35">
      <c r="A8" s="241" t="s">
        <v>599</v>
      </c>
      <c r="B8" s="235" t="s">
        <v>593</v>
      </c>
      <c r="C8" s="242">
        <f>'Expense variable '!C82*((Yields!C33*('Refinery '!B1/24)/'Expense variable '!B82)^0.7)</f>
        <v>3.1006965272811193</v>
      </c>
    </row>
    <row r="9" spans="1:7" x14ac:dyDescent="0.35">
      <c r="A9" s="243" t="s">
        <v>600</v>
      </c>
      <c r="B9" s="235" t="s">
        <v>593</v>
      </c>
      <c r="C9" s="240">
        <f>C4*'Expense variable '!C3</f>
        <v>83.513293354905869</v>
      </c>
    </row>
    <row r="10" spans="1:7" x14ac:dyDescent="0.35">
      <c r="A10" s="244" t="s">
        <v>601</v>
      </c>
      <c r="B10" s="235" t="s">
        <v>593</v>
      </c>
      <c r="C10" s="238">
        <f>C3*'Expense variable '!C4</f>
        <v>47.324199567779999</v>
      </c>
    </row>
    <row r="11" spans="1:7" x14ac:dyDescent="0.35">
      <c r="A11" s="244" t="s">
        <v>496</v>
      </c>
      <c r="B11" s="235" t="s">
        <v>593</v>
      </c>
      <c r="C11" s="238">
        <f>C4*'Expense variable '!C5</f>
        <v>12.805371647752233</v>
      </c>
    </row>
    <row r="12" spans="1:7" x14ac:dyDescent="0.35">
      <c r="A12" s="237" t="s">
        <v>602</v>
      </c>
      <c r="B12" s="235" t="s">
        <v>593</v>
      </c>
      <c r="C12" s="238">
        <f>C4*'Expense variable '!C6</f>
        <v>27.837764451635287</v>
      </c>
      <c r="E12">
        <v>100</v>
      </c>
      <c r="F12" t="s">
        <v>486</v>
      </c>
      <c r="G12" t="s">
        <v>590</v>
      </c>
    </row>
    <row r="13" spans="1:7" x14ac:dyDescent="0.35">
      <c r="A13" s="178" t="s">
        <v>498</v>
      </c>
      <c r="B13" s="235" t="s">
        <v>593</v>
      </c>
      <c r="C13" s="236">
        <f>C41*'Expense variable '!C7</f>
        <v>11.560445882667914</v>
      </c>
      <c r="E13">
        <v>3.1</v>
      </c>
      <c r="F13" t="s">
        <v>573</v>
      </c>
      <c r="G13" t="s">
        <v>53</v>
      </c>
    </row>
    <row r="14" spans="1:7" x14ac:dyDescent="0.35">
      <c r="A14" s="178" t="s">
        <v>603</v>
      </c>
      <c r="B14" s="235" t="s">
        <v>593</v>
      </c>
      <c r="C14" s="245">
        <f>'Expense variable '!C8*C2</f>
        <v>22.715615792534397</v>
      </c>
      <c r="F14" s="188"/>
    </row>
    <row r="15" spans="1:7" x14ac:dyDescent="0.35">
      <c r="A15" s="246" t="s">
        <v>604</v>
      </c>
      <c r="B15" s="235" t="s">
        <v>593</v>
      </c>
      <c r="C15" s="247">
        <f>C2+C13+C14</f>
        <v>261.43221960054626</v>
      </c>
      <c r="F15" s="188"/>
    </row>
    <row r="16" spans="1:7" x14ac:dyDescent="0.35">
      <c r="A16" s="246" t="s">
        <v>605</v>
      </c>
      <c r="B16" s="235" t="s">
        <v>593</v>
      </c>
      <c r="C16" s="247">
        <f>C15*'Expense variable '!C9</f>
        <v>235.28899764049163</v>
      </c>
      <c r="F16" s="164"/>
    </row>
    <row r="17" spans="1:6" x14ac:dyDescent="0.35">
      <c r="A17" s="246"/>
      <c r="B17" s="213"/>
      <c r="C17" s="248"/>
      <c r="F17" s="188"/>
    </row>
    <row r="18" spans="1:6" x14ac:dyDescent="0.35">
      <c r="A18" s="178" t="s">
        <v>606</v>
      </c>
      <c r="B18" s="213"/>
      <c r="C18" s="236">
        <f>C19+C28+C31</f>
        <v>46.27006127381938</v>
      </c>
      <c r="F18" s="188"/>
    </row>
    <row r="19" spans="1:6" x14ac:dyDescent="0.35">
      <c r="A19" s="237" t="s">
        <v>607</v>
      </c>
      <c r="B19" s="207" t="s">
        <v>608</v>
      </c>
      <c r="C19" s="238">
        <f>SUM(C20:C27)</f>
        <v>24.962007060538415</v>
      </c>
      <c r="F19" s="188"/>
    </row>
    <row r="20" spans="1:6" x14ac:dyDescent="0.35">
      <c r="A20" s="241" t="s">
        <v>609</v>
      </c>
      <c r="B20" s="249" t="s">
        <v>608</v>
      </c>
      <c r="C20" s="242">
        <f>E12*'Refinery '!C5/1000000</f>
        <v>22.595171083306596</v>
      </c>
      <c r="F20" s="188"/>
    </row>
    <row r="21" spans="1:6" x14ac:dyDescent="0.35">
      <c r="A21" s="241" t="s">
        <v>610</v>
      </c>
      <c r="B21" s="249" t="s">
        <v>608</v>
      </c>
      <c r="C21" s="242">
        <v>0</v>
      </c>
      <c r="F21" s="188"/>
    </row>
    <row r="22" spans="1:6" x14ac:dyDescent="0.35">
      <c r="A22" s="241" t="s">
        <v>611</v>
      </c>
      <c r="B22" s="249" t="s">
        <v>608</v>
      </c>
      <c r="C22" s="242">
        <f>'Expense variable '!C65*Yields!C23*'Refinery '!C4/1000000</f>
        <v>0.33717985809674739</v>
      </c>
      <c r="F22" s="188"/>
    </row>
    <row r="23" spans="1:6" x14ac:dyDescent="0.35">
      <c r="A23" s="241" t="s">
        <v>612</v>
      </c>
      <c r="B23" s="249" t="s">
        <v>608</v>
      </c>
      <c r="C23" s="242">
        <f>Yields!C22*'Refinery '!C4*'Expense variable '!C64/1000000</f>
        <v>1.9229461349696111</v>
      </c>
    </row>
    <row r="24" spans="1:6" x14ac:dyDescent="0.35">
      <c r="A24" s="241" t="s">
        <v>613</v>
      </c>
      <c r="B24" s="249" t="s">
        <v>608</v>
      </c>
      <c r="C24" s="176">
        <f>'Expense variable '!C66*'Refinery '!C4*Yields!C24/1000000</f>
        <v>6.5604751619870408E-2</v>
      </c>
    </row>
    <row r="25" spans="1:6" ht="15" customHeight="1" x14ac:dyDescent="0.35">
      <c r="A25" s="241" t="s">
        <v>614</v>
      </c>
      <c r="B25" s="249" t="s">
        <v>608</v>
      </c>
      <c r="C25" s="176">
        <f>(('Mass balances '!G97*8000/1000)*'Expense variable '!I49/1000000)</f>
        <v>2.4835670628646032E-2</v>
      </c>
    </row>
    <row r="26" spans="1:6" x14ac:dyDescent="0.35">
      <c r="A26" s="241" t="s">
        <v>615</v>
      </c>
      <c r="B26" s="249" t="s">
        <v>608</v>
      </c>
      <c r="C26" s="242">
        <f>'Expense variable '!C68*'Refinery '!C4*Yields!C36/1000000</f>
        <v>0</v>
      </c>
    </row>
    <row r="27" spans="1:6" x14ac:dyDescent="0.35">
      <c r="A27" s="241" t="s">
        <v>616</v>
      </c>
      <c r="B27" s="249" t="s">
        <v>608</v>
      </c>
      <c r="C27" s="242">
        <f>'Expense variable '!C67*'Refinery '!C4*Yields!C15/1000000</f>
        <v>1.6269561916946378E-2</v>
      </c>
    </row>
    <row r="28" spans="1:6" x14ac:dyDescent="0.35">
      <c r="A28" s="237" t="s">
        <v>617</v>
      </c>
      <c r="B28" s="207" t="s">
        <v>608</v>
      </c>
      <c r="C28" s="250">
        <f t="shared" ref="C28" si="0">SUM(C29:C30)</f>
        <v>0.86399999999999988</v>
      </c>
    </row>
    <row r="29" spans="1:6" x14ac:dyDescent="0.35">
      <c r="A29" s="241" t="s">
        <v>618</v>
      </c>
      <c r="B29" s="249" t="s">
        <v>608</v>
      </c>
      <c r="C29" s="176">
        <f>'Expense variable '!C29*'Expense variable '!C28*'Expense variable '!C27*(8000/24)*'Expense variable '!C70/1000000</f>
        <v>0.57599999999999996</v>
      </c>
    </row>
    <row r="30" spans="1:6" x14ac:dyDescent="0.35">
      <c r="A30" s="241" t="s">
        <v>619</v>
      </c>
      <c r="B30" s="249" t="s">
        <v>608</v>
      </c>
      <c r="C30" s="176">
        <f>C29*'Expense variable '!C30</f>
        <v>0.28799999999999998</v>
      </c>
    </row>
    <row r="31" spans="1:6" x14ac:dyDescent="0.35">
      <c r="A31" s="237" t="s">
        <v>522</v>
      </c>
      <c r="B31" s="207" t="s">
        <v>608</v>
      </c>
      <c r="C31" s="238">
        <f>'Expense variable '!C32*'Expense variable '!C9*'Expenses full_HTL'!C2</f>
        <v>20.44405421328096</v>
      </c>
    </row>
    <row r="32" spans="1:6" x14ac:dyDescent="0.35">
      <c r="A32" s="178" t="s">
        <v>524</v>
      </c>
      <c r="B32" s="157" t="s">
        <v>608</v>
      </c>
      <c r="C32" s="236">
        <f>'Expense variable '!C33*C28</f>
        <v>0.60479999999999989</v>
      </c>
    </row>
    <row r="33" spans="1:3" x14ac:dyDescent="0.35">
      <c r="A33" s="178" t="s">
        <v>602</v>
      </c>
      <c r="B33" s="157" t="s">
        <v>608</v>
      </c>
      <c r="C33" s="236">
        <f>'Expense variable '!C39*C18</f>
        <v>9.254012254763877</v>
      </c>
    </row>
    <row r="34" spans="1:3" x14ac:dyDescent="0.35">
      <c r="A34" s="178" t="s">
        <v>620</v>
      </c>
      <c r="B34" s="157" t="s">
        <v>608</v>
      </c>
      <c r="C34" s="236">
        <f t="shared" ref="C34" si="1">SUM(C35:C37)</f>
        <v>37.603420138949851</v>
      </c>
    </row>
    <row r="35" spans="1:3" x14ac:dyDescent="0.35">
      <c r="A35" s="237" t="s">
        <v>528</v>
      </c>
      <c r="B35" s="207" t="s">
        <v>608</v>
      </c>
      <c r="C35" s="238">
        <f>C2*'Expense variable '!C35*'Expense variable '!C9</f>
        <v>3.0666081319921434</v>
      </c>
    </row>
    <row r="36" spans="1:3" x14ac:dyDescent="0.35">
      <c r="A36" s="237" t="s">
        <v>531</v>
      </c>
      <c r="B36" s="207" t="s">
        <v>608</v>
      </c>
      <c r="C36" s="238">
        <f>'Expense variable '!C37*C2*'Expense variable '!C9</f>
        <v>2.0444054213280958</v>
      </c>
    </row>
    <row r="37" spans="1:3" x14ac:dyDescent="0.35">
      <c r="A37" s="237" t="s">
        <v>526</v>
      </c>
      <c r="B37" s="207" t="s">
        <v>608</v>
      </c>
      <c r="C37" s="238">
        <f>'Expense variable '!C34*C16</f>
        <v>32.49240658562961</v>
      </c>
    </row>
    <row r="38" spans="1:3" x14ac:dyDescent="0.35">
      <c r="A38" s="178" t="s">
        <v>621</v>
      </c>
      <c r="B38" s="157" t="s">
        <v>608</v>
      </c>
      <c r="C38" s="236">
        <f>C41*'Expense variable '!C38</f>
        <v>5.7802229413339568</v>
      </c>
    </row>
    <row r="39" spans="1:3" x14ac:dyDescent="0.35">
      <c r="A39" s="246" t="s">
        <v>622</v>
      </c>
      <c r="B39" s="251" t="s">
        <v>623</v>
      </c>
      <c r="C39" s="247">
        <f>SUM(C38+C34+C32+C18+C33+B58)</f>
        <v>108.17891181459282</v>
      </c>
    </row>
    <row r="40" spans="1:3" x14ac:dyDescent="0.35">
      <c r="A40" s="246"/>
      <c r="B40" s="213"/>
      <c r="C40" s="235"/>
    </row>
    <row r="41" spans="1:3" x14ac:dyDescent="0.35">
      <c r="A41" s="157" t="s">
        <v>624</v>
      </c>
      <c r="B41" s="157" t="s">
        <v>608</v>
      </c>
      <c r="C41" s="236">
        <f t="shared" ref="C41" si="2">SUM(C42:C44)</f>
        <v>57.80222941333956</v>
      </c>
    </row>
    <row r="42" spans="1:3" x14ac:dyDescent="0.35">
      <c r="A42" s="252" t="s">
        <v>625</v>
      </c>
      <c r="B42" s="249" t="s">
        <v>608</v>
      </c>
      <c r="C42" s="242">
        <f>(8000/24)*Yields!C31*'Refinery '!B1*'Expense variable '!C54/1000000</f>
        <v>57.799362560000006</v>
      </c>
    </row>
    <row r="43" spans="1:3" x14ac:dyDescent="0.35">
      <c r="A43" s="253" t="s">
        <v>626</v>
      </c>
      <c r="B43" s="254" t="s">
        <v>627</v>
      </c>
      <c r="C43" s="242">
        <v>0</v>
      </c>
    </row>
    <row r="44" spans="1:3" x14ac:dyDescent="0.35">
      <c r="A44" s="252" t="s">
        <v>628</v>
      </c>
      <c r="B44" s="249" t="s">
        <v>608</v>
      </c>
      <c r="C44" s="242">
        <f>Yields!C19*'Refinery '!B1*'Expense variable '!C52/1000000</f>
        <v>2.8668533395549349E-3</v>
      </c>
    </row>
    <row r="45" spans="1:3" x14ac:dyDescent="0.35">
      <c r="A45" s="157" t="s">
        <v>629</v>
      </c>
      <c r="B45" s="157" t="s">
        <v>608</v>
      </c>
      <c r="C45" s="236">
        <f>C41-C19</f>
        <v>32.840222352801149</v>
      </c>
    </row>
    <row r="46" spans="1:3" x14ac:dyDescent="0.35">
      <c r="A46" s="157" t="s">
        <v>630</v>
      </c>
      <c r="B46" s="157" t="s">
        <v>608</v>
      </c>
      <c r="C46" s="236">
        <f t="shared" ref="C46" si="3">C41-C39</f>
        <v>-50.376682401253262</v>
      </c>
    </row>
    <row r="47" spans="1:3" x14ac:dyDescent="0.35">
      <c r="A47" s="255" t="s">
        <v>631</v>
      </c>
      <c r="B47" s="255" t="s">
        <v>632</v>
      </c>
      <c r="C47" s="236">
        <f>(C39-C44)*1000000/((8000/24)*Yields!C31*'Refinery '!B1)</f>
        <v>1197.8102475322885</v>
      </c>
    </row>
    <row r="48" spans="1:3" x14ac:dyDescent="0.35">
      <c r="A48" s="157" t="s">
        <v>778</v>
      </c>
      <c r="C48">
        <f>C47/'Expense variable '!C54</f>
        <v>1.8715785117692008</v>
      </c>
    </row>
    <row r="55" spans="1:5" x14ac:dyDescent="0.35">
      <c r="A55" t="s">
        <v>856</v>
      </c>
      <c r="B55">
        <f>'Mass balances '!C146</f>
        <v>85.711735743863514</v>
      </c>
      <c r="D55" t="s">
        <v>860</v>
      </c>
      <c r="E55">
        <f>B55*1000*('Refinery '!B9+'Refinery '!B10)</f>
        <v>28713431.474194273</v>
      </c>
    </row>
    <row r="56" spans="1:5" x14ac:dyDescent="0.35">
      <c r="A56" t="s">
        <v>857</v>
      </c>
      <c r="B56">
        <f>B55*1000*'Expense variable '!C59/1000000</f>
        <v>1.028540828926362</v>
      </c>
    </row>
    <row r="57" spans="1:5" x14ac:dyDescent="0.35">
      <c r="A57" t="s">
        <v>858</v>
      </c>
      <c r="B57">
        <f>E55*'Expense variable '!C60/1000000</f>
        <v>7.6378543767993952</v>
      </c>
    </row>
    <row r="58" spans="1:5" x14ac:dyDescent="0.35">
      <c r="A58" t="s">
        <v>859</v>
      </c>
      <c r="B58">
        <f>B56+B57</f>
        <v>8.6663952057257578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14</vt:i4>
      </vt:variant>
    </vt:vector>
  </HeadingPairs>
  <TitlesOfParts>
    <vt:vector size="14" baseType="lpstr">
      <vt:lpstr>Experimental_Background</vt:lpstr>
      <vt:lpstr>Process variables </vt:lpstr>
      <vt:lpstr>Mass balances </vt:lpstr>
      <vt:lpstr>Utilities from Aspen </vt:lpstr>
      <vt:lpstr>Energy balance </vt:lpstr>
      <vt:lpstr>Yields</vt:lpstr>
      <vt:lpstr>Refinery </vt:lpstr>
      <vt:lpstr>Expense variable </vt:lpstr>
      <vt:lpstr>Expenses full_HTL</vt:lpstr>
      <vt:lpstr>Expenses full_HTL_Up </vt:lpstr>
      <vt:lpstr>Expenses full_HTL_CoUp</vt:lpstr>
      <vt:lpstr>Expenses full_HTL_Up_CoDist</vt:lpstr>
      <vt:lpstr>Expenses full_HTL_CoUp_CoDist</vt:lpstr>
      <vt:lpstr>Sheet2</vt:lpstr>
    </vt:vector>
  </TitlesOfParts>
  <Company>TU Delft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Sivaramakrishnan Chandrasekaran</dc:creator>
  <cp:lastModifiedBy>Sivaramakrishnan Chandrasekaran</cp:lastModifiedBy>
  <dcterms:created xsi:type="dcterms:W3CDTF">2023-05-04T11:28:05Z</dcterms:created>
  <dcterms:modified xsi:type="dcterms:W3CDTF">2025-06-03T22:58:57Z</dcterms:modified>
</cp:coreProperties>
</file>