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threadedComments/threadedComment2.xml" ContentType="application/vnd.ms-excel.threadedcomments+xml"/>
  <Override PartName="/xl/comments5.xml" ContentType="application/vnd.openxmlformats-officedocument.spreadsheetml.comments+xml"/>
  <Override PartName="/xl/threadedComments/threadedComment3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O:\TU DELFT\Siva Papers\Chapter 3 - Biohubs TEE and LCA\Excel sheets for Chapter 3_ Data\Mass balances, energy Balances, TEE\Coffee\"/>
    </mc:Choice>
  </mc:AlternateContent>
  <xr:revisionPtr revIDLastSave="0" documentId="13_ncr:1_{E8500136-8DD9-47A7-967A-788F2ED795CA}" xr6:coauthVersionLast="47" xr6:coauthVersionMax="47" xr10:uidLastSave="{00000000-0000-0000-0000-000000000000}"/>
  <bookViews>
    <workbookView xWindow="-110" yWindow="-110" windowWidth="19420" windowHeight="10420" firstSheet="9" activeTab="12" xr2:uid="{00000000-000D-0000-FFFF-FFFF00000000}"/>
  </bookViews>
  <sheets>
    <sheet name="Experimental_Backgorund" sheetId="1" r:id="rId1"/>
    <sheet name="Modified_experimental Backgroun" sheetId="2" r:id="rId2"/>
    <sheet name="Process variables " sheetId="3" r:id="rId3"/>
    <sheet name="Mass balances " sheetId="4" r:id="rId4"/>
    <sheet name="Utilities from Aspen " sheetId="5" r:id="rId5"/>
    <sheet name="Energy balance " sheetId="6" r:id="rId6"/>
    <sheet name="Yields " sheetId="7" r:id="rId7"/>
    <sheet name="Refinery " sheetId="10" r:id="rId8"/>
    <sheet name="Expenses variable " sheetId="8" r:id="rId9"/>
    <sheet name="Expenses_HTL" sheetId="12" r:id="rId10"/>
    <sheet name="Expenses_HTL_CoUp_fra" sheetId="11" r:id="rId11"/>
    <sheet name="emission variables " sheetId="13" r:id="rId12"/>
    <sheet name="Sheet4" sheetId="9" r:id="rId13"/>
  </sheets>
  <externalReferences>
    <externalReference r:id="rId14"/>
    <externalReference r:id="rId15"/>
    <externalReference r:id="rId16"/>
    <externalReference r:id="rId17"/>
    <externalReference r:id="rId1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6" l="1"/>
  <c r="B156" i="4"/>
  <c r="I53" i="13"/>
  <c r="I54" i="13"/>
  <c r="I55" i="13"/>
  <c r="I56" i="13"/>
  <c r="I57" i="13"/>
  <c r="I58" i="13"/>
  <c r="I59" i="13"/>
  <c r="I60" i="13"/>
  <c r="I61" i="13"/>
  <c r="I62" i="13"/>
  <c r="I63" i="13"/>
  <c r="I64" i="13"/>
  <c r="I65" i="13"/>
  <c r="I66" i="13"/>
  <c r="I67" i="13"/>
  <c r="I68" i="13"/>
  <c r="I69" i="13"/>
  <c r="I52" i="13"/>
  <c r="J52" i="13" s="1"/>
  <c r="L53" i="13"/>
  <c r="L54" i="13"/>
  <c r="L55" i="13"/>
  <c r="L56" i="13"/>
  <c r="L57" i="13"/>
  <c r="L58" i="13"/>
  <c r="L59" i="13"/>
  <c r="L60" i="13"/>
  <c r="L61" i="13"/>
  <c r="L62" i="13"/>
  <c r="L63" i="13"/>
  <c r="L64" i="13"/>
  <c r="L65" i="13"/>
  <c r="L66" i="13"/>
  <c r="L67" i="13"/>
  <c r="L68" i="13"/>
  <c r="L69" i="13"/>
  <c r="L52" i="13"/>
  <c r="N50" i="13"/>
  <c r="I71" i="13"/>
  <c r="H71" i="13"/>
  <c r="G71" i="13"/>
  <c r="F53" i="13" l="1"/>
  <c r="F54" i="13"/>
  <c r="F55" i="13"/>
  <c r="F57" i="13"/>
  <c r="F58" i="13"/>
  <c r="F59" i="13"/>
  <c r="F61" i="13"/>
  <c r="F62" i="13"/>
  <c r="F63" i="13"/>
  <c r="F65" i="13"/>
  <c r="F66" i="13"/>
  <c r="F67" i="13"/>
  <c r="F69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32" i="13"/>
  <c r="E28" i="13"/>
  <c r="P28" i="13"/>
  <c r="Q28" i="13"/>
  <c r="O28" i="13"/>
  <c r="N28" i="13"/>
  <c r="H28" i="13"/>
  <c r="M28" i="13"/>
  <c r="K28" i="13" l="1"/>
  <c r="L48" i="13" s="1"/>
  <c r="H68" i="13" s="1"/>
  <c r="I28" i="13"/>
  <c r="I39" i="13" s="1"/>
  <c r="I87" i="13"/>
  <c r="I85" i="13"/>
  <c r="I83" i="13"/>
  <c r="G83" i="13"/>
  <c r="I75" i="13"/>
  <c r="G75" i="13"/>
  <c r="I74" i="13"/>
  <c r="G73" i="13"/>
  <c r="I84" i="13"/>
  <c r="H85" i="13"/>
  <c r="G88" i="13"/>
  <c r="P49" i="13"/>
  <c r="N69" i="13" s="1"/>
  <c r="N49" i="13"/>
  <c r="M49" i="13"/>
  <c r="F49" i="13"/>
  <c r="N48" i="13"/>
  <c r="M48" i="13"/>
  <c r="F48" i="13"/>
  <c r="M47" i="13"/>
  <c r="L47" i="13"/>
  <c r="H67" i="13" s="1"/>
  <c r="J47" i="13"/>
  <c r="P46" i="13"/>
  <c r="N66" i="13" s="1"/>
  <c r="O46" i="13"/>
  <c r="N46" i="13"/>
  <c r="M46" i="13"/>
  <c r="P45" i="13"/>
  <c r="N65" i="13" s="1"/>
  <c r="N45" i="13"/>
  <c r="M45" i="13"/>
  <c r="F45" i="13"/>
  <c r="N44" i="13"/>
  <c r="M44" i="13"/>
  <c r="F44" i="13"/>
  <c r="M43" i="13"/>
  <c r="L43" i="13"/>
  <c r="H63" i="13" s="1"/>
  <c r="P42" i="13"/>
  <c r="N62" i="13" s="1"/>
  <c r="O42" i="13"/>
  <c r="N42" i="13"/>
  <c r="M42" i="13"/>
  <c r="P41" i="13"/>
  <c r="N61" i="13" s="1"/>
  <c r="N41" i="13"/>
  <c r="M41" i="13"/>
  <c r="L41" i="13"/>
  <c r="H61" i="13" s="1"/>
  <c r="F41" i="13"/>
  <c r="N40" i="13"/>
  <c r="M40" i="13"/>
  <c r="L40" i="13"/>
  <c r="H60" i="13" s="1"/>
  <c r="K40" i="13"/>
  <c r="F40" i="13"/>
  <c r="M39" i="13"/>
  <c r="L39" i="13"/>
  <c r="H59" i="13" s="1"/>
  <c r="J39" i="13"/>
  <c r="P38" i="13"/>
  <c r="N58" i="13" s="1"/>
  <c r="O38" i="13"/>
  <c r="N38" i="13"/>
  <c r="M38" i="13"/>
  <c r="H38" i="13"/>
  <c r="P37" i="13"/>
  <c r="N57" i="13" s="1"/>
  <c r="N37" i="13"/>
  <c r="M37" i="13"/>
  <c r="L37" i="13"/>
  <c r="H57" i="13" s="1"/>
  <c r="F37" i="13"/>
  <c r="N36" i="13"/>
  <c r="M36" i="13"/>
  <c r="L36" i="13"/>
  <c r="H56" i="13" s="1"/>
  <c r="K36" i="13"/>
  <c r="F36" i="13"/>
  <c r="M35" i="13"/>
  <c r="L35" i="13"/>
  <c r="H55" i="13" s="1"/>
  <c r="D35" i="13"/>
  <c r="D39" i="13" s="1"/>
  <c r="P34" i="13"/>
  <c r="N54" i="13" s="1"/>
  <c r="O34" i="13"/>
  <c r="N34" i="13"/>
  <c r="M34" i="13"/>
  <c r="D34" i="13"/>
  <c r="P33" i="13"/>
  <c r="N53" i="13" s="1"/>
  <c r="N33" i="13"/>
  <c r="M33" i="13"/>
  <c r="L33" i="13"/>
  <c r="H53" i="13" s="1"/>
  <c r="F33" i="13"/>
  <c r="D33" i="13"/>
  <c r="D37" i="13" s="1"/>
  <c r="N32" i="13"/>
  <c r="M32" i="13"/>
  <c r="L32" i="13"/>
  <c r="H52" i="13" s="1"/>
  <c r="K32" i="13"/>
  <c r="F32" i="13"/>
  <c r="Q47" i="13"/>
  <c r="O67" i="13" s="1"/>
  <c r="P47" i="13"/>
  <c r="N67" i="13" s="1"/>
  <c r="O47" i="13"/>
  <c r="N47" i="13"/>
  <c r="K48" i="13"/>
  <c r="J43" i="13"/>
  <c r="H34" i="13"/>
  <c r="G46" i="13"/>
  <c r="F46" i="13"/>
  <c r="D28" i="13"/>
  <c r="D8" i="13"/>
  <c r="I77" i="13" l="1"/>
  <c r="G89" i="13"/>
  <c r="I79" i="13"/>
  <c r="I90" i="13"/>
  <c r="G81" i="13"/>
  <c r="D32" i="13"/>
  <c r="F52" i="13" s="1"/>
  <c r="I82" i="13"/>
  <c r="L45" i="13"/>
  <c r="H65" i="13" s="1"/>
  <c r="K44" i="13"/>
  <c r="L44" i="13"/>
  <c r="H64" i="13" s="1"/>
  <c r="I43" i="13"/>
  <c r="I35" i="13"/>
  <c r="I47" i="13"/>
  <c r="I48" i="13"/>
  <c r="J35" i="13"/>
  <c r="D41" i="13"/>
  <c r="H49" i="13"/>
  <c r="H47" i="13"/>
  <c r="H43" i="13"/>
  <c r="H39" i="13"/>
  <c r="H35" i="13"/>
  <c r="H48" i="13"/>
  <c r="H44" i="13"/>
  <c r="H40" i="13"/>
  <c r="H36" i="13"/>
  <c r="H32" i="13"/>
  <c r="H41" i="13"/>
  <c r="H45" i="13"/>
  <c r="H37" i="13"/>
  <c r="J34" i="13"/>
  <c r="H46" i="13"/>
  <c r="H33" i="13"/>
  <c r="D43" i="13"/>
  <c r="J46" i="13"/>
  <c r="J38" i="13"/>
  <c r="J48" i="13"/>
  <c r="G68" i="13" s="1"/>
  <c r="J44" i="13"/>
  <c r="J40" i="13"/>
  <c r="J36" i="13"/>
  <c r="J32" i="13"/>
  <c r="J49" i="13"/>
  <c r="J45" i="13"/>
  <c r="J41" i="13"/>
  <c r="J37" i="13"/>
  <c r="J33" i="13"/>
  <c r="J42" i="13"/>
  <c r="H42" i="13"/>
  <c r="H80" i="13"/>
  <c r="H88" i="13"/>
  <c r="G33" i="13"/>
  <c r="O33" i="13"/>
  <c r="I34" i="13"/>
  <c r="Q34" i="13"/>
  <c r="O54" i="13" s="1"/>
  <c r="K35" i="13"/>
  <c r="G37" i="13"/>
  <c r="O37" i="13"/>
  <c r="I38" i="13"/>
  <c r="Q38" i="13"/>
  <c r="O58" i="13" s="1"/>
  <c r="K39" i="13"/>
  <c r="G59" i="13" s="1"/>
  <c r="G41" i="13"/>
  <c r="O41" i="13"/>
  <c r="I42" i="13"/>
  <c r="Q42" i="13"/>
  <c r="O62" i="13" s="1"/>
  <c r="K43" i="13"/>
  <c r="G45" i="13"/>
  <c r="O45" i="13"/>
  <c r="I46" i="13"/>
  <c r="Q46" i="13"/>
  <c r="O66" i="13" s="1"/>
  <c r="K47" i="13"/>
  <c r="G67" i="13" s="1"/>
  <c r="G49" i="13"/>
  <c r="O49" i="13"/>
  <c r="H75" i="13"/>
  <c r="G78" i="13"/>
  <c r="I80" i="13"/>
  <c r="H83" i="13"/>
  <c r="G86" i="13"/>
  <c r="I88" i="13"/>
  <c r="H86" i="13"/>
  <c r="G32" i="13"/>
  <c r="O32" i="13"/>
  <c r="I33" i="13"/>
  <c r="Q33" i="13"/>
  <c r="O53" i="13" s="1"/>
  <c r="K34" i="13"/>
  <c r="G36" i="13"/>
  <c r="O36" i="13"/>
  <c r="I37" i="13"/>
  <c r="Q37" i="13"/>
  <c r="O57" i="13" s="1"/>
  <c r="K38" i="13"/>
  <c r="G40" i="13"/>
  <c r="O40" i="13"/>
  <c r="I41" i="13"/>
  <c r="Q41" i="13"/>
  <c r="O61" i="13" s="1"/>
  <c r="K42" i="13"/>
  <c r="G44" i="13"/>
  <c r="O44" i="13"/>
  <c r="I45" i="13"/>
  <c r="Q45" i="13"/>
  <c r="O65" i="13" s="1"/>
  <c r="K46" i="13"/>
  <c r="G48" i="13"/>
  <c r="O48" i="13"/>
  <c r="I49" i="13"/>
  <c r="Q49" i="13"/>
  <c r="O69" i="13" s="1"/>
  <c r="H73" i="13"/>
  <c r="G76" i="13"/>
  <c r="I78" i="13"/>
  <c r="H81" i="13"/>
  <c r="G84" i="13"/>
  <c r="I86" i="13"/>
  <c r="H89" i="13"/>
  <c r="H78" i="13"/>
  <c r="P32" i="13"/>
  <c r="N52" i="13" s="1"/>
  <c r="L34" i="13"/>
  <c r="H54" i="13" s="1"/>
  <c r="F35" i="13"/>
  <c r="N35" i="13"/>
  <c r="P36" i="13"/>
  <c r="N56" i="13" s="1"/>
  <c r="D38" i="13"/>
  <c r="L38" i="13"/>
  <c r="H58" i="13" s="1"/>
  <c r="F39" i="13"/>
  <c r="N39" i="13"/>
  <c r="P40" i="13"/>
  <c r="N60" i="13" s="1"/>
  <c r="L42" i="13"/>
  <c r="H62" i="13" s="1"/>
  <c r="F43" i="13"/>
  <c r="N43" i="13"/>
  <c r="P44" i="13"/>
  <c r="N64" i="13" s="1"/>
  <c r="L46" i="13"/>
  <c r="H66" i="13" s="1"/>
  <c r="F47" i="13"/>
  <c r="P48" i="13"/>
  <c r="N68" i="13" s="1"/>
  <c r="I73" i="13"/>
  <c r="H76" i="13"/>
  <c r="G79" i="13"/>
  <c r="I81" i="13"/>
  <c r="H84" i="13"/>
  <c r="G87" i="13"/>
  <c r="I89" i="13"/>
  <c r="I32" i="13"/>
  <c r="G52" i="13" s="1"/>
  <c r="Q32" i="13"/>
  <c r="O52" i="13" s="1"/>
  <c r="K33" i="13"/>
  <c r="G35" i="13"/>
  <c r="O35" i="13"/>
  <c r="I36" i="13"/>
  <c r="Q36" i="13"/>
  <c r="O56" i="13" s="1"/>
  <c r="K37" i="13"/>
  <c r="G39" i="13"/>
  <c r="O39" i="13"/>
  <c r="I40" i="13"/>
  <c r="Q40" i="13"/>
  <c r="O60" i="13" s="1"/>
  <c r="K41" i="13"/>
  <c r="G43" i="13"/>
  <c r="O43" i="13"/>
  <c r="I44" i="13"/>
  <c r="G64" i="13" s="1"/>
  <c r="Q44" i="13"/>
  <c r="O64" i="13" s="1"/>
  <c r="K45" i="13"/>
  <c r="G47" i="13"/>
  <c r="Q48" i="13"/>
  <c r="O68" i="13" s="1"/>
  <c r="K49" i="13"/>
  <c r="G74" i="13"/>
  <c r="I76" i="13"/>
  <c r="H79" i="13"/>
  <c r="G82" i="13"/>
  <c r="H87" i="13"/>
  <c r="G90" i="13"/>
  <c r="F34" i="13"/>
  <c r="P35" i="13"/>
  <c r="N55" i="13" s="1"/>
  <c r="F38" i="13"/>
  <c r="P39" i="13"/>
  <c r="N59" i="13" s="1"/>
  <c r="F42" i="13"/>
  <c r="P43" i="13"/>
  <c r="N63" i="13" s="1"/>
  <c r="L49" i="13"/>
  <c r="H69" i="13" s="1"/>
  <c r="H74" i="13"/>
  <c r="G77" i="13"/>
  <c r="H82" i="13"/>
  <c r="G85" i="13"/>
  <c r="H90" i="13"/>
  <c r="G34" i="13"/>
  <c r="Q35" i="13"/>
  <c r="O55" i="13" s="1"/>
  <c r="G38" i="13"/>
  <c r="Q39" i="13"/>
  <c r="O59" i="13" s="1"/>
  <c r="G42" i="13"/>
  <c r="Q43" i="13"/>
  <c r="O63" i="13" s="1"/>
  <c r="H77" i="13"/>
  <c r="G80" i="13"/>
  <c r="D36" i="13" l="1"/>
  <c r="F56" i="13" s="1"/>
  <c r="G55" i="13"/>
  <c r="J55" i="13" s="1"/>
  <c r="K55" i="13" s="1"/>
  <c r="G60" i="13"/>
  <c r="G61" i="13"/>
  <c r="G62" i="13"/>
  <c r="G56" i="13"/>
  <c r="M59" i="13"/>
  <c r="P59" i="13" s="1"/>
  <c r="Q59" i="13" s="1"/>
  <c r="R59" i="13" s="1"/>
  <c r="G63" i="13"/>
  <c r="M52" i="13"/>
  <c r="P52" i="13" s="1"/>
  <c r="Q52" i="13" s="1"/>
  <c r="R52" i="13" s="1"/>
  <c r="G65" i="13"/>
  <c r="D47" i="13"/>
  <c r="G66" i="13"/>
  <c r="G69" i="13"/>
  <c r="G53" i="13"/>
  <c r="D42" i="13"/>
  <c r="G54" i="13"/>
  <c r="D45" i="13"/>
  <c r="G57" i="13"/>
  <c r="D40" i="13"/>
  <c r="F60" i="13" s="1"/>
  <c r="G58" i="13"/>
  <c r="J56" i="13" l="1"/>
  <c r="K56" i="13" s="1"/>
  <c r="M55" i="13"/>
  <c r="P55" i="13" s="1"/>
  <c r="Q55" i="13" s="1"/>
  <c r="R55" i="13" s="1"/>
  <c r="J63" i="13"/>
  <c r="K63" i="13" s="1"/>
  <c r="J59" i="13"/>
  <c r="K59" i="13" s="1"/>
  <c r="K52" i="13"/>
  <c r="J53" i="13"/>
  <c r="K53" i="13" s="1"/>
  <c r="M53" i="13"/>
  <c r="P53" i="13" s="1"/>
  <c r="Q53" i="13" s="1"/>
  <c r="R53" i="13" s="1"/>
  <c r="M57" i="13"/>
  <c r="P57" i="13" s="1"/>
  <c r="Q57" i="13" s="1"/>
  <c r="R57" i="13" s="1"/>
  <c r="J57" i="13"/>
  <c r="K57" i="13" s="1"/>
  <c r="D44" i="13"/>
  <c r="F64" i="13" s="1"/>
  <c r="J61" i="13"/>
  <c r="K61" i="13" s="1"/>
  <c r="M61" i="13"/>
  <c r="P61" i="13" s="1"/>
  <c r="Q61" i="13" s="1"/>
  <c r="R61" i="13" s="1"/>
  <c r="M63" i="13"/>
  <c r="P63" i="13" s="1"/>
  <c r="Q63" i="13" s="1"/>
  <c r="R63" i="13" s="1"/>
  <c r="D46" i="13"/>
  <c r="D49" i="13"/>
  <c r="M54" i="13"/>
  <c r="P54" i="13" s="1"/>
  <c r="Q54" i="13" s="1"/>
  <c r="R54" i="13" s="1"/>
  <c r="J54" i="13"/>
  <c r="K54" i="13" s="1"/>
  <c r="M67" i="13"/>
  <c r="P67" i="13" s="1"/>
  <c r="Q67" i="13" s="1"/>
  <c r="R67" i="13" s="1"/>
  <c r="J67" i="13"/>
  <c r="K67" i="13" s="1"/>
  <c r="M56" i="13" l="1"/>
  <c r="P56" i="13" s="1"/>
  <c r="Q56" i="13" s="1"/>
  <c r="R56" i="13" s="1"/>
  <c r="D48" i="13"/>
  <c r="J58" i="13"/>
  <c r="K58" i="13" s="1"/>
  <c r="M58" i="13"/>
  <c r="P58" i="13" s="1"/>
  <c r="Q58" i="13" s="1"/>
  <c r="R58" i="13" s="1"/>
  <c r="M62" i="13"/>
  <c r="P62" i="13" s="1"/>
  <c r="Q62" i="13" s="1"/>
  <c r="R62" i="13" s="1"/>
  <c r="J62" i="13"/>
  <c r="K62" i="13" s="1"/>
  <c r="M60" i="13"/>
  <c r="P60" i="13" s="1"/>
  <c r="Q60" i="13" s="1"/>
  <c r="R60" i="13" s="1"/>
  <c r="J60" i="13"/>
  <c r="K60" i="13" s="1"/>
  <c r="J66" i="13"/>
  <c r="K66" i="13" s="1"/>
  <c r="M66" i="13"/>
  <c r="P66" i="13" s="1"/>
  <c r="Q66" i="13" s="1"/>
  <c r="R66" i="13" s="1"/>
  <c r="J69" i="13"/>
  <c r="K69" i="13" s="1"/>
  <c r="M69" i="13"/>
  <c r="P69" i="13" s="1"/>
  <c r="Q69" i="13" s="1"/>
  <c r="R69" i="13" s="1"/>
  <c r="M65" i="13"/>
  <c r="P65" i="13" s="1"/>
  <c r="Q65" i="13" s="1"/>
  <c r="R65" i="13" s="1"/>
  <c r="J65" i="13"/>
  <c r="K65" i="13" s="1"/>
  <c r="F68" i="13" l="1"/>
  <c r="J64" i="13"/>
  <c r="K64" i="13" s="1"/>
  <c r="M64" i="13"/>
  <c r="P64" i="13" s="1"/>
  <c r="Q64" i="13" s="1"/>
  <c r="R64" i="13" s="1"/>
  <c r="M68" i="13" l="1"/>
  <c r="P68" i="13" s="1"/>
  <c r="Q68" i="13" s="1"/>
  <c r="R68" i="13" s="1"/>
  <c r="J68" i="13"/>
  <c r="K68" i="13" s="1"/>
  <c r="C42" i="12"/>
  <c r="B56" i="12"/>
  <c r="B58" i="12" s="1"/>
  <c r="C19" i="12" s="1"/>
  <c r="B55" i="12"/>
  <c r="E55" i="12" s="1"/>
  <c r="B57" i="12" s="1"/>
  <c r="C44" i="12"/>
  <c r="C29" i="12"/>
  <c r="C30" i="12" s="1"/>
  <c r="C28" i="12" s="1"/>
  <c r="C32" i="12" s="1"/>
  <c r="C27" i="12"/>
  <c r="C26" i="12"/>
  <c r="C24" i="12"/>
  <c r="C23" i="12"/>
  <c r="C22" i="12"/>
  <c r="C20" i="12"/>
  <c r="E12" i="12"/>
  <c r="C6" i="12"/>
  <c r="G147" i="4"/>
  <c r="G146" i="4"/>
  <c r="G145" i="4"/>
  <c r="C24" i="11"/>
  <c r="B57" i="11"/>
  <c r="P51" i="5"/>
  <c r="C41" i="12" l="1"/>
  <c r="C45" i="12" s="1"/>
  <c r="C13" i="12"/>
  <c r="C21" i="11"/>
  <c r="C38" i="12" l="1"/>
  <c r="C6" i="11"/>
  <c r="E55" i="11"/>
  <c r="B56" i="11"/>
  <c r="B55" i="11"/>
  <c r="C152" i="4"/>
  <c r="C151" i="4"/>
  <c r="C42" i="11"/>
  <c r="D147" i="4"/>
  <c r="D148" i="4"/>
  <c r="D146" i="4"/>
  <c r="C34" i="8"/>
  <c r="C32" i="11"/>
  <c r="C30" i="11"/>
  <c r="C29" i="11"/>
  <c r="B7" i="10"/>
  <c r="C48" i="8"/>
  <c r="E12" i="11" s="1"/>
  <c r="C71" i="8"/>
  <c r="E99" i="9"/>
  <c r="E96" i="9"/>
  <c r="D90" i="9"/>
  <c r="K61" i="9"/>
  <c r="C51" i="11" s="1"/>
  <c r="K60" i="9"/>
  <c r="C50" i="11" s="1"/>
  <c r="J46" i="9"/>
  <c r="J45" i="9"/>
  <c r="J44" i="9"/>
  <c r="J43" i="9"/>
  <c r="J42" i="9"/>
  <c r="J32" i="9"/>
  <c r="J31" i="9"/>
  <c r="J30" i="9"/>
  <c r="J29" i="9"/>
  <c r="J28" i="9"/>
  <c r="J27" i="9"/>
  <c r="F26" i="9"/>
  <c r="N22" i="9"/>
  <c r="N21" i="9"/>
  <c r="N20" i="9"/>
  <c r="R19" i="9"/>
  <c r="N19" i="9"/>
  <c r="R18" i="9"/>
  <c r="N18" i="9"/>
  <c r="N17" i="9"/>
  <c r="F17" i="9"/>
  <c r="N16" i="9"/>
  <c r="F16" i="9"/>
  <c r="N15" i="9"/>
  <c r="F15" i="9"/>
  <c r="N14" i="9"/>
  <c r="F14" i="9"/>
  <c r="N13" i="9"/>
  <c r="N12" i="9"/>
  <c r="N11" i="9"/>
  <c r="J11" i="9"/>
  <c r="F11" i="9"/>
  <c r="N10" i="9"/>
  <c r="R9" i="9"/>
  <c r="F9" i="9"/>
  <c r="B9" i="9"/>
  <c r="R8" i="9"/>
  <c r="F8" i="9"/>
  <c r="R7" i="9"/>
  <c r="F7" i="9"/>
  <c r="R6" i="9"/>
  <c r="F6" i="9"/>
  <c r="R5" i="9"/>
  <c r="R4" i="9"/>
  <c r="F4" i="9"/>
  <c r="B4" i="9"/>
  <c r="C70" i="8"/>
  <c r="C68" i="8"/>
  <c r="C56" i="8"/>
  <c r="C50" i="8"/>
  <c r="B58" i="11" l="1"/>
  <c r="C28" i="11"/>
  <c r="C82" i="8" l="1"/>
  <c r="C8" i="12" s="1"/>
  <c r="C4" i="12" s="1"/>
  <c r="C81" i="8"/>
  <c r="B76" i="8"/>
  <c r="C75" i="8"/>
  <c r="B75" i="8"/>
  <c r="H68" i="8"/>
  <c r="J68" i="8" s="1"/>
  <c r="C69" i="8" s="1"/>
  <c r="C53" i="8"/>
  <c r="C51" i="8"/>
  <c r="C21" i="8"/>
  <c r="B8" i="5"/>
  <c r="C9" i="12" l="1"/>
  <c r="C3" i="12" s="1"/>
  <c r="C11" i="12"/>
  <c r="C12" i="12"/>
  <c r="E54" i="6"/>
  <c r="C10" i="12" l="1"/>
  <c r="C2" i="12" s="1"/>
  <c r="C10" i="7"/>
  <c r="C4" i="7"/>
  <c r="C2" i="7"/>
  <c r="C36" i="12" l="1"/>
  <c r="C35" i="12"/>
  <c r="C14" i="12"/>
  <c r="C15" i="12" s="1"/>
  <c r="C16" i="12" s="1"/>
  <c r="C37" i="12" s="1"/>
  <c r="C31" i="12"/>
  <c r="C18" i="12" s="1"/>
  <c r="C33" i="12" s="1"/>
  <c r="D29" i="6"/>
  <c r="D11" i="6"/>
  <c r="D10" i="6"/>
  <c r="D9" i="6"/>
  <c r="D5" i="6"/>
  <c r="C34" i="12" l="1"/>
  <c r="C39" i="12" s="1"/>
  <c r="E39" i="12"/>
  <c r="C47" i="12"/>
  <c r="C48" i="12" s="1"/>
  <c r="C46" i="12"/>
  <c r="B18" i="5"/>
  <c r="B19" i="5" s="1"/>
  <c r="D133" i="4" l="1"/>
  <c r="N106" i="4"/>
  <c r="D39" i="4" l="1"/>
  <c r="D46" i="4"/>
  <c r="D49" i="4" s="1"/>
  <c r="D53" i="4" s="1"/>
  <c r="D8" i="4"/>
  <c r="N105" i="4" s="1"/>
  <c r="D7" i="4"/>
  <c r="E12" i="2"/>
  <c r="E11" i="2"/>
  <c r="E10" i="2"/>
  <c r="C53" i="6"/>
  <c r="C52" i="6"/>
  <c r="C51" i="6"/>
  <c r="C50" i="6"/>
  <c r="C49" i="6"/>
  <c r="C48" i="6"/>
  <c r="C47" i="6"/>
  <c r="C43" i="6"/>
  <c r="C42" i="6"/>
  <c r="C41" i="6"/>
  <c r="C40" i="6"/>
  <c r="C39" i="6"/>
  <c r="D38" i="6"/>
  <c r="C38" i="6"/>
  <c r="D37" i="6"/>
  <c r="C37" i="6"/>
  <c r="D36" i="6"/>
  <c r="C36" i="6"/>
  <c r="C35" i="6"/>
  <c r="C34" i="6"/>
  <c r="C33" i="6"/>
  <c r="C32" i="6"/>
  <c r="C31" i="6"/>
  <c r="C30" i="6"/>
  <c r="C29" i="6"/>
  <c r="C28" i="6"/>
  <c r="C27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6" i="6"/>
  <c r="C5" i="6"/>
  <c r="C4" i="6"/>
  <c r="C3" i="6"/>
  <c r="C60" i="5"/>
  <c r="P46" i="5"/>
  <c r="S46" i="5" s="1"/>
  <c r="P45" i="5"/>
  <c r="S45" i="5" s="1"/>
  <c r="S44" i="5"/>
  <c r="P44" i="5"/>
  <c r="P43" i="5"/>
  <c r="S43" i="5" s="1"/>
  <c r="S42" i="5"/>
  <c r="P42" i="5"/>
  <c r="P41" i="5"/>
  <c r="S41" i="5" s="1"/>
  <c r="P40" i="5"/>
  <c r="P39" i="5"/>
  <c r="S39" i="5" s="1"/>
  <c r="P38" i="5"/>
  <c r="S37" i="5"/>
  <c r="P37" i="5"/>
  <c r="P36" i="5"/>
  <c r="S36" i="5" s="1"/>
  <c r="S35" i="5"/>
  <c r="P35" i="5"/>
  <c r="P34" i="5"/>
  <c r="S34" i="5" s="1"/>
  <c r="P33" i="5"/>
  <c r="S33" i="5" s="1"/>
  <c r="P32" i="5"/>
  <c r="S32" i="5" s="1"/>
  <c r="P31" i="5"/>
  <c r="S31" i="5" s="1"/>
  <c r="S30" i="5"/>
  <c r="P30" i="5"/>
  <c r="P29" i="5"/>
  <c r="S29" i="5" s="1"/>
  <c r="P28" i="5"/>
  <c r="S28" i="5" s="1"/>
  <c r="P27" i="5"/>
  <c r="S27" i="5" s="1"/>
  <c r="P26" i="5"/>
  <c r="S26" i="5" s="1"/>
  <c r="S25" i="5"/>
  <c r="P25" i="5"/>
  <c r="B25" i="5"/>
  <c r="P24" i="5"/>
  <c r="S24" i="5" s="1"/>
  <c r="S23" i="5"/>
  <c r="P23" i="5"/>
  <c r="E23" i="5"/>
  <c r="P22" i="5"/>
  <c r="S22" i="5" s="1"/>
  <c r="P21" i="5"/>
  <c r="P20" i="5"/>
  <c r="S20" i="5" s="1"/>
  <c r="P19" i="5"/>
  <c r="S19" i="5" s="1"/>
  <c r="S18" i="5"/>
  <c r="P18" i="5"/>
  <c r="B33" i="5"/>
  <c r="C48" i="5" s="1"/>
  <c r="P17" i="5"/>
  <c r="S17" i="5" s="1"/>
  <c r="S16" i="5"/>
  <c r="P16" i="5"/>
  <c r="S15" i="5"/>
  <c r="P15" i="5"/>
  <c r="P14" i="5"/>
  <c r="S14" i="5" s="1"/>
  <c r="S13" i="5"/>
  <c r="P13" i="5"/>
  <c r="P12" i="5"/>
  <c r="S12" i="5" s="1"/>
  <c r="P11" i="5"/>
  <c r="P10" i="5"/>
  <c r="S10" i="5" s="1"/>
  <c r="P9" i="5"/>
  <c r="S9" i="5" s="1"/>
  <c r="B9" i="5"/>
  <c r="P8" i="5"/>
  <c r="S8" i="5" s="1"/>
  <c r="P7" i="5"/>
  <c r="S6" i="5"/>
  <c r="P6" i="5"/>
  <c r="P5" i="5"/>
  <c r="S5" i="5" s="1"/>
  <c r="N163" i="4"/>
  <c r="N156" i="4"/>
  <c r="D135" i="4" s="1"/>
  <c r="D140" i="4"/>
  <c r="D138" i="4"/>
  <c r="D136" i="4"/>
  <c r="D134" i="4"/>
  <c r="D124" i="4"/>
  <c r="D122" i="4"/>
  <c r="D115" i="4"/>
  <c r="D100" i="4"/>
  <c r="D110" i="4" s="1"/>
  <c r="D113" i="4" s="1"/>
  <c r="D90" i="4"/>
  <c r="D97" i="4" s="1"/>
  <c r="D83" i="4"/>
  <c r="D82" i="4" s="1"/>
  <c r="D80" i="4"/>
  <c r="D71" i="4"/>
  <c r="D68" i="4"/>
  <c r="D63" i="4"/>
  <c r="D61" i="4"/>
  <c r="D57" i="4"/>
  <c r="D55" i="4" s="1"/>
  <c r="G40" i="4"/>
  <c r="D24" i="4"/>
  <c r="D23" i="4"/>
  <c r="D15" i="4"/>
  <c r="C33" i="3"/>
  <c r="N103" i="4" l="1"/>
  <c r="N51" i="5" s="1"/>
  <c r="N175" i="4"/>
  <c r="D6" i="4"/>
  <c r="C29" i="7"/>
  <c r="C9" i="7"/>
  <c r="C8" i="7"/>
  <c r="C11" i="7" s="1"/>
  <c r="C12" i="7" s="1"/>
  <c r="C22" i="7"/>
  <c r="D139" i="4"/>
  <c r="D96" i="4"/>
  <c r="G139" i="4" s="1"/>
  <c r="C25" i="11" s="1"/>
  <c r="C30" i="7"/>
  <c r="E39" i="4"/>
  <c r="D39" i="6"/>
  <c r="D40" i="6" s="1"/>
  <c r="S51" i="5"/>
  <c r="D30" i="6" s="1"/>
  <c r="P47" i="5"/>
  <c r="K21" i="5" s="1"/>
  <c r="B32" i="5"/>
  <c r="C43" i="5" s="1"/>
  <c r="C44" i="5" s="1"/>
  <c r="B10" i="5"/>
  <c r="N162" i="4"/>
  <c r="D95" i="4"/>
  <c r="N102" i="4"/>
  <c r="D141" i="4"/>
  <c r="D13" i="4"/>
  <c r="D12" i="4" s="1"/>
  <c r="C59" i="5"/>
  <c r="C58" i="5"/>
  <c r="C49" i="5"/>
  <c r="C50" i="5" s="1"/>
  <c r="S38" i="5"/>
  <c r="S7" i="5"/>
  <c r="S21" i="5"/>
  <c r="S11" i="5"/>
  <c r="S40" i="5"/>
  <c r="D22" i="4"/>
  <c r="D107" i="4"/>
  <c r="E5" i="4"/>
  <c r="D21" i="4"/>
  <c r="D70" i="4"/>
  <c r="C31" i="7" l="1"/>
  <c r="E24" i="5"/>
  <c r="B1" i="10"/>
  <c r="C27" i="7"/>
  <c r="C28" i="7"/>
  <c r="C43" i="7"/>
  <c r="C32" i="7"/>
  <c r="C3" i="7"/>
  <c r="D3" i="6"/>
  <c r="D25" i="6"/>
  <c r="D24" i="6"/>
  <c r="D23" i="6"/>
  <c r="D22" i="6"/>
  <c r="D21" i="6" s="1"/>
  <c r="D132" i="4"/>
  <c r="E38" i="4"/>
  <c r="E31" i="4"/>
  <c r="E40" i="4"/>
  <c r="E32" i="4"/>
  <c r="E41" i="4"/>
  <c r="E33" i="4"/>
  <c r="E42" i="4"/>
  <c r="E34" i="4"/>
  <c r="E30" i="4"/>
  <c r="E35" i="4"/>
  <c r="E36" i="4"/>
  <c r="E37" i="4"/>
  <c r="D137" i="4"/>
  <c r="C24" i="7"/>
  <c r="C23" i="7"/>
  <c r="C45" i="5"/>
  <c r="D31" i="6" s="1"/>
  <c r="D32" i="6"/>
  <c r="S47" i="5"/>
  <c r="C39" i="5" s="1"/>
  <c r="C40" i="5" s="1"/>
  <c r="C41" i="5" s="1"/>
  <c r="C33" i="7" s="1"/>
  <c r="C8" i="11" s="1"/>
  <c r="C4" i="11" s="1"/>
  <c r="K8" i="5"/>
  <c r="K5" i="5"/>
  <c r="K15" i="5"/>
  <c r="K35" i="5"/>
  <c r="K7" i="5"/>
  <c r="K46" i="5"/>
  <c r="K34" i="5"/>
  <c r="K39" i="5"/>
  <c r="K32" i="5"/>
  <c r="K44" i="5"/>
  <c r="K45" i="5"/>
  <c r="K13" i="5"/>
  <c r="K19" i="5"/>
  <c r="K40" i="5"/>
  <c r="K33" i="5"/>
  <c r="K30" i="5"/>
  <c r="K36" i="5"/>
  <c r="K24" i="5"/>
  <c r="K6" i="5"/>
  <c r="K28" i="5"/>
  <c r="K42" i="5"/>
  <c r="K29" i="5"/>
  <c r="K41" i="5"/>
  <c r="K43" i="5"/>
  <c r="K38" i="5"/>
  <c r="K20" i="5"/>
  <c r="K12" i="5"/>
  <c r="K9" i="5"/>
  <c r="K14" i="5"/>
  <c r="K11" i="5"/>
  <c r="K25" i="5"/>
  <c r="K17" i="5"/>
  <c r="K26" i="5"/>
  <c r="K23" i="5"/>
  <c r="K27" i="5"/>
  <c r="K18" i="5"/>
  <c r="K10" i="5"/>
  <c r="K22" i="5"/>
  <c r="K31" i="5"/>
  <c r="K16" i="5"/>
  <c r="K37" i="5"/>
  <c r="D131" i="4"/>
  <c r="D143" i="4" s="1"/>
  <c r="C57" i="5"/>
  <c r="C15" i="7" s="1"/>
  <c r="D20" i="4"/>
  <c r="C5" i="10" l="1"/>
  <c r="C20" i="11" s="1"/>
  <c r="C4" i="10"/>
  <c r="D12" i="6"/>
  <c r="D2" i="6"/>
  <c r="D49" i="6" s="1"/>
  <c r="C12" i="11"/>
  <c r="C11" i="11"/>
  <c r="C9" i="11"/>
  <c r="C3" i="11" s="1"/>
  <c r="C40" i="7"/>
  <c r="C47" i="5"/>
  <c r="C51" i="5" s="1"/>
  <c r="E43" i="4"/>
  <c r="D6" i="6" l="1"/>
  <c r="D8" i="6"/>
  <c r="D41" i="6"/>
  <c r="D42" i="6"/>
  <c r="D51" i="6" s="1"/>
  <c r="D19" i="6"/>
  <c r="C26" i="11"/>
  <c r="C23" i="11"/>
  <c r="C22" i="11"/>
  <c r="D50" i="6"/>
  <c r="D47" i="6"/>
  <c r="C27" i="11"/>
  <c r="C10" i="11"/>
  <c r="C2" i="11" s="1"/>
  <c r="C54" i="5"/>
  <c r="C55" i="5" s="1"/>
  <c r="C19" i="11" l="1"/>
  <c r="D28" i="6"/>
  <c r="D44" i="6" s="1"/>
  <c r="D53" i="6" s="1"/>
  <c r="D18" i="6"/>
  <c r="D17" i="6"/>
  <c r="D16" i="6"/>
  <c r="D15" i="6" s="1"/>
  <c r="C14" i="11"/>
  <c r="C36" i="11"/>
  <c r="C35" i="11"/>
  <c r="C31" i="11"/>
  <c r="D33" i="6"/>
  <c r="D34" i="6" s="1"/>
  <c r="D52" i="6" s="1"/>
  <c r="C19" i="7"/>
  <c r="C44" i="11" s="1"/>
  <c r="C41" i="11" s="1"/>
  <c r="D48" i="6"/>
  <c r="C38" i="11" l="1"/>
  <c r="C13" i="11"/>
  <c r="C15" i="11" s="1"/>
  <c r="C16" i="11" s="1"/>
  <c r="C37" i="11" s="1"/>
  <c r="C34" i="11" s="1"/>
  <c r="C45" i="11"/>
  <c r="C18" i="11"/>
  <c r="D35" i="6"/>
  <c r="D54" i="6"/>
  <c r="C33" i="11" l="1"/>
  <c r="C39" i="11" s="1"/>
  <c r="E39" i="11" s="1"/>
  <c r="F14" i="2"/>
  <c r="E8" i="2"/>
  <c r="E9" i="2" s="1"/>
  <c r="D96" i="2"/>
  <c r="F24" i="2"/>
  <c r="E28" i="2"/>
  <c r="E29" i="2"/>
  <c r="E30" i="2"/>
  <c r="E27" i="2"/>
  <c r="G33" i="2"/>
  <c r="F28" i="2"/>
  <c r="F29" i="2"/>
  <c r="F30" i="2"/>
  <c r="F27" i="2"/>
  <c r="E7" i="2"/>
  <c r="E5" i="2"/>
  <c r="E6" i="2" s="1"/>
  <c r="C47" i="11" l="1"/>
  <c r="C48" i="11" s="1"/>
  <c r="C46" i="11"/>
  <c r="D96" i="1"/>
  <c r="D95" i="2"/>
  <c r="D94" i="2"/>
  <c r="D93" i="2"/>
  <c r="D92" i="2"/>
  <c r="B91" i="2"/>
  <c r="D90" i="2"/>
  <c r="D89" i="2"/>
  <c r="D88" i="2"/>
  <c r="D87" i="2"/>
  <c r="D86" i="2"/>
  <c r="D85" i="2"/>
  <c r="D84" i="2"/>
  <c r="D83" i="2"/>
  <c r="D82" i="2"/>
  <c r="D81" i="2"/>
  <c r="B80" i="2"/>
  <c r="D78" i="2"/>
  <c r="D77" i="2"/>
  <c r="B75" i="2"/>
  <c r="D74" i="2"/>
  <c r="D73" i="2"/>
  <c r="D72" i="2"/>
  <c r="D71" i="2"/>
  <c r="D70" i="2"/>
  <c r="D69" i="2"/>
  <c r="D68" i="2"/>
  <c r="D67" i="2"/>
  <c r="D66" i="2"/>
  <c r="D65" i="2"/>
  <c r="D64" i="2"/>
  <c r="B63" i="2"/>
  <c r="D62" i="2"/>
  <c r="D61" i="2"/>
  <c r="D60" i="2"/>
  <c r="D59" i="2"/>
  <c r="D58" i="2"/>
  <c r="D57" i="2"/>
  <c r="D56" i="2"/>
  <c r="D55" i="2"/>
  <c r="D54" i="2"/>
  <c r="D53" i="2"/>
  <c r="D52" i="2"/>
  <c r="D51" i="2"/>
  <c r="B50" i="2"/>
  <c r="D49" i="2"/>
  <c r="D48" i="2"/>
  <c r="D47" i="2"/>
  <c r="D46" i="2"/>
  <c r="B45" i="2"/>
  <c r="D44" i="2"/>
  <c r="D43" i="2"/>
  <c r="D42" i="2"/>
  <c r="D41" i="2"/>
  <c r="D39" i="2"/>
  <c r="B38" i="2"/>
  <c r="D36" i="2"/>
  <c r="C36" i="2"/>
  <c r="D35" i="2"/>
  <c r="D34" i="2"/>
  <c r="D33" i="2"/>
  <c r="C30" i="2"/>
  <c r="D29" i="2"/>
  <c r="D28" i="2"/>
  <c r="C16" i="2"/>
  <c r="C8" i="2"/>
  <c r="D29" i="1"/>
  <c r="D28" i="1"/>
  <c r="D39" i="1"/>
  <c r="D40" i="1"/>
  <c r="D41" i="1"/>
  <c r="D42" i="1"/>
  <c r="D43" i="1"/>
  <c r="D44" i="1"/>
  <c r="D46" i="1"/>
  <c r="D47" i="1"/>
  <c r="D48" i="1"/>
  <c r="D49" i="1"/>
  <c r="D51" i="1"/>
  <c r="D52" i="1"/>
  <c r="D53" i="1"/>
  <c r="D54" i="1"/>
  <c r="D55" i="1"/>
  <c r="D56" i="1"/>
  <c r="D57" i="1"/>
  <c r="D58" i="1"/>
  <c r="D59" i="1"/>
  <c r="D60" i="1"/>
  <c r="D61" i="1"/>
  <c r="D62" i="1"/>
  <c r="D64" i="1"/>
  <c r="D65" i="1"/>
  <c r="D66" i="1"/>
  <c r="D67" i="1"/>
  <c r="D68" i="1"/>
  <c r="D69" i="1"/>
  <c r="D70" i="1"/>
  <c r="D71" i="1"/>
  <c r="D72" i="1"/>
  <c r="D73" i="1"/>
  <c r="D74" i="1"/>
  <c r="D76" i="1"/>
  <c r="D77" i="1"/>
  <c r="D78" i="1"/>
  <c r="D79" i="1"/>
  <c r="D81" i="1"/>
  <c r="D82" i="1"/>
  <c r="D83" i="1"/>
  <c r="D84" i="1"/>
  <c r="D85" i="1"/>
  <c r="D86" i="1"/>
  <c r="D87" i="1"/>
  <c r="D88" i="1"/>
  <c r="D89" i="1"/>
  <c r="D90" i="1"/>
  <c r="D92" i="1"/>
  <c r="D93" i="1"/>
  <c r="D94" i="1"/>
  <c r="D95" i="1"/>
  <c r="D34" i="1"/>
  <c r="D35" i="1"/>
  <c r="D36" i="1"/>
  <c r="D33" i="1"/>
  <c r="B91" i="1"/>
  <c r="B80" i="1"/>
  <c r="B75" i="1"/>
  <c r="B63" i="1"/>
  <c r="B50" i="1"/>
  <c r="B45" i="1"/>
  <c r="B38" i="1"/>
  <c r="B96" i="1" s="1"/>
  <c r="C36" i="1"/>
  <c r="C8" i="1"/>
  <c r="C16" i="1"/>
  <c r="C30" i="1"/>
  <c r="B9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18" authorId="0" shapeId="0" xr:uid="{19F0B33A-DEB3-4373-A9D6-14F9AF3E70A1}">
      <text>
        <r>
          <rPr>
            <sz val="10"/>
            <color rgb="FF000000"/>
            <rFont val="Arial"/>
          </rPr>
          <t>Black box based on Da Silva</t>
        </r>
      </text>
    </comment>
    <comment ref="F30" authorId="0" shapeId="0" xr:uid="{9697FCEC-9FB3-4FA9-AA69-D710E610076B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Master thesis (Appendix)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tc={8C6F7B01-78F0-48BC-A269-AF1FB0D41BA3}</author>
    <author>tc={C4092635-55DF-4D1F-9667-4A217430A30D}</author>
    <author>tc={35B6213D-F268-4EA2-8F96-AF2EEA39FC2E}</author>
    <author>Author</author>
    <author>tc={BC476B68-A5DE-4D02-89A4-995A648C427D}</author>
    <author>tc={CD63E09C-B766-4843-AA92-B32C933D9D0E}</author>
  </authors>
  <commentList>
    <comment ref="B16" authorId="0" shapeId="0" xr:uid="{8C6F7B01-78F0-48BC-A269-AF1FB0D41BA3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Reactor </t>
      </text>
    </comment>
    <comment ref="D16" authorId="1" shapeId="0" xr:uid="{C4092635-55DF-4D1F-9667-4A217430A30D}">
      <text>
        <t>[Threaded comment]
Your version of Excel allows you to read this threaded comment; however, any edits to it will get removed if the file is opened in a newer version of Excel. Learn more: https://go.microsoft.com/fwlink/?linkid=870924
Comment:
    B11</t>
      </text>
    </comment>
    <comment ref="E16" authorId="2" shapeId="0" xr:uid="{35B6213D-F268-4EA2-8F96-AF2EEA39FC2E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B5
</t>
      </text>
    </comment>
    <comment ref="R16" authorId="3" shapeId="0" xr:uid="{EF3D442A-F6C7-4587-B426-4E506A40544F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B17" authorId="4" shapeId="0" xr:uid="{BC476B68-A5DE-4D02-89A4-995A648C427D}">
      <text>
        <t>[Threaded comment]
Your version of Excel allows you to read this threaded comment; however, any edits to it will get removed if the file is opened in a newer version of Excel. Learn more: https://go.microsoft.com/fwlink/?linkid=870924
Comment:
    B41</t>
      </text>
    </comment>
    <comment ref="D17" authorId="5" shapeId="0" xr:uid="{CD63E09C-B766-4843-AA92-B32C933D9D0E}">
      <text>
        <t>[Threaded comment]
Your version of Excel allows you to read this threaded comment; however, any edits to it will get removed if the file is opened in a newer version of Excel. Learn more: https://go.microsoft.com/fwlink/?linkid=870924
Comment:
    B13</t>
      </text>
    </comment>
    <comment ref="K20" authorId="3" shapeId="0" xr:uid="{DF01031D-BE89-415F-9A4D-EB49AAD8E52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R25" authorId="3" shapeId="0" xr:uid="{A92841BE-D63C-470B-BC47-4ECE3C967285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  <comment ref="K29" authorId="3" shapeId="0" xr:uid="{C7C8BE04-EAE9-4423-A4E4-A19DE47E9828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27" authorId="0" shapeId="0" xr:uid="{5BECE989-ED55-4818-9583-0EEEA360CCB8}">
      <text>
        <r>
          <rPr>
            <sz val="10"/>
            <color rgb="FF000000"/>
            <rFont val="Arial"/>
          </rPr>
          <t>wet biomass</t>
        </r>
      </text>
    </comment>
    <comment ref="A28" authorId="0" shapeId="0" xr:uid="{F69B7534-3377-4A67-A39C-2832C55BAD55}">
      <text>
        <r>
          <rPr>
            <sz val="10"/>
            <color rgb="FF000000"/>
            <rFont val="Arial"/>
          </rPr>
          <t>wet biomass + water</t>
        </r>
      </text>
    </comment>
    <comment ref="A29" authorId="0" shapeId="0" xr:uid="{A2EAE5A8-0647-4BFB-9A44-FFEE9DF1525B}">
      <text>
        <r>
          <rPr>
            <sz val="10"/>
            <color rgb="FF000000"/>
            <rFont val="Arial"/>
          </rPr>
          <t>reactor output</t>
        </r>
      </text>
    </comment>
    <comment ref="A30" authorId="0" shapeId="0" xr:uid="{15CFD8A1-98CC-4DAB-99AB-AAE6F4C6E272}">
      <text>
        <r>
          <rPr>
            <sz val="10"/>
            <color rgb="FF000000"/>
            <rFont val="Arial"/>
          </rPr>
          <t>4 days of storage</t>
        </r>
      </text>
    </comment>
    <comment ref="C30" authorId="0" shapeId="0" xr:uid="{C2E56255-FE1F-4597-9BB4-4797E9EAA178}">
      <text>
        <r>
          <rPr>
            <sz val="10"/>
            <color rgb="FF000000"/>
            <rFont val="Arial"/>
          </rPr>
          <t xml:space="preserve">24 hours * 4 days * kg/l * 1000 (liters in cu. meter) 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tc={4BFD658F-4805-473C-A9B0-47CB96A62277}</author>
    <author>tc={7009D8D2-8612-4F0D-BA66-58A3DC00344F}</author>
    <author>tc={5E24E9B8-CAE6-4257-97FE-FB4BB1A7D0C4}</author>
    <author>tc={79928907-7BE5-4DF7-81CB-F4CAE400AFC2}</author>
    <author>tc={9A48CB9F-C22C-4563-84F7-B84E2A53D303}</author>
    <author>tc={5317B851-7B33-481A-B95E-23E0E15BB540}</author>
    <author>Author</author>
    <author>tc={16FB14C0-C652-4E7E-9636-A3B96EF9D0E9}</author>
    <author>tc={0C46915C-6A5D-4CC0-8348-4896FC394BFF}</author>
    <author>tc={9A357B59-A479-4B48-A7E1-0BAF1C4DFA23}</author>
    <author>tc={231B9F9F-8213-4953-BF47-6330FDB6ED05}</author>
    <author>tc={5228FE27-FFFB-47E3-B803-B1C8D5256025}</author>
    <author>tc={EB816AF8-E652-4248-84B4-E85A62EE3F2F}</author>
    <author>tc={1AB09503-D991-4774-98FB-C42D735F0FB3}</author>
    <author>tc={E8664C86-9E71-4843-9AE3-B869A74880B7}</author>
    <author>tc={99A6EDCC-A217-4B7A-A0F3-73A09812B2A0}</author>
    <author>tc={97296284-DF8A-4CED-B801-A0B72CAB91A3}</author>
    <author>tc={25C4EC4A-89D9-4556-88B2-DA99EADA4A33}</author>
    <author>tc={9CD93776-355F-4094-8F41-711D6B6152DE}</author>
    <author>tc={7F12C1F1-8DDE-4E0F-9A9B-3F54173C5B7C}</author>
    <author>tc={96C68217-485F-4755-ABF1-7AA035D71453}</author>
  </authors>
  <commentList>
    <comment ref="C3" authorId="0" shapeId="0" xr:uid="{4BFD658F-4805-473C-A9B0-47CB96A62277}">
      <text>
        <t>[Threaded comment]
Your version of Excel allows you to read this threaded comment; however, any edits to it will get removed if the file is opened in a newer version of Excel. Learn more: https://go.microsoft.com/fwlink/?linkid=870924
Comment:
    Tanzer</t>
      </text>
    </comment>
    <comment ref="C9" authorId="1" shapeId="0" xr:uid="{7009D8D2-8612-4F0D-BA66-58A3DC00344F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https://www.intratec.us/products/industry-economics-worldwide/plant-location-factor/colombia-plant-location-factor</t>
      </text>
    </comment>
    <comment ref="C22" authorId="2" shapeId="0" xr:uid="{5E24E9B8-CAE6-4257-97FE-FB4BB1A7D0C4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https://www.ceicdata.com/en/indicator/colombia/long-term-interest-rate#:~:text=Colombia%20Long%20Term%20Interest%20Rate%3A%20Month%20End%3A%20Colombia%3A%20Treasury,Jan%202003%20to%20Sep%202024.</t>
      </text>
    </comment>
    <comment ref="C23" authorId="3" shapeId="0" xr:uid="{79928907-7BE5-4DF7-81CB-F4CAE400AFC2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https://www.macrotrends.net/global-metrics/countries/COL/colombia/inflation-rate-cpi#:~:text=Colombia%20inflation%20rate%20for%202022,a%201%25%20decline%20from%202019.</t>
      </text>
    </comment>
    <comment ref="C24" authorId="4" shapeId="0" xr:uid="{9A48CB9F-C22C-4563-84F7-B84E2A53D303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https://pages.stern.nyu.edu/~adamodar/New_Home_Page/datafile/ctryprem.html</t>
      </text>
    </comment>
    <comment ref="A26" authorId="5" shapeId="0" xr:uid="{5317B851-7B33-481A-B95E-23E0E15BB540}">
      <text>
        <t>[Threaded comment]
Your version of Excel allows you to read this threaded comment; however, any edits to it will get removed if the file is opened in a newer version of Excel. Learn more: https://go.microsoft.com/fwlink/?linkid=870924
Comment:
    Same as Tanzer</t>
      </text>
    </comment>
    <comment ref="A27" authorId="6" shapeId="0" xr:uid="{A532438E-274F-4885-9952-947CF7C1B3F2}">
      <text>
        <r>
          <rPr>
            <sz val="10"/>
            <color rgb="FF000000"/>
            <rFont val="Arial"/>
          </rPr>
          <t>Feedstock preparation: 1
Reactors: 1
Product Preparation: 1
Cogen: 2
+1
Based off of recommendations in W. D. Seider, J. D. Seader, D. R. Lewin, and S. Widagdo, Product and process design principles: synthesis, analysis, and evaluation. 2010.</t>
        </r>
      </text>
    </comment>
    <comment ref="A28" authorId="6" shapeId="0" xr:uid="{7AAC64C7-1ECA-4F22-B619-3AB4469A2351}">
      <text>
        <r>
          <rPr>
            <sz val="10"/>
            <color rgb="FF000000"/>
            <rFont val="Arial"/>
          </rPr>
          <t>W. D. Seider, J. D. Seader, D. R. Lewin, and S. Widagdo, Product and process design principles: synthesis, analysis, and evaluation. 2010.</t>
        </r>
      </text>
    </comment>
    <comment ref="A32" authorId="6" shapeId="0" xr:uid="{CB626E82-2CA2-437D-B093-9528EDC0A769}">
      <text>
        <r>
          <rPr>
            <sz val="10"/>
            <color rgb="FF000000"/>
            <rFont val="Arial"/>
          </rPr>
          <t>W. D. Seider, J. D. Seader, D. R. Lewin, and S. Widagdo, Product and process design principles: synthesis, analysis, and evaluation. 2010.</t>
        </r>
      </text>
    </comment>
    <comment ref="A38" authorId="6" shapeId="0" xr:uid="{B58E903A-0AA6-4E37-9AB7-D23A228329BE}">
      <text>
        <r>
          <rPr>
            <sz val="10"/>
            <color rgb="FF000000"/>
            <rFont val="Arial"/>
          </rPr>
          <t>W. D. Seider, J. D. Seader, D. R. Lewin, and S. Widagdo, Product and process design principles: synthesis, analysis, and evaluation. 2010.</t>
        </r>
      </text>
    </comment>
    <comment ref="A44" authorId="7" shapeId="0" xr:uid="{16FB14C0-C652-4E7E-9636-A3B96EF9D0E9}">
      <text>
        <t>[Threaded comment]
Your version of Excel allows you to read this threaded comment; however, any edits to it will get removed if the file is opened in a newer version of Excel. Learn more: https://go.microsoft.com/fwlink/?linkid=870924
Comment:
    Prices 2023</t>
      </text>
    </comment>
    <comment ref="A47" authorId="8" shapeId="0" xr:uid="{0C46915C-6A5D-4CC0-8348-4896FC394BFF}">
      <text>
        <t>[Threaded comment]
Your version of Excel allows you to read this threaded comment; however, any edits to it will get removed if the file is opened in a newer version of Excel. Learn more: https://go.microsoft.com/fwlink/?linkid=870924
Comment:
    Prices 2023</t>
      </text>
    </comment>
    <comment ref="A50" authorId="9" shapeId="0" xr:uid="{9A357B59-A479-4B48-A7E1-0BAF1C4DFA23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https://shipandbunker.com/prices/emea</t>
      </text>
    </comment>
    <comment ref="C50" authorId="10" shapeId="0" xr:uid="{231B9F9F-8213-4953-BF47-6330FDB6ED05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https://www.oilmonster.com/bunker-fuel-prices/south-america/buenaventura/433</t>
      </text>
    </comment>
    <comment ref="A51" authorId="6" shapeId="0" xr:uid="{8396A789-1FA1-4B8C-AD78-83BFFC5955F7}">
      <text>
        <r>
          <rPr>
            <sz val="10"/>
            <color rgb="FF000000"/>
            <rFont val="Arial"/>
          </rPr>
          <t>for use in LCA economic allocation</t>
        </r>
      </text>
    </comment>
    <comment ref="C52" authorId="11" shapeId="0" xr:uid="{5228FE27-FFFB-47E3-B803-B1C8D5256025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https://www.bnamericas.com/en/news/colombian-energy-prices-jump-as-el-nino-bites</t>
      </text>
    </comment>
    <comment ref="G52" authorId="12" shapeId="0" xr:uid="{EB816AF8-E652-4248-84B4-E85A62EE3F2F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https://shipandbunker.com/news/world/662089-integr8-vlsfo-calorific-value-pour-point-and-competitiveness-with-lsmgo</t>
      </text>
    </comment>
    <comment ref="A53" authorId="6" shapeId="0" xr:uid="{D460839B-09CD-4B31-9757-64FFFA202B7A}">
      <text>
        <r>
          <rPr>
            <sz val="10"/>
            <color rgb="FF000000"/>
            <rFont val="Arial"/>
          </rPr>
          <t>for use in LCA economic allocation</t>
        </r>
      </text>
    </comment>
    <comment ref="A56" authorId="6" shapeId="0" xr:uid="{CD4A07E8-72AF-4402-AC16-AF475BC2AF89}">
      <text>
        <r>
          <rPr>
            <sz val="10"/>
            <color rgb="FF000000"/>
            <rFont val="Arial"/>
          </rPr>
          <t>changing this changes the rest of oil based prices, including transport, which are assumed to be linearly linked to the crude oil price</t>
        </r>
      </text>
    </comment>
    <comment ref="C56" authorId="13" shapeId="0" xr:uid="{1AB09503-D991-4774-98FB-C42D735F0FB3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https://www.statista.com/statistics/1173571/ecopetrol-crude-oil-prices-colombia/</t>
      </text>
    </comment>
    <comment ref="H56" authorId="14" shapeId="0" xr:uid="{E8664C86-9E71-4843-9AE3-B869A74880B7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https://www.xe.com/currencycharts/?from=EUR&amp;to=USD</t>
      </text>
    </comment>
    <comment ref="H57" authorId="15" shapeId="0" xr:uid="{99A6EDCC-A217-4B7A-A0F3-73A09812B2A0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https://www.xe.com/currencycharts/?from=EUR&amp;to=COP&amp;view=5Y</t>
      </text>
    </comment>
    <comment ref="A59" authorId="6" shapeId="0" xr:uid="{54127FD8-3D42-4EA6-99F6-04AB5CEE387A}">
      <text>
        <r>
          <rPr>
            <sz val="10"/>
            <color rgb="FF000000"/>
            <rFont val="Arial"/>
          </rPr>
          <t>insurance, loading, unloading, &amp;c</t>
        </r>
      </text>
    </comment>
    <comment ref="C59" authorId="16" shapeId="0" xr:uid="{97296284-DF8A-4CED-B801-A0B72CAB91A3}">
      <text>
        <t>[Threaded comment]
Your version of Excel allows you to read this threaded comment; however, any edits to it will get removed if the file is opened in a newer version of Excel. Learn more: https://go.microsoft.com/fwlink/?linkid=870924
Comment:
    Assumed</t>
      </text>
    </comment>
    <comment ref="C60" authorId="6" shapeId="0" xr:uid="{5EF7676C-E080-40D5-B2A9-C9736E49801C}">
      <text>
        <r>
          <rPr>
            <sz val="10"/>
            <color rgb="FF000000"/>
            <rFont val="Arial"/>
          </rPr>
          <t>Alves</t>
        </r>
      </text>
    </comment>
    <comment ref="A64" authorId="6" shapeId="0" xr:uid="{884ECDB3-4F60-4C71-AC67-6F8EF74F5E6A}">
      <text>
        <r>
          <rPr>
            <sz val="10"/>
            <color rgb="FF000000"/>
            <rFont val="Arial"/>
          </rPr>
          <t>https://terpconnect.umd.edu/~nsw/chbe446/HowToEstimateUtilityCosts-UlrichVasudevan2006.pdf
Using natural gas as fuel source</t>
        </r>
      </text>
    </comment>
    <comment ref="A65" authorId="6" shapeId="0" xr:uid="{01DA20AE-F973-4318-B7D0-848EAC067FA3}">
      <text>
        <r>
          <rPr>
            <sz val="10"/>
            <color rgb="FF000000"/>
            <rFont val="Arial"/>
          </rPr>
          <t>https://terpconnect.umd.edu/~nsw/chbe446/HowToEstimateUtilityCosts-UlrichVasudevan2006.pdf
Using natural gas as fuel source</t>
        </r>
      </text>
    </comment>
    <comment ref="C67" authorId="6" shapeId="0" xr:uid="{06FB1D77-1BB1-4854-8B5D-937739FBA056}">
      <text>
        <r>
          <rPr>
            <sz val="10"/>
            <color rgb="FF000000"/>
            <rFont val="Arial"/>
          </rPr>
          <t>https://doi.org/10.3390/w11091854</t>
        </r>
      </text>
    </comment>
    <comment ref="C68" authorId="17" shapeId="0" xr:uid="{25C4EC4A-89D9-4556-88B2-DA99EADA4A33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https://www.globalpetrolprices.com/Colombia/natural_gas_prices/</t>
      </text>
    </comment>
    <comment ref="F68" authorId="18" shapeId="0" xr:uid="{9CD93776-355F-4094-8F41-711D6B6152DE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https://ec.europa.eu/eurostat/statistics-explained/index.php?title=Natural_gas_price_statistics#Natural_gas_prices_for_non-household_consumers</t>
      </text>
    </comment>
    <comment ref="C70" authorId="19" shapeId="0" xr:uid="{7F12C1F1-8DDE-4E0F-9A9B-3F54173C5B7C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https://www.salaryexpert.com/salary/job/chemical-plant-operator/colombia</t>
      </text>
    </comment>
    <comment ref="A75" authorId="6" shapeId="0" xr:uid="{0F7A80C6-D8BA-4EBF-9BD1-68CC91336215}">
      <text>
        <r>
          <rPr>
            <sz val="10"/>
            <color rgb="FF000000"/>
            <rFont val="Arial"/>
          </rPr>
          <t>Tews et al 2014
Previously based on Da Silva 9.6M$ for 2000 dry tons</t>
        </r>
      </text>
    </comment>
    <comment ref="A76" authorId="6" shapeId="0" xr:uid="{9D6D2596-377C-4011-ABB7-E9AC71569CE8}">
      <text>
        <r>
          <rPr>
            <sz val="10"/>
            <color rgb="FF000000"/>
            <rFont val="Arial"/>
          </rPr>
          <t>Tews et al 2014
Previously based on Da Silva: 18.45M$ for 500 dry tons</t>
        </r>
      </text>
    </comment>
    <comment ref="B82" authorId="20" shapeId="0" xr:uid="{96C68217-485F-4755-ABF1-7AA035D71453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https://www.iea.org/data-and-statistics/data-tools/levelised-cost-of-electricity-calculator
And extrapolated with power rule in Denmark in excel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  <author>tc={6E04C1A7-A4AB-478E-9BB1-0CB854CFDA16}</author>
    <author>tc={C52B62BD-9BCA-49B8-98DB-D09ADE2A9617}</author>
    <author>tc={05C0A4FD-23CF-40B7-B9C9-51FCAF4409D4}</author>
  </authors>
  <commentList>
    <comment ref="I3" authorId="0" shapeId="0" xr:uid="{D6A67424-E480-457F-8D62-54E3348F3C4E}">
      <text>
        <r>
          <rPr>
            <sz val="10"/>
            <color rgb="FF000000"/>
            <rFont val="Arial"/>
          </rPr>
          <t>https://people.hofstra.edu/geotrans/eng/ch8en/conc8en/energycontent.html</t>
        </r>
      </text>
    </comment>
    <comment ref="Q3" authorId="0" shapeId="0" xr:uid="{9B25474B-8A1F-4B8A-9052-04DBF00DDE08}">
      <text>
        <r>
          <rPr>
            <sz val="10"/>
            <color rgb="FF000000"/>
            <rFont val="Arial"/>
          </rPr>
          <t>Engineering toolbox</t>
        </r>
      </text>
    </comment>
    <comment ref="U3" authorId="0" shapeId="0" xr:uid="{814957F5-6876-4626-B900-AA39C537BA5C}">
      <text>
        <r>
          <rPr>
            <sz val="10"/>
            <color rgb="FF000000"/>
            <rFont val="Arial"/>
          </rPr>
          <t>Engineering toolbox</t>
        </r>
      </text>
    </comment>
    <comment ref="U6" authorId="0" shapeId="0" xr:uid="{9C22A828-352A-4776-A13B-274A230D0323}">
      <text>
        <r>
          <rPr>
            <sz val="10"/>
            <color rgb="FF000000"/>
            <rFont val="Arial"/>
          </rPr>
          <t>used in base model</t>
        </r>
      </text>
    </comment>
    <comment ref="A8" authorId="0" shapeId="0" xr:uid="{FFF0645F-4226-4E39-97CF-CA1ECBB1E0D7}">
      <text>
        <r>
          <rPr>
            <sz val="10"/>
            <color rgb="FF000000"/>
            <rFont val="Arial"/>
          </rPr>
          <t>http://www.eea.europa.eu/publications/ENVISSUENo12/page027.html</t>
        </r>
      </text>
    </comment>
    <comment ref="U8" authorId="0" shapeId="0" xr:uid="{BE912A4D-60C4-4C07-A468-3AA7D0EC2529}">
      <text>
        <r>
          <rPr>
            <sz val="10"/>
            <color rgb="FF000000"/>
            <rFont val="Arial"/>
          </rPr>
          <t>Following cherbubini et al 10.1111/j.1757-1707.2011.01102.x</t>
        </r>
      </text>
    </comment>
    <comment ref="J9" authorId="0" shapeId="0" xr:uid="{198A61E1-2D90-490F-A8E9-4D2A0AB564B5}">
      <text>
        <r>
          <rPr>
            <sz val="10"/>
            <color rgb="FF000000"/>
            <rFont val="Arial"/>
          </rPr>
          <t>Licella</t>
        </r>
      </text>
    </comment>
    <comment ref="F10" authorId="0" shapeId="0" xr:uid="{2E301FE3-4FFF-4BE8-9872-B694F5822CD8}">
      <text>
        <r>
          <rPr>
            <sz val="10"/>
            <color rgb="FF000000"/>
            <rFont val="Arial"/>
          </rPr>
          <t>xe.com</t>
        </r>
      </text>
    </comment>
    <comment ref="J10" authorId="0" shapeId="0" xr:uid="{C7EA905A-146C-4180-93EA-7E41161FBD05}">
      <text>
        <r>
          <rPr>
            <sz val="10"/>
            <color rgb="FF000000"/>
            <rFont val="Arial"/>
          </rPr>
          <t>Wildschut</t>
        </r>
      </text>
    </comment>
    <comment ref="A11" authorId="1" shapeId="0" xr:uid="{6E04C1A7-A4AB-478E-9BB1-0CB854CFDA16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https://personalpages.manchester.ac.uk/staff/tom.rodgers/Interactive_graphs/CEPCI.html?reactors/CEPCI/index.html</t>
      </text>
    </comment>
    <comment ref="J11" authorId="0" shapeId="0" xr:uid="{F44B5667-D79F-40CA-8325-C7CBBD617C4B}">
      <text>
        <r>
          <rPr>
            <sz val="10"/>
            <color rgb="FF000000"/>
            <rFont val="Arial"/>
          </rPr>
          <t>Nabi</t>
        </r>
      </text>
    </comment>
    <comment ref="J14" authorId="0" shapeId="0" xr:uid="{FE6CADA4-CD99-45ED-98C5-2F106910B66C}">
      <text>
        <r>
          <rPr>
            <sz val="10"/>
            <color rgb="FF000000"/>
            <rFont val="Arial"/>
          </rPr>
          <t>DOI: 10.1177/1475090211402136</t>
        </r>
      </text>
    </comment>
    <comment ref="F17" authorId="0" shapeId="0" xr:uid="{0DB45120-17B3-420D-9017-A13222285811}">
      <text>
        <r>
          <rPr>
            <sz val="10"/>
            <color rgb="FF000000"/>
            <rFont val="Arial"/>
          </rPr>
          <t>XE.com</t>
        </r>
      </text>
    </comment>
    <comment ref="J17" authorId="0" shapeId="0" xr:uid="{17AB3E0B-F157-4231-9271-913DCA7EE124}">
      <text>
        <r>
          <rPr>
            <sz val="10"/>
            <color rgb="FF000000"/>
            <rFont val="Arial"/>
          </rPr>
          <t xml:space="preserve">Petzold, 2011
</t>
        </r>
      </text>
    </comment>
    <comment ref="J20" authorId="0" shapeId="0" xr:uid="{F065A25B-3756-463D-B93D-69AB3653F287}">
      <text>
        <r>
          <rPr>
            <sz val="10"/>
            <color rgb="FF000000"/>
            <rFont val="Arial"/>
          </rPr>
          <t>https://inside.mines.edu/~jjechura/Refining/02_Feedstocks_&amp;_Products.pdf (light naptha)</t>
        </r>
      </text>
    </comment>
    <comment ref="J21" authorId="0" shapeId="0" xr:uid="{B68D6925-69D2-4549-8778-AA2956234A6D}">
      <text>
        <r>
          <rPr>
            <sz val="10"/>
            <color rgb="FF000000"/>
            <rFont val="Arial"/>
          </rPr>
          <t>https://inside.mines.edu/~jjechura/Refining/02_Feedstocks_&amp;_Products.pdf kerosene</t>
        </r>
      </text>
    </comment>
    <comment ref="J22" authorId="0" shapeId="0" xr:uid="{A46538BA-C2A7-4B2D-8A7E-480A692361A1}">
      <text>
        <r>
          <rPr>
            <sz val="10"/>
            <color rgb="FF000000"/>
            <rFont val="Arial"/>
          </rPr>
          <t>Diesel https://inside.mines.edu/~jjechura/Refining/02_Feedstocks_&amp;_Products.pdf</t>
        </r>
      </text>
    </comment>
    <comment ref="J23" authorId="0" shapeId="0" xr:uid="{0926B67E-F898-4EC8-8411-03C453C4FEFB}">
      <text>
        <r>
          <rPr>
            <sz val="10"/>
            <color rgb="FF000000"/>
            <rFont val="Arial"/>
          </rPr>
          <t>Assumed the same as Fuel Oil #6</t>
        </r>
      </text>
    </comment>
    <comment ref="I26" authorId="0" shapeId="0" xr:uid="{3785FFB8-DC1B-4ADD-9D82-E800259B7E50}">
      <text>
        <r>
          <rPr>
            <sz val="10"/>
            <color rgb="FF000000"/>
            <rFont val="Arial"/>
          </rPr>
          <t>VBN=14.534×ln(ln(ν​i​​+0.8))+10.975
where vi = viscosity</t>
        </r>
      </text>
    </comment>
    <comment ref="I32" authorId="0" shapeId="0" xr:uid="{36618FDA-FD16-413E-B007-6CCD1A04AC17}">
      <text>
        <r>
          <rPr>
            <sz val="10"/>
            <color rgb="FF000000"/>
            <rFont val="Arial"/>
          </rPr>
          <t>Average of vacuum gas oil and vacuum residue in the proportion generated from https://inside.mines.edu/~jjechura/Refining/02_Feedstocks_&amp;_Products.pdf</t>
        </r>
      </text>
    </comment>
    <comment ref="I34" authorId="0" shapeId="0" xr:uid="{BB8D072C-7F21-4E9F-A044-E8AB80609CC4}">
      <text>
        <r>
          <rPr>
            <sz val="10"/>
            <color rgb="FF000000"/>
            <rFont val="Arial"/>
          </rPr>
          <t>VBN=14.534×ln(ln(ν​i​​+0.8))+10.975
where vi = viscosity</t>
        </r>
      </text>
    </comment>
    <comment ref="B42" authorId="2" shapeId="0" xr:uid="{C52B62BD-9BCA-49B8-98DB-D09ADE2A9617}">
      <text>
        <t>[Threaded comment]
Your version of Excel allows you to read this threaded comment; however, any edits to it will get removed if the file is opened in a newer version of Excel. Learn more: https://go.microsoft.com/fwlink/?linkid=870924
Comment:
    Price from PNNL Tews in 2023</t>
      </text>
    </comment>
    <comment ref="K42" authorId="0" shapeId="0" xr:uid="{78A06528-D4F8-4FA8-8126-F495ADBC57AC}">
      <text>
        <r>
          <rPr>
            <sz val="10"/>
            <color rgb="FF000000"/>
            <rFont val="Arial"/>
          </rPr>
          <t>http://www.aqua-calc.com/calculate/volume-to-weight</t>
        </r>
      </text>
    </comment>
    <comment ref="I48" authorId="0" shapeId="0" xr:uid="{94FF6C2D-84B6-4114-AC2D-A338A3731487}">
      <text>
        <r>
          <rPr>
            <sz val="10"/>
            <color rgb="FF000000"/>
            <rFont val="Arial"/>
          </rPr>
          <t>VBN=14.534×ln(ln(ν​i​​+0.8))+10.975
where vi = viscosity</t>
        </r>
      </text>
    </comment>
    <comment ref="J60" authorId="0" shapeId="0" xr:uid="{47A09452-3CDE-4701-AC52-BD2F3CB7A854}">
      <text>
        <r>
          <rPr>
            <b/>
            <sz val="9"/>
            <color indexed="81"/>
            <rFont val="Tahoma"/>
            <family val="2"/>
          </rPr>
          <t xml:space="preserve">https://www.chemanalyst.com/Pricing-data/naphtha-43
</t>
        </r>
      </text>
    </comment>
    <comment ref="J61" authorId="3" shapeId="0" xr:uid="{05C0A4FD-23CF-40B7-B9C9-51FCAF4409D4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https://jet-a1-fuel.com/price/colombia</t>
      </text>
    </comment>
  </commentList>
</comments>
</file>

<file path=xl/sharedStrings.xml><?xml version="1.0" encoding="utf-8"?>
<sst xmlns="http://schemas.openxmlformats.org/spreadsheetml/2006/main" count="2686" uniqueCount="1115">
  <si>
    <t xml:space="preserve">proximate analysis </t>
  </si>
  <si>
    <t>Moisture (%)</t>
  </si>
  <si>
    <t>Volatile matter (%)</t>
  </si>
  <si>
    <t>FC(%)</t>
  </si>
  <si>
    <t>Ash (%)</t>
  </si>
  <si>
    <t xml:space="preserve">Coffee pulp </t>
  </si>
  <si>
    <t xml:space="preserve">Ultimate analysis </t>
  </si>
  <si>
    <t>C</t>
  </si>
  <si>
    <t>H</t>
  </si>
  <si>
    <t>N</t>
  </si>
  <si>
    <t>S</t>
  </si>
  <si>
    <t>O</t>
  </si>
  <si>
    <t>H/C</t>
  </si>
  <si>
    <t>O/C</t>
  </si>
  <si>
    <t>HHV (Mj/kg)</t>
  </si>
  <si>
    <t xml:space="preserve">HTL </t>
  </si>
  <si>
    <t>Biomass slurry ratio</t>
  </si>
  <si>
    <t>Temperature ©</t>
  </si>
  <si>
    <t>Time (min)</t>
  </si>
  <si>
    <t xml:space="preserve">catalyst </t>
  </si>
  <si>
    <t>Product yield</t>
  </si>
  <si>
    <t>Biocrude</t>
  </si>
  <si>
    <t>biochar</t>
  </si>
  <si>
    <t xml:space="preserve">aqueous phase </t>
  </si>
  <si>
    <t xml:space="preserve">gas </t>
  </si>
  <si>
    <t xml:space="preserve">HHV </t>
  </si>
  <si>
    <t xml:space="preserve">Biogas composition </t>
  </si>
  <si>
    <t>CO2</t>
  </si>
  <si>
    <t>H2</t>
  </si>
  <si>
    <t>CH4</t>
  </si>
  <si>
    <t>CO</t>
  </si>
  <si>
    <t xml:space="preserve">Biocrude composition </t>
  </si>
  <si>
    <t>Alkanes</t>
  </si>
  <si>
    <t>Decane</t>
  </si>
  <si>
    <t>1,3-Hexadiene, 3-ethyl-2-methyl-,(Z)-</t>
  </si>
  <si>
    <t>Octadecane</t>
  </si>
  <si>
    <t>Cyclohexadecane</t>
  </si>
  <si>
    <t>5-Octadecene</t>
  </si>
  <si>
    <t>Heptadecane</t>
  </si>
  <si>
    <t>Acids</t>
  </si>
  <si>
    <t>n-Hexadecanoic acid</t>
  </si>
  <si>
    <t xml:space="preserve">Octadecanoic acid </t>
  </si>
  <si>
    <t>9,12-Octadecadienoic acid (Z,Z)-</t>
  </si>
  <si>
    <t>Oleic Acid</t>
  </si>
  <si>
    <t>Ketones</t>
  </si>
  <si>
    <t>2-Cyclopenten-1-one, 2-methyl-</t>
  </si>
  <si>
    <t>2-Cyclopenten-1-one, 3-methyl-</t>
  </si>
  <si>
    <t>2-Cyclopenten-1-one, 3,4-dimethyl-</t>
  </si>
  <si>
    <t>Cyclopent-2-ene-1-one, 2,3,4-trimethyl</t>
  </si>
  <si>
    <t>2-Cyclopenten-1-one, 2,3-dimethyl-</t>
  </si>
  <si>
    <t>2-Cyclopenten-1-one, 2,3,4-trimethyl</t>
  </si>
  <si>
    <t>2-Cyclopenten-1-one, 3-ethyl-</t>
  </si>
  <si>
    <t>Ethanone, 1-(3-hydroxyphenyl)-</t>
  </si>
  <si>
    <t>2-Cyclopenten-1-one, 2-hydroxy-3,4dimethyl</t>
  </si>
  <si>
    <t>1H-Inden-1-one, 2,3-dihydro-</t>
  </si>
  <si>
    <t>4,4-Dimethyl-2-cyclopenten-1-one</t>
  </si>
  <si>
    <t>Cyclohexanone, 2-(2-propenyl)-</t>
  </si>
  <si>
    <t>Phenols</t>
  </si>
  <si>
    <t>Phenol</t>
  </si>
  <si>
    <t>Phenol, 2-methyl-</t>
  </si>
  <si>
    <t>Phenol, 3-methyl-</t>
  </si>
  <si>
    <t>Phenol, 2,6-dimethoxy-</t>
  </si>
  <si>
    <t>Phenol, 4-ethyl-2-methoxy-</t>
  </si>
  <si>
    <t>Phenol, 3-ethyl-</t>
  </si>
  <si>
    <t>Phenol, 4-ethyl-</t>
  </si>
  <si>
    <t>Phenol, 2-methoxy-4-methyl-</t>
  </si>
  <si>
    <t>Phenol, 2-methoxy-</t>
  </si>
  <si>
    <t>Phenol, 2-methoxy-4-propyl-</t>
  </si>
  <si>
    <t>Hydroquinone</t>
  </si>
  <si>
    <t>Cyclic compounds</t>
  </si>
  <si>
    <t>3-Methylenecycloheptene</t>
  </si>
  <si>
    <t>2,5-Cyclohexadien-1-one, 3,5-dihyd</t>
  </si>
  <si>
    <t>1,2-Cyclopentanedione, 3,3,5,5-tetramethyl-</t>
  </si>
  <si>
    <t>Bicyclo[2,2,2]octane, 2-methyl-</t>
  </si>
  <si>
    <t>Nitrogen compounds</t>
  </si>
  <si>
    <t>4-Pyridinol</t>
  </si>
  <si>
    <t>3-Pyridinol</t>
  </si>
  <si>
    <t>Phenol, 4-amino-</t>
  </si>
  <si>
    <t>Pyrrolo[1,2-a]pyrazine-1,4-dione, hexahydro-3-(2-methylpropyl)-</t>
  </si>
  <si>
    <t>1H-Purine-2,6-dione, 3,7-dihydro-1,3,7-trimethyl-</t>
  </si>
  <si>
    <t>2,5-Pyrrolidinedione, 1-methyl-</t>
  </si>
  <si>
    <t>5,10-Diethoxy-2,3,7,8-tetrahydro-1</t>
  </si>
  <si>
    <t>2-Pyrrolidinone, 1-methyl-</t>
  </si>
  <si>
    <t>Indolizine</t>
  </si>
  <si>
    <t>1H-Indole, 2,3-dimethyl</t>
  </si>
  <si>
    <t>Benzenes</t>
  </si>
  <si>
    <t>1,2-Benzenediol, 3-methoxy-</t>
  </si>
  <si>
    <t>1,3-Benzenediol, 2-methyl-</t>
  </si>
  <si>
    <t>1,4-Benzenediol, 2-methyl-</t>
  </si>
  <si>
    <t>3,5-Dihydroxytoluene</t>
  </si>
  <si>
    <t>Total</t>
  </si>
  <si>
    <t>N-DEC-01</t>
  </si>
  <si>
    <t>2-ETH-01</t>
  </si>
  <si>
    <t>N-OCT-01</t>
  </si>
  <si>
    <t>CYCLO-01</t>
  </si>
  <si>
    <t>CIS-5-01</t>
  </si>
  <si>
    <t>N-HEP-01</t>
  </si>
  <si>
    <t>N-HEX-01</t>
  </si>
  <si>
    <t>STEAR-01</t>
  </si>
  <si>
    <t>LINOL-01</t>
  </si>
  <si>
    <t>OLEIC-01</t>
  </si>
  <si>
    <t>2-MET-01</t>
  </si>
  <si>
    <t>3-MET-01</t>
  </si>
  <si>
    <t>2:4-D-01</t>
  </si>
  <si>
    <t>C8H12-01</t>
  </si>
  <si>
    <t>2:4-D-02</t>
  </si>
  <si>
    <t>C8H12-02</t>
  </si>
  <si>
    <t>2-ETH-02</t>
  </si>
  <si>
    <t>2-HYD-01</t>
  </si>
  <si>
    <t>C7H10-01</t>
  </si>
  <si>
    <t>2-MET-02</t>
  </si>
  <si>
    <t>2:4-D-03</t>
  </si>
  <si>
    <t>1-CYC-01</t>
  </si>
  <si>
    <t>PHENO-01</t>
  </si>
  <si>
    <t>O-CRE-01</t>
  </si>
  <si>
    <t>M-CRE-01</t>
  </si>
  <si>
    <t>SYRIN-01</t>
  </si>
  <si>
    <t>4-ETH-01</t>
  </si>
  <si>
    <t>M-ETH-01</t>
  </si>
  <si>
    <t>P-ETH-01</t>
  </si>
  <si>
    <t>4-MET-01</t>
  </si>
  <si>
    <t>3-MET-02</t>
  </si>
  <si>
    <t>4-PRO-01</t>
  </si>
  <si>
    <t>1:2-B-01</t>
  </si>
  <si>
    <t>1-MET-01</t>
  </si>
  <si>
    <t>CYCLO-02</t>
  </si>
  <si>
    <t>1-CYC-02</t>
  </si>
  <si>
    <t>2-MET-03</t>
  </si>
  <si>
    <t>4-PYR-01</t>
  </si>
  <si>
    <t>3-HYD-01</t>
  </si>
  <si>
    <t>P-HYD-01</t>
  </si>
  <si>
    <t>N-CAP-01</t>
  </si>
  <si>
    <t>8-ETH-01</t>
  </si>
  <si>
    <t>1-MET-02</t>
  </si>
  <si>
    <t>N-CAP-02</t>
  </si>
  <si>
    <t>N-MET-01</t>
  </si>
  <si>
    <t>M-TOL-01</t>
  </si>
  <si>
    <t>INDOL-01</t>
  </si>
  <si>
    <t>3-MET-03</t>
  </si>
  <si>
    <t>HYDRO-02</t>
  </si>
  <si>
    <t>1:3-D-01</t>
  </si>
  <si>
    <t>1:3-D-02</t>
  </si>
  <si>
    <t>N-DECANE</t>
  </si>
  <si>
    <t>2-ETHYL-4-METHYL-1,3-HEXADIENE</t>
  </si>
  <si>
    <t>N-OCTADECANE</t>
  </si>
  <si>
    <t>CYCLOHEXADECANE</t>
  </si>
  <si>
    <t>CIS-5-OCTADECENE</t>
  </si>
  <si>
    <t>N-HEPTADECANE</t>
  </si>
  <si>
    <t>N-HEXADECANOIC-ACID</t>
  </si>
  <si>
    <t>STEARIC-ACID</t>
  </si>
  <si>
    <t>LINOLEIC-ACID</t>
  </si>
  <si>
    <t>OLEIC-ACID</t>
  </si>
  <si>
    <t>2-METHYL-2-CYCLOPENTEN-1-ONE</t>
  </si>
  <si>
    <t>3-METHYL-2-CYCLOPENTEN-1-ONE</t>
  </si>
  <si>
    <t>2,4-DIMETHYL-2-CYCLOPENTEN-1-ONE</t>
  </si>
  <si>
    <t>C8H12O-N9</t>
  </si>
  <si>
    <t>2-ETHYL-2-CYCLOPENTENONE</t>
  </si>
  <si>
    <t>2-HYDROXYACETOPHENONE</t>
  </si>
  <si>
    <t>C7H10O2-N11</t>
  </si>
  <si>
    <t>2-METHYLBENZOFURAN</t>
  </si>
  <si>
    <t>1-CYCLOHEXENYL-ETHYL-KETONE</t>
  </si>
  <si>
    <t>PHENOL</t>
  </si>
  <si>
    <t>O-CRESOL</t>
  </si>
  <si>
    <t>M-CRESOL</t>
  </si>
  <si>
    <t>SYRINGOL</t>
  </si>
  <si>
    <t>4-ETHYL-2-METHOXYPHENOL</t>
  </si>
  <si>
    <t>M-ETHYLPHENOL</t>
  </si>
  <si>
    <t>P-ETHYLPHENOL</t>
  </si>
  <si>
    <t>4-METHYL-2-METHOXYPHENOL</t>
  </si>
  <si>
    <t>GUAIACOL</t>
  </si>
  <si>
    <t>4-PROPYLGUAIACOL</t>
  </si>
  <si>
    <t>1,2-BENZENEDIOL</t>
  </si>
  <si>
    <t>1-METHYLCYCLOHEPTENE</t>
  </si>
  <si>
    <t>CYCLOHEXA-2,5-DIEN-1-ONE</t>
  </si>
  <si>
    <t>1-CYCLOHEXENYLMETHYL-ETHANOATE</t>
  </si>
  <si>
    <t>2-METHYLBICYCLO[2.2.2]OCTANE</t>
  </si>
  <si>
    <t>4-PYRIDINOL</t>
  </si>
  <si>
    <t>3-HYDROXYPYRIDINE</t>
  </si>
  <si>
    <t>P-HYDROXYANILINE</t>
  </si>
  <si>
    <t>N-CAPROYL-PYRAZINAMIDE</t>
  </si>
  <si>
    <t>8-ETHYLTHEOPHYLLINE</t>
  </si>
  <si>
    <t>1-METHYL-2,5-PYRROLIDINEDIONE</t>
  </si>
  <si>
    <t>N-CAPRYL-PYRAZINAMIDE</t>
  </si>
  <si>
    <t>N-METHYL-2-PYRROLIDONE</t>
  </si>
  <si>
    <t>M-TOLUONITRILE</t>
  </si>
  <si>
    <t>INDOLE,-4,7-DIMETHYL-</t>
  </si>
  <si>
    <t>3-METHOXYCATECHOL</t>
  </si>
  <si>
    <t>HYDROQUINONE,-METHYL-</t>
  </si>
  <si>
    <t>1,3-DIHYDROXY-4-METHYLBENZENE</t>
  </si>
  <si>
    <t>1,3-DIHYDROXY-2-METHYLBENZENE</t>
  </si>
  <si>
    <t>C10H22</t>
  </si>
  <si>
    <t>C9H16</t>
  </si>
  <si>
    <t>C18H38</t>
  </si>
  <si>
    <t>C16H32</t>
  </si>
  <si>
    <t>C18H36</t>
  </si>
  <si>
    <t>C17H36</t>
  </si>
  <si>
    <t>C16H32O2</t>
  </si>
  <si>
    <t>C18H36O2</t>
  </si>
  <si>
    <t>C18H32O2</t>
  </si>
  <si>
    <t> C18H34O2</t>
  </si>
  <si>
    <t>C6H8O</t>
  </si>
  <si>
    <t>C8H120</t>
  </si>
  <si>
    <t>C7H100</t>
  </si>
  <si>
    <t>C7H10O</t>
  </si>
  <si>
    <t>C8H802</t>
  </si>
  <si>
    <t>C7H1002</t>
  </si>
  <si>
    <t>C9H80</t>
  </si>
  <si>
    <t>C9H160</t>
  </si>
  <si>
    <t>C7H80</t>
  </si>
  <si>
    <t>C6H60</t>
  </si>
  <si>
    <t>C8H10O3</t>
  </si>
  <si>
    <t>C9H12O2</t>
  </si>
  <si>
    <t>C8H10O</t>
  </si>
  <si>
    <t>C8H10O2</t>
  </si>
  <si>
    <t>C7H8O2</t>
  </si>
  <si>
    <t>C10H14O2</t>
  </si>
  <si>
    <t>C6H6O2</t>
  </si>
  <si>
    <t>C8H14</t>
  </si>
  <si>
    <t>C9H1602</t>
  </si>
  <si>
    <t>C5H5NO</t>
  </si>
  <si>
    <t>C6H7NO</t>
  </si>
  <si>
    <t>C11H15N3O</t>
  </si>
  <si>
    <t>C9H12N4O2</t>
  </si>
  <si>
    <t>C5H7NO2</t>
  </si>
  <si>
    <t> C15H23N3O</t>
  </si>
  <si>
    <t>C5H9NO</t>
  </si>
  <si>
    <t>C8H7N</t>
  </si>
  <si>
    <t>C10H11N</t>
  </si>
  <si>
    <t>C7H8O3</t>
  </si>
  <si>
    <t>Product</t>
  </si>
  <si>
    <t>Hydrogen (moles)</t>
  </si>
  <si>
    <t xml:space="preserve">Formula </t>
  </si>
  <si>
    <t>C9H20</t>
  </si>
  <si>
    <t>octadecane</t>
  </si>
  <si>
    <t xml:space="preserve">Water </t>
  </si>
  <si>
    <t>C02</t>
  </si>
  <si>
    <t>C16H34</t>
  </si>
  <si>
    <t>C6H12</t>
  </si>
  <si>
    <t>C7H14</t>
  </si>
  <si>
    <t xml:space="preserve">2,3,4 - trimethyl cyclopentane </t>
  </si>
  <si>
    <t>C8H16</t>
  </si>
  <si>
    <t>2 CH3OH</t>
  </si>
  <si>
    <t>P-CRESOL</t>
  </si>
  <si>
    <t xml:space="preserve">phenol </t>
  </si>
  <si>
    <t xml:space="preserve">methanol </t>
  </si>
  <si>
    <t>methanol</t>
  </si>
  <si>
    <t>C9H18</t>
  </si>
  <si>
    <t xml:space="preserve">catechol </t>
  </si>
  <si>
    <t>methylcatechol</t>
  </si>
  <si>
    <t xml:space="preserve">methylcatechol </t>
  </si>
  <si>
    <t>NH3</t>
  </si>
  <si>
    <t>C11H15N3O2</t>
  </si>
  <si>
    <t>3NH3</t>
  </si>
  <si>
    <t>4NH3</t>
  </si>
  <si>
    <t xml:space="preserve">4 methane, 1 ethane, 1 propane </t>
  </si>
  <si>
    <t xml:space="preserve">methane, butane </t>
  </si>
  <si>
    <t> C15H23N3O2</t>
  </si>
  <si>
    <t>decane, propane, ethane</t>
  </si>
  <si>
    <t>xylene, ethane</t>
  </si>
  <si>
    <t>C5H10</t>
  </si>
  <si>
    <t>C6H14,C3H8,C2H6</t>
  </si>
  <si>
    <t>4CH4,C2H6,C3H8</t>
  </si>
  <si>
    <t>CH4,C4H10</t>
  </si>
  <si>
    <t>C10H22,C3H8,C2H6</t>
  </si>
  <si>
    <t>C8H10</t>
  </si>
  <si>
    <t>C8H10,C2H6</t>
  </si>
  <si>
    <t xml:space="preserve">Hydotratment reactions </t>
  </si>
  <si>
    <t>1-Ethyl-4-methylhexane (4-ETH-02)</t>
  </si>
  <si>
    <t>hexadecane(N-HEX-02)</t>
  </si>
  <si>
    <t>2 methylcyclopentane (ETHYL-01)</t>
  </si>
  <si>
    <t>3 methyl cyclopentane (ETHYL-01)</t>
  </si>
  <si>
    <t>3,4 - di methyl cyclopentane (1:1-D-01)</t>
  </si>
  <si>
    <t>2,3 - di methyl cyclopentane (1:1-D-01)</t>
  </si>
  <si>
    <t>2,3,4 - on trimethyl cyclopentane (1:1:2-01)</t>
  </si>
  <si>
    <t>3 ethylcyclopentane (ETHYL-02)</t>
  </si>
  <si>
    <t>ethylcyclohexane (ETHYL-03)</t>
  </si>
  <si>
    <t>octahydro-1H-indene (CIS-H-01)</t>
  </si>
  <si>
    <t>4,4 dimethlcyclopentane (1:1-D-01)</t>
  </si>
  <si>
    <t>Propyl cyclohexane(N-PRO-01)</t>
  </si>
  <si>
    <t>P-ETHYLPHENOL(O-ETH-01)</t>
  </si>
  <si>
    <t>P-ETHYLPHENOL (O-ETH-01)</t>
  </si>
  <si>
    <t>M-ETHYLPHENOL (M-ETH-02)</t>
  </si>
  <si>
    <t>4-propyl phenol (2-PRO-01)</t>
  </si>
  <si>
    <t>methylcycloheptane (METHY-01)</t>
  </si>
  <si>
    <t>cyclohexane (CYCLO-03)</t>
  </si>
  <si>
    <t>methylethylcyclohexane ((N-PRO-01)</t>
  </si>
  <si>
    <t>2-METHYLBICYCLO[2.2.2]OCTANE (2-MET-04)</t>
  </si>
  <si>
    <t>Cyclohexane (CYCLO-03)</t>
  </si>
  <si>
    <t>cyclopentane (CYCLO-04)</t>
  </si>
  <si>
    <t>hexane (N-HEX-03), propane (PROPA-01), ethane (ETHANE)</t>
  </si>
  <si>
    <t>xylene (XYLENE)</t>
  </si>
  <si>
    <t xml:space="preserve">Refinery details </t>
  </si>
  <si>
    <t xml:space="preserve">hours per year </t>
  </si>
  <si>
    <t>tons biomass (wet basis)/day</t>
  </si>
  <si>
    <t>tons biomass (wet basis)/hour</t>
  </si>
  <si>
    <t>kg wet biomass/hr</t>
  </si>
  <si>
    <t>kg water/hr needed in total</t>
  </si>
  <si>
    <t>kg water/hr entering with biomass</t>
  </si>
  <si>
    <t>kg water/hr to be supplied</t>
  </si>
  <si>
    <t xml:space="preserve">Aspen </t>
  </si>
  <si>
    <t xml:space="preserve">hydrogen </t>
  </si>
  <si>
    <t>2.1.2. Hydrothermal Liquefaction</t>
  </si>
  <si>
    <t>0. Refinery Details</t>
  </si>
  <si>
    <t>Heat Recovery</t>
  </si>
  <si>
    <t>%TotalHeat</t>
  </si>
  <si>
    <t>Make up water</t>
  </si>
  <si>
    <t>%w Steam</t>
  </si>
  <si>
    <t>Blowdown</t>
  </si>
  <si>
    <t>3a. Hot Water Injection</t>
  </si>
  <si>
    <t>Electricity Consumption</t>
  </si>
  <si>
    <t>kWh/kgDB</t>
  </si>
  <si>
    <t>Temperature, biomass inlet</t>
  </si>
  <si>
    <t>Temperature, water inlet</t>
  </si>
  <si>
    <t>Temperature, outlet</t>
  </si>
  <si>
    <t>Pressure, biomass inlet</t>
  </si>
  <si>
    <t>bar</t>
  </si>
  <si>
    <t>Pressure, aqueous linet</t>
  </si>
  <si>
    <t>Pressure, outlet</t>
  </si>
  <si>
    <t>Solids: Water Ratio</t>
  </si>
  <si>
    <t>%w</t>
  </si>
  <si>
    <t>cycles run for aqueous qty</t>
  </si>
  <si>
    <t>#</t>
  </si>
  <si>
    <t>C1. Cogeneration Plant</t>
  </si>
  <si>
    <t>Boiler Efficiency</t>
  </si>
  <si>
    <t>%</t>
  </si>
  <si>
    <t>3b. Hydrothermal Liquefaction Reactor</t>
  </si>
  <si>
    <t>Air Excess</t>
  </si>
  <si>
    <t>Temperature, reaction</t>
  </si>
  <si>
    <t>Steam Turbine Efficinecy</t>
  </si>
  <si>
    <t>Residence Time</t>
  </si>
  <si>
    <t>Pressure, reaction</t>
  </si>
  <si>
    <t>Fuel Gas to Burner</t>
  </si>
  <si>
    <t>MJ/kgFeed</t>
  </si>
  <si>
    <t>TBC</t>
  </si>
  <si>
    <t>Electricity Demand</t>
  </si>
  <si>
    <t>kwh/kgFeed</t>
  </si>
  <si>
    <t>Steam Demand, Medium Pressure</t>
  </si>
  <si>
    <t>kg/kgDB</t>
  </si>
  <si>
    <t>Yields (% of dry matter)</t>
  </si>
  <si>
    <t>%dw</t>
  </si>
  <si>
    <t>total yield</t>
  </si>
  <si>
    <t>Recyclate Yields (% of dry matter)</t>
  </si>
  <si>
    <t>org to biocrude</t>
  </si>
  <si>
    <t>org to solids</t>
  </si>
  <si>
    <t>org to gas</t>
  </si>
  <si>
    <t>org to aqueous</t>
  </si>
  <si>
    <t>Energy Contents</t>
  </si>
  <si>
    <t>MJ/kg</t>
  </si>
  <si>
    <t>Char</t>
  </si>
  <si>
    <t>Gas</t>
  </si>
  <si>
    <t>3c. Cooling/Depressurization</t>
  </si>
  <si>
    <t>4. Filter Solid Liquid Seperation</t>
  </si>
  <si>
    <t>Solids recovery efficiency</t>
  </si>
  <si>
    <t>5a. Three Phase Seperator: Gas &amp; Liquid</t>
  </si>
  <si>
    <t>Liquid recovery Efficiency</t>
  </si>
  <si>
    <t>Offgasses to H Plant</t>
  </si>
  <si>
    <t>Gas Composition - Molar</t>
  </si>
  <si>
    <t>%v</t>
  </si>
  <si>
    <t>90.2%</t>
  </si>
  <si>
    <t>0.0%</t>
  </si>
  <si>
    <t>3.0%</t>
  </si>
  <si>
    <t>0.9%</t>
  </si>
  <si>
    <t>Ethelyne</t>
  </si>
  <si>
    <t>2.5%</t>
  </si>
  <si>
    <t>Propane</t>
  </si>
  <si>
    <t>1.9%</t>
  </si>
  <si>
    <t>Butane</t>
  </si>
  <si>
    <t>1.5%</t>
  </si>
  <si>
    <t>total gas</t>
  </si>
  <si>
    <t>100.0%</t>
  </si>
  <si>
    <t>Gas Composition - Mass</t>
  </si>
  <si>
    <t>93.3%</t>
  </si>
  <si>
    <t>1.1%</t>
  </si>
  <si>
    <t>1.6%</t>
  </si>
  <si>
    <t>2.0%</t>
  </si>
  <si>
    <t>Biooil Ratio</t>
  </si>
  <si>
    <t>3.03%</t>
  </si>
  <si>
    <t>5b. Three Phase Seperator: Aqueous &amp; Organic</t>
  </si>
  <si>
    <t>Biocrude Compostion</t>
  </si>
  <si>
    <t>w% of liquid</t>
  </si>
  <si>
    <t>Organics</t>
  </si>
  <si>
    <t>H2O</t>
  </si>
  <si>
    <t>ash</t>
  </si>
  <si>
    <t>total biocrude</t>
  </si>
  <si>
    <t>5c. Three Phase Seperator: Aqueous</t>
  </si>
  <si>
    <t>Aqueous fraction purged</t>
  </si>
  <si>
    <t>6a. Hydrogen Pressurization</t>
  </si>
  <si>
    <t>T</t>
  </si>
  <si>
    <t>P, outlet</t>
  </si>
  <si>
    <t>H2 Mix Ratio (% of biocrude)</t>
  </si>
  <si>
    <t>3.30%</t>
  </si>
  <si>
    <t>6b. Hydrotreating</t>
  </si>
  <si>
    <t>T, operating</t>
  </si>
  <si>
    <t>P, operating</t>
  </si>
  <si>
    <t>0.07</t>
  </si>
  <si>
    <t>max O2 content, output</t>
  </si>
  <si>
    <t>unreacted H2</t>
  </si>
  <si>
    <t>6c. Cooling and Depressurization</t>
  </si>
  <si>
    <t>7. Flash Seperation</t>
  </si>
  <si>
    <t>Water removal efficiency</t>
  </si>
  <si>
    <t>Fractions to PSA</t>
  </si>
  <si>
    <t>Fraction of H2</t>
  </si>
  <si>
    <t>Fraction of organics</t>
  </si>
  <si>
    <t>Organics to aqueous</t>
  </si>
  <si>
    <t>H1. Pressure Swing Adsorption</t>
  </si>
  <si>
    <t>H2 Recovery effiiciency</t>
  </si>
  <si>
    <t>% to H Plant</t>
  </si>
  <si>
    <t>100.00%</t>
  </si>
  <si>
    <t>2.2.1. HYDROTHERMAL LIQUEFACTION</t>
  </si>
  <si>
    <t xml:space="preserve">per hour </t>
  </si>
  <si>
    <t>1. Feedstock Acquistion</t>
  </si>
  <si>
    <t>OUT</t>
  </si>
  <si>
    <t>Wet Feedstock</t>
  </si>
  <si>
    <t>kg</t>
  </si>
  <si>
    <t>of which, dry biomass</t>
  </si>
  <si>
    <t>of which, H2O</t>
  </si>
  <si>
    <t>of which, ash</t>
  </si>
  <si>
    <t>Aqueous Recycling Iteration Count</t>
  </si>
  <si>
    <t>IN</t>
  </si>
  <si>
    <t>Ground Feedstock</t>
  </si>
  <si>
    <t>Recycled Aqueous [from 5c]</t>
  </si>
  <si>
    <t>of which, organics</t>
  </si>
  <si>
    <t>Impregnated Feed</t>
  </si>
  <si>
    <t>of which, organics in feedstock</t>
  </si>
  <si>
    <t>of which, ash in feedstock</t>
  </si>
  <si>
    <t>of which, organics in recyclate</t>
  </si>
  <si>
    <t>Hot HTL Slurry</t>
  </si>
  <si>
    <t>of which, total org. in biocrude</t>
  </si>
  <si>
    <t>of which, from fresh feedstock</t>
  </si>
  <si>
    <t>of which, from aqueous recyclate</t>
  </si>
  <si>
    <t>of which, org. in aqueous</t>
  </si>
  <si>
    <t>of which, solids</t>
  </si>
  <si>
    <t>of which, gas</t>
  </si>
  <si>
    <t>4. Cooling/Depressurization</t>
  </si>
  <si>
    <t>Cooled HTL Slurry</t>
  </si>
  <si>
    <t>3c. Filter Solid Liquid Seperation</t>
  </si>
  <si>
    <t>hot HTL Slurry</t>
  </si>
  <si>
    <t>HTL Slurry, solid-free</t>
  </si>
  <si>
    <t>Solids [to Cogeneration]</t>
  </si>
  <si>
    <t>HTL Liquid</t>
  </si>
  <si>
    <t>Offgases [to Cogeneration &amp; H2]</t>
  </si>
  <si>
    <t>Aqueous</t>
  </si>
  <si>
    <t>Aqueous to recycle [to 3]</t>
  </si>
  <si>
    <t>Waste Aqueous [to WWT]</t>
  </si>
  <si>
    <t>Pressurized H2</t>
  </si>
  <si>
    <t>of which, from Hydrogen plant [H.1]</t>
  </si>
  <si>
    <t>of which, recovered from PSA [H.2]</t>
  </si>
  <si>
    <t>Biocrude [equilibrium yield]</t>
  </si>
  <si>
    <t>Hot hydrotreated biocrude</t>
  </si>
  <si>
    <t>Solids</t>
  </si>
  <si>
    <t>of which, H2</t>
  </si>
  <si>
    <t>of which, char</t>
  </si>
  <si>
    <t>Offgassess, from processes</t>
  </si>
  <si>
    <t>WATER</t>
  </si>
  <si>
    <t>METHANE</t>
  </si>
  <si>
    <t>CYCLOPEN</t>
  </si>
  <si>
    <t>Cool hydrotreated biocrude</t>
  </si>
  <si>
    <t>2-ACE-01</t>
  </si>
  <si>
    <t>GAMMA-01</t>
  </si>
  <si>
    <t>2:5-H-01</t>
  </si>
  <si>
    <t>Flashed biocrude</t>
  </si>
  <si>
    <t>H2O [to WWT]</t>
  </si>
  <si>
    <t>Gas [to H2]</t>
  </si>
  <si>
    <t>5-MET-01</t>
  </si>
  <si>
    <t>H.2 Pressure Swing Absorption</t>
  </si>
  <si>
    <t>ACETO-01</t>
  </si>
  <si>
    <t>C11H1-01</t>
  </si>
  <si>
    <t>H2 [to Hydrotreatment]</t>
  </si>
  <si>
    <t>GUAIA-01</t>
  </si>
  <si>
    <t>H2 [to h plant]</t>
  </si>
  <si>
    <t>h2 to cogen</t>
  </si>
  <si>
    <t>Offgasses [to H Plant]</t>
  </si>
  <si>
    <t>Offgasses [to cogen]</t>
  </si>
  <si>
    <t>0.0</t>
  </si>
  <si>
    <t>HTL Balance</t>
  </si>
  <si>
    <t>3-MET-04</t>
  </si>
  <si>
    <t>In</t>
  </si>
  <si>
    <t>1-PHE-01</t>
  </si>
  <si>
    <t>dry Feedstock</t>
  </si>
  <si>
    <t>Water</t>
  </si>
  <si>
    <t>4-ALL-01</t>
  </si>
  <si>
    <t>Air</t>
  </si>
  <si>
    <t xml:space="preserve">Natural gas </t>
  </si>
  <si>
    <t>Out</t>
  </si>
  <si>
    <t>OLEIC-02</t>
  </si>
  <si>
    <t>Biofuel</t>
  </si>
  <si>
    <t>METHY-01</t>
  </si>
  <si>
    <t xml:space="preserve">flue gases </t>
  </si>
  <si>
    <t>METHY-02</t>
  </si>
  <si>
    <t>Waste Water [to WWT]</t>
  </si>
  <si>
    <t>METHY-03</t>
  </si>
  <si>
    <t>METHY-04</t>
  </si>
  <si>
    <t>CARBO-02</t>
  </si>
  <si>
    <t>Mass Imbalance</t>
  </si>
  <si>
    <t>ETHAN-01</t>
  </si>
  <si>
    <t>N-BUT-01</t>
  </si>
  <si>
    <t>Natural Gas</t>
  </si>
  <si>
    <t>of which O2 for offgas combustion</t>
  </si>
  <si>
    <t>of which N2 for offgas combustion</t>
  </si>
  <si>
    <t>of which, O2 for natural gas combustion</t>
  </si>
  <si>
    <t>of which, N2 for natural gas combustion</t>
  </si>
  <si>
    <t>Flue Gas, from Production Inputs</t>
  </si>
  <si>
    <t>of which CO2</t>
  </si>
  <si>
    <t>of which, N2</t>
  </si>
  <si>
    <t>of which, O2</t>
  </si>
  <si>
    <t>of which, unrecovered liquids</t>
  </si>
  <si>
    <t>Flue Gas, from Natural Gas</t>
  </si>
  <si>
    <t>Ash [to Waste Treatment]</t>
  </si>
  <si>
    <t xml:space="preserve">Hot water injection </t>
  </si>
  <si>
    <t xml:space="preserve">Cogenration </t>
  </si>
  <si>
    <t xml:space="preserve">electricity </t>
  </si>
  <si>
    <t xml:space="preserve">Mass fraction </t>
  </si>
  <si>
    <t xml:space="preserve">Total </t>
  </si>
  <si>
    <t xml:space="preserve">Molecular weight </t>
  </si>
  <si>
    <t>heat of combsution (MJ/kg)</t>
  </si>
  <si>
    <t xml:space="preserve">heat produced </t>
  </si>
  <si>
    <t xml:space="preserve">pumps </t>
  </si>
  <si>
    <t>kW</t>
  </si>
  <si>
    <t>HYDROGEN</t>
  </si>
  <si>
    <t>kg/hr</t>
  </si>
  <si>
    <t>STEAM</t>
  </si>
  <si>
    <t>kW/kgdryfeed</t>
  </si>
  <si>
    <t xml:space="preserve">Heat </t>
  </si>
  <si>
    <t xml:space="preserve">Hydrothermal reactor </t>
  </si>
  <si>
    <t xml:space="preserve">heat </t>
  </si>
  <si>
    <t>reactor</t>
  </si>
  <si>
    <t>MJ</t>
  </si>
  <si>
    <t xml:space="preserve">heat excahnger </t>
  </si>
  <si>
    <t>MJ/kgfeed</t>
  </si>
  <si>
    <t xml:space="preserve">Hydrotreating </t>
  </si>
  <si>
    <t>Aspen value</t>
  </si>
  <si>
    <t>Tanzer</t>
  </si>
  <si>
    <t>H2 compressor</t>
  </si>
  <si>
    <t>kWh/kg feed</t>
  </si>
  <si>
    <t xml:space="preserve">feed pump </t>
  </si>
  <si>
    <t>heat</t>
  </si>
  <si>
    <t xml:space="preserve">Total electricity demand </t>
  </si>
  <si>
    <t>kWh</t>
  </si>
  <si>
    <t xml:space="preserve">Total heat demand </t>
  </si>
  <si>
    <t>Total Heat of Reaction</t>
  </si>
  <si>
    <t>Energy Generated, Boiler</t>
  </si>
  <si>
    <t>Max Electric Potential</t>
  </si>
  <si>
    <t>kwh</t>
  </si>
  <si>
    <t>HTL UTILITY DEMAND TOTALS</t>
  </si>
  <si>
    <t>CARBO-01</t>
  </si>
  <si>
    <t>Total Electricity Demand</t>
  </si>
  <si>
    <t>Boiler Energy Used for Electricity Demand</t>
  </si>
  <si>
    <t>Unfulfilled Electricity Demand</t>
  </si>
  <si>
    <t>Boiler Energy Remaining</t>
  </si>
  <si>
    <t>Total Heat Demand</t>
  </si>
  <si>
    <t>Process Heat Recovered</t>
  </si>
  <si>
    <t>High Pressure Steam</t>
  </si>
  <si>
    <t>Utility Heat Demand</t>
  </si>
  <si>
    <t>Boiler Energy Used for Heat Demand</t>
  </si>
  <si>
    <t xml:space="preserve">Char </t>
  </si>
  <si>
    <t>kg/h</t>
  </si>
  <si>
    <t>Unfufilled Heat Demand</t>
  </si>
  <si>
    <t>Natural Gas Demand</t>
  </si>
  <si>
    <t>Excess Boiler Energy</t>
  </si>
  <si>
    <t>Excess Electricity</t>
  </si>
  <si>
    <t>Total Utility Water Demand</t>
  </si>
  <si>
    <t>Blow down water</t>
  </si>
  <si>
    <t>Cooling Water</t>
  </si>
  <si>
    <t>2.4.1 Hydrothermal Liquefaction</t>
  </si>
  <si>
    <t>Energy In</t>
  </si>
  <si>
    <t>Biomass</t>
  </si>
  <si>
    <t>Biomass in Recycled Aqueous, est.</t>
  </si>
  <si>
    <t>Biomass in Recycled Aqueous, alt est.</t>
  </si>
  <si>
    <t>Energy Out, Reactor</t>
  </si>
  <si>
    <t>Aqueous&amp; Losses</t>
  </si>
  <si>
    <t>Aqueous energy content [calculated]</t>
  </si>
  <si>
    <t>mj/kg</t>
  </si>
  <si>
    <t>Char (Combustible)</t>
  </si>
  <si>
    <t>Gas (Combustible)</t>
  </si>
  <si>
    <t>Orangnics Mass Out, Reactor</t>
  </si>
  <si>
    <t>Energy Out, System</t>
  </si>
  <si>
    <t>Biomass Combustion</t>
  </si>
  <si>
    <t>of which, internal heat</t>
  </si>
  <si>
    <t>of which, internal electricity</t>
  </si>
  <si>
    <t>of which, salable electricity</t>
  </si>
  <si>
    <t>of which, known losses</t>
  </si>
  <si>
    <t xml:space="preserve">sum </t>
  </si>
  <si>
    <t>Natural Gas Combustion</t>
  </si>
  <si>
    <t>Aqueous Waste Purge</t>
  </si>
  <si>
    <t>Aqueous &amp; Other Losses</t>
  </si>
  <si>
    <t>IN – OUT [System Losses]</t>
  </si>
  <si>
    <t>Unknown Losses</t>
  </si>
  <si>
    <t>For Chart</t>
  </si>
  <si>
    <t>Salable Electricity</t>
  </si>
  <si>
    <t>Process Energy, from Biogas and Char</t>
  </si>
  <si>
    <t>Process Energy, from Natural Gas</t>
  </si>
  <si>
    <t>Aqueous Recyclate</t>
  </si>
  <si>
    <t>Combustion Losses</t>
  </si>
  <si>
    <t>Waste Aqueous &amp; Unknown Losses</t>
  </si>
  <si>
    <t>Inputs</t>
  </si>
  <si>
    <t>Wet 
Feedstock</t>
  </si>
  <si>
    <t>Dry Ash Free Feedstock</t>
  </si>
  <si>
    <t>kg daf</t>
  </si>
  <si>
    <t>Feedstock  H2O</t>
  </si>
  <si>
    <t>2.5.1. Hydrothermal Liquefaction</t>
  </si>
  <si>
    <t>Biofuel Yield</t>
  </si>
  <si>
    <t>kg/kgDM</t>
  </si>
  <si>
    <t>Wet Yield</t>
  </si>
  <si>
    <t>kg/kg wet</t>
  </si>
  <si>
    <t>HHV   — assumed</t>
  </si>
  <si>
    <t>Biofuel Energy Yield</t>
  </si>
  <si>
    <t>MJ/kgDM</t>
  </si>
  <si>
    <t>MJ/MJ</t>
  </si>
  <si>
    <t>kwh/kgDM</t>
  </si>
  <si>
    <t>Coproducts</t>
  </si>
  <si>
    <t>Electricity</t>
  </si>
  <si>
    <t>Wastes</t>
  </si>
  <si>
    <t>Offgas</t>
  </si>
  <si>
    <t>Liquids</t>
  </si>
  <si>
    <t>Needed Capacity</t>
  </si>
  <si>
    <t>Pretreatment [wet tons]</t>
  </si>
  <si>
    <t>HTL Reactor(s) [feed]</t>
  </si>
  <si>
    <t>Filter</t>
  </si>
  <si>
    <t>Biofuel Storage</t>
  </si>
  <si>
    <t>Hydrotreatment [biocrude]</t>
  </si>
  <si>
    <t>H2 Production [h2]</t>
  </si>
  <si>
    <t>Cogeneration</t>
  </si>
  <si>
    <t>kw/kgDM/h</t>
  </si>
  <si>
    <t xml:space="preserve">Non Renewable Energy Use </t>
  </si>
  <si>
    <t>per MJ of biofuel</t>
  </si>
  <si>
    <t>per MG of product</t>
  </si>
  <si>
    <t>Internal Energy Use</t>
  </si>
  <si>
    <t>MJ/MJ biofuel</t>
  </si>
  <si>
    <t>Cogen Emissions</t>
  </si>
  <si>
    <t>METHA-01</t>
  </si>
  <si>
    <t>HYDRO-01</t>
  </si>
  <si>
    <t>WATER-02</t>
  </si>
  <si>
    <t>N-DEC</t>
  </si>
  <si>
    <t>4.1.1. Capital Expense Parameters</t>
  </si>
  <si>
    <t>Investment Factors</t>
  </si>
  <si>
    <t>Installation Costs (Install Factor - 1)</t>
  </si>
  <si>
    <t>% of TPEC</t>
  </si>
  <si>
    <t>Indirect</t>
  </si>
  <si>
    <t>% of Direct</t>
  </si>
  <si>
    <t>Contractor's Fee</t>
  </si>
  <si>
    <t>Base Contingency</t>
  </si>
  <si>
    <t>Working Capital</t>
  </si>
  <si>
    <t>% Sales Rev</t>
  </si>
  <si>
    <t>Start Up Costs</t>
  </si>
  <si>
    <t>% of Fixed Cap</t>
  </si>
  <si>
    <t>Location Factor</t>
  </si>
  <si>
    <t>% of CapEx</t>
  </si>
  <si>
    <t>Equipment Scaling Factors</t>
  </si>
  <si>
    <t>Scaling power factors</t>
  </si>
  <si>
    <t>Hydrothermal Liquefaction</t>
  </si>
  <si>
    <t>-</t>
  </si>
  <si>
    <t>Hydrotreating</t>
  </si>
  <si>
    <t>Hydrogen Production</t>
  </si>
  <si>
    <t>Cogeneration &amp; Utilities</t>
  </si>
  <si>
    <t>Storage</t>
  </si>
  <si>
    <t>4.1.2. Operating Expense Parameters</t>
  </si>
  <si>
    <t>Interest Rate</t>
  </si>
  <si>
    <t>of which, ROI</t>
  </si>
  <si>
    <t>of which, inflation</t>
  </si>
  <si>
    <t>of which, risk premium</t>
  </si>
  <si>
    <t>Labor Expense Parameters</t>
  </si>
  <si>
    <t>Operators per Shift, HTL</t>
  </si>
  <si>
    <t>Shifts per Day</t>
  </si>
  <si>
    <t>Hours per Shift</t>
  </si>
  <si>
    <t>Supervision &amp; Operating Supplies</t>
  </si>
  <si>
    <t>Manufacturing Expense Parameters</t>
  </si>
  <si>
    <t>Maintenance</t>
  </si>
  <si>
    <t>% Fixed Cap</t>
  </si>
  <si>
    <t>Plant Overhead</t>
  </si>
  <si>
    <t>% Total labor</t>
  </si>
  <si>
    <t>Depreciation</t>
  </si>
  <si>
    <t>% Total cap</t>
  </si>
  <si>
    <t>Local Taxes</t>
  </si>
  <si>
    <t>Income Taxes</t>
  </si>
  <si>
    <t>% Revenue</t>
  </si>
  <si>
    <t>Insurance</t>
  </si>
  <si>
    <t>General Expenses</t>
  </si>
  <si>
    <t>% Sales</t>
  </si>
  <si>
    <t>% of Direct Prod</t>
  </si>
  <si>
    <t>4.1.3. Feedstock Variables and Related</t>
  </si>
  <si>
    <t>Feedstocks Prices, Field</t>
  </si>
  <si>
    <t>EUR per...</t>
  </si>
  <si>
    <t>wet ton</t>
  </si>
  <si>
    <t>Feedstocks Prices,  Delivered</t>
  </si>
  <si>
    <t>Product Prices</t>
  </si>
  <si>
    <t>MGO (fossil)</t>
  </si>
  <si>
    <t>MGO, per GJ</t>
  </si>
  <si>
    <t>GJ</t>
  </si>
  <si>
    <t>HHV</t>
  </si>
  <si>
    <t>MJ/Kg</t>
  </si>
  <si>
    <t>electricity, wholesale</t>
  </si>
  <si>
    <t>Eur/MWh (in 2023)</t>
  </si>
  <si>
    <t>VLSFO</t>
  </si>
  <si>
    <t>MWh to GJ</t>
  </si>
  <si>
    <t>GJ/MWh</t>
  </si>
  <si>
    <t>electricity, wholesale, per GJ</t>
  </si>
  <si>
    <t>Natural gas</t>
  </si>
  <si>
    <t>kWh to MJ</t>
  </si>
  <si>
    <t>MJ/kWh</t>
  </si>
  <si>
    <t>Comparison Product Prices</t>
  </si>
  <si>
    <t>Crude Price</t>
  </si>
  <si>
    <t>EUR for Brent Crude/Barrel</t>
  </si>
  <si>
    <t>EUR to USD (2023)</t>
  </si>
  <si>
    <t>Logistics Prices</t>
  </si>
  <si>
    <t>Truck transport, fixed</t>
  </si>
  <si>
    <t>ton</t>
  </si>
  <si>
    <t>Truck transport, variable</t>
  </si>
  <si>
    <t>ton km</t>
  </si>
  <si>
    <t>Operating Expenses</t>
  </si>
  <si>
    <t>EUR (2023) per …</t>
  </si>
  <si>
    <t>waste processing: gas [estimated]</t>
  </si>
  <si>
    <t>waste processing: water, black [estimated]</t>
  </si>
  <si>
    <t>waste processing: solids</t>
  </si>
  <si>
    <t>Eur/kWh</t>
  </si>
  <si>
    <t>Eur/MJ</t>
  </si>
  <si>
    <t>Eur/kg</t>
  </si>
  <si>
    <t>Natural gas, per GJ</t>
  </si>
  <si>
    <t>Base Salary</t>
  </si>
  <si>
    <t>hour</t>
  </si>
  <si>
    <t>Hydrotreating Catalyst</t>
  </si>
  <si>
    <t xml:space="preserve">US inflation </t>
  </si>
  <si>
    <t>https://www.usinflationcalculator.com/</t>
  </si>
  <si>
    <t>4.1.4. Equipment Prices</t>
  </si>
  <si>
    <t>USD per n...</t>
  </si>
  <si>
    <t>All equipment prices are in Millions USD per unit, corresponding to the reference capacity in the unit column</t>
  </si>
  <si>
    <t>units/day</t>
  </si>
  <si>
    <t>2023 M EUR</t>
  </si>
  <si>
    <t>Feedstock Handling and Prep [wet tons feedstock]</t>
  </si>
  <si>
    <t>Oil Production [reactor wet feed tons]</t>
  </si>
  <si>
    <t>Hydrotreating [tons biocrude]</t>
  </si>
  <si>
    <t>Hydrogen Plant [t H2]</t>
  </si>
  <si>
    <t>Cogeneration [MW]</t>
  </si>
  <si>
    <t>coffee pulp</t>
  </si>
  <si>
    <t>Coffee pulp</t>
  </si>
  <si>
    <t>Eur per ton (2023) (in Buenaventura)</t>
  </si>
  <si>
    <t>Feedstock Factors</t>
  </si>
  <si>
    <t>Economic Factors</t>
  </si>
  <si>
    <t>Fuel Factors</t>
  </si>
  <si>
    <t>Mass Model Factors</t>
  </si>
  <si>
    <t>Energy Model Factors</t>
  </si>
  <si>
    <t>Emission Model Factors</t>
  </si>
  <si>
    <t>Item</t>
  </si>
  <si>
    <t>Value</t>
  </si>
  <si>
    <t>Units</t>
  </si>
  <si>
    <t>Energy Conversion</t>
  </si>
  <si>
    <t>Currency Conversion</t>
  </si>
  <si>
    <t>Energy content of fuels (HHV)</t>
  </si>
  <si>
    <t>Molar Weights</t>
  </si>
  <si>
    <t>Specific Heats (cP)</t>
  </si>
  <si>
    <t>Characterization Factors</t>
  </si>
  <si>
    <t xml:space="preserve">*Wh to *J </t>
  </si>
  <si>
    <t>J/Wh</t>
  </si>
  <si>
    <t>DKK (2013) to USD (2015)</t>
  </si>
  <si>
    <t>USD/DDK</t>
  </si>
  <si>
    <t>Light Naptha</t>
  </si>
  <si>
    <t>g/mol</t>
  </si>
  <si>
    <t>MJ/kg/k</t>
  </si>
  <si>
    <t>CH4 to CO2-equiv</t>
  </si>
  <si>
    <t>kg CO2-eq/kg CH4</t>
  </si>
  <si>
    <t>EUR (2010) to EUR (2015)</t>
  </si>
  <si>
    <t>EUR/EUR</t>
  </si>
  <si>
    <t>Jet fuel</t>
  </si>
  <si>
    <t>N2O to CO2-equiv</t>
  </si>
  <si>
    <t>kg CO2-eq/kg N2O</t>
  </si>
  <si>
    <t>Short ton to metric ton</t>
  </si>
  <si>
    <t>ston/mton</t>
  </si>
  <si>
    <t>EUR (2001) to USD (2015)</t>
  </si>
  <si>
    <t>USD/EUR</t>
  </si>
  <si>
    <t>Diesel</t>
  </si>
  <si>
    <t>Oxygen</t>
  </si>
  <si>
    <t>Bio CO2 to CO2-equiv</t>
  </si>
  <si>
    <t>kg CO2-eq/kg biogenic CO2</t>
  </si>
  <si>
    <t>Efficiencies</t>
  </si>
  <si>
    <t>EUR (2003) to USD (2015)</t>
  </si>
  <si>
    <t>HFO</t>
  </si>
  <si>
    <t>Hydrogen</t>
  </si>
  <si>
    <t>truck freight</t>
  </si>
  <si>
    <t>mj/ton-km</t>
  </si>
  <si>
    <t>EUR (2010) to USD (2015)</t>
  </si>
  <si>
    <t>MGO</t>
  </si>
  <si>
    <t>Steam</t>
  </si>
  <si>
    <t>oceanic freight</t>
  </si>
  <si>
    <t>EUR (2013) to USD (2015)</t>
  </si>
  <si>
    <t>HTL biocrude</t>
  </si>
  <si>
    <t>Sand</t>
  </si>
  <si>
    <t>EUR (2015) to USD (2015)</t>
  </si>
  <si>
    <t>FP+HT biocrude</t>
  </si>
  <si>
    <t>Carbon Dixoide</t>
  </si>
  <si>
    <t>CEPCI</t>
  </si>
  <si>
    <t>EUR (2016) to USD (2015)</t>
  </si>
  <si>
    <t>GFT biocrude</t>
  </si>
  <si>
    <t>Methane</t>
  </si>
  <si>
    <t>index</t>
  </si>
  <si>
    <t>GBP (2015) to USD (2015)</t>
  </si>
  <si>
    <t>USD/GBP</t>
  </si>
  <si>
    <t>Green wood</t>
  </si>
  <si>
    <t>Carbon Monoxide</t>
  </si>
  <si>
    <t>NOK (2015) to USD (2015)</t>
  </si>
  <si>
    <t>USD/NOK</t>
  </si>
  <si>
    <t>Wax</t>
  </si>
  <si>
    <t>C2-C4</t>
  </si>
  <si>
    <t>NOK (2016) to USD (2015)</t>
  </si>
  <si>
    <t>Liquid Natural Gas</t>
  </si>
  <si>
    <t>SEK (2003) to USD (2015)</t>
  </si>
  <si>
    <t>USD/SEK</t>
  </si>
  <si>
    <t>H2S</t>
  </si>
  <si>
    <t>SEK  (2014) to USD (2015)</t>
  </si>
  <si>
    <t>Wood chips</t>
  </si>
  <si>
    <t>SEK  (2015) to USD (2015)</t>
  </si>
  <si>
    <t>Soy Biodiesel</t>
  </si>
  <si>
    <t>MJ/KG</t>
  </si>
  <si>
    <t>O2</t>
  </si>
  <si>
    <t>Steam energy contents</t>
  </si>
  <si>
    <t>USD (2003) to USD (2015)</t>
  </si>
  <si>
    <t>USD/USD</t>
  </si>
  <si>
    <t>SO2</t>
  </si>
  <si>
    <t>Low Pressure Steam</t>
  </si>
  <si>
    <t>USD (2005) to USD (2015)</t>
  </si>
  <si>
    <t>Viscosity at 50C</t>
  </si>
  <si>
    <t>C2H4 [Ethelyne]</t>
  </si>
  <si>
    <t>Medium Pressure Steam</t>
  </si>
  <si>
    <t>USD (2010) to USD (2015)</t>
  </si>
  <si>
    <t>mm2/s</t>
  </si>
  <si>
    <t>C3H6 [Propane]</t>
  </si>
  <si>
    <t>USD (2013) to USD (2015)</t>
  </si>
  <si>
    <t>Kerosene/Jet fuel</t>
  </si>
  <si>
    <t>C4H10 [Butane]</t>
  </si>
  <si>
    <t>USD (2014) to USD (2015)</t>
  </si>
  <si>
    <t>C2H6 [Ethane]</t>
  </si>
  <si>
    <t>USD (2016) to USD (2015)</t>
  </si>
  <si>
    <t>Vacuum Gas Oil</t>
  </si>
  <si>
    <t>Pressure Conversion</t>
  </si>
  <si>
    <t>USD (2017) to USD (2015)</t>
  </si>
  <si>
    <t>Vacuum Residue</t>
  </si>
  <si>
    <t>MPa to bar</t>
  </si>
  <si>
    <t>bar/MPA</t>
  </si>
  <si>
    <t>DKK (2015) to USD (2015)</t>
  </si>
  <si>
    <t>USD/DKK</t>
  </si>
  <si>
    <t>psi to bar</t>
  </si>
  <si>
    <t>bar/psi</t>
  </si>
  <si>
    <t>BRL (2016) to USD (2015)</t>
  </si>
  <si>
    <t>USD/BRL</t>
  </si>
  <si>
    <t>Viscosity Blending Numbers</t>
  </si>
  <si>
    <t>Air Composition (cP)</t>
  </si>
  <si>
    <t>VBN</t>
  </si>
  <si>
    <t>Nitrogen</t>
  </si>
  <si>
    <t>kg/kg Air</t>
  </si>
  <si>
    <t>"Wax"/Residue</t>
  </si>
  <si>
    <t>Mixed vacuum</t>
  </si>
  <si>
    <t>Densities</t>
  </si>
  <si>
    <t>Marine Gas Oil</t>
  </si>
  <si>
    <t>kg/L</t>
  </si>
  <si>
    <t>Heavy Fuel Oil</t>
  </si>
  <si>
    <t>Pyrolysis Oil</t>
  </si>
  <si>
    <t>Gasoline</t>
  </si>
  <si>
    <t>Jet Fuel</t>
  </si>
  <si>
    <t>Gas Oil</t>
  </si>
  <si>
    <t>bbl/ton</t>
  </si>
  <si>
    <t xml:space="preserve">Catalyst cost </t>
  </si>
  <si>
    <t>bb/ton</t>
  </si>
  <si>
    <t>Ni Mo</t>
  </si>
  <si>
    <t>$/kg</t>
  </si>
  <si>
    <t>gal/ton</t>
  </si>
  <si>
    <t>Conversions</t>
  </si>
  <si>
    <t>Liters per gallon</t>
  </si>
  <si>
    <t>L/gal</t>
  </si>
  <si>
    <t>Month</t>
  </si>
  <si>
    <t>2024 Mar</t>
  </si>
  <si>
    <t>800.7</t>
  </si>
  <si>
    <t>2024 Feb</t>
  </si>
  <si>
    <t>800.0</t>
  </si>
  <si>
    <t>2024 Jan</t>
  </si>
  <si>
    <t>795.4</t>
  </si>
  <si>
    <t>2023 Dec</t>
  </si>
  <si>
    <t>2023 Nov</t>
  </si>
  <si>
    <t>Prices in 2023</t>
  </si>
  <si>
    <t>USD/ton</t>
  </si>
  <si>
    <t>EUR/ton</t>
  </si>
  <si>
    <t>2023 Oct</t>
  </si>
  <si>
    <t xml:space="preserve">Light Naphtha </t>
  </si>
  <si>
    <t>2023 Sep</t>
  </si>
  <si>
    <t xml:space="preserve">Biojet </t>
  </si>
  <si>
    <t>2023 Aug</t>
  </si>
  <si>
    <t>2023 Jul</t>
  </si>
  <si>
    <t>2023 Jun</t>
  </si>
  <si>
    <t>2023 May</t>
  </si>
  <si>
    <t>2023 Apr</t>
  </si>
  <si>
    <t>2023 Mar</t>
  </si>
  <si>
    <t>2023 Feb</t>
  </si>
  <si>
    <t>2023 Jan</t>
  </si>
  <si>
    <t>2022 Dec</t>
  </si>
  <si>
    <t>2022 Nov</t>
  </si>
  <si>
    <t>2022 Oct</t>
  </si>
  <si>
    <t>2022 Sep</t>
  </si>
  <si>
    <t>2022 Aug</t>
  </si>
  <si>
    <t>2022 Jul</t>
  </si>
  <si>
    <t>2022 Jun</t>
  </si>
  <si>
    <t>2022 May</t>
  </si>
  <si>
    <t>2022 Apr</t>
  </si>
  <si>
    <t>2022 Mar</t>
  </si>
  <si>
    <t>2022 Feb</t>
  </si>
  <si>
    <t>2022 Jan</t>
  </si>
  <si>
    <t>2021 Dec</t>
  </si>
  <si>
    <t>2021 Nov</t>
  </si>
  <si>
    <t>2021 Oct</t>
  </si>
  <si>
    <t>2021 Sep</t>
  </si>
  <si>
    <t>2021 Aug</t>
  </si>
  <si>
    <t>2021 Jul</t>
  </si>
  <si>
    <t>2021 Jun</t>
  </si>
  <si>
    <t>2021 May</t>
  </si>
  <si>
    <t>2021 Apr</t>
  </si>
  <si>
    <t>677.1</t>
  </si>
  <si>
    <t>816.0</t>
  </si>
  <si>
    <t>607.5</t>
  </si>
  <si>
    <t>603.1</t>
  </si>
  <si>
    <t>cost factor conversion 2015 to 2023</t>
  </si>
  <si>
    <t>567.5</t>
  </si>
  <si>
    <t>541.7</t>
  </si>
  <si>
    <t>cost factor conversion 2020 to 2023</t>
  </si>
  <si>
    <t>576.1</t>
  </si>
  <si>
    <t>567.3</t>
  </si>
  <si>
    <t>584.6</t>
  </si>
  <si>
    <t>585.7</t>
  </si>
  <si>
    <t>550.8</t>
  </si>
  <si>
    <t>521.9</t>
  </si>
  <si>
    <t>575.4</t>
  </si>
  <si>
    <t>525.4</t>
  </si>
  <si>
    <t>499.6</t>
  </si>
  <si>
    <t>468.2</t>
  </si>
  <si>
    <t>444.2</t>
  </si>
  <si>
    <t>402.0</t>
  </si>
  <si>
    <t>395.6</t>
  </si>
  <si>
    <t>394.3</t>
  </si>
  <si>
    <t>1957-1959</t>
  </si>
  <si>
    <t>100.0</t>
  </si>
  <si>
    <t>EUR to COP (2023)</t>
  </si>
  <si>
    <t>Feedstock Transport distance</t>
  </si>
  <si>
    <t xml:space="preserve">Processing Capacity </t>
  </si>
  <si>
    <t>dry biomass tonnes/day</t>
  </si>
  <si>
    <t>Biorefinery Feedstock Demand</t>
  </si>
  <si>
    <t>t/year</t>
  </si>
  <si>
    <t>wet tons of feedstock per year</t>
  </si>
  <si>
    <t xml:space="preserve">Feedstock price </t>
  </si>
  <si>
    <t>Eur/ton</t>
  </si>
  <si>
    <t>km</t>
  </si>
  <si>
    <t>Transport distance from HTL plant to Upgrading facility</t>
  </si>
  <si>
    <t xml:space="preserve">Transport distance from Upgrading facility to port </t>
  </si>
  <si>
    <t>Transport distance from farm to depot</t>
  </si>
  <si>
    <t>Transport distance from depot to HTL facility (average radius)</t>
  </si>
  <si>
    <t>existing pipeline</t>
  </si>
  <si>
    <t>dry tons of feedstock per year</t>
  </si>
  <si>
    <t>Fixed Capital Investments, including</t>
  </si>
  <si>
    <t>M EUR</t>
  </si>
  <si>
    <t>Direct Capital Costs, including</t>
  </si>
  <si>
    <t>Total Purchased Equipment Cost</t>
  </si>
  <si>
    <t>of which, Feedstock Handling &amp; Prep</t>
  </si>
  <si>
    <t>of which, Oil Production</t>
  </si>
  <si>
    <t>of which, hydrotreatment</t>
  </si>
  <si>
    <t>of which, Cogeneration</t>
  </si>
  <si>
    <t>Installation Costs</t>
  </si>
  <si>
    <t>Indirect Costs</t>
  </si>
  <si>
    <t>Contingency</t>
  </si>
  <si>
    <t>Start-up Costs</t>
  </si>
  <si>
    <t>TOTAL CAPITAL INVESTMENT</t>
  </si>
  <si>
    <t>LOCATION ADJUSTED CAPEX</t>
  </si>
  <si>
    <t>Direct Production Costs, including</t>
  </si>
  <si>
    <t>Variable costs</t>
  </si>
  <si>
    <t>M EUR/year</t>
  </si>
  <si>
    <t>of which, feedstock</t>
  </si>
  <si>
    <t>of which, hydrogen</t>
  </si>
  <si>
    <t>of which, wastewater treatment</t>
  </si>
  <si>
    <t>of which, gas cleaning</t>
  </si>
  <si>
    <t>of which, ash disposal</t>
  </si>
  <si>
    <t>of which, catalysts</t>
  </si>
  <si>
    <t>of which, natural gas</t>
  </si>
  <si>
    <t>of which, water</t>
  </si>
  <si>
    <t>Labor Related Costs</t>
  </si>
  <si>
    <t>of which, direct wage and benefits</t>
  </si>
  <si>
    <t>of which, supervision, supplies, assistance</t>
  </si>
  <si>
    <t>Fixed Charges, including</t>
  </si>
  <si>
    <t>Total  General Expenses</t>
  </si>
  <si>
    <t>TOTAL OPERATING COSTS (Annual)</t>
  </si>
  <si>
    <t>M EUR/YEAR</t>
  </si>
  <si>
    <t>Annual Salues Revenue</t>
  </si>
  <si>
    <t>of which Biocrude</t>
  </si>
  <si>
    <t xml:space="preserve">of which biochar </t>
  </si>
  <si>
    <t xml:space="preserve">M EUR/year </t>
  </si>
  <si>
    <t>of which Electricity</t>
  </si>
  <si>
    <t>Gross Profit</t>
  </si>
  <si>
    <t>Earninngs Before Tax</t>
  </si>
  <si>
    <t>Minimum Fuel Selling Price</t>
  </si>
  <si>
    <t>MFSP: MGO Price Ratio</t>
  </si>
  <si>
    <t xml:space="preserve">bionaphtha </t>
  </si>
  <si>
    <t xml:space="preserve">biojet </t>
  </si>
  <si>
    <t>tkm</t>
  </si>
  <si>
    <t>Transport fixed costs (based on tonnes, MEUR per year)</t>
  </si>
  <si>
    <t>Transport variable costs (based on tkm, in MEUR per year)</t>
  </si>
  <si>
    <t>Total transportation costs in MEUR per year</t>
  </si>
  <si>
    <t>kg catalyst</t>
  </si>
  <si>
    <t>Colombia model</t>
  </si>
  <si>
    <t>reference</t>
  </si>
  <si>
    <t>kg/tonne biooil</t>
  </si>
  <si>
    <t>Life Span</t>
  </si>
  <si>
    <t>years</t>
  </si>
  <si>
    <t>Split</t>
  </si>
  <si>
    <t>Light naphtha</t>
  </si>
  <si>
    <t>Biojet</t>
  </si>
  <si>
    <t>biofuel output</t>
  </si>
  <si>
    <t>biocrude output</t>
  </si>
  <si>
    <t>Biocrude to be transported (in ktpa)</t>
  </si>
  <si>
    <t>Biomass to biocrude yield (kg/kg DM)</t>
  </si>
  <si>
    <t>Biocrude to upgraded bio-oil yield</t>
  </si>
  <si>
    <t>upgraded bio-oil to “Drop-in” marine biofuel  yield</t>
  </si>
  <si>
    <t>Feedstock</t>
  </si>
  <si>
    <t>HTL</t>
  </si>
  <si>
    <t xml:space="preserve">Energy </t>
  </si>
  <si>
    <t xml:space="preserve">Upgrading </t>
  </si>
  <si>
    <t>Waste</t>
  </si>
  <si>
    <t>biomass</t>
  </si>
  <si>
    <t xml:space="preserve">tap water </t>
  </si>
  <si>
    <t>electricity mix for spain</t>
  </si>
  <si>
    <t>electricity from CHP</t>
  </si>
  <si>
    <t>Green hydrogen</t>
  </si>
  <si>
    <t xml:space="preserve">Catalyst </t>
  </si>
  <si>
    <t xml:space="preserve">Pipeline to bunker </t>
  </si>
  <si>
    <t>Combustion HTL fuel</t>
  </si>
  <si>
    <t>liquid</t>
  </si>
  <si>
    <t>solid</t>
  </si>
  <si>
    <t>gas</t>
  </si>
  <si>
    <t>FU</t>
  </si>
  <si>
    <t>1 kg</t>
  </si>
  <si>
    <t>1tkm</t>
  </si>
  <si>
    <t>1 tkm</t>
  </si>
  <si>
    <t>1 kWh</t>
  </si>
  <si>
    <t xml:space="preserve">1 kg </t>
  </si>
  <si>
    <t>1 MJ</t>
  </si>
  <si>
    <t>1 m3</t>
  </si>
  <si>
    <t>1MJ</t>
  </si>
  <si>
    <t xml:space="preserve">allocation </t>
  </si>
  <si>
    <t>Impact category</t>
  </si>
  <si>
    <t>Unit</t>
  </si>
  <si>
    <t>Assessing the environmental impacts of wind-based hydrogen production in the Netherlands using ex-ante LCA and scenarios analysis</t>
  </si>
  <si>
    <t>Nickel, 99.5% {GLO}| market for | Cut-off, S</t>
  </si>
  <si>
    <t>Transport, pipeline, onshore, petroleum {RoW}| market for transport, pipeline, onshore, petroleum | Cut-off, S</t>
  </si>
  <si>
    <t>Wastewater, average {RoW}| market for wastewater, average | Cut-off, S</t>
  </si>
  <si>
    <t>Inert waste, for final disposal {RoW}| market for inert waste, for final disposal | Cut-off, S</t>
  </si>
  <si>
    <t>Waste refinery gas {GLO}| treatment of, burned in flare | Cut-off, S</t>
  </si>
  <si>
    <t>Global warming</t>
  </si>
  <si>
    <t>kg CO2 eq</t>
  </si>
  <si>
    <t>Stratospheric ozone depletion</t>
  </si>
  <si>
    <t>kg CFC11 eq</t>
  </si>
  <si>
    <t>Ionizing radiation</t>
  </si>
  <si>
    <t>kBq Co-60 eq</t>
  </si>
  <si>
    <t>Ozone formation, Human health</t>
  </si>
  <si>
    <t>kg NOx eq</t>
  </si>
  <si>
    <t>Fine particulate matter formation</t>
  </si>
  <si>
    <t>kg PM2.5 eq</t>
  </si>
  <si>
    <t>Ozone formation, Terrestrial ecosystems</t>
  </si>
  <si>
    <t>Terrestrial acidification</t>
  </si>
  <si>
    <t>kg SO2 eq</t>
  </si>
  <si>
    <t>Freshwater eutrophication</t>
  </si>
  <si>
    <t>kg P eq</t>
  </si>
  <si>
    <t>Marine eutrophication</t>
  </si>
  <si>
    <t>kg N eq</t>
  </si>
  <si>
    <t>Terrestrial ecotoxicity</t>
  </si>
  <si>
    <t>kg 1,4-DCB</t>
  </si>
  <si>
    <t>Freshwater ecotoxicity</t>
  </si>
  <si>
    <t>Marine ecotoxicity</t>
  </si>
  <si>
    <t>Human carcinogenic toxicity</t>
  </si>
  <si>
    <t>Human non-carcinogenic toxicity</t>
  </si>
  <si>
    <t>Land use</t>
  </si>
  <si>
    <t>m2a crop eq</t>
  </si>
  <si>
    <t>Mineral resource scarcity</t>
  </si>
  <si>
    <t>kg Cu eq</t>
  </si>
  <si>
    <t>Fossil resource scarcity</t>
  </si>
  <si>
    <t>kg oil eq</t>
  </si>
  <si>
    <t>Water consumption</t>
  </si>
  <si>
    <t>m3</t>
  </si>
  <si>
    <t xml:space="preserve">total feedtock </t>
  </si>
  <si>
    <t xml:space="preserve">Total tkm </t>
  </si>
  <si>
    <t xml:space="preserve">total wood chips chipped </t>
  </si>
  <si>
    <t xml:space="preserve">total </t>
  </si>
  <si>
    <t>total water consumed</t>
  </si>
  <si>
    <t>electricity produced</t>
  </si>
  <si>
    <t>electricity avoided</t>
  </si>
  <si>
    <t>total green hydrogen required</t>
  </si>
  <si>
    <t>total Ni catalyst needed</t>
  </si>
  <si>
    <t>total tkm pipeline</t>
  </si>
  <si>
    <t xml:space="preserve">total HTL biofuel burned </t>
  </si>
  <si>
    <t xml:space="preserve">Allocated marine fraction </t>
  </si>
  <si>
    <t>Feedstock stage</t>
  </si>
  <si>
    <t xml:space="preserve">HTL stage </t>
  </si>
  <si>
    <t>per kg</t>
  </si>
  <si>
    <t>per MJ</t>
  </si>
  <si>
    <t xml:space="preserve">Upgrading stage </t>
  </si>
  <si>
    <t xml:space="preserve">Pipeline transport </t>
  </si>
  <si>
    <t xml:space="preserve">Combustion </t>
  </si>
  <si>
    <t>Final HTL biofuel</t>
  </si>
  <si>
    <t>total solid waste in kg</t>
  </si>
  <si>
    <t>total waste liquid in m3</t>
  </si>
  <si>
    <t>total gas in MJ</t>
  </si>
  <si>
    <t xml:space="preserve">Waste handling </t>
  </si>
  <si>
    <t>Solid</t>
  </si>
  <si>
    <t xml:space="preserve">Liquid </t>
  </si>
  <si>
    <t>Tap water {CO}| market for tap water | Cut-off, S</t>
  </si>
  <si>
    <t>Electricity, high voltage {CO}| market for electricity, high voltage | Cut-off, S</t>
  </si>
  <si>
    <t>Electricity, high voltage {CO}| treatment of bagasse, from sugarcane, in heat and power co-generation unit, 6400kW thermal | Cut-off, S</t>
  </si>
  <si>
    <t xml:space="preserve">Biocrdue transport </t>
  </si>
  <si>
    <t>Transport, freight, lorry 16-32 metric ton, EURO6 {RoW}| transport, freight, lorry 16-32 metric ton, EURO6 | Cut-off, S</t>
  </si>
  <si>
    <t>total tkm transported</t>
  </si>
  <si>
    <t xml:space="preserve">pulp transport </t>
  </si>
  <si>
    <t>Transport, freight, lorry with refrigeration machine, 7.5-16 ton, EURO6, carbon dioxide, liquid refrigerant, cooling {GLO}| market for transport, freight, lorry with refrigeration machine, 7.5-16 ton, EURO6, carbon dioxide, liquid refrig(...)_9 | Cut-off, S</t>
  </si>
  <si>
    <t xml:space="preserve">avoided emission </t>
  </si>
  <si>
    <t>2.5 kg coffee pulp</t>
  </si>
  <si>
    <t>total pulp 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</si>
</sst>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.000"/>
    <numFmt numFmtId="166" formatCode="0.0000"/>
    <numFmt numFmtId="167" formatCode="0.00000"/>
    <numFmt numFmtId="168" formatCode="0.0%"/>
    <numFmt numFmtId="169" formatCode="0.000000"/>
  </numFmts>
  <fonts count="9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10"/>
      <color rgb="FF202124"/>
      <name val="Arial"/>
      <family val="2"/>
    </font>
    <font>
      <sz val="8"/>
      <name val="Calibri"/>
      <family val="2"/>
      <scheme val="minor"/>
    </font>
    <font>
      <sz val="11"/>
      <color rgb="FF201232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FFFFFF"/>
      <name val="Calibri"/>
      <family val="2"/>
    </font>
    <font>
      <sz val="10"/>
      <color theme="1"/>
      <name val="Arial"/>
      <family val="2"/>
    </font>
    <font>
      <b/>
      <sz val="10"/>
      <color rgb="FFFFFFFF"/>
      <name val="Calibri"/>
    </font>
    <font>
      <b/>
      <sz val="9"/>
      <color rgb="FFFFFFFF"/>
      <name val="Calibri"/>
    </font>
    <font>
      <sz val="10"/>
      <name val="Calibri"/>
    </font>
    <font>
      <sz val="10"/>
      <color rgb="FF000000"/>
      <name val="Calibri"/>
    </font>
    <font>
      <sz val="9"/>
      <color rgb="FF000000"/>
      <name val="Calibri"/>
    </font>
    <font>
      <sz val="10"/>
      <color rgb="FF000000"/>
      <name val="Calibri"/>
      <family val="2"/>
    </font>
    <font>
      <sz val="9"/>
      <color rgb="FF000000"/>
      <name val="Calibri"/>
      <family val="2"/>
    </font>
    <font>
      <sz val="9"/>
      <name val="Calibri"/>
    </font>
    <font>
      <sz val="10"/>
      <color rgb="FF999999"/>
      <name val="Calibri"/>
    </font>
    <font>
      <sz val="9"/>
      <color rgb="FF999999"/>
      <name val="Calibri"/>
    </font>
    <font>
      <sz val="10"/>
      <color rgb="FF6423BA"/>
      <name val="Calibri"/>
      <family val="2"/>
    </font>
    <font>
      <sz val="10"/>
      <color rgb="FF999999"/>
      <name val="Calibri"/>
      <family val="2"/>
    </font>
    <font>
      <b/>
      <i/>
      <sz val="11"/>
      <color rgb="FF7F7F7F"/>
      <name val="Calibri"/>
      <family val="2"/>
      <scheme val="minor"/>
    </font>
    <font>
      <i/>
      <sz val="10"/>
      <color rgb="FF000000"/>
      <name val="Calibri"/>
      <family val="2"/>
    </font>
    <font>
      <i/>
      <sz val="9"/>
      <color rgb="FF000000"/>
      <name val="Calibri"/>
      <family val="2"/>
    </font>
    <font>
      <sz val="10"/>
      <color rgb="FFFF0000"/>
      <name val="Calibri"/>
      <family val="2"/>
    </font>
    <font>
      <sz val="10"/>
      <color rgb="FFFF0000"/>
      <name val="Arial"/>
      <family val="2"/>
    </font>
    <font>
      <i/>
      <sz val="9"/>
      <color rgb="FFFF0000"/>
      <name val="Calibri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10"/>
      <color rgb="FFB7B7B7"/>
      <name val="Calibri"/>
      <family val="2"/>
    </font>
    <font>
      <sz val="10"/>
      <color rgb="FF000000"/>
      <name val="Arial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u/>
      <sz val="11"/>
      <color theme="10"/>
      <name val="Calibri"/>
      <family val="2"/>
      <scheme val="minor"/>
    </font>
    <font>
      <sz val="8"/>
      <color theme="1"/>
      <name val="Calibri"/>
      <family val="2"/>
    </font>
    <font>
      <b/>
      <sz val="10"/>
      <color rgb="FFFF00FF"/>
      <name val="Calibri"/>
      <family val="2"/>
    </font>
    <font>
      <sz val="10"/>
      <color rgb="FFFF00FF"/>
      <name val="Calibri"/>
      <family val="2"/>
    </font>
    <font>
      <sz val="8"/>
      <color rgb="FFFF00FF"/>
      <name val="Calibri"/>
      <family val="2"/>
    </font>
    <font>
      <sz val="8"/>
      <color rgb="FF000000"/>
      <name val="Calibri"/>
      <family val="2"/>
    </font>
    <font>
      <i/>
      <sz val="8"/>
      <color rgb="FFB7B7B7"/>
      <name val="Calibri"/>
      <family val="2"/>
    </font>
    <font>
      <i/>
      <sz val="10"/>
      <color theme="1"/>
      <name val="Arial"/>
      <family val="2"/>
    </font>
    <font>
      <b/>
      <sz val="10"/>
      <color theme="1"/>
      <name val="Calibri"/>
      <family val="2"/>
    </font>
    <font>
      <sz val="11"/>
      <color rgb="FF000000"/>
      <name val="Calibri"/>
      <family val="2"/>
    </font>
    <font>
      <sz val="11"/>
      <color rgb="FF202124"/>
      <name val="Calibri"/>
      <family val="2"/>
      <scheme val="minor"/>
    </font>
    <font>
      <sz val="8"/>
      <color rgb="FF000000"/>
      <name val="Cambria"/>
      <family val="1"/>
    </font>
    <font>
      <b/>
      <sz val="10"/>
      <color rgb="FFFFFFFF"/>
      <name val="Arial"/>
    </font>
    <font>
      <sz val="10"/>
      <color rgb="FFFFFFFF"/>
      <name val="Arial"/>
    </font>
    <font>
      <b/>
      <sz val="10"/>
      <name val="Arial"/>
    </font>
    <font>
      <sz val="10"/>
      <name val="Arial"/>
    </font>
    <font>
      <sz val="8"/>
      <name val="Arial"/>
    </font>
    <font>
      <i/>
      <sz val="10"/>
      <name val="Arial"/>
    </font>
    <font>
      <i/>
      <sz val="8"/>
      <name val="Arial"/>
    </font>
    <font>
      <b/>
      <sz val="10"/>
      <color rgb="FF999999"/>
      <name val="Arial"/>
    </font>
    <font>
      <sz val="10"/>
      <color rgb="FF999999"/>
      <name val="Arial"/>
    </font>
    <font>
      <sz val="8"/>
      <color rgb="FF999999"/>
      <name val="Arial"/>
    </font>
    <font>
      <b/>
      <i/>
      <sz val="10"/>
      <name val="Arial"/>
    </font>
    <font>
      <b/>
      <sz val="10"/>
      <name val="Calibri"/>
    </font>
    <font>
      <b/>
      <sz val="9"/>
      <name val="Calibri"/>
    </font>
    <font>
      <b/>
      <sz val="10"/>
      <color rgb="FF000000"/>
      <name val="Calibri"/>
    </font>
    <font>
      <b/>
      <sz val="9"/>
      <color rgb="FF000000"/>
      <name val="Calibri"/>
    </font>
    <font>
      <sz val="8"/>
      <name val="Calibri"/>
    </font>
    <font>
      <sz val="8"/>
      <color rgb="FF000000"/>
      <name val="Calibri"/>
    </font>
    <font>
      <sz val="11"/>
      <color rgb="FFF7981D"/>
      <name val="Calibri"/>
    </font>
    <font>
      <b/>
      <sz val="10"/>
      <color theme="0"/>
      <name val="Calibri"/>
      <family val="2"/>
    </font>
    <font>
      <sz val="9"/>
      <color rgb="FFFFFFFF"/>
      <name val="Calibri"/>
    </font>
    <font>
      <sz val="10"/>
      <color rgb="FFFFFFFF"/>
      <name val="Calibri"/>
    </font>
    <font>
      <sz val="10"/>
      <name val="Calibri"/>
      <family val="2"/>
    </font>
    <font>
      <sz val="9"/>
      <color rgb="FF000000"/>
      <name val="Arial"/>
    </font>
    <font>
      <sz val="9"/>
      <name val="Arial"/>
    </font>
    <font>
      <sz val="9"/>
      <color rgb="FFFF0000"/>
      <name val="Calibri"/>
    </font>
    <font>
      <sz val="9"/>
      <name val="Calibri"/>
      <family val="2"/>
    </font>
    <font>
      <sz val="8"/>
      <color rgb="FFB7B7B7"/>
      <name val="Calibri"/>
    </font>
    <font>
      <sz val="9"/>
      <color rgb="FFB7B7B7"/>
      <name val="Calibri"/>
    </font>
    <font>
      <sz val="10"/>
      <color rgb="FFB7B7B7"/>
      <name val="Calibri"/>
    </font>
    <font>
      <i/>
      <sz val="10"/>
      <color rgb="FFFFFFFF"/>
      <name val="Calibri"/>
    </font>
    <font>
      <i/>
      <sz val="10"/>
      <color rgb="FF000000"/>
      <name val="Calibri"/>
    </font>
    <font>
      <i/>
      <sz val="9"/>
      <color rgb="FF000000"/>
      <name val="Calibri"/>
    </font>
    <font>
      <b/>
      <i/>
      <sz val="10"/>
      <color rgb="FF000000"/>
      <name val="Calibri"/>
    </font>
    <font>
      <b/>
      <i/>
      <sz val="9"/>
      <color rgb="FF000000"/>
      <name val="Calibri"/>
      <family val="2"/>
    </font>
    <font>
      <sz val="11"/>
      <name val="Calibri"/>
      <family val="2"/>
      <scheme val="minor"/>
    </font>
    <font>
      <sz val="10"/>
      <color rgb="FFFF0000"/>
      <name val="Calibri"/>
    </font>
    <font>
      <sz val="11"/>
      <color rgb="FF000000"/>
      <name val="Inconsolata"/>
    </font>
    <font>
      <b/>
      <sz val="10"/>
      <color rgb="FF5B6A79"/>
      <name val="Calibri"/>
    </font>
    <font>
      <b/>
      <i/>
      <sz val="10"/>
      <color rgb="FFFFFFFF"/>
      <name val="Calibri"/>
    </font>
    <font>
      <sz val="8"/>
      <color rgb="FF252525"/>
      <name val="Arial"/>
      <family val="2"/>
    </font>
    <font>
      <b/>
      <sz val="8"/>
      <color rgb="FF252525"/>
      <name val="Arial"/>
      <family val="2"/>
    </font>
    <font>
      <i/>
      <sz val="10"/>
      <name val="Calibri"/>
    </font>
    <font>
      <b/>
      <i/>
      <sz val="10"/>
      <name val="Calibri"/>
    </font>
    <font>
      <sz val="11"/>
      <color rgb="FF7E3794"/>
      <name val="Calibri"/>
    </font>
    <font>
      <sz val="8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052C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6A7B8D"/>
        <bgColor rgb="FF6A7B8D"/>
      </patternFill>
    </fill>
    <fill>
      <patternFill patternType="solid">
        <fgColor rgb="FFFFFFFF"/>
        <bgColor rgb="FFFFFFFF"/>
      </patternFill>
    </fill>
    <fill>
      <patternFill patternType="solid">
        <fgColor rgb="FFF3F3F3"/>
        <bgColor indexed="64"/>
      </patternFill>
    </fill>
    <fill>
      <patternFill patternType="solid">
        <fgColor rgb="FF052C50"/>
        <bgColor rgb="FF052C50"/>
      </patternFill>
    </fill>
    <fill>
      <patternFill patternType="solid">
        <fgColor theme="9" tint="-0.249977111117893"/>
        <bgColor rgb="FF6E4A22"/>
      </patternFill>
    </fill>
    <fill>
      <patternFill patternType="solid">
        <fgColor theme="9" tint="-0.249977111117893"/>
        <bgColor rgb="FFBF9000"/>
      </patternFill>
    </fill>
    <fill>
      <patternFill patternType="solid">
        <fgColor theme="8" tint="-0.499984740745262"/>
        <bgColor rgb="FF741B47"/>
      </patternFill>
    </fill>
    <fill>
      <patternFill patternType="solid">
        <fgColor theme="5" tint="-0.499984740745262"/>
        <bgColor rgb="FF45505B"/>
      </patternFill>
    </fill>
    <fill>
      <patternFill patternType="solid">
        <fgColor rgb="FF45505B"/>
        <bgColor rgb="FF45505B"/>
      </patternFill>
    </fill>
    <fill>
      <patternFill patternType="solid">
        <fgColor rgb="FFC27BA0"/>
        <bgColor rgb="FFC27BA0"/>
      </patternFill>
    </fill>
    <fill>
      <patternFill patternType="solid">
        <fgColor rgb="FF00B05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9" fontId="8" fillId="0" borderId="0" applyFon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3" applyNumberFormat="0" applyAlignment="0" applyProtection="0"/>
    <xf numFmtId="0" fontId="12" fillId="7" borderId="4" applyNumberFormat="0" applyAlignment="0" applyProtection="0"/>
    <xf numFmtId="0" fontId="13" fillId="0" borderId="0" applyNumberFormat="0" applyFill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41" fillId="0" borderId="0" applyNumberFormat="0" applyFill="0" applyBorder="0" applyAlignment="0" applyProtection="0"/>
  </cellStyleXfs>
  <cellXfs count="315">
    <xf numFmtId="0" fontId="0" fillId="0" borderId="0" xfId="0"/>
    <xf numFmtId="0" fontId="1" fillId="0" borderId="0" xfId="0" applyFont="1"/>
    <xf numFmtId="0" fontId="0" fillId="0" borderId="0" xfId="0" applyAlignment="1">
      <alignment horizontal="left" indent="6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0" xfId="0" applyFont="1"/>
    <xf numFmtId="0" fontId="0" fillId="3" borderId="0" xfId="0" applyFill="1"/>
    <xf numFmtId="0" fontId="4" fillId="3" borderId="0" xfId="0" applyFont="1" applyFill="1"/>
    <xf numFmtId="0" fontId="6" fillId="3" borderId="0" xfId="0" applyFont="1" applyFill="1" applyAlignment="1">
      <alignment vertical="center" wrapText="1"/>
    </xf>
    <xf numFmtId="0" fontId="7" fillId="0" borderId="0" xfId="0" applyFont="1"/>
    <xf numFmtId="0" fontId="15" fillId="10" borderId="5" xfId="0" applyFont="1" applyFill="1" applyBorder="1" applyAlignment="1">
      <alignment vertical="center"/>
    </xf>
    <xf numFmtId="0" fontId="16" fillId="10" borderId="5" xfId="0" applyFont="1" applyFill="1" applyBorder="1" applyAlignment="1">
      <alignment wrapText="1"/>
    </xf>
    <xf numFmtId="0" fontId="17" fillId="0" borderId="0" xfId="0" applyFont="1"/>
    <xf numFmtId="0" fontId="18" fillId="0" borderId="0" xfId="0" applyFont="1"/>
    <xf numFmtId="0" fontId="19" fillId="0" borderId="0" xfId="0" applyFont="1"/>
    <xf numFmtId="0" fontId="16" fillId="11" borderId="5" xfId="0" applyFont="1" applyFill="1" applyBorder="1" applyAlignment="1">
      <alignment wrapText="1"/>
    </xf>
    <xf numFmtId="0" fontId="20" fillId="0" borderId="0" xfId="0" applyFont="1"/>
    <xf numFmtId="0" fontId="21" fillId="0" borderId="0" xfId="0" applyFont="1"/>
    <xf numFmtId="0" fontId="15" fillId="10" borderId="5" xfId="0" applyFont="1" applyFill="1" applyBorder="1" applyAlignment="1">
      <alignment wrapText="1"/>
    </xf>
    <xf numFmtId="0" fontId="22" fillId="11" borderId="5" xfId="0" applyFont="1" applyFill="1" applyBorder="1" applyAlignment="1">
      <alignment wrapText="1"/>
    </xf>
    <xf numFmtId="0" fontId="23" fillId="11" borderId="5" xfId="0" applyFont="1" applyFill="1" applyBorder="1" applyAlignment="1">
      <alignment wrapText="1"/>
    </xf>
    <xf numFmtId="9" fontId="22" fillId="11" borderId="5" xfId="0" applyNumberFormat="1" applyFont="1" applyFill="1" applyBorder="1" applyAlignment="1">
      <alignment horizontal="right" wrapText="1"/>
    </xf>
    <xf numFmtId="0" fontId="24" fillId="0" borderId="0" xfId="0" applyFont="1"/>
    <xf numFmtId="0" fontId="25" fillId="0" borderId="0" xfId="0" applyFont="1"/>
    <xf numFmtId="0" fontId="26" fillId="0" borderId="0" xfId="0" applyFont="1"/>
    <xf numFmtId="0" fontId="27" fillId="11" borderId="5" xfId="0" applyFont="1" applyFill="1" applyBorder="1" applyAlignment="1">
      <alignment horizontal="right" wrapText="1"/>
    </xf>
    <xf numFmtId="9" fontId="0" fillId="0" borderId="0" xfId="0" applyNumberFormat="1"/>
    <xf numFmtId="0" fontId="22" fillId="11" borderId="5" xfId="0" applyFont="1" applyFill="1" applyBorder="1" applyAlignment="1">
      <alignment horizontal="right" wrapText="1"/>
    </xf>
    <xf numFmtId="0" fontId="13" fillId="0" borderId="0" xfId="6" applyFill="1" applyBorder="1"/>
    <xf numFmtId="9" fontId="13" fillId="0" borderId="0" xfId="6" applyNumberFormat="1" applyFill="1" applyBorder="1"/>
    <xf numFmtId="0" fontId="28" fillId="11" borderId="5" xfId="0" applyFont="1" applyFill="1" applyBorder="1" applyAlignment="1">
      <alignment horizontal="right" wrapText="1"/>
    </xf>
    <xf numFmtId="10" fontId="13" fillId="0" borderId="0" xfId="6" applyNumberFormat="1" applyFill="1" applyBorder="1"/>
    <xf numFmtId="0" fontId="17" fillId="12" borderId="0" xfId="0" applyFont="1" applyFill="1"/>
    <xf numFmtId="0" fontId="18" fillId="12" borderId="0" xfId="0" applyFont="1" applyFill="1"/>
    <xf numFmtId="0" fontId="19" fillId="12" borderId="0" xfId="0" applyFont="1" applyFill="1"/>
    <xf numFmtId="0" fontId="19" fillId="13" borderId="0" xfId="0" applyFont="1" applyFill="1"/>
    <xf numFmtId="0" fontId="24" fillId="13" borderId="0" xfId="0" applyFont="1" applyFill="1"/>
    <xf numFmtId="9" fontId="20" fillId="13" borderId="0" xfId="0" applyNumberFormat="1" applyFont="1" applyFill="1"/>
    <xf numFmtId="0" fontId="12" fillId="0" borderId="0" xfId="8" applyFont="1" applyFill="1" applyBorder="1" applyAlignment="1">
      <alignment horizontal="center"/>
    </xf>
    <xf numFmtId="0" fontId="28" fillId="11" borderId="5" xfId="0" applyFont="1" applyFill="1" applyBorder="1" applyAlignment="1">
      <alignment wrapText="1"/>
    </xf>
    <xf numFmtId="164" fontId="20" fillId="13" borderId="0" xfId="0" applyNumberFormat="1" applyFont="1" applyFill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11" fillId="0" borderId="0" xfId="4" applyFill="1" applyBorder="1"/>
    <xf numFmtId="0" fontId="9" fillId="0" borderId="0" xfId="2" applyFill="1" applyBorder="1"/>
    <xf numFmtId="3" fontId="28" fillId="11" borderId="5" xfId="0" applyNumberFormat="1" applyFont="1" applyFill="1" applyBorder="1" applyAlignment="1">
      <alignment horizontal="right" wrapText="1"/>
    </xf>
    <xf numFmtId="0" fontId="29" fillId="0" borderId="0" xfId="6" applyFont="1" applyFill="1" applyBorder="1"/>
    <xf numFmtId="0" fontId="12" fillId="0" borderId="0" xfId="5" applyFill="1" applyBorder="1"/>
    <xf numFmtId="0" fontId="30" fillId="11" borderId="5" xfId="0" applyFont="1" applyFill="1" applyBorder="1" applyAlignment="1">
      <alignment wrapText="1"/>
    </xf>
    <xf numFmtId="0" fontId="31" fillId="11" borderId="5" xfId="0" applyFont="1" applyFill="1" applyBorder="1" applyAlignment="1">
      <alignment wrapText="1"/>
    </xf>
    <xf numFmtId="0" fontId="10" fillId="0" borderId="0" xfId="3" applyFill="1" applyBorder="1"/>
    <xf numFmtId="0" fontId="30" fillId="11" borderId="5" xfId="0" applyFont="1" applyFill="1" applyBorder="1" applyAlignment="1">
      <alignment vertical="center"/>
    </xf>
    <xf numFmtId="166" fontId="0" fillId="0" borderId="0" xfId="0" applyNumberFormat="1"/>
    <xf numFmtId="9" fontId="32" fillId="11" borderId="5" xfId="0" applyNumberFormat="1" applyFont="1" applyFill="1" applyBorder="1" applyAlignment="1">
      <alignment horizontal="right" wrapText="1"/>
    </xf>
    <xf numFmtId="0" fontId="33" fillId="11" borderId="5" xfId="0" applyFont="1" applyFill="1" applyBorder="1" applyAlignment="1">
      <alignment wrapText="1"/>
    </xf>
    <xf numFmtId="0" fontId="34" fillId="11" borderId="5" xfId="0" applyFont="1" applyFill="1" applyBorder="1" applyAlignment="1">
      <alignment wrapText="1"/>
    </xf>
    <xf numFmtId="0" fontId="32" fillId="11" borderId="5" xfId="0" applyFont="1" applyFill="1" applyBorder="1" applyAlignment="1">
      <alignment horizontal="right" wrapText="1"/>
    </xf>
    <xf numFmtId="9" fontId="0" fillId="0" borderId="0" xfId="1" applyFont="1" applyFill="1" applyBorder="1"/>
    <xf numFmtId="10" fontId="0" fillId="0" borderId="0" xfId="0" applyNumberFormat="1"/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/>
    <xf numFmtId="167" fontId="0" fillId="0" borderId="0" xfId="0" applyNumberFormat="1"/>
    <xf numFmtId="9" fontId="35" fillId="11" borderId="5" xfId="0" applyNumberFormat="1" applyFont="1" applyFill="1" applyBorder="1" applyAlignment="1">
      <alignment horizontal="right" wrapText="1"/>
    </xf>
    <xf numFmtId="0" fontId="36" fillId="11" borderId="5" xfId="0" applyFont="1" applyFill="1" applyBorder="1" applyAlignment="1">
      <alignment wrapText="1"/>
    </xf>
    <xf numFmtId="0" fontId="16" fillId="0" borderId="5" xfId="0" applyFont="1" applyBorder="1" applyAlignment="1">
      <alignment wrapText="1"/>
    </xf>
    <xf numFmtId="9" fontId="22" fillId="0" borderId="5" xfId="0" applyNumberFormat="1" applyFont="1" applyBorder="1" applyAlignment="1">
      <alignment horizontal="right" wrapText="1"/>
    </xf>
    <xf numFmtId="0" fontId="36" fillId="11" borderId="5" xfId="0" applyFont="1" applyFill="1" applyBorder="1" applyAlignment="1">
      <alignment horizontal="right" wrapText="1"/>
    </xf>
    <xf numFmtId="0" fontId="22" fillId="0" borderId="5" xfId="0" applyFont="1" applyBorder="1" applyAlignment="1">
      <alignment horizontal="right" wrapText="1"/>
    </xf>
    <xf numFmtId="0" fontId="37" fillId="11" borderId="5" xfId="0" applyFont="1" applyFill="1" applyBorder="1" applyAlignment="1">
      <alignment wrapText="1"/>
    </xf>
    <xf numFmtId="0" fontId="37" fillId="11" borderId="5" xfId="0" applyFont="1" applyFill="1" applyBorder="1" applyAlignment="1">
      <alignment horizontal="right" wrapText="1"/>
    </xf>
    <xf numFmtId="0" fontId="27" fillId="0" borderId="5" xfId="0" applyFont="1" applyBorder="1" applyAlignment="1">
      <alignment horizontal="right" wrapText="1"/>
    </xf>
    <xf numFmtId="0" fontId="28" fillId="0" borderId="5" xfId="0" applyFont="1" applyBorder="1" applyAlignment="1">
      <alignment horizontal="right" wrapText="1"/>
    </xf>
    <xf numFmtId="0" fontId="35" fillId="0" borderId="5" xfId="0" applyFont="1" applyBorder="1" applyAlignment="1">
      <alignment horizontal="right" wrapText="1"/>
    </xf>
    <xf numFmtId="0" fontId="16" fillId="11" borderId="5" xfId="0" applyFont="1" applyFill="1" applyBorder="1" applyAlignment="1">
      <alignment horizontal="right" wrapText="1"/>
    </xf>
    <xf numFmtId="3" fontId="28" fillId="0" borderId="5" xfId="0" applyNumberFormat="1" applyFont="1" applyBorder="1" applyAlignment="1">
      <alignment horizontal="right" wrapText="1"/>
    </xf>
    <xf numFmtId="9" fontId="32" fillId="0" borderId="5" xfId="0" applyNumberFormat="1" applyFont="1" applyBorder="1" applyAlignment="1">
      <alignment horizontal="right" wrapText="1"/>
    </xf>
    <xf numFmtId="0" fontId="32" fillId="0" borderId="5" xfId="0" applyFont="1" applyBorder="1" applyAlignment="1">
      <alignment horizontal="right" wrapText="1"/>
    </xf>
    <xf numFmtId="0" fontId="15" fillId="0" borderId="5" xfId="0" applyFont="1" applyBorder="1" applyAlignment="1">
      <alignment vertical="center"/>
    </xf>
    <xf numFmtId="0" fontId="31" fillId="0" borderId="5" xfId="0" applyFont="1" applyBorder="1" applyAlignment="1">
      <alignment wrapText="1"/>
    </xf>
    <xf numFmtId="9" fontId="35" fillId="0" borderId="5" xfId="0" applyNumberFormat="1" applyFont="1" applyBorder="1" applyAlignment="1">
      <alignment horizontal="right" wrapText="1"/>
    </xf>
    <xf numFmtId="0" fontId="22" fillId="0" borderId="5" xfId="0" applyFont="1" applyBorder="1" applyAlignment="1">
      <alignment wrapText="1"/>
    </xf>
    <xf numFmtId="0" fontId="23" fillId="0" borderId="5" xfId="0" applyFont="1" applyBorder="1" applyAlignment="1">
      <alignment wrapText="1"/>
    </xf>
    <xf numFmtId="0" fontId="36" fillId="0" borderId="5" xfId="0" applyFont="1" applyBorder="1" applyAlignment="1">
      <alignment wrapText="1"/>
    </xf>
    <xf numFmtId="0" fontId="36" fillId="0" borderId="5" xfId="0" applyFont="1" applyBorder="1" applyAlignment="1">
      <alignment horizontal="right" wrapText="1"/>
    </xf>
    <xf numFmtId="0" fontId="37" fillId="0" borderId="5" xfId="0" applyFont="1" applyBorder="1" applyAlignment="1">
      <alignment wrapText="1"/>
    </xf>
    <xf numFmtId="0" fontId="37" fillId="0" borderId="5" xfId="0" applyFont="1" applyBorder="1" applyAlignment="1">
      <alignment horizontal="right" wrapText="1"/>
    </xf>
    <xf numFmtId="0" fontId="16" fillId="0" borderId="5" xfId="0" applyFont="1" applyBorder="1" applyAlignment="1">
      <alignment horizontal="right" wrapText="1"/>
    </xf>
    <xf numFmtId="0" fontId="15" fillId="0" borderId="5" xfId="0" applyFont="1" applyBorder="1" applyAlignment="1">
      <alignment wrapText="1"/>
    </xf>
    <xf numFmtId="0" fontId="30" fillId="0" borderId="5" xfId="0" applyFont="1" applyBorder="1" applyAlignment="1">
      <alignment wrapText="1"/>
    </xf>
    <xf numFmtId="0" fontId="35" fillId="11" borderId="5" xfId="0" applyFont="1" applyFill="1" applyBorder="1" applyAlignment="1">
      <alignment wrapText="1"/>
    </xf>
    <xf numFmtId="0" fontId="35" fillId="11" borderId="5" xfId="0" applyFont="1" applyFill="1" applyBorder="1" applyAlignment="1">
      <alignment horizontal="right" wrapText="1"/>
    </xf>
    <xf numFmtId="0" fontId="42" fillId="11" borderId="5" xfId="0" applyFont="1" applyFill="1" applyBorder="1" applyAlignment="1">
      <alignment horizontal="right" wrapText="1"/>
    </xf>
    <xf numFmtId="0" fontId="42" fillId="11" borderId="5" xfId="0" applyFont="1" applyFill="1" applyBorder="1" applyAlignment="1">
      <alignment wrapText="1"/>
    </xf>
    <xf numFmtId="0" fontId="43" fillId="11" borderId="5" xfId="0" applyFont="1" applyFill="1" applyBorder="1" applyAlignment="1">
      <alignment wrapText="1"/>
    </xf>
    <xf numFmtId="0" fontId="44" fillId="11" borderId="5" xfId="0" applyFont="1" applyFill="1" applyBorder="1" applyAlignment="1">
      <alignment horizontal="right" wrapText="1"/>
    </xf>
    <xf numFmtId="1" fontId="0" fillId="0" borderId="0" xfId="0" applyNumberFormat="1"/>
    <xf numFmtId="0" fontId="41" fillId="11" borderId="5" xfId="9" applyFill="1" applyBorder="1" applyAlignment="1">
      <alignment wrapText="1"/>
    </xf>
    <xf numFmtId="0" fontId="45" fillId="11" borderId="5" xfId="0" applyFont="1" applyFill="1" applyBorder="1" applyAlignment="1">
      <alignment horizontal="right" wrapText="1"/>
    </xf>
    <xf numFmtId="0" fontId="45" fillId="11" borderId="5" xfId="0" applyFont="1" applyFill="1" applyBorder="1" applyAlignment="1">
      <alignment wrapText="1"/>
    </xf>
    <xf numFmtId="0" fontId="46" fillId="11" borderId="5" xfId="0" applyFont="1" applyFill="1" applyBorder="1" applyAlignment="1">
      <alignment horizontal="right" wrapText="1"/>
    </xf>
    <xf numFmtId="0" fontId="46" fillId="11" borderId="5" xfId="0" applyFont="1" applyFill="1" applyBorder="1" applyAlignment="1">
      <alignment wrapText="1"/>
    </xf>
    <xf numFmtId="0" fontId="47" fillId="11" borderId="5" xfId="0" applyFont="1" applyFill="1" applyBorder="1" applyAlignment="1">
      <alignment horizontal="right" wrapText="1"/>
    </xf>
    <xf numFmtId="0" fontId="47" fillId="11" borderId="5" xfId="0" applyFont="1" applyFill="1" applyBorder="1" applyAlignment="1">
      <alignment wrapText="1"/>
    </xf>
    <xf numFmtId="0" fontId="16" fillId="14" borderId="5" xfId="0" applyFont="1" applyFill="1" applyBorder="1" applyAlignment="1">
      <alignment wrapText="1"/>
    </xf>
    <xf numFmtId="0" fontId="22" fillId="14" borderId="5" xfId="0" applyFont="1" applyFill="1" applyBorder="1" applyAlignment="1">
      <alignment horizontal="right" wrapText="1"/>
    </xf>
    <xf numFmtId="0" fontId="31" fillId="14" borderId="5" xfId="0" applyFont="1" applyFill="1" applyBorder="1" applyAlignment="1">
      <alignment horizontal="right" wrapText="1"/>
    </xf>
    <xf numFmtId="0" fontId="48" fillId="11" borderId="5" xfId="0" applyFont="1" applyFill="1" applyBorder="1" applyAlignment="1">
      <alignment horizontal="right" wrapText="1"/>
    </xf>
    <xf numFmtId="0" fontId="15" fillId="10" borderId="5" xfId="0" applyFont="1" applyFill="1" applyBorder="1" applyAlignment="1">
      <alignment horizontal="center" wrapText="1"/>
    </xf>
    <xf numFmtId="0" fontId="49" fillId="0" borderId="5" xfId="0" applyFont="1" applyBorder="1" applyAlignment="1">
      <alignment wrapText="1"/>
    </xf>
    <xf numFmtId="0" fontId="49" fillId="11" borderId="5" xfId="0" applyFont="1" applyFill="1" applyBorder="1" applyAlignment="1">
      <alignment wrapText="1"/>
    </xf>
    <xf numFmtId="0" fontId="50" fillId="11" borderId="5" xfId="0" applyFont="1" applyFill="1" applyBorder="1" applyAlignment="1">
      <alignment horizontal="right" wrapText="1"/>
    </xf>
    <xf numFmtId="2" fontId="0" fillId="0" borderId="0" xfId="0" applyNumberFormat="1"/>
    <xf numFmtId="0" fontId="0" fillId="0" borderId="0" xfId="0" applyAlignment="1">
      <alignment horizontal="left" indent="4"/>
    </xf>
    <xf numFmtId="0" fontId="0" fillId="0" borderId="0" xfId="0" applyAlignment="1">
      <alignment horizontal="left" indent="5"/>
    </xf>
    <xf numFmtId="0" fontId="0" fillId="0" borderId="0" xfId="0" applyAlignment="1">
      <alignment horizontal="left" indent="8"/>
    </xf>
    <xf numFmtId="0" fontId="0" fillId="0" borderId="0" xfId="0" applyAlignment="1">
      <alignment horizontal="left"/>
    </xf>
    <xf numFmtId="0" fontId="20" fillId="13" borderId="6" xfId="0" applyFont="1" applyFill="1" applyBorder="1"/>
    <xf numFmtId="164" fontId="20" fillId="13" borderId="7" xfId="0" applyNumberFormat="1" applyFont="1" applyFill="1" applyBorder="1"/>
    <xf numFmtId="0" fontId="20" fillId="13" borderId="8" xfId="0" applyFont="1" applyFill="1" applyBorder="1"/>
    <xf numFmtId="0" fontId="51" fillId="0" borderId="0" xfId="0" applyFont="1"/>
    <xf numFmtId="0" fontId="52" fillId="0" borderId="0" xfId="0" applyFont="1"/>
    <xf numFmtId="0" fontId="53" fillId="15" borderId="0" xfId="0" applyFont="1" applyFill="1"/>
    <xf numFmtId="0" fontId="54" fillId="15" borderId="0" xfId="0" applyFont="1" applyFill="1"/>
    <xf numFmtId="164" fontId="55" fillId="13" borderId="0" xfId="0" applyNumberFormat="1" applyFont="1" applyFill="1"/>
    <xf numFmtId="164" fontId="56" fillId="13" borderId="0" xfId="0" applyNumberFormat="1" applyFont="1" applyFill="1"/>
    <xf numFmtId="164" fontId="57" fillId="13" borderId="0" xfId="0" applyNumberFormat="1" applyFont="1" applyFill="1"/>
    <xf numFmtId="1" fontId="57" fillId="13" borderId="0" xfId="0" applyNumberFormat="1" applyFont="1" applyFill="1"/>
    <xf numFmtId="1" fontId="56" fillId="13" borderId="0" xfId="0" applyNumberFormat="1" applyFont="1" applyFill="1"/>
    <xf numFmtId="0" fontId="56" fillId="13" borderId="0" xfId="0" applyFont="1" applyFill="1"/>
    <xf numFmtId="0" fontId="57" fillId="13" borderId="0" xfId="0" applyFont="1" applyFill="1"/>
    <xf numFmtId="0" fontId="55" fillId="13" borderId="0" xfId="0" applyFont="1" applyFill="1"/>
    <xf numFmtId="2" fontId="56" fillId="13" borderId="0" xfId="0" applyNumberFormat="1" applyFont="1" applyFill="1"/>
    <xf numFmtId="0" fontId="58" fillId="13" borderId="0" xfId="0" applyFont="1" applyFill="1"/>
    <xf numFmtId="1" fontId="58" fillId="13" borderId="0" xfId="0" applyNumberFormat="1" applyFont="1" applyFill="1"/>
    <xf numFmtId="0" fontId="59" fillId="13" borderId="0" xfId="0" applyFont="1" applyFill="1"/>
    <xf numFmtId="2" fontId="59" fillId="13" borderId="0" xfId="0" applyNumberFormat="1" applyFont="1" applyFill="1"/>
    <xf numFmtId="9" fontId="57" fillId="13" borderId="0" xfId="0" applyNumberFormat="1" applyFont="1" applyFill="1"/>
    <xf numFmtId="9" fontId="56" fillId="13" borderId="0" xfId="0" applyNumberFormat="1" applyFont="1" applyFill="1"/>
    <xf numFmtId="0" fontId="60" fillId="13" borderId="0" xfId="0" applyFont="1" applyFill="1"/>
    <xf numFmtId="0" fontId="61" fillId="13" borderId="0" xfId="0" applyFont="1" applyFill="1"/>
    <xf numFmtId="168" fontId="62" fillId="13" borderId="0" xfId="0" applyNumberFormat="1" applyFont="1" applyFill="1"/>
    <xf numFmtId="9" fontId="61" fillId="13" borderId="0" xfId="0" applyNumberFormat="1" applyFont="1" applyFill="1"/>
    <xf numFmtId="2" fontId="61" fillId="13" borderId="0" xfId="0" applyNumberFormat="1" applyFont="1" applyFill="1"/>
    <xf numFmtId="0" fontId="57" fillId="13" borderId="0" xfId="0" applyFont="1" applyFill="1" applyAlignment="1">
      <alignment horizontal="right"/>
    </xf>
    <xf numFmtId="0" fontId="59" fillId="13" borderId="0" xfId="0" applyFont="1" applyFill="1" applyAlignment="1">
      <alignment horizontal="right"/>
    </xf>
    <xf numFmtId="1" fontId="59" fillId="13" borderId="0" xfId="0" applyNumberFormat="1" applyFont="1" applyFill="1"/>
    <xf numFmtId="164" fontId="58" fillId="13" borderId="0" xfId="0" applyNumberFormat="1" applyFont="1" applyFill="1"/>
    <xf numFmtId="0" fontId="63" fillId="13" borderId="0" xfId="0" applyFont="1" applyFill="1"/>
    <xf numFmtId="1" fontId="64" fillId="13" borderId="0" xfId="0" applyNumberFormat="1" applyFont="1" applyFill="1"/>
    <xf numFmtId="9" fontId="58" fillId="13" borderId="0" xfId="0" applyNumberFormat="1" applyFont="1" applyFill="1"/>
    <xf numFmtId="4" fontId="17" fillId="12" borderId="0" xfId="0" applyNumberFormat="1" applyFont="1" applyFill="1"/>
    <xf numFmtId="4" fontId="21" fillId="12" borderId="0" xfId="0" applyNumberFormat="1" applyFont="1" applyFill="1"/>
    <xf numFmtId="4" fontId="20" fillId="12" borderId="0" xfId="0" applyNumberFormat="1" applyFont="1" applyFill="1"/>
    <xf numFmtId="0" fontId="65" fillId="13" borderId="0" xfId="0" applyFont="1" applyFill="1"/>
    <xf numFmtId="2" fontId="20" fillId="13" borderId="0" xfId="0" applyNumberFormat="1" applyFont="1" applyFill="1" applyAlignment="1">
      <alignment horizontal="right"/>
    </xf>
    <xf numFmtId="2" fontId="20" fillId="13" borderId="0" xfId="0" applyNumberFormat="1" applyFont="1" applyFill="1"/>
    <xf numFmtId="9" fontId="20" fillId="13" borderId="0" xfId="0" applyNumberFormat="1" applyFont="1" applyFill="1" applyAlignment="1">
      <alignment horizontal="right"/>
    </xf>
    <xf numFmtId="0" fontId="65" fillId="12" borderId="0" xfId="0" applyFont="1" applyFill="1"/>
    <xf numFmtId="0" fontId="24" fillId="12" borderId="0" xfId="0" applyFont="1" applyFill="1"/>
    <xf numFmtId="9" fontId="20" fillId="12" borderId="0" xfId="0" applyNumberFormat="1" applyFont="1" applyFill="1" applyAlignment="1">
      <alignment horizontal="right"/>
    </xf>
    <xf numFmtId="4" fontId="20" fillId="13" borderId="0" xfId="0" applyNumberFormat="1" applyFont="1" applyFill="1"/>
    <xf numFmtId="0" fontId="17" fillId="15" borderId="0" xfId="0" applyFont="1" applyFill="1"/>
    <xf numFmtId="0" fontId="18" fillId="15" borderId="0" xfId="0" applyFont="1" applyFill="1"/>
    <xf numFmtId="4" fontId="66" fillId="13" borderId="0" xfId="0" applyNumberFormat="1" applyFont="1" applyFill="1"/>
    <xf numFmtId="0" fontId="67" fillId="13" borderId="0" xfId="0" applyFont="1" applyFill="1"/>
    <xf numFmtId="165" fontId="66" fillId="13" borderId="0" xfId="0" applyNumberFormat="1" applyFont="1" applyFill="1"/>
    <xf numFmtId="0" fontId="68" fillId="13" borderId="0" xfId="0" applyFont="1" applyFill="1"/>
    <xf numFmtId="2" fontId="69" fillId="13" borderId="0" xfId="0" applyNumberFormat="1" applyFont="1" applyFill="1"/>
    <xf numFmtId="2" fontId="19" fillId="13" borderId="0" xfId="0" applyNumberFormat="1" applyFont="1" applyFill="1"/>
    <xf numFmtId="0" fontId="64" fillId="13" borderId="0" xfId="0" applyFont="1" applyFill="1"/>
    <xf numFmtId="165" fontId="19" fillId="13" borderId="0" xfId="0" applyNumberFormat="1" applyFont="1" applyFill="1"/>
    <xf numFmtId="0" fontId="70" fillId="13" borderId="0" xfId="0" applyFont="1" applyFill="1"/>
    <xf numFmtId="0" fontId="64" fillId="0" borderId="0" xfId="0" applyFont="1"/>
    <xf numFmtId="0" fontId="71" fillId="16" borderId="0" xfId="0" applyFont="1" applyFill="1"/>
    <xf numFmtId="0" fontId="17" fillId="13" borderId="0" xfId="0" applyFont="1" applyFill="1"/>
    <xf numFmtId="0" fontId="72" fillId="13" borderId="0" xfId="0" applyFont="1" applyFill="1"/>
    <xf numFmtId="0" fontId="73" fillId="13" borderId="0" xfId="0" applyFont="1" applyFill="1"/>
    <xf numFmtId="0" fontId="21" fillId="13" borderId="0" xfId="0" applyFont="1" applyFill="1"/>
    <xf numFmtId="0" fontId="74" fillId="0" borderId="0" xfId="0" applyFont="1"/>
    <xf numFmtId="0" fontId="20" fillId="13" borderId="0" xfId="0" applyFont="1" applyFill="1"/>
    <xf numFmtId="0" fontId="75" fillId="13" borderId="0" xfId="0" applyFont="1" applyFill="1"/>
    <xf numFmtId="0" fontId="76" fillId="13" borderId="0" xfId="0" applyFont="1" applyFill="1"/>
    <xf numFmtId="0" fontId="22" fillId="13" borderId="0" xfId="0" applyFont="1" applyFill="1"/>
    <xf numFmtId="0" fontId="77" fillId="13" borderId="0" xfId="0" applyFont="1" applyFill="1"/>
    <xf numFmtId="0" fontId="78" fillId="13" borderId="0" xfId="0" applyFont="1" applyFill="1"/>
    <xf numFmtId="0" fontId="74" fillId="13" borderId="0" xfId="0" applyFont="1" applyFill="1"/>
    <xf numFmtId="0" fontId="17" fillId="17" borderId="0" xfId="0" applyFont="1" applyFill="1"/>
    <xf numFmtId="9" fontId="19" fillId="13" borderId="0" xfId="0" applyNumberFormat="1" applyFont="1" applyFill="1"/>
    <xf numFmtId="0" fontId="79" fillId="13" borderId="0" xfId="0" applyFont="1" applyFill="1"/>
    <xf numFmtId="0" fontId="80" fillId="13" borderId="0" xfId="0" applyFont="1" applyFill="1"/>
    <xf numFmtId="0" fontId="81" fillId="13" borderId="0" xfId="0" applyFont="1" applyFill="1"/>
    <xf numFmtId="0" fontId="82" fillId="17" borderId="0" xfId="0" applyFont="1" applyFill="1"/>
    <xf numFmtId="0" fontId="20" fillId="17" borderId="0" xfId="0" applyFont="1" applyFill="1"/>
    <xf numFmtId="164" fontId="20" fillId="13" borderId="0" xfId="0" applyNumberFormat="1" applyFont="1" applyFill="1"/>
    <xf numFmtId="0" fontId="17" fillId="18" borderId="0" xfId="0" applyFont="1" applyFill="1"/>
    <xf numFmtId="0" fontId="17" fillId="19" borderId="0" xfId="0" applyFont="1" applyFill="1"/>
    <xf numFmtId="0" fontId="72" fillId="19" borderId="0" xfId="0" applyFont="1" applyFill="1"/>
    <xf numFmtId="0" fontId="73" fillId="19" borderId="0" xfId="0" applyFont="1" applyFill="1"/>
    <xf numFmtId="164" fontId="0" fillId="0" borderId="0" xfId="0" applyNumberFormat="1"/>
    <xf numFmtId="1" fontId="19" fillId="13" borderId="0" xfId="0" applyNumberFormat="1" applyFont="1" applyFill="1" applyAlignment="1">
      <alignment horizontal="right"/>
    </xf>
    <xf numFmtId="0" fontId="83" fillId="13" borderId="0" xfId="0" applyFont="1" applyFill="1"/>
    <xf numFmtId="0" fontId="84" fillId="13" borderId="0" xfId="0" applyFont="1" applyFill="1"/>
    <xf numFmtId="164" fontId="83" fillId="13" borderId="0" xfId="0" applyNumberFormat="1" applyFont="1" applyFill="1" applyAlignment="1">
      <alignment horizontal="right"/>
    </xf>
    <xf numFmtId="1" fontId="20" fillId="13" borderId="0" xfId="0" applyNumberFormat="1" applyFont="1" applyFill="1" applyAlignment="1">
      <alignment horizontal="right"/>
    </xf>
    <xf numFmtId="0" fontId="76" fillId="19" borderId="0" xfId="0" applyFont="1" applyFill="1"/>
    <xf numFmtId="0" fontId="56" fillId="19" borderId="0" xfId="0" applyFont="1" applyFill="1"/>
    <xf numFmtId="0" fontId="85" fillId="13" borderId="0" xfId="0" applyFont="1" applyFill="1"/>
    <xf numFmtId="0" fontId="86" fillId="13" borderId="0" xfId="0" applyFont="1" applyFill="1"/>
    <xf numFmtId="164" fontId="85" fillId="13" borderId="0" xfId="0" applyNumberFormat="1" applyFont="1" applyFill="1" applyAlignment="1">
      <alignment horizontal="right"/>
    </xf>
    <xf numFmtId="0" fontId="87" fillId="0" borderId="0" xfId="0" applyFont="1"/>
    <xf numFmtId="2" fontId="19" fillId="13" borderId="0" xfId="0" applyNumberFormat="1" applyFont="1" applyFill="1" applyAlignment="1">
      <alignment horizontal="right"/>
    </xf>
    <xf numFmtId="0" fontId="88" fillId="13" borderId="0" xfId="0" applyFont="1" applyFill="1" applyAlignment="1">
      <alignment horizontal="right"/>
    </xf>
    <xf numFmtId="0" fontId="17" fillId="20" borderId="0" xfId="0" applyFont="1" applyFill="1"/>
    <xf numFmtId="0" fontId="72" fillId="20" borderId="0" xfId="0" applyFont="1" applyFill="1"/>
    <xf numFmtId="0" fontId="73" fillId="20" borderId="0" xfId="0" applyFont="1" applyFill="1"/>
    <xf numFmtId="1" fontId="19" fillId="13" borderId="0" xfId="0" applyNumberFormat="1" applyFont="1" applyFill="1"/>
    <xf numFmtId="1" fontId="20" fillId="13" borderId="0" xfId="0" applyNumberFormat="1" applyFont="1" applyFill="1"/>
    <xf numFmtId="2" fontId="81" fillId="13" borderId="0" xfId="0" applyNumberFormat="1" applyFont="1" applyFill="1"/>
    <xf numFmtId="2" fontId="80" fillId="13" borderId="0" xfId="0" applyNumberFormat="1" applyFont="1" applyFill="1"/>
    <xf numFmtId="0" fontId="25" fillId="13" borderId="0" xfId="0" applyFont="1" applyFill="1"/>
    <xf numFmtId="0" fontId="26" fillId="13" borderId="0" xfId="0" applyFont="1" applyFill="1"/>
    <xf numFmtId="0" fontId="41" fillId="0" borderId="0" xfId="9"/>
    <xf numFmtId="0" fontId="17" fillId="21" borderId="0" xfId="0" applyFont="1" applyFill="1"/>
    <xf numFmtId="0" fontId="72" fillId="21" borderId="0" xfId="0" applyFont="1" applyFill="1"/>
    <xf numFmtId="0" fontId="73" fillId="21" borderId="0" xfId="0" applyFont="1" applyFill="1"/>
    <xf numFmtId="0" fontId="72" fillId="15" borderId="0" xfId="0" applyFont="1" applyFill="1"/>
    <xf numFmtId="0" fontId="73" fillId="15" borderId="0" xfId="0" applyFont="1" applyFill="1"/>
    <xf numFmtId="164" fontId="89" fillId="13" borderId="0" xfId="0" applyNumberFormat="1" applyFont="1" applyFill="1"/>
    <xf numFmtId="0" fontId="19" fillId="21" borderId="0" xfId="0" applyFont="1" applyFill="1"/>
    <xf numFmtId="2" fontId="64" fillId="13" borderId="0" xfId="0" applyNumberFormat="1" applyFont="1" applyFill="1"/>
    <xf numFmtId="0" fontId="91" fillId="20" borderId="9" xfId="0" applyFont="1" applyFill="1" applyBorder="1"/>
    <xf numFmtId="0" fontId="73" fillId="20" borderId="10" xfId="0" applyFont="1" applyFill="1" applyBorder="1"/>
    <xf numFmtId="0" fontId="73" fillId="20" borderId="11" xfId="0" applyFont="1" applyFill="1" applyBorder="1"/>
    <xf numFmtId="0" fontId="91" fillId="20" borderId="0" xfId="0" applyFont="1" applyFill="1"/>
    <xf numFmtId="0" fontId="19" fillId="13" borderId="12" xfId="0" applyFont="1" applyFill="1" applyBorder="1"/>
    <xf numFmtId="4" fontId="19" fillId="13" borderId="0" xfId="0" applyNumberFormat="1" applyFont="1" applyFill="1" applyAlignment="1">
      <alignment horizontal="right"/>
    </xf>
    <xf numFmtId="0" fontId="19" fillId="13" borderId="13" xfId="0" applyFont="1" applyFill="1" applyBorder="1"/>
    <xf numFmtId="0" fontId="19" fillId="13" borderId="9" xfId="0" applyFont="1" applyFill="1" applyBorder="1"/>
    <xf numFmtId="2" fontId="19" fillId="13" borderId="10" xfId="0" applyNumberFormat="1" applyFont="1" applyFill="1" applyBorder="1"/>
    <xf numFmtId="0" fontId="19" fillId="13" borderId="11" xfId="0" applyFont="1" applyFill="1" applyBorder="1"/>
    <xf numFmtId="0" fontId="19" fillId="13" borderId="10" xfId="0" applyFont="1" applyFill="1" applyBorder="1"/>
    <xf numFmtId="0" fontId="20" fillId="13" borderId="10" xfId="0" applyFont="1" applyFill="1" applyBorder="1" applyAlignment="1">
      <alignment horizontal="right"/>
    </xf>
    <xf numFmtId="169" fontId="19" fillId="13" borderId="10" xfId="0" applyNumberFormat="1" applyFont="1" applyFill="1" applyBorder="1"/>
    <xf numFmtId="1" fontId="19" fillId="13" borderId="10" xfId="0" applyNumberFormat="1" applyFont="1" applyFill="1" applyBorder="1"/>
    <xf numFmtId="0" fontId="20" fillId="13" borderId="0" xfId="0" applyFont="1" applyFill="1" applyAlignment="1">
      <alignment horizontal="right"/>
    </xf>
    <xf numFmtId="169" fontId="19" fillId="13" borderId="0" xfId="0" applyNumberFormat="1" applyFont="1" applyFill="1"/>
    <xf numFmtId="0" fontId="19" fillId="13" borderId="6" xfId="0" applyFont="1" applyFill="1" applyBorder="1"/>
    <xf numFmtId="0" fontId="19" fillId="13" borderId="7" xfId="0" applyFont="1" applyFill="1" applyBorder="1"/>
    <xf numFmtId="0" fontId="19" fillId="13" borderId="8" xfId="0" applyFont="1" applyFill="1" applyBorder="1"/>
    <xf numFmtId="1" fontId="19" fillId="13" borderId="7" xfId="0" applyNumberFormat="1" applyFont="1" applyFill="1" applyBorder="1"/>
    <xf numFmtId="2" fontId="19" fillId="13" borderId="7" xfId="0" applyNumberFormat="1" applyFont="1" applyFill="1" applyBorder="1"/>
    <xf numFmtId="164" fontId="19" fillId="13" borderId="0" xfId="0" applyNumberFormat="1" applyFont="1" applyFill="1"/>
    <xf numFmtId="0" fontId="20" fillId="13" borderId="12" xfId="0" applyFont="1" applyFill="1" applyBorder="1"/>
    <xf numFmtId="169" fontId="20" fillId="13" borderId="0" xfId="0" applyNumberFormat="1" applyFont="1" applyFill="1"/>
    <xf numFmtId="0" fontId="20" fillId="13" borderId="13" xfId="0" applyFont="1" applyFill="1" applyBorder="1"/>
    <xf numFmtId="0" fontId="19" fillId="13" borderId="9" xfId="0" applyFont="1" applyFill="1" applyBorder="1" applyAlignment="1">
      <alignment horizontal="left"/>
    </xf>
    <xf numFmtId="0" fontId="19" fillId="13" borderId="12" xfId="0" applyFont="1" applyFill="1" applyBorder="1" applyAlignment="1">
      <alignment horizontal="left"/>
    </xf>
    <xf numFmtId="169" fontId="20" fillId="13" borderId="7" xfId="0" applyNumberFormat="1" applyFont="1" applyFill="1" applyBorder="1"/>
    <xf numFmtId="0" fontId="20" fillId="13" borderId="9" xfId="0" applyFont="1" applyFill="1" applyBorder="1"/>
    <xf numFmtId="164" fontId="20" fillId="13" borderId="10" xfId="0" applyNumberFormat="1" applyFont="1" applyFill="1" applyBorder="1"/>
    <xf numFmtId="0" fontId="20" fillId="13" borderId="11" xfId="0" applyFont="1" applyFill="1" applyBorder="1"/>
    <xf numFmtId="0" fontId="19" fillId="13" borderId="0" xfId="0" applyFont="1" applyFill="1" applyAlignment="1">
      <alignment horizontal="left"/>
    </xf>
    <xf numFmtId="165" fontId="19" fillId="13" borderId="10" xfId="0" applyNumberFormat="1" applyFont="1" applyFill="1" applyBorder="1"/>
    <xf numFmtId="9" fontId="19" fillId="13" borderId="10" xfId="0" applyNumberFormat="1" applyFont="1" applyFill="1" applyBorder="1" applyAlignment="1">
      <alignment horizontal="right"/>
    </xf>
    <xf numFmtId="2" fontId="19" fillId="0" borderId="0" xfId="0" applyNumberFormat="1" applyFont="1"/>
    <xf numFmtId="9" fontId="19" fillId="13" borderId="7" xfId="0" applyNumberFormat="1" applyFont="1" applyFill="1" applyBorder="1" applyAlignment="1">
      <alignment horizontal="right"/>
    </xf>
    <xf numFmtId="0" fontId="19" fillId="0" borderId="9" xfId="0" applyFont="1" applyBorder="1"/>
    <xf numFmtId="2" fontId="19" fillId="0" borderId="10" xfId="0" applyNumberFormat="1" applyFont="1" applyBorder="1"/>
    <xf numFmtId="0" fontId="19" fillId="0" borderId="11" xfId="0" applyFont="1" applyBorder="1"/>
    <xf numFmtId="0" fontId="19" fillId="0" borderId="12" xfId="0" applyFont="1" applyBorder="1"/>
    <xf numFmtId="0" fontId="19" fillId="0" borderId="13" xfId="0" applyFont="1" applyBorder="1"/>
    <xf numFmtId="165" fontId="19" fillId="13" borderId="7" xfId="0" applyNumberFormat="1" applyFont="1" applyFill="1" applyBorder="1"/>
    <xf numFmtId="0" fontId="19" fillId="0" borderId="6" xfId="0" applyFont="1" applyBorder="1"/>
    <xf numFmtId="2" fontId="19" fillId="0" borderId="7" xfId="0" applyNumberFormat="1" applyFont="1" applyBorder="1"/>
    <xf numFmtId="0" fontId="19" fillId="0" borderId="8" xfId="0" applyFont="1" applyBorder="1"/>
    <xf numFmtId="0" fontId="19" fillId="0" borderId="14" xfId="0" applyFont="1" applyBorder="1"/>
    <xf numFmtId="2" fontId="19" fillId="0" borderId="15" xfId="0" applyNumberFormat="1" applyFont="1" applyBorder="1"/>
    <xf numFmtId="0" fontId="19" fillId="0" borderId="16" xfId="0" applyFont="1" applyBorder="1"/>
    <xf numFmtId="0" fontId="19" fillId="13" borderId="14" xfId="0" applyFont="1" applyFill="1" applyBorder="1"/>
    <xf numFmtId="2" fontId="19" fillId="13" borderId="15" xfId="0" applyNumberFormat="1" applyFont="1" applyFill="1" applyBorder="1"/>
    <xf numFmtId="0" fontId="19" fillId="13" borderId="16" xfId="0" applyFont="1" applyFill="1" applyBorder="1"/>
    <xf numFmtId="0" fontId="92" fillId="11" borderId="0" xfId="0" applyFont="1" applyFill="1" applyAlignment="1">
      <alignment horizontal="left" vertical="center" wrapText="1"/>
    </xf>
    <xf numFmtId="0" fontId="93" fillId="11" borderId="0" xfId="0" applyFont="1" applyFill="1" applyAlignment="1">
      <alignment horizontal="left" vertical="center" wrapText="1"/>
    </xf>
    <xf numFmtId="0" fontId="66" fillId="13" borderId="0" xfId="0" applyFont="1" applyFill="1"/>
    <xf numFmtId="164" fontId="66" fillId="13" borderId="0" xfId="0" applyNumberFormat="1" applyFont="1" applyFill="1"/>
    <xf numFmtId="0" fontId="94" fillId="13" borderId="0" xfId="0" applyFont="1" applyFill="1"/>
    <xf numFmtId="164" fontId="83" fillId="13" borderId="0" xfId="0" applyNumberFormat="1" applyFont="1" applyFill="1"/>
    <xf numFmtId="0" fontId="67" fillId="13" borderId="0" xfId="0" applyFont="1" applyFill="1" applyAlignment="1">
      <alignment horizontal="left"/>
    </xf>
    <xf numFmtId="164" fontId="67" fillId="13" borderId="0" xfId="0" applyNumberFormat="1" applyFont="1" applyFill="1"/>
    <xf numFmtId="0" fontId="68" fillId="13" borderId="0" xfId="0" applyFont="1" applyFill="1" applyAlignment="1">
      <alignment horizontal="right"/>
    </xf>
    <xf numFmtId="164" fontId="69" fillId="13" borderId="0" xfId="0" applyNumberFormat="1" applyFont="1" applyFill="1"/>
    <xf numFmtId="164" fontId="65" fillId="13" borderId="0" xfId="0" applyNumberFormat="1" applyFont="1" applyFill="1"/>
    <xf numFmtId="164" fontId="94" fillId="13" borderId="0" xfId="0" applyNumberFormat="1" applyFont="1" applyFill="1"/>
    <xf numFmtId="2" fontId="66" fillId="13" borderId="0" xfId="0" applyNumberFormat="1" applyFont="1" applyFill="1"/>
    <xf numFmtId="0" fontId="95" fillId="13" borderId="0" xfId="0" applyFont="1" applyFill="1"/>
    <xf numFmtId="164" fontId="85" fillId="13" borderId="0" xfId="0" applyNumberFormat="1" applyFont="1" applyFill="1"/>
    <xf numFmtId="0" fontId="96" fillId="13" borderId="0" xfId="0" applyFont="1" applyFill="1"/>
    <xf numFmtId="0" fontId="69" fillId="13" borderId="0" xfId="0" applyFont="1" applyFill="1"/>
    <xf numFmtId="169" fontId="69" fillId="13" borderId="0" xfId="0" applyNumberFormat="1" applyFont="1" applyFill="1"/>
    <xf numFmtId="2" fontId="83" fillId="13" borderId="0" xfId="0" applyNumberFormat="1" applyFont="1" applyFill="1"/>
    <xf numFmtId="1" fontId="95" fillId="13" borderId="0" xfId="0" applyNumberFormat="1" applyFont="1" applyFill="1"/>
    <xf numFmtId="1" fontId="68" fillId="13" borderId="0" xfId="0" applyNumberFormat="1" applyFont="1" applyFill="1" applyAlignment="1">
      <alignment horizontal="right"/>
    </xf>
    <xf numFmtId="1" fontId="97" fillId="13" borderId="0" xfId="0" applyNumberFormat="1" applyFont="1" applyFill="1" applyAlignment="1">
      <alignment horizontal="right"/>
    </xf>
    <xf numFmtId="0" fontId="46" fillId="13" borderId="0" xfId="0" applyFont="1" applyFill="1"/>
    <xf numFmtId="1" fontId="66" fillId="13" borderId="0" xfId="0" applyNumberFormat="1" applyFont="1" applyFill="1"/>
    <xf numFmtId="0" fontId="0" fillId="22" borderId="0" xfId="0" applyFill="1"/>
    <xf numFmtId="0" fontId="12" fillId="0" borderId="0" xfId="7" applyFont="1" applyFill="1" applyBorder="1" applyAlignment="1">
      <alignment horizontal="center"/>
    </xf>
    <xf numFmtId="0" fontId="90" fillId="13" borderId="0" xfId="0" applyFont="1" applyFill="1"/>
    <xf numFmtId="0" fontId="0" fillId="0" borderId="0" xfId="0"/>
    <xf numFmtId="0" fontId="17" fillId="20" borderId="0" xfId="0" applyFont="1" applyFill="1"/>
    <xf numFmtId="0" fontId="17" fillId="0" borderId="0" xfId="0" applyFont="1"/>
  </cellXfs>
  <cellStyles count="10">
    <cellStyle name="Accent5" xfId="7" builtinId="45"/>
    <cellStyle name="Accent6" xfId="8" builtinId="49"/>
    <cellStyle name="Calculation" xfId="4" builtinId="22"/>
    <cellStyle name="Check Cell" xfId="5" builtinId="23"/>
    <cellStyle name="Explanatory Text" xfId="6" builtinId="53"/>
    <cellStyle name="Good" xfId="2" builtinId="26"/>
    <cellStyle name="Hyperlink" xfId="9" builtinId="8"/>
    <cellStyle name="Neutral" xfId="3" builtinId="28"/>
    <cellStyle name="Normal" xfId="0" builtinId="0"/>
    <cellStyle name="Percent" xfId="1" builtinId="5"/>
  </cellStyles>
  <dxfs count="1">
    <dxf>
      <fill>
        <patternFill patternType="solid">
          <fgColor rgb="FF980000"/>
          <bgColor rgb="FF98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Coffee</a:t>
            </a:r>
            <a:r>
              <a:rPr lang="nl-NL" baseline="0"/>
              <a:t> pulp energy distribution</a:t>
            </a:r>
            <a:endParaRPr lang="nl-NL"/>
          </a:p>
        </c:rich>
      </c:tx>
      <c:layout>
        <c:manualLayout>
          <c:xMode val="edge"/>
          <c:yMode val="edge"/>
          <c:x val="0.33545822397200348"/>
          <c:y val="1.85185185185185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9A95-4A39-9796-D5171FFE865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76DB-4FDE-BB0C-EDD5A83086C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9A95-4A39-9796-D5171FFE865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76DB-4FDE-BB0C-EDD5A83086C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9A95-4A39-9796-D5171FFE865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9A95-4A39-9796-D5171FFE865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76DB-4FDE-BB0C-EDD5A83086CE}"/>
              </c:ext>
            </c:extLst>
          </c:dPt>
          <c:dLbls>
            <c:dLbl>
              <c:idx val="1"/>
              <c:layout>
                <c:manualLayout>
                  <c:x val="-5.2476815398075187E-2"/>
                  <c:y val="-0.1435917906095071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6DB-4FDE-BB0C-EDD5A83086C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6DB-4FDE-BB0C-EDD5A83086C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6DB-4FDE-BB0C-EDD5A83086CE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'Energy balance '!$C$47:$C$53</c:f>
              <c:strCache>
                <c:ptCount val="7"/>
                <c:pt idx="0">
                  <c:v>Biofuel</c:v>
                </c:pt>
                <c:pt idx="1">
                  <c:v>Salable Electricity</c:v>
                </c:pt>
                <c:pt idx="2">
                  <c:v>Process Energy, from Biogas and Char</c:v>
                </c:pt>
                <c:pt idx="3">
                  <c:v>Process Energy, from Natural Gas</c:v>
                </c:pt>
                <c:pt idx="4">
                  <c:v>Aqueous Recyclate</c:v>
                </c:pt>
                <c:pt idx="5">
                  <c:v>Combustion Losses</c:v>
                </c:pt>
                <c:pt idx="6">
                  <c:v>Waste Aqueous &amp; Unknown Losses</c:v>
                </c:pt>
              </c:strCache>
            </c:strRef>
          </c:cat>
          <c:val>
            <c:numRef>
              <c:f>'Energy balance '!$E$47:$E$53</c:f>
              <c:numCache>
                <c:formatCode>0%</c:formatCode>
                <c:ptCount val="7"/>
                <c:pt idx="0">
                  <c:v>0.4</c:v>
                </c:pt>
                <c:pt idx="1">
                  <c:v>0.08</c:v>
                </c:pt>
                <c:pt idx="2">
                  <c:v>0.02</c:v>
                </c:pt>
                <c:pt idx="3">
                  <c:v>0</c:v>
                </c:pt>
                <c:pt idx="4">
                  <c:v>0.15</c:v>
                </c:pt>
                <c:pt idx="5">
                  <c:v>0.35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DB-4FDE-BB0C-EDD5A83086CE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73025</xdr:colOff>
      <xdr:row>39</xdr:row>
      <xdr:rowOff>6350</xdr:rowOff>
    </xdr:from>
    <xdr:to>
      <xdr:col>13</xdr:col>
      <xdr:colOff>377825</xdr:colOff>
      <xdr:row>53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CB8D15-ECF7-CB1F-6B85-12EFD08D93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ivachandrasek\Desktop\TEA_Spain%20pruning_final.xlsx" TargetMode="External"/><Relationship Id="rId1" Type="http://schemas.openxmlformats.org/officeDocument/2006/relationships/externalLinkPath" Target="file:///C:\Users\sivachandrasek\Desktop\TEA_Spain%20pruning_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ivachandrasek\Downloads\Tanzer%20et%20al%202019-%20Supplementary%20Information_2.xlsx" TargetMode="External"/><Relationship Id="rId1" Type="http://schemas.openxmlformats.org/officeDocument/2006/relationships/externalLinkPath" Target="file:///C:\Users\sivachandrasek\Downloads\Tanzer%20et%20al%202019-%20Supplementary%20Information_2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ivachandrasek\Desktop\TEA_All%20case%20studies.xlsx" TargetMode="External"/><Relationship Id="rId1" Type="http://schemas.openxmlformats.org/officeDocument/2006/relationships/externalLinkPath" Target="file:///C:\Users\sivachandrasek\Desktop\TEA_All%20case%20studies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U:\SivaCS\TU%20DELFT\CS%20project\Case%20study\Siva%20Final%20excel%20work\pomace\TEA_Spain%20pomace%20_final%20-%20Siva%20-%20with%20MFSP_corrected%20for%202023_588DTPD.xlsx" TargetMode="External"/><Relationship Id="rId1" Type="http://schemas.openxmlformats.org/officeDocument/2006/relationships/externalLinkPath" Target="file:///U:\SivaCS\TU%20DELFT\CS%20project\Case%20study\Siva%20Final%20excel%20work\pomace\TEA_Spain%20pomace%20_final%20-%20Siva%20-%20with%20MFSP_corrected%20for%202023_588DTPD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O:\TU%20DELFT\Siva%20Papers\Chapter%204%20-%20Biohubs%20TEE%20and%20LCA\Excel%20sheet%20for%20Chapter%204\New%20folder\Namibia\TEA_Namibia%20acacia_final.xlsx" TargetMode="External"/><Relationship Id="rId1" Type="http://schemas.openxmlformats.org/officeDocument/2006/relationships/externalLinkPath" Target="/TU%20DELFT/Siva%20Papers/Chapter%204%20-%20Biohubs%20TEE%20and%20LCA/Excel%20sheet%20for%20Chapter%204/New%20folder/Namibia/TEA_Namibia%20acacia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Process variables "/>
      <sheetName val="Mass balances "/>
      <sheetName val="Utilities from Aspen "/>
      <sheetName val="Energy balance "/>
      <sheetName val="Yields"/>
    </sheetNames>
    <sheetDataSet>
      <sheetData sheetId="0">
        <row r="8">
          <cell r="F8">
            <v>7301.25</v>
          </cell>
        </row>
      </sheetData>
      <sheetData sheetId="1">
        <row r="4">
          <cell r="C4">
            <v>0.8</v>
          </cell>
        </row>
        <row r="5">
          <cell r="C5">
            <v>0.22</v>
          </cell>
        </row>
        <row r="19">
          <cell r="G19">
            <v>0.8</v>
          </cell>
        </row>
        <row r="21">
          <cell r="G21">
            <v>0.8</v>
          </cell>
        </row>
      </sheetData>
      <sheetData sheetId="2">
        <row r="14">
          <cell r="D14">
            <v>219998.75</v>
          </cell>
        </row>
        <row r="17">
          <cell r="D17">
            <v>823125.38440996804</v>
          </cell>
        </row>
      </sheetData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ta"/>
      <sheetName val="Summary Results"/>
      <sheetName val="1.1 Demand"/>
      <sheetName val="1.2 Feedstocks"/>
      <sheetName val="2.1 Process Var"/>
      <sheetName val="2.2 Mass"/>
      <sheetName val="2.3 Utilities"/>
      <sheetName val="2.4 Energy Balance"/>
      <sheetName val="2.5 Yields"/>
      <sheetName val="Yield Tables"/>
      <sheetName val="2.C Yield Charts"/>
      <sheetName val="3.1 Refinery"/>
      <sheetName val="4.1 Expense Var"/>
      <sheetName val="Expense Tables"/>
      <sheetName val="4.2 Expenses"/>
      <sheetName val="4.C Expense Charts"/>
      <sheetName val="5.1 Emission Var"/>
      <sheetName val="5.2 Emissions"/>
      <sheetName val="Emission Tables"/>
      <sheetName val="5.C Emission Charts"/>
      <sheetName val="Scaling"/>
      <sheetName val="6.C Sensitivty Analysis Charts"/>
      <sheetName val="TEA Lit"/>
      <sheetName val="A.1. Factors"/>
      <sheetName val="A.2. Bibliography"/>
    </sheetNames>
    <sheetDataSet>
      <sheetData sheetId="0"/>
      <sheetData sheetId="1"/>
      <sheetData sheetId="2"/>
      <sheetData sheetId="3"/>
      <sheetData sheetId="4">
        <row r="51">
          <cell r="C51" t="str">
            <v>CO yield</v>
          </cell>
        </row>
      </sheetData>
      <sheetData sheetId="5">
        <row r="24">
          <cell r="C24" t="str">
            <v>Aqueous Recycling Iteration Count</v>
          </cell>
        </row>
      </sheetData>
      <sheetData sheetId="6">
        <row r="47">
          <cell r="C47" t="str">
            <v>Cooling Water Demand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5">
          <cell r="B15">
            <v>3.6</v>
          </cell>
        </row>
      </sheetData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Demand "/>
      <sheetName val="Feedstocks "/>
      <sheetName val="Process variables "/>
      <sheetName val="Mass balances "/>
      <sheetName val="utilities demand from Aspen plu"/>
      <sheetName val="Energy balance "/>
      <sheetName val="utilities "/>
      <sheetName val="yields "/>
      <sheetName val="CAPEX "/>
      <sheetName val="Expenses variable "/>
      <sheetName val="expenses_full_fuel without frac"/>
      <sheetName val="without hydrotreatment or fcc1 "/>
      <sheetName val="expenses_hydr frac fuel "/>
      <sheetName val="Sources and links 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15">
          <cell r="D115">
            <v>186216.038</v>
          </cell>
        </row>
      </sheetData>
      <sheetData sheetId="6" refreshError="1">
        <row r="46">
          <cell r="C46">
            <v>0</v>
          </cell>
        </row>
        <row r="48">
          <cell r="Q48">
            <v>50</v>
          </cell>
        </row>
        <row r="52">
          <cell r="C52">
            <v>0</v>
          </cell>
        </row>
        <row r="53">
          <cell r="C53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Demand "/>
      <sheetName val="Feedstocks "/>
      <sheetName val="Process variables "/>
      <sheetName val="Mass balances "/>
      <sheetName val="Utilities demand"/>
      <sheetName val="Utilities demand (2)"/>
      <sheetName val="Energy balance "/>
      <sheetName val="yields "/>
      <sheetName val="Expenses variable "/>
      <sheetName val="expenses_full_HTL"/>
      <sheetName val="expenses_full_fuel_HTL_Up"/>
      <sheetName val="expenses_full_fuel_HTL_CoUp"/>
      <sheetName val="expenses_full_fuel_HTL_UP_frac"/>
      <sheetName val="expenses_full_fuel_HTL_CoUp_fra"/>
      <sheetName val="Refinery"/>
      <sheetName val="utilities "/>
      <sheetName val="CAPEX "/>
      <sheetName val="play"/>
      <sheetName val="Sources and links "/>
      <sheetName val="Sheet4"/>
      <sheetName val="MFSP for different CAPEX"/>
      <sheetName val="MFSP sesnitivity  analysis "/>
      <sheetName val="MFSP play 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>
        <row r="48">
          <cell r="Q48">
            <v>50</v>
          </cell>
        </row>
      </sheetData>
      <sheetData sheetId="7"/>
      <sheetData sheetId="8"/>
      <sheetData sheetId="9"/>
      <sheetData sheetId="10">
        <row r="56">
          <cell r="H56">
            <v>1.0612299999999999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96">
          <cell r="E96">
            <v>1.4330848898467434</v>
          </cell>
        </row>
        <row r="99">
          <cell r="E99">
            <v>1.338379179246338</v>
          </cell>
        </row>
      </sheetData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Process variables "/>
      <sheetName val="mass balances "/>
      <sheetName val="Utilities from Aspen "/>
      <sheetName val="Energy balance"/>
      <sheetName val="Yields"/>
      <sheetName val="Refinery "/>
      <sheetName val="Expenses variable"/>
      <sheetName val="expenses_full_fue_HTL"/>
      <sheetName val="expenses_full_fue_HTL_CoUp_fra"/>
      <sheetName val="Sheet4"/>
      <sheetName val="Emission"/>
    </sheetNames>
    <sheetDataSet>
      <sheetData sheetId="0">
        <row r="31">
          <cell r="B31">
            <v>29.8</v>
          </cell>
        </row>
      </sheetData>
      <sheetData sheetId="1"/>
      <sheetData sheetId="2">
        <row r="5">
          <cell r="D5">
            <v>31250</v>
          </cell>
        </row>
        <row r="136">
          <cell r="D136">
            <v>9483.9492512741999</v>
          </cell>
        </row>
        <row r="190">
          <cell r="B190">
            <v>2132.3580260398298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ivaramakrishnan Chandrasekaran" id="{7C433296-A37A-48B9-99D5-92133D482907}" userId="S::sivachandrasek@tudelft.nl::34de0326-6289-4453-a615-f131b2a21532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6" dT="2023-09-12T07:32:02.85" personId="{00000000-0000-0000-0000-000000000000}" id="{8C6F7B01-78F0-48BC-A269-AF1FB0D41BA3}">
    <text xml:space="preserve">Reactor </text>
  </threadedComment>
  <threadedComment ref="D16" dT="2023-09-12T07:32:42.11" personId="{00000000-0000-0000-0000-000000000000}" id="{C4092635-55DF-4D1F-9667-4A217430A30D}">
    <text>B11</text>
  </threadedComment>
  <threadedComment ref="E16" dT="2023-09-12T07:34:54.17" personId="{00000000-0000-0000-0000-000000000000}" id="{35B6213D-F268-4EA2-8F96-AF2EEA39FC2E}">
    <text xml:space="preserve">B5
</text>
  </threadedComment>
  <threadedComment ref="B17" dT="2023-09-12T07:32:15.60" personId="{00000000-0000-0000-0000-000000000000}" id="{BC476B68-A5DE-4D02-89A4-995A648C427D}">
    <text>B41</text>
  </threadedComment>
  <threadedComment ref="D17" dT="2023-09-12T07:33:15.31" personId="{00000000-0000-0000-0000-000000000000}" id="{CD63E09C-B766-4843-AA92-B32C933D9D0E}">
    <text>B13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3" dT="2023-10-11T09:07:58.42" personId="{00000000-0000-0000-0000-000000000000}" id="{4BFD658F-4805-473C-A9B0-47CB96A62277}">
    <text>Tanzer</text>
  </threadedComment>
  <threadedComment ref="C9" dT="2023-10-11T09:17:30.04" personId="{00000000-0000-0000-0000-000000000000}" id="{7009D8D2-8612-4F0D-BA66-58A3DC00344F}">
    <text>https://www.intratec.us/products/industry-economics-worldwide/plant-location-factor/colombia-plant-location-factor</text>
    <extLst>
      <x:ext xmlns:xltc2="http://schemas.microsoft.com/office/spreadsheetml/2020/threadedcomments2" uri="{F7C98A9C-CBB3-438F-8F68-D28B6AF4A901}">
        <xltc2:checksum>2709593124</xltc2:checksum>
        <xltc2:hyperlink startIndex="0" length="114" url="https://www.intratec.us/products/industry-economics-worldwide/plant-location-factor/colombia-plant-location-factor"/>
      </x:ext>
    </extLst>
  </threadedComment>
  <threadedComment ref="C22" dT="2023-10-11T07:05:47.74" personId="{00000000-0000-0000-0000-000000000000}" id="{5E24E9B8-CAE6-4257-97FE-FB4BB1A7D0C4}">
    <text>https://www.ceicdata.com/en/indicator/colombia/long-term-interest-rate#:~:text=Colombia%20Long%20Term%20Interest%20Rate%3A%20Month%20End%3A%20Colombia%3A%20Treasury,Jan%202003%20to%20Sep%202024.</text>
    <extLst>
      <x:ext xmlns:xltc2="http://schemas.microsoft.com/office/spreadsheetml/2020/threadedcomments2" uri="{F7C98A9C-CBB3-438F-8F68-D28B6AF4A901}">
        <xltc2:checksum>435335351</xltc2:checksum>
        <xltc2:hyperlink startIndex="0" length="193" url="https://www.ceicdata.com/en/indicator/colombia/long-term-interest-rate#:~:text=Colombia%20Long%20Term%20Interest%20Rate%3A%20Month%20End%3A%20Colombia%3A%20Treasury,Jan%202003%20to%20Sep%202024"/>
      </x:ext>
    </extLst>
  </threadedComment>
  <threadedComment ref="C23" dT="2023-10-11T07:04:46.65" personId="{00000000-0000-0000-0000-000000000000}" id="{79928907-7BE5-4DF7-81CB-F4CAE400AFC2}">
    <text>https://www.macrotrends.net/global-metrics/countries/COL/colombia/inflation-rate-cpi#:~:text=Colombia%20inflation%20rate%20for%202022,a%201%25%20decline%20from%202019.</text>
    <extLst>
      <x:ext xmlns:xltc2="http://schemas.microsoft.com/office/spreadsheetml/2020/threadedcomments2" uri="{F7C98A9C-CBB3-438F-8F68-D28B6AF4A901}">
        <xltc2:checksum>3919145836</xltc2:checksum>
        <xltc2:hyperlink startIndex="0" length="166" url="https://www.macrotrends.net/global-metrics/countries/COL/colombia/inflation-rate-cpi#:~:text=Colombia%20inflation%20rate%20for%202022,a%201%25%20decline%20from%202019"/>
      </x:ext>
    </extLst>
  </threadedComment>
  <threadedComment ref="C24" dT="2023-10-11T07:07:23.93" personId="{00000000-0000-0000-0000-000000000000}" id="{9A48CB9F-C22C-4563-84F7-B84E2A53D303}">
    <text>https://pages.stern.nyu.edu/~adamodar/New_Home_Page/datafile/ctryprem.html</text>
    <extLst>
      <x:ext xmlns:xltc2="http://schemas.microsoft.com/office/spreadsheetml/2020/threadedcomments2" uri="{F7C98A9C-CBB3-438F-8F68-D28B6AF4A901}">
        <xltc2:checksum>77271508</xltc2:checksum>
        <xltc2:hyperlink startIndex="0" length="74" url="https://pages.stern.nyu.edu/~adamodar/New_Home_Page/datafile/ctryprem.html"/>
      </x:ext>
    </extLst>
  </threadedComment>
  <threadedComment ref="A26" dT="2023-10-11T07:14:30.25" personId="{00000000-0000-0000-0000-000000000000}" id="{5317B851-7B33-481A-B95E-23E0E15BB540}">
    <text>Same as Tanzer</text>
  </threadedComment>
  <threadedComment ref="A44" dT="2023-10-11T07:24:35.70" personId="{00000000-0000-0000-0000-000000000000}" id="{16FB14C0-C652-4E7E-9636-A3B96EF9D0E9}">
    <text>Prices 2023</text>
  </threadedComment>
  <threadedComment ref="A47" dT="2023-10-11T07:24:42.97" personId="{00000000-0000-0000-0000-000000000000}" id="{0C46915C-6A5D-4CC0-8348-4896FC394BFF}">
    <text>Prices 2023</text>
  </threadedComment>
  <threadedComment ref="A50" dT="2023-10-11T07:32:28.21" personId="{00000000-0000-0000-0000-000000000000}" id="{9A357B59-A479-4B48-A7E1-0BAF1C4DFA23}">
    <text>https://shipandbunker.com/prices/emea</text>
    <extLst>
      <x:ext xmlns:xltc2="http://schemas.microsoft.com/office/spreadsheetml/2020/threadedcomments2" uri="{F7C98A9C-CBB3-438F-8F68-D28B6AF4A901}">
        <xltc2:checksum>3809543837</xltc2:checksum>
        <xltc2:hyperlink startIndex="0" length="37" url="https://shipandbunker.com/prices/emea"/>
      </x:ext>
    </extLst>
  </threadedComment>
  <threadedComment ref="C50" dT="2024-11-15T13:11:56.14" personId="{7C433296-A37A-48B9-99D5-92133D482907}" id="{231B9F9F-8213-4953-BF47-6330FDB6ED05}">
    <text>https://www.oilmonster.com/bunker-fuel-prices/south-america/buenaventura/433</text>
    <extLst>
      <x:ext xmlns:xltc2="http://schemas.microsoft.com/office/spreadsheetml/2020/threadedcomments2" uri="{F7C98A9C-CBB3-438F-8F68-D28B6AF4A901}">
        <xltc2:checksum>3271397961</xltc2:checksum>
        <xltc2:hyperlink startIndex="0" length="76" url="https://www.oilmonster.com/bunker-fuel-prices/south-america/buenaventura/433"/>
      </x:ext>
    </extLst>
  </threadedComment>
  <threadedComment ref="C52" dT="2024-11-15T13:18:55.57" personId="{7C433296-A37A-48B9-99D5-92133D482907}" id="{5228FE27-FFFB-47E3-B803-B1C8D5256025}">
    <text>https://www.bnamericas.com/en/news/colombian-energy-prices-jump-as-el-nino-bites</text>
    <extLst>
      <x:ext xmlns:xltc2="http://schemas.microsoft.com/office/spreadsheetml/2020/threadedcomments2" uri="{F7C98A9C-CBB3-438F-8F68-D28B6AF4A901}">
        <xltc2:checksum>2370228052</xltc2:checksum>
        <xltc2:hyperlink startIndex="0" length="80" url="https://www.bnamericas.com/en/news/colombian-energy-prices-jump-as-el-nino-bites"/>
      </x:ext>
    </extLst>
  </threadedComment>
  <threadedComment ref="G52" dT="2023-10-11T07:34:42.72" personId="{00000000-0000-0000-0000-000000000000}" id="{EB816AF8-E652-4248-84B4-E85A62EE3F2F}">
    <text>https://shipandbunker.com/news/world/662089-integr8-vlsfo-calorific-value-pour-point-and-competitiveness-with-lsmgo</text>
    <extLst>
      <x:ext xmlns:xltc2="http://schemas.microsoft.com/office/spreadsheetml/2020/threadedcomments2" uri="{F7C98A9C-CBB3-438F-8F68-D28B6AF4A901}">
        <xltc2:checksum>3515712026</xltc2:checksum>
        <xltc2:hyperlink startIndex="0" length="115" url="https://shipandbunker.com/news/world/662089-integr8-vlsfo-calorific-value-pour-point-and-competitiveness-with-lsmgo"/>
      </x:ext>
    </extLst>
  </threadedComment>
  <threadedComment ref="C56" dT="2024-11-15T13:20:06.37" personId="{7C433296-A37A-48B9-99D5-92133D482907}" id="{1AB09503-D991-4774-98FB-C42D735F0FB3}">
    <text>https://www.statista.com/statistics/1173571/ecopetrol-crude-oil-prices-colombia/</text>
    <extLst>
      <x:ext xmlns:xltc2="http://schemas.microsoft.com/office/spreadsheetml/2020/threadedcomments2" uri="{F7C98A9C-CBB3-438F-8F68-D28B6AF4A901}">
        <xltc2:checksum>3100849544</xltc2:checksum>
        <xltc2:hyperlink startIndex="0" length="80" url="https://www.statista.com/statistics/1173571/ecopetrol-crude-oil-prices-colombia/"/>
      </x:ext>
    </extLst>
  </threadedComment>
  <threadedComment ref="H56" dT="2023-10-19T10:05:58.27" personId="{00000000-0000-0000-0000-000000000000}" id="{E8664C86-9E71-4843-9AE3-B869A74880B7}">
    <text>https://www.xe.com/currencycharts/?from=EUR&amp;to=USD</text>
    <extLst>
      <x:ext xmlns:xltc2="http://schemas.microsoft.com/office/spreadsheetml/2020/threadedcomments2" uri="{F7C98A9C-CBB3-438F-8F68-D28B6AF4A901}">
        <xltc2:checksum>3675498726</xltc2:checksum>
        <xltc2:hyperlink startIndex="0" length="50" url="https://www.xe.com/currencycharts/?from=EUR&amp;to=USD"/>
      </x:ext>
    </extLst>
  </threadedComment>
  <threadedComment ref="H57" dT="2024-11-15T13:14:53.21" personId="{7C433296-A37A-48B9-99D5-92133D482907}" id="{99A6EDCC-A217-4B7A-A0F3-73A09812B2A0}">
    <text>https://www.xe.com/currencycharts/?from=EUR&amp;to=COP&amp;view=5Y</text>
    <extLst>
      <x:ext xmlns:xltc2="http://schemas.microsoft.com/office/spreadsheetml/2020/threadedcomments2" uri="{F7C98A9C-CBB3-438F-8F68-D28B6AF4A901}">
        <xltc2:checksum>518445144</xltc2:checksum>
        <xltc2:hyperlink startIndex="0" length="58" url="https://www.xe.com/currencycharts/?from=EUR&amp;to=COP&amp;view=5Y"/>
      </x:ext>
    </extLst>
  </threadedComment>
  <threadedComment ref="C59" dT="2023-10-11T08:04:25.79" personId="{00000000-0000-0000-0000-000000000000}" id="{97296284-DF8A-4CED-B801-A0B72CAB91A3}">
    <text>Assumed</text>
  </threadedComment>
  <threadedComment ref="C68" dT="2024-11-15T13:28:23.03" personId="{7C433296-A37A-48B9-99D5-92133D482907}" id="{25C4EC4A-89D9-4556-88B2-DA99EADA4A33}">
    <text>https://www.globalpetrolprices.com/Colombia/natural_gas_prices/</text>
    <extLst>
      <x:ext xmlns:xltc2="http://schemas.microsoft.com/office/spreadsheetml/2020/threadedcomments2" uri="{F7C98A9C-CBB3-438F-8F68-D28B6AF4A901}">
        <xltc2:checksum>2867295678</xltc2:checksum>
        <xltc2:hyperlink startIndex="0" length="63" url="https://www.globalpetrolprices.com/Colombia/natural_gas_prices/"/>
      </x:ext>
    </extLst>
  </threadedComment>
  <threadedComment ref="F68" dT="2023-10-11T08:21:07.09" personId="{00000000-0000-0000-0000-000000000000}" id="{9CD93776-355F-4094-8F41-711D6B6152DE}">
    <text>https://ec.europa.eu/eurostat/statistics-explained/index.php?title=Natural_gas_price_statistics#Natural_gas_prices_for_non-household_consumers</text>
    <extLst>
      <x:ext xmlns:xltc2="http://schemas.microsoft.com/office/spreadsheetml/2020/threadedcomments2" uri="{F7C98A9C-CBB3-438F-8F68-D28B6AF4A901}">
        <xltc2:checksum>3013214461</xltc2:checksum>
        <xltc2:hyperlink startIndex="0" length="142" url="https://ec.europa.eu/eurostat/statistics-explained/index.php?title=Natural_gas_price_statistics#Natural_gas_prices_for_non-household_consumers"/>
      </x:ext>
    </extLst>
  </threadedComment>
  <threadedComment ref="C70" dT="2023-10-11T12:00:13.72" personId="{00000000-0000-0000-0000-000000000000}" id="{7F12C1F1-8DDE-4E0F-9A9B-3F54173C5B7C}">
    <text>https://www.salaryexpert.com/salary/job/chemical-plant-operator/colombia</text>
    <extLst>
      <x:ext xmlns:xltc2="http://schemas.microsoft.com/office/spreadsheetml/2020/threadedcomments2" uri="{F7C98A9C-CBB3-438F-8F68-D28B6AF4A901}">
        <xltc2:checksum>1145329707</xltc2:checksum>
        <xltc2:hyperlink startIndex="0" length="72" url="https://www.salaryexpert.com/salary/job/chemical-plant-operator/colombia"/>
      </x:ext>
    </extLst>
  </threadedComment>
  <threadedComment ref="B82" dT="2023-10-11T12:53:46.08" personId="{00000000-0000-0000-0000-000000000000}" id="{96C68217-485F-4755-ABF1-7AA035D71453}">
    <text>https://www.iea.org/data-and-statistics/data-tools/levelised-cost-of-electricity-calculator
And extrapolated with power rule in Denmark in excel</text>
    <extLst>
      <x:ext xmlns:xltc2="http://schemas.microsoft.com/office/spreadsheetml/2020/threadedcomments2" uri="{F7C98A9C-CBB3-438F-8F68-D28B6AF4A901}">
        <xltc2:checksum>1501923129</xltc2:checksum>
        <xltc2:hyperlink startIndex="0" length="91" url="https://www.iea.org/data-and-statistics/data-tools/levelised-cost-of-electricity-calculator"/>
      </x:ext>
    </extLs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A11" dT="2023-10-11T09:04:10.39" personId="{00000000-0000-0000-0000-000000000000}" id="{6E04C1A7-A4AB-478E-9BB1-0CB854CFDA16}">
    <text>https://personalpages.manchester.ac.uk/staff/tom.rodgers/Interactive_graphs/CEPCI.html?reactors/CEPCI/index.html</text>
    <extLst>
      <x:ext xmlns:xltc2="http://schemas.microsoft.com/office/spreadsheetml/2020/threadedcomments2" uri="{F7C98A9C-CBB3-438F-8F68-D28B6AF4A901}">
        <xltc2:checksum>4091065134</xltc2:checksum>
        <xltc2:hyperlink startIndex="0" length="112" url="https://personalpages.manchester.ac.uk/staff/tom.rodgers/Interactive_graphs/CEPCI.html?reactors/CEPCI/index.html"/>
      </x:ext>
    </extLst>
  </threadedComment>
  <threadedComment ref="B42" dT="2023-10-11T09:59:59.09" personId="{00000000-0000-0000-0000-000000000000}" id="{C52B62BD-9BCA-49B8-98DB-D09ADE2A9617}">
    <text>Price from PNNL Tews in 2023</text>
  </threadedComment>
  <threadedComment ref="J61" dT="2024-11-15T13:55:51.55" personId="{7C433296-A37A-48B9-99D5-92133D482907}" id="{05C0A4FD-23CF-40B7-B9C9-51FCAF4409D4}">
    <text>https://jet-a1-fuel.com/price/colombia</text>
    <extLst>
      <x:ext xmlns:xltc2="http://schemas.microsoft.com/office/spreadsheetml/2020/threadedcomments2" uri="{F7C98A9C-CBB3-438F-8F68-D28B6AF4A901}">
        <xltc2:checksum>3180707095</xltc2:checksum>
        <xltc2:hyperlink startIndex="0" length="38" url="https://jet-a1-fuel.com/price/colombia"/>
      </x:ext>
    </extLs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hyperlink" Target="https://toweringskills.com/financial-analysis/cost-indices/" TargetMode="External"/><Relationship Id="rId4" Type="http://schemas.microsoft.com/office/2017/10/relationships/threadedComment" Target="../threadedComments/threadedComment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docs.google.com/spreadsheets/d/1m0lR_lQfkmeN9bK33kXO5TYEvZGSXG9z7Usf_a0I6Xk/edit" TargetMode="External"/><Relationship Id="rId1" Type="http://schemas.openxmlformats.org/officeDocument/2006/relationships/hyperlink" Target="https://docs.google.com/spreadsheets/d/1m0lR_lQfkmeN9bK33kXO5TYEvZGSXG9z7Usf_a0I6Xk/edit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hyperlink" Target="https://www.usinflationcalculator.com/" TargetMode="External"/><Relationship Id="rId4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5"/>
  <sheetViews>
    <sheetView topLeftCell="A97" workbookViewId="0">
      <selection activeCell="B27" sqref="B27"/>
    </sheetView>
  </sheetViews>
  <sheetFormatPr defaultRowHeight="14.5" x14ac:dyDescent="0.35"/>
  <cols>
    <col min="1" max="1" width="20.6328125" customWidth="1"/>
    <col min="2" max="2" width="30.453125" customWidth="1"/>
    <col min="3" max="3" width="14.1796875" customWidth="1"/>
    <col min="5" max="5" width="55.26953125" customWidth="1"/>
    <col min="6" max="6" width="20.1796875" customWidth="1"/>
    <col min="7" max="7" width="11.90625" customWidth="1"/>
  </cols>
  <sheetData>
    <row r="1" spans="1:3" x14ac:dyDescent="0.35">
      <c r="A1" t="s">
        <v>5</v>
      </c>
    </row>
    <row r="3" spans="1:3" x14ac:dyDescent="0.35">
      <c r="A3" t="s">
        <v>0</v>
      </c>
    </row>
    <row r="5" spans="1:3" x14ac:dyDescent="0.35">
      <c r="A5" t="s">
        <v>1</v>
      </c>
      <c r="B5">
        <v>7</v>
      </c>
    </row>
    <row r="6" spans="1:3" x14ac:dyDescent="0.35">
      <c r="A6" t="s">
        <v>2</v>
      </c>
      <c r="B6">
        <v>67.239999999999995</v>
      </c>
    </row>
    <row r="7" spans="1:3" x14ac:dyDescent="0.35">
      <c r="A7" t="s">
        <v>3</v>
      </c>
      <c r="B7">
        <v>16.61</v>
      </c>
    </row>
    <row r="8" spans="1:3" x14ac:dyDescent="0.35">
      <c r="A8" t="s">
        <v>4</v>
      </c>
      <c r="B8">
        <v>8.73</v>
      </c>
      <c r="C8">
        <f>SUM(B5:B8)</f>
        <v>99.58</v>
      </c>
    </row>
    <row r="10" spans="1:3" x14ac:dyDescent="0.35">
      <c r="A10" t="s">
        <v>6</v>
      </c>
    </row>
    <row r="12" spans="1:3" x14ac:dyDescent="0.35">
      <c r="A12" t="s">
        <v>7</v>
      </c>
      <c r="B12">
        <v>42.4</v>
      </c>
    </row>
    <row r="13" spans="1:3" x14ac:dyDescent="0.35">
      <c r="A13" t="s">
        <v>8</v>
      </c>
      <c r="B13">
        <v>5.71</v>
      </c>
    </row>
    <row r="14" spans="1:3" x14ac:dyDescent="0.35">
      <c r="A14" t="s">
        <v>9</v>
      </c>
      <c r="B14">
        <v>2.17</v>
      </c>
    </row>
    <row r="15" spans="1:3" x14ac:dyDescent="0.35">
      <c r="A15" t="s">
        <v>10</v>
      </c>
      <c r="B15">
        <v>0</v>
      </c>
    </row>
    <row r="16" spans="1:3" x14ac:dyDescent="0.35">
      <c r="A16" t="s">
        <v>11</v>
      </c>
      <c r="B16">
        <v>49.57</v>
      </c>
      <c r="C16">
        <f>SUM(B12:B16)</f>
        <v>99.85</v>
      </c>
    </row>
    <row r="17" spans="1:4" x14ac:dyDescent="0.35">
      <c r="A17" t="s">
        <v>12</v>
      </c>
    </row>
    <row r="18" spans="1:4" x14ac:dyDescent="0.35">
      <c r="A18" t="s">
        <v>13</v>
      </c>
    </row>
    <row r="19" spans="1:4" x14ac:dyDescent="0.35">
      <c r="A19" t="s">
        <v>14</v>
      </c>
      <c r="B19">
        <v>15.39</v>
      </c>
    </row>
    <row r="21" spans="1:4" x14ac:dyDescent="0.35">
      <c r="A21" t="s">
        <v>15</v>
      </c>
    </row>
    <row r="22" spans="1:4" x14ac:dyDescent="0.35">
      <c r="A22" t="s">
        <v>16</v>
      </c>
      <c r="B22">
        <v>0.05</v>
      </c>
    </row>
    <row r="23" spans="1:4" x14ac:dyDescent="0.35">
      <c r="A23" t="s">
        <v>17</v>
      </c>
      <c r="B23">
        <v>320</v>
      </c>
    </row>
    <row r="24" spans="1:4" x14ac:dyDescent="0.35">
      <c r="A24" t="s">
        <v>18</v>
      </c>
      <c r="B24">
        <v>60</v>
      </c>
    </row>
    <row r="25" spans="1:4" x14ac:dyDescent="0.35">
      <c r="A25" t="s">
        <v>19</v>
      </c>
      <c r="B25">
        <v>0</v>
      </c>
    </row>
    <row r="26" spans="1:4" x14ac:dyDescent="0.35">
      <c r="A26" s="1" t="s">
        <v>20</v>
      </c>
    </row>
    <row r="27" spans="1:4" x14ac:dyDescent="0.35">
      <c r="A27" s="2" t="s">
        <v>21</v>
      </c>
      <c r="B27">
        <v>24.81</v>
      </c>
    </row>
    <row r="28" spans="1:4" x14ac:dyDescent="0.35">
      <c r="A28" s="2" t="s">
        <v>22</v>
      </c>
      <c r="B28">
        <v>14.04</v>
      </c>
      <c r="D28">
        <f>B28/100</f>
        <v>0.1404</v>
      </c>
    </row>
    <row r="29" spans="1:4" x14ac:dyDescent="0.35">
      <c r="A29" s="2" t="s">
        <v>23</v>
      </c>
      <c r="B29">
        <v>52.84</v>
      </c>
      <c r="D29">
        <f>B29/100</f>
        <v>0.52839999999999998</v>
      </c>
    </row>
    <row r="30" spans="1:4" x14ac:dyDescent="0.35">
      <c r="A30" s="2" t="s">
        <v>24</v>
      </c>
      <c r="B30">
        <v>8.6300000000000008</v>
      </c>
      <c r="C30">
        <f>SUM(B27:B30)</f>
        <v>100.32</v>
      </c>
    </row>
    <row r="31" spans="1:4" x14ac:dyDescent="0.35">
      <c r="A31" s="2" t="s">
        <v>25</v>
      </c>
      <c r="B31">
        <v>30.24</v>
      </c>
    </row>
    <row r="32" spans="1:4" x14ac:dyDescent="0.35">
      <c r="A32" s="1" t="s">
        <v>26</v>
      </c>
    </row>
    <row r="33" spans="1:7" x14ac:dyDescent="0.35">
      <c r="A33" t="s">
        <v>27</v>
      </c>
      <c r="B33">
        <v>68.69</v>
      </c>
      <c r="D33">
        <f>B33*$B$30/10000</f>
        <v>5.9279470000000001E-2</v>
      </c>
    </row>
    <row r="34" spans="1:7" x14ac:dyDescent="0.35">
      <c r="A34" t="s">
        <v>28</v>
      </c>
      <c r="B34">
        <v>12.13</v>
      </c>
      <c r="D34">
        <f t="shared" ref="D34:D36" si="0">B34*$B$30/10000</f>
        <v>1.046819E-2</v>
      </c>
    </row>
    <row r="35" spans="1:7" x14ac:dyDescent="0.35">
      <c r="A35" t="s">
        <v>29</v>
      </c>
      <c r="B35">
        <v>6.04</v>
      </c>
      <c r="D35">
        <f t="shared" si="0"/>
        <v>5.2125200000000009E-3</v>
      </c>
    </row>
    <row r="36" spans="1:7" x14ac:dyDescent="0.35">
      <c r="A36" t="s">
        <v>30</v>
      </c>
      <c r="B36">
        <v>10.51</v>
      </c>
      <c r="C36">
        <f>SUM(B33:B36)</f>
        <v>97.37</v>
      </c>
      <c r="D36">
        <f t="shared" si="0"/>
        <v>9.0701300000000009E-3</v>
      </c>
    </row>
    <row r="37" spans="1:7" x14ac:dyDescent="0.35">
      <c r="A37" s="1" t="s">
        <v>31</v>
      </c>
    </row>
    <row r="38" spans="1:7" ht="15" thickBot="1" x14ac:dyDescent="0.4">
      <c r="A38" s="3" t="s">
        <v>32</v>
      </c>
      <c r="B38">
        <f>SUM(B39:B44)</f>
        <v>14.540000000000001</v>
      </c>
    </row>
    <row r="39" spans="1:7" ht="15" thickBot="1" x14ac:dyDescent="0.4">
      <c r="A39" s="4" t="s">
        <v>33</v>
      </c>
      <c r="B39">
        <v>7.9649999999999999</v>
      </c>
      <c r="D39">
        <f t="shared" ref="D39:D95" si="1">B39*$B$27/10000</f>
        <v>1.9761165000000001E-2</v>
      </c>
      <c r="E39" t="s">
        <v>91</v>
      </c>
      <c r="F39" t="s">
        <v>142</v>
      </c>
      <c r="G39" t="s">
        <v>190</v>
      </c>
    </row>
    <row r="40" spans="1:7" ht="21.5" thickBot="1" x14ac:dyDescent="0.4">
      <c r="A40" s="4" t="s">
        <v>34</v>
      </c>
      <c r="B40">
        <v>1.1499999999999999</v>
      </c>
      <c r="D40">
        <f t="shared" si="1"/>
        <v>2.8531499999999996E-3</v>
      </c>
      <c r="E40" t="s">
        <v>92</v>
      </c>
      <c r="F40" t="s">
        <v>143</v>
      </c>
      <c r="G40" t="s">
        <v>191</v>
      </c>
    </row>
    <row r="41" spans="1:7" ht="15" thickBot="1" x14ac:dyDescent="0.4">
      <c r="A41" s="4" t="s">
        <v>35</v>
      </c>
      <c r="B41">
        <v>1.155</v>
      </c>
      <c r="D41">
        <f t="shared" si="1"/>
        <v>2.8655549999999997E-3</v>
      </c>
      <c r="E41" t="s">
        <v>93</v>
      </c>
      <c r="F41" t="s">
        <v>144</v>
      </c>
      <c r="G41" t="s">
        <v>192</v>
      </c>
    </row>
    <row r="42" spans="1:7" ht="15" thickBot="1" x14ac:dyDescent="0.4">
      <c r="A42" s="4" t="s">
        <v>36</v>
      </c>
      <c r="B42">
        <v>1.865</v>
      </c>
      <c r="D42">
        <f t="shared" si="1"/>
        <v>4.6270649999999997E-3</v>
      </c>
      <c r="E42" t="s">
        <v>94</v>
      </c>
      <c r="F42" t="s">
        <v>145</v>
      </c>
      <c r="G42" t="s">
        <v>193</v>
      </c>
    </row>
    <row r="43" spans="1:7" ht="15" thickBot="1" x14ac:dyDescent="0.4">
      <c r="A43" s="4" t="s">
        <v>37</v>
      </c>
      <c r="B43">
        <v>1.855</v>
      </c>
      <c r="D43">
        <f t="shared" si="1"/>
        <v>4.6022549999999995E-3</v>
      </c>
      <c r="E43" t="s">
        <v>95</v>
      </c>
      <c r="F43" t="s">
        <v>146</v>
      </c>
      <c r="G43" t="s">
        <v>194</v>
      </c>
    </row>
    <row r="44" spans="1:7" ht="15" thickBot="1" x14ac:dyDescent="0.4">
      <c r="A44" s="4" t="s">
        <v>38</v>
      </c>
      <c r="B44">
        <v>0.55000000000000004</v>
      </c>
      <c r="D44">
        <f t="shared" si="1"/>
        <v>1.36455E-3</v>
      </c>
      <c r="E44" t="s">
        <v>96</v>
      </c>
      <c r="F44" t="s">
        <v>147</v>
      </c>
      <c r="G44" t="s">
        <v>195</v>
      </c>
    </row>
    <row r="45" spans="1:7" ht="15" thickBot="1" x14ac:dyDescent="0.4">
      <c r="A45" s="3" t="s">
        <v>39</v>
      </c>
      <c r="B45">
        <f>SUM(B46:B49)</f>
        <v>9.19</v>
      </c>
    </row>
    <row r="46" spans="1:7" ht="15" thickBot="1" x14ac:dyDescent="0.4">
      <c r="A46" s="4" t="s">
        <v>40</v>
      </c>
      <c r="B46">
        <v>6.16</v>
      </c>
      <c r="D46">
        <f t="shared" si="1"/>
        <v>1.528296E-2</v>
      </c>
      <c r="E46" t="s">
        <v>97</v>
      </c>
      <c r="F46" t="s">
        <v>148</v>
      </c>
      <c r="G46" t="s">
        <v>196</v>
      </c>
    </row>
    <row r="47" spans="1:7" ht="15" thickBot="1" x14ac:dyDescent="0.4">
      <c r="A47" s="4" t="s">
        <v>41</v>
      </c>
      <c r="B47">
        <v>0.93</v>
      </c>
      <c r="D47">
        <f t="shared" si="1"/>
        <v>2.3073299999999998E-3</v>
      </c>
      <c r="E47" t="s">
        <v>98</v>
      </c>
      <c r="F47" t="s">
        <v>149</v>
      </c>
      <c r="G47" t="s">
        <v>197</v>
      </c>
    </row>
    <row r="48" spans="1:7" ht="15" thickBot="1" x14ac:dyDescent="0.4">
      <c r="A48" s="4" t="s">
        <v>42</v>
      </c>
      <c r="B48">
        <v>1.36</v>
      </c>
      <c r="D48">
        <f t="shared" si="1"/>
        <v>3.3741599999999997E-3</v>
      </c>
      <c r="E48" t="s">
        <v>99</v>
      </c>
      <c r="F48" t="s">
        <v>150</v>
      </c>
      <c r="G48" t="s">
        <v>198</v>
      </c>
    </row>
    <row r="49" spans="1:7" ht="15" thickBot="1" x14ac:dyDescent="0.4">
      <c r="A49" s="4" t="s">
        <v>43</v>
      </c>
      <c r="B49">
        <v>0.74</v>
      </c>
      <c r="D49">
        <f t="shared" si="1"/>
        <v>1.8359399999999997E-3</v>
      </c>
      <c r="E49" t="s">
        <v>100</v>
      </c>
      <c r="F49" t="s">
        <v>151</v>
      </c>
      <c r="G49" t="s">
        <v>199</v>
      </c>
    </row>
    <row r="50" spans="1:7" ht="15" thickBot="1" x14ac:dyDescent="0.4">
      <c r="A50" s="3" t="s">
        <v>44</v>
      </c>
      <c r="B50">
        <f>SUM(B51:B62)</f>
        <v>21.08</v>
      </c>
    </row>
    <row r="51" spans="1:7" ht="15" thickBot="1" x14ac:dyDescent="0.4">
      <c r="A51" s="4" t="s">
        <v>45</v>
      </c>
      <c r="B51">
        <v>2.7250000000000001</v>
      </c>
      <c r="D51">
        <f t="shared" si="1"/>
        <v>6.7607249999999995E-3</v>
      </c>
      <c r="E51" t="s">
        <v>101</v>
      </c>
      <c r="F51" t="s">
        <v>152</v>
      </c>
      <c r="G51" t="s">
        <v>200</v>
      </c>
    </row>
    <row r="52" spans="1:7" ht="15" thickBot="1" x14ac:dyDescent="0.4">
      <c r="A52" s="4" t="s">
        <v>46</v>
      </c>
      <c r="B52">
        <v>4.0999999999999996</v>
      </c>
      <c r="D52">
        <f t="shared" si="1"/>
        <v>1.0172099999999998E-2</v>
      </c>
      <c r="E52" t="s">
        <v>102</v>
      </c>
      <c r="F52" t="s">
        <v>153</v>
      </c>
      <c r="G52" t="s">
        <v>200</v>
      </c>
    </row>
    <row r="53" spans="1:7" ht="15" thickBot="1" x14ac:dyDescent="0.4">
      <c r="A53" s="4" t="s">
        <v>47</v>
      </c>
      <c r="B53">
        <v>1.0050000000000001</v>
      </c>
      <c r="D53">
        <f t="shared" si="1"/>
        <v>2.4934050000000002E-3</v>
      </c>
      <c r="E53" t="s">
        <v>103</v>
      </c>
      <c r="F53" t="s">
        <v>154</v>
      </c>
      <c r="G53" t="s">
        <v>203</v>
      </c>
    </row>
    <row r="54" spans="1:7" ht="21.5" thickBot="1" x14ac:dyDescent="0.4">
      <c r="A54" s="4" t="s">
        <v>48</v>
      </c>
      <c r="B54">
        <v>0.505</v>
      </c>
      <c r="D54">
        <f t="shared" si="1"/>
        <v>1.2529049999999999E-3</v>
      </c>
      <c r="E54" t="s">
        <v>104</v>
      </c>
      <c r="F54" t="s">
        <v>155</v>
      </c>
      <c r="G54" t="s">
        <v>201</v>
      </c>
    </row>
    <row r="55" spans="1:7" ht="15" thickBot="1" x14ac:dyDescent="0.4">
      <c r="A55" s="4" t="s">
        <v>49</v>
      </c>
      <c r="B55">
        <v>6.7649999999999997</v>
      </c>
      <c r="D55">
        <f t="shared" si="1"/>
        <v>1.6783964999999998E-2</v>
      </c>
      <c r="E55" t="s">
        <v>105</v>
      </c>
      <c r="F55" t="s">
        <v>154</v>
      </c>
      <c r="G55" t="s">
        <v>203</v>
      </c>
    </row>
    <row r="56" spans="1:7" ht="21.5" thickBot="1" x14ac:dyDescent="0.4">
      <c r="A56" s="4" t="s">
        <v>50</v>
      </c>
      <c r="B56">
        <v>1.5049999999999999</v>
      </c>
      <c r="D56">
        <f t="shared" si="1"/>
        <v>3.7339049999999992E-3</v>
      </c>
      <c r="E56" t="s">
        <v>106</v>
      </c>
      <c r="F56" t="s">
        <v>155</v>
      </c>
      <c r="G56" t="s">
        <v>201</v>
      </c>
    </row>
    <row r="57" spans="1:7" ht="15" thickBot="1" x14ac:dyDescent="0.4">
      <c r="A57" s="4" t="s">
        <v>51</v>
      </c>
      <c r="B57">
        <v>1.2250000000000001</v>
      </c>
      <c r="D57">
        <f t="shared" si="1"/>
        <v>3.039225E-3</v>
      </c>
      <c r="E57" t="s">
        <v>107</v>
      </c>
      <c r="F57" t="s">
        <v>156</v>
      </c>
      <c r="G57" t="s">
        <v>203</v>
      </c>
    </row>
    <row r="58" spans="1:7" ht="15" thickBot="1" x14ac:dyDescent="0.4">
      <c r="A58" s="4" t="s">
        <v>52</v>
      </c>
      <c r="B58">
        <v>0.96499999999999997</v>
      </c>
      <c r="D58">
        <f t="shared" si="1"/>
        <v>2.3941649999999997E-3</v>
      </c>
      <c r="E58" t="s">
        <v>108</v>
      </c>
      <c r="F58" t="s">
        <v>157</v>
      </c>
      <c r="G58" t="s">
        <v>204</v>
      </c>
    </row>
    <row r="59" spans="1:7" ht="21.5" thickBot="1" x14ac:dyDescent="0.4">
      <c r="A59" s="4" t="s">
        <v>53</v>
      </c>
      <c r="B59">
        <v>0.42499999999999999</v>
      </c>
      <c r="D59">
        <f t="shared" si="1"/>
        <v>1.0544249999999999E-3</v>
      </c>
      <c r="E59" t="s">
        <v>109</v>
      </c>
      <c r="F59" t="s">
        <v>158</v>
      </c>
      <c r="G59" t="s">
        <v>205</v>
      </c>
    </row>
    <row r="60" spans="1:7" ht="15" thickBot="1" x14ac:dyDescent="0.4">
      <c r="A60" s="4" t="s">
        <v>54</v>
      </c>
      <c r="B60">
        <v>0.96</v>
      </c>
      <c r="D60">
        <f t="shared" si="1"/>
        <v>2.3817599999999997E-3</v>
      </c>
      <c r="E60" t="s">
        <v>110</v>
      </c>
      <c r="F60" t="s">
        <v>159</v>
      </c>
      <c r="G60" t="s">
        <v>206</v>
      </c>
    </row>
    <row r="61" spans="1:7" ht="15" thickBot="1" x14ac:dyDescent="0.4">
      <c r="A61" s="4" t="s">
        <v>55</v>
      </c>
      <c r="B61">
        <v>0.56999999999999995</v>
      </c>
      <c r="D61">
        <f t="shared" si="1"/>
        <v>1.4141699999999998E-3</v>
      </c>
      <c r="E61" t="s">
        <v>111</v>
      </c>
      <c r="F61" t="s">
        <v>154</v>
      </c>
      <c r="G61" t="s">
        <v>202</v>
      </c>
    </row>
    <row r="62" spans="1:7" ht="15" thickBot="1" x14ac:dyDescent="0.4">
      <c r="A62" s="4" t="s">
        <v>56</v>
      </c>
      <c r="B62">
        <v>0.33</v>
      </c>
      <c r="D62">
        <f t="shared" si="1"/>
        <v>8.1873000000000004E-4</v>
      </c>
      <c r="E62" t="s">
        <v>112</v>
      </c>
      <c r="F62" t="s">
        <v>160</v>
      </c>
      <c r="G62" t="s">
        <v>207</v>
      </c>
    </row>
    <row r="63" spans="1:7" ht="15" thickBot="1" x14ac:dyDescent="0.4">
      <c r="A63" s="3" t="s">
        <v>57</v>
      </c>
      <c r="B63">
        <f>SUM(B64:B74)</f>
        <v>30.225000000000005</v>
      </c>
    </row>
    <row r="64" spans="1:7" ht="15" thickBot="1" x14ac:dyDescent="0.4">
      <c r="A64" s="4" t="s">
        <v>58</v>
      </c>
      <c r="B64">
        <v>11.93</v>
      </c>
      <c r="D64">
        <f t="shared" si="1"/>
        <v>2.9598329999999999E-2</v>
      </c>
      <c r="E64" t="s">
        <v>113</v>
      </c>
      <c r="F64" t="s">
        <v>161</v>
      </c>
      <c r="G64" s="7" t="s">
        <v>209</v>
      </c>
    </row>
    <row r="65" spans="1:7" ht="15" thickBot="1" x14ac:dyDescent="0.4">
      <c r="A65" s="4" t="s">
        <v>59</v>
      </c>
      <c r="B65">
        <v>1.33</v>
      </c>
      <c r="D65">
        <f t="shared" si="1"/>
        <v>3.2997300000000003E-3</v>
      </c>
      <c r="E65" t="s">
        <v>114</v>
      </c>
      <c r="F65" t="s">
        <v>162</v>
      </c>
      <c r="G65" t="s">
        <v>208</v>
      </c>
    </row>
    <row r="66" spans="1:7" ht="15" thickBot="1" x14ac:dyDescent="0.4">
      <c r="A66" s="4" t="s">
        <v>60</v>
      </c>
      <c r="B66">
        <v>2.9750000000000001</v>
      </c>
      <c r="D66">
        <f t="shared" si="1"/>
        <v>7.3809749999999997E-3</v>
      </c>
      <c r="E66" t="s">
        <v>115</v>
      </c>
      <c r="F66" t="s">
        <v>163</v>
      </c>
      <c r="G66" t="s">
        <v>208</v>
      </c>
    </row>
    <row r="67" spans="1:7" ht="15" thickBot="1" x14ac:dyDescent="0.4">
      <c r="A67" s="4" t="s">
        <v>61</v>
      </c>
      <c r="B67">
        <v>0.81499999999999995</v>
      </c>
      <c r="D67">
        <f t="shared" si="1"/>
        <v>2.0220149999999998E-3</v>
      </c>
      <c r="E67" t="s">
        <v>116</v>
      </c>
      <c r="F67" t="s">
        <v>164</v>
      </c>
      <c r="G67" t="s">
        <v>210</v>
      </c>
    </row>
    <row r="68" spans="1:7" ht="15" thickBot="1" x14ac:dyDescent="0.4">
      <c r="A68" s="4" t="s">
        <v>62</v>
      </c>
      <c r="B68">
        <v>1.405</v>
      </c>
      <c r="D68">
        <f t="shared" si="1"/>
        <v>3.4858049999999998E-3</v>
      </c>
      <c r="E68" t="s">
        <v>117</v>
      </c>
      <c r="F68" t="s">
        <v>165</v>
      </c>
      <c r="G68" t="s">
        <v>211</v>
      </c>
    </row>
    <row r="69" spans="1:7" ht="15" thickBot="1" x14ac:dyDescent="0.4">
      <c r="A69" s="4" t="s">
        <v>63</v>
      </c>
      <c r="B69">
        <v>0.63500000000000001</v>
      </c>
      <c r="D69">
        <f t="shared" si="1"/>
        <v>1.5754349999999998E-3</v>
      </c>
      <c r="E69" t="s">
        <v>118</v>
      </c>
      <c r="F69" t="s">
        <v>166</v>
      </c>
      <c r="G69" t="s">
        <v>212</v>
      </c>
    </row>
    <row r="70" spans="1:7" ht="15" thickBot="1" x14ac:dyDescent="0.4">
      <c r="A70" s="4" t="s">
        <v>64</v>
      </c>
      <c r="B70">
        <v>1.44</v>
      </c>
      <c r="D70">
        <f t="shared" si="1"/>
        <v>3.5726399999999998E-3</v>
      </c>
      <c r="E70" t="s">
        <v>119</v>
      </c>
      <c r="F70" t="s">
        <v>167</v>
      </c>
      <c r="G70" t="s">
        <v>212</v>
      </c>
    </row>
    <row r="71" spans="1:7" ht="15" thickBot="1" x14ac:dyDescent="0.4">
      <c r="A71" s="4" t="s">
        <v>65</v>
      </c>
      <c r="B71">
        <v>1.2250000000000001</v>
      </c>
      <c r="D71">
        <f t="shared" si="1"/>
        <v>3.039225E-3</v>
      </c>
      <c r="E71" t="s">
        <v>120</v>
      </c>
      <c r="F71" t="s">
        <v>168</v>
      </c>
      <c r="G71" t="s">
        <v>213</v>
      </c>
    </row>
    <row r="72" spans="1:7" ht="15" thickBot="1" x14ac:dyDescent="0.4">
      <c r="A72" s="4" t="s">
        <v>66</v>
      </c>
      <c r="B72">
        <v>3.4049999999999998</v>
      </c>
      <c r="D72">
        <f t="shared" si="1"/>
        <v>8.4478049999999992E-3</v>
      </c>
      <c r="E72" t="s">
        <v>121</v>
      </c>
      <c r="F72" t="s">
        <v>169</v>
      </c>
      <c r="G72" t="s">
        <v>214</v>
      </c>
    </row>
    <row r="73" spans="1:7" ht="15" thickBot="1" x14ac:dyDescent="0.4">
      <c r="A73" s="4" t="s">
        <v>67</v>
      </c>
      <c r="B73">
        <v>0.34499999999999997</v>
      </c>
      <c r="D73">
        <f t="shared" si="1"/>
        <v>8.5594499999999977E-4</v>
      </c>
      <c r="E73" t="s">
        <v>122</v>
      </c>
      <c r="F73" t="s">
        <v>170</v>
      </c>
      <c r="G73" t="s">
        <v>215</v>
      </c>
    </row>
    <row r="74" spans="1:7" ht="15" thickBot="1" x14ac:dyDescent="0.4">
      <c r="A74" s="4" t="s">
        <v>68</v>
      </c>
      <c r="B74">
        <v>4.72</v>
      </c>
      <c r="D74">
        <f t="shared" si="1"/>
        <v>1.1710319999999998E-2</v>
      </c>
      <c r="E74" t="s">
        <v>123</v>
      </c>
      <c r="F74" t="s">
        <v>171</v>
      </c>
      <c r="G74" t="s">
        <v>216</v>
      </c>
    </row>
    <row r="75" spans="1:7" ht="15" thickBot="1" x14ac:dyDescent="0.4">
      <c r="A75" s="3" t="s">
        <v>69</v>
      </c>
      <c r="B75">
        <f>SUM(B76:B79)</f>
        <v>3.6749999999999998</v>
      </c>
    </row>
    <row r="76" spans="1:7" ht="15" thickBot="1" x14ac:dyDescent="0.4">
      <c r="A76" s="6" t="s">
        <v>70</v>
      </c>
      <c r="B76">
        <v>0.34</v>
      </c>
      <c r="D76">
        <f t="shared" si="1"/>
        <v>8.4353999999999994E-4</v>
      </c>
      <c r="E76" t="s">
        <v>124</v>
      </c>
      <c r="F76" t="s">
        <v>172</v>
      </c>
      <c r="G76" t="s">
        <v>217</v>
      </c>
    </row>
    <row r="77" spans="1:7" ht="21.5" thickBot="1" x14ac:dyDescent="0.4">
      <c r="A77" s="6" t="s">
        <v>71</v>
      </c>
      <c r="B77">
        <v>0.55000000000000004</v>
      </c>
      <c r="D77">
        <f t="shared" si="1"/>
        <v>1.36455E-3</v>
      </c>
      <c r="E77" t="s">
        <v>125</v>
      </c>
      <c r="F77" t="s">
        <v>173</v>
      </c>
      <c r="G77" t="s">
        <v>209</v>
      </c>
    </row>
    <row r="78" spans="1:7" ht="21.5" thickBot="1" x14ac:dyDescent="0.4">
      <c r="A78" s="6" t="s">
        <v>72</v>
      </c>
      <c r="B78">
        <v>1.1950000000000001</v>
      </c>
      <c r="D78">
        <f t="shared" si="1"/>
        <v>2.9647950000000001E-3</v>
      </c>
      <c r="E78" t="s">
        <v>126</v>
      </c>
      <c r="F78" t="s">
        <v>174</v>
      </c>
      <c r="G78" t="s">
        <v>218</v>
      </c>
    </row>
    <row r="79" spans="1:7" ht="15" thickBot="1" x14ac:dyDescent="0.4">
      <c r="A79" s="6" t="s">
        <v>73</v>
      </c>
      <c r="B79">
        <v>1.59</v>
      </c>
      <c r="D79">
        <f t="shared" si="1"/>
        <v>3.9447900000000001E-3</v>
      </c>
      <c r="E79" t="s">
        <v>127</v>
      </c>
      <c r="F79" t="s">
        <v>175</v>
      </c>
      <c r="G79" t="s">
        <v>191</v>
      </c>
    </row>
    <row r="80" spans="1:7" ht="15" thickBot="1" x14ac:dyDescent="0.4">
      <c r="A80" s="3" t="s">
        <v>74</v>
      </c>
      <c r="B80">
        <f>SUM(B81:B90)</f>
        <v>15.300000000000002</v>
      </c>
    </row>
    <row r="81" spans="1:7" ht="15" thickBot="1" x14ac:dyDescent="0.4">
      <c r="A81" s="4" t="s">
        <v>75</v>
      </c>
      <c r="B81">
        <v>3.42</v>
      </c>
      <c r="D81">
        <f t="shared" si="1"/>
        <v>8.4850199999999994E-3</v>
      </c>
      <c r="E81" t="s">
        <v>128</v>
      </c>
      <c r="F81" t="s">
        <v>176</v>
      </c>
      <c r="G81" t="s">
        <v>219</v>
      </c>
    </row>
    <row r="82" spans="1:7" ht="15" thickBot="1" x14ac:dyDescent="0.4">
      <c r="A82" s="4" t="s">
        <v>76</v>
      </c>
      <c r="B82">
        <v>2.4350000000000001</v>
      </c>
      <c r="D82">
        <f t="shared" si="1"/>
        <v>6.0412349999999998E-3</v>
      </c>
      <c r="E82" t="s">
        <v>129</v>
      </c>
      <c r="F82" t="s">
        <v>177</v>
      </c>
      <c r="G82" t="s">
        <v>219</v>
      </c>
    </row>
    <row r="83" spans="1:7" ht="15" thickBot="1" x14ac:dyDescent="0.4">
      <c r="A83" s="4" t="s">
        <v>77</v>
      </c>
      <c r="B83">
        <v>2.3450000000000002</v>
      </c>
      <c r="D83">
        <f t="shared" si="1"/>
        <v>5.8179450000000006E-3</v>
      </c>
      <c r="E83" t="s">
        <v>130</v>
      </c>
      <c r="F83" t="s">
        <v>178</v>
      </c>
      <c r="G83" t="s">
        <v>220</v>
      </c>
    </row>
    <row r="84" spans="1:7" ht="21.5" thickBot="1" x14ac:dyDescent="0.4">
      <c r="A84" s="4" t="s">
        <v>78</v>
      </c>
      <c r="B84">
        <v>0.21</v>
      </c>
      <c r="D84">
        <f t="shared" si="1"/>
        <v>5.2100999999999992E-4</v>
      </c>
      <c r="E84" t="s">
        <v>131</v>
      </c>
      <c r="F84" t="s">
        <v>179</v>
      </c>
      <c r="G84" t="s">
        <v>221</v>
      </c>
    </row>
    <row r="85" spans="1:7" ht="21.5" thickBot="1" x14ac:dyDescent="0.4">
      <c r="A85" s="4" t="s">
        <v>79</v>
      </c>
      <c r="B85">
        <v>3.58</v>
      </c>
      <c r="D85">
        <f t="shared" si="1"/>
        <v>8.8819799999999994E-3</v>
      </c>
      <c r="E85" t="s">
        <v>132</v>
      </c>
      <c r="F85" t="s">
        <v>180</v>
      </c>
      <c r="G85" t="s">
        <v>222</v>
      </c>
    </row>
    <row r="86" spans="1:7" ht="15" thickBot="1" x14ac:dyDescent="0.4">
      <c r="A86" s="4" t="s">
        <v>80</v>
      </c>
      <c r="B86">
        <v>0.57499999999999996</v>
      </c>
      <c r="D86">
        <f t="shared" si="1"/>
        <v>1.4265749999999998E-3</v>
      </c>
      <c r="E86" t="s">
        <v>133</v>
      </c>
      <c r="F86" t="s">
        <v>181</v>
      </c>
      <c r="G86" t="s">
        <v>223</v>
      </c>
    </row>
    <row r="87" spans="1:7" ht="21.5" thickBot="1" x14ac:dyDescent="0.4">
      <c r="A87" s="4" t="s">
        <v>81</v>
      </c>
      <c r="B87">
        <v>0.56000000000000005</v>
      </c>
      <c r="D87">
        <f t="shared" si="1"/>
        <v>1.3893600000000001E-3</v>
      </c>
      <c r="E87" t="s">
        <v>134</v>
      </c>
      <c r="F87" t="s">
        <v>182</v>
      </c>
      <c r="G87" t="s">
        <v>224</v>
      </c>
    </row>
    <row r="88" spans="1:7" ht="15" thickBot="1" x14ac:dyDescent="0.4">
      <c r="A88" s="4" t="s">
        <v>82</v>
      </c>
      <c r="B88">
        <v>1.25</v>
      </c>
      <c r="D88">
        <f t="shared" si="1"/>
        <v>3.1012499999999998E-3</v>
      </c>
      <c r="E88" t="s">
        <v>135</v>
      </c>
      <c r="F88" t="s">
        <v>183</v>
      </c>
      <c r="G88" t="s">
        <v>225</v>
      </c>
    </row>
    <row r="89" spans="1:7" ht="15" thickBot="1" x14ac:dyDescent="0.4">
      <c r="A89" s="4" t="s">
        <v>83</v>
      </c>
      <c r="B89">
        <v>0.64</v>
      </c>
      <c r="D89">
        <f t="shared" si="1"/>
        <v>1.5878399999999999E-3</v>
      </c>
      <c r="E89" t="s">
        <v>136</v>
      </c>
      <c r="F89" t="s">
        <v>184</v>
      </c>
      <c r="G89" t="s">
        <v>226</v>
      </c>
    </row>
    <row r="90" spans="1:7" ht="15" thickBot="1" x14ac:dyDescent="0.4">
      <c r="A90" s="4" t="s">
        <v>84</v>
      </c>
      <c r="B90">
        <v>0.28499999999999998</v>
      </c>
      <c r="D90">
        <f t="shared" si="1"/>
        <v>7.0708499999999988E-4</v>
      </c>
      <c r="E90" t="s">
        <v>137</v>
      </c>
      <c r="F90" t="s">
        <v>185</v>
      </c>
      <c r="G90" t="s">
        <v>227</v>
      </c>
    </row>
    <row r="91" spans="1:7" ht="15" thickBot="1" x14ac:dyDescent="0.4">
      <c r="A91" s="3" t="s">
        <v>85</v>
      </c>
      <c r="B91">
        <f>SUM(B92:B95)</f>
        <v>5.9899999999999993</v>
      </c>
    </row>
    <row r="92" spans="1:7" ht="15" thickBot="1" x14ac:dyDescent="0.4">
      <c r="A92" s="4" t="s">
        <v>86</v>
      </c>
      <c r="B92">
        <v>2.4049999999999998</v>
      </c>
      <c r="D92">
        <f t="shared" si="1"/>
        <v>5.9668049999999995E-3</v>
      </c>
      <c r="E92" t="s">
        <v>138</v>
      </c>
      <c r="F92" t="s">
        <v>186</v>
      </c>
      <c r="G92" t="s">
        <v>228</v>
      </c>
    </row>
    <row r="93" spans="1:7" ht="15" thickBot="1" x14ac:dyDescent="0.4">
      <c r="A93" s="4" t="s">
        <v>87</v>
      </c>
      <c r="B93">
        <v>2.14</v>
      </c>
      <c r="D93">
        <f t="shared" si="1"/>
        <v>5.3093400000000001E-3</v>
      </c>
      <c r="E93" t="s">
        <v>139</v>
      </c>
      <c r="F93" t="s">
        <v>187</v>
      </c>
      <c r="G93" t="s">
        <v>214</v>
      </c>
    </row>
    <row r="94" spans="1:7" ht="15" thickBot="1" x14ac:dyDescent="0.4">
      <c r="A94" s="4" t="s">
        <v>88</v>
      </c>
      <c r="B94">
        <v>1.18</v>
      </c>
      <c r="D94">
        <f t="shared" si="1"/>
        <v>2.9275799999999995E-3</v>
      </c>
      <c r="E94" t="s">
        <v>140</v>
      </c>
      <c r="F94" t="s">
        <v>188</v>
      </c>
      <c r="G94" t="s">
        <v>214</v>
      </c>
    </row>
    <row r="95" spans="1:7" ht="15" thickBot="1" x14ac:dyDescent="0.4">
      <c r="A95" s="4" t="s">
        <v>89</v>
      </c>
      <c r="B95">
        <v>0.26500000000000001</v>
      </c>
      <c r="D95">
        <f t="shared" si="1"/>
        <v>6.5746499999999998E-4</v>
      </c>
      <c r="E95" t="s">
        <v>141</v>
      </c>
      <c r="F95" t="s">
        <v>189</v>
      </c>
      <c r="G95" t="s">
        <v>214</v>
      </c>
    </row>
    <row r="96" spans="1:7" x14ac:dyDescent="0.35">
      <c r="A96" s="5" t="s">
        <v>90</v>
      </c>
      <c r="B96">
        <f>SUM(B38,B45,B50,B63,B75,B80,B91)</f>
        <v>100</v>
      </c>
      <c r="D96">
        <f>SUM(D27:D95)</f>
        <v>1.00093031</v>
      </c>
    </row>
    <row r="98" spans="1:8" x14ac:dyDescent="0.35">
      <c r="A98" s="1" t="s">
        <v>266</v>
      </c>
      <c r="D98" t="s">
        <v>230</v>
      </c>
      <c r="E98" t="s">
        <v>229</v>
      </c>
      <c r="F98" t="s">
        <v>234</v>
      </c>
      <c r="G98" t="s">
        <v>235</v>
      </c>
      <c r="H98" t="s">
        <v>231</v>
      </c>
    </row>
    <row r="99" spans="1:8" s="8" customFormat="1" x14ac:dyDescent="0.35">
      <c r="A99" s="8" t="s">
        <v>91</v>
      </c>
      <c r="B99" s="8" t="s">
        <v>142</v>
      </c>
      <c r="C99" s="8" t="s">
        <v>190</v>
      </c>
      <c r="D99" s="8">
        <v>0</v>
      </c>
      <c r="E99" s="8" t="s">
        <v>142</v>
      </c>
      <c r="H99" s="8" t="s">
        <v>190</v>
      </c>
    </row>
    <row r="100" spans="1:8" s="8" customFormat="1" x14ac:dyDescent="0.35">
      <c r="A100" s="8" t="s">
        <v>92</v>
      </c>
      <c r="B100" s="8" t="s">
        <v>143</v>
      </c>
      <c r="C100" s="8" t="s">
        <v>191</v>
      </c>
      <c r="D100" s="8">
        <v>2</v>
      </c>
      <c r="E100" s="8" t="s">
        <v>267</v>
      </c>
      <c r="H100" s="8" t="s">
        <v>232</v>
      </c>
    </row>
    <row r="101" spans="1:8" s="8" customFormat="1" x14ac:dyDescent="0.35">
      <c r="A101" s="8" t="s">
        <v>93</v>
      </c>
      <c r="B101" s="8" t="s">
        <v>144</v>
      </c>
      <c r="C101" s="8" t="s">
        <v>192</v>
      </c>
      <c r="D101" s="8">
        <v>0</v>
      </c>
      <c r="E101" s="8" t="s">
        <v>144</v>
      </c>
      <c r="H101" s="8" t="s">
        <v>192</v>
      </c>
    </row>
    <row r="102" spans="1:8" s="8" customFormat="1" x14ac:dyDescent="0.35">
      <c r="A102" s="8" t="s">
        <v>94</v>
      </c>
      <c r="B102" s="8" t="s">
        <v>145</v>
      </c>
      <c r="C102" s="8" t="s">
        <v>193</v>
      </c>
      <c r="D102" s="8">
        <v>0</v>
      </c>
      <c r="E102" s="8" t="s">
        <v>145</v>
      </c>
      <c r="H102" s="8" t="s">
        <v>193</v>
      </c>
    </row>
    <row r="103" spans="1:8" s="8" customFormat="1" x14ac:dyDescent="0.35">
      <c r="A103" s="8" t="s">
        <v>95</v>
      </c>
      <c r="B103" s="8" t="s">
        <v>146</v>
      </c>
      <c r="C103" s="8" t="s">
        <v>194</v>
      </c>
      <c r="D103" s="8">
        <v>1</v>
      </c>
      <c r="E103" s="8" t="s">
        <v>233</v>
      </c>
      <c r="H103" s="8" t="s">
        <v>192</v>
      </c>
    </row>
    <row r="104" spans="1:8" s="8" customFormat="1" x14ac:dyDescent="0.35">
      <c r="A104" s="8" t="s">
        <v>96</v>
      </c>
      <c r="B104" s="8" t="s">
        <v>147</v>
      </c>
      <c r="C104" s="8" t="s">
        <v>195</v>
      </c>
      <c r="D104" s="8">
        <v>0</v>
      </c>
      <c r="E104" s="8" t="s">
        <v>147</v>
      </c>
      <c r="H104" s="8" t="s">
        <v>195</v>
      </c>
    </row>
    <row r="105" spans="1:8" s="8" customFormat="1" x14ac:dyDescent="0.35"/>
    <row r="106" spans="1:8" s="8" customFormat="1" x14ac:dyDescent="0.35">
      <c r="A106" s="8" t="s">
        <v>97</v>
      </c>
      <c r="B106" s="8" t="s">
        <v>148</v>
      </c>
      <c r="C106" s="8" t="s">
        <v>196</v>
      </c>
      <c r="D106" s="8">
        <v>3</v>
      </c>
      <c r="E106" s="8" t="s">
        <v>268</v>
      </c>
      <c r="F106" s="8">
        <v>2</v>
      </c>
      <c r="H106" s="8" t="s">
        <v>236</v>
      </c>
    </row>
    <row r="107" spans="1:8" s="8" customFormat="1" x14ac:dyDescent="0.35">
      <c r="A107" s="8" t="s">
        <v>98</v>
      </c>
      <c r="B107" s="8" t="s">
        <v>149</v>
      </c>
      <c r="C107" s="8" t="s">
        <v>197</v>
      </c>
      <c r="D107" s="8">
        <v>3</v>
      </c>
      <c r="E107" s="8" t="s">
        <v>35</v>
      </c>
      <c r="F107" s="8">
        <v>2</v>
      </c>
      <c r="H107" s="8" t="s">
        <v>192</v>
      </c>
    </row>
    <row r="108" spans="1:8" s="8" customFormat="1" x14ac:dyDescent="0.35">
      <c r="A108" s="8" t="s">
        <v>99</v>
      </c>
      <c r="B108" s="8" t="s">
        <v>150</v>
      </c>
      <c r="C108" s="8" t="s">
        <v>198</v>
      </c>
      <c r="D108" s="8">
        <v>5</v>
      </c>
      <c r="E108" s="8" t="s">
        <v>35</v>
      </c>
      <c r="F108" s="8">
        <v>2</v>
      </c>
      <c r="H108" s="8" t="s">
        <v>192</v>
      </c>
    </row>
    <row r="109" spans="1:8" s="8" customFormat="1" x14ac:dyDescent="0.35">
      <c r="A109" s="8" t="s">
        <v>100</v>
      </c>
      <c r="B109" s="8" t="s">
        <v>151</v>
      </c>
      <c r="C109" s="8" t="s">
        <v>199</v>
      </c>
      <c r="D109" s="8">
        <v>4</v>
      </c>
      <c r="E109" s="8" t="s">
        <v>35</v>
      </c>
      <c r="F109" s="8">
        <v>2</v>
      </c>
      <c r="H109" s="8" t="s">
        <v>192</v>
      </c>
    </row>
    <row r="110" spans="1:8" s="8" customFormat="1" x14ac:dyDescent="0.35"/>
    <row r="111" spans="1:8" s="8" customFormat="1" x14ac:dyDescent="0.35">
      <c r="A111" s="8" t="s">
        <v>101</v>
      </c>
      <c r="B111" s="8" t="s">
        <v>45</v>
      </c>
      <c r="C111" s="8" t="s">
        <v>200</v>
      </c>
      <c r="D111" s="8">
        <v>3</v>
      </c>
      <c r="E111" s="8" t="s">
        <v>269</v>
      </c>
      <c r="F111" s="8">
        <v>1</v>
      </c>
      <c r="H111" s="8" t="s">
        <v>237</v>
      </c>
    </row>
    <row r="112" spans="1:8" s="8" customFormat="1" x14ac:dyDescent="0.35">
      <c r="A112" s="8" t="s">
        <v>102</v>
      </c>
      <c r="B112" s="8" t="s">
        <v>46</v>
      </c>
      <c r="C112" s="8" t="s">
        <v>200</v>
      </c>
      <c r="D112" s="8">
        <v>3</v>
      </c>
      <c r="E112" s="8" t="s">
        <v>270</v>
      </c>
      <c r="F112" s="8">
        <v>1</v>
      </c>
      <c r="H112" s="8" t="s">
        <v>237</v>
      </c>
    </row>
    <row r="113" spans="1:8" s="8" customFormat="1" x14ac:dyDescent="0.35">
      <c r="A113" s="8" t="s">
        <v>103</v>
      </c>
      <c r="B113" s="8" t="s">
        <v>47</v>
      </c>
      <c r="C113" s="8" t="s">
        <v>203</v>
      </c>
      <c r="D113" s="8">
        <v>3</v>
      </c>
      <c r="E113" s="8" t="s">
        <v>271</v>
      </c>
      <c r="F113" s="8">
        <v>1</v>
      </c>
      <c r="H113" s="8" t="s">
        <v>238</v>
      </c>
    </row>
    <row r="114" spans="1:8" s="8" customFormat="1" x14ac:dyDescent="0.35">
      <c r="A114" s="8" t="s">
        <v>104</v>
      </c>
      <c r="B114" s="8" t="s">
        <v>48</v>
      </c>
      <c r="C114" s="8" t="s">
        <v>201</v>
      </c>
      <c r="D114" s="8">
        <v>3</v>
      </c>
      <c r="E114" s="8" t="s">
        <v>239</v>
      </c>
      <c r="F114" s="8">
        <v>1</v>
      </c>
      <c r="H114" s="8" t="s">
        <v>240</v>
      </c>
    </row>
    <row r="115" spans="1:8" s="8" customFormat="1" x14ac:dyDescent="0.35">
      <c r="A115" s="8" t="s">
        <v>105</v>
      </c>
      <c r="B115" s="8" t="s">
        <v>49</v>
      </c>
      <c r="C115" s="8" t="s">
        <v>203</v>
      </c>
      <c r="D115" s="8">
        <v>3</v>
      </c>
      <c r="E115" s="8" t="s">
        <v>272</v>
      </c>
      <c r="F115" s="8">
        <v>1</v>
      </c>
      <c r="H115" s="8" t="s">
        <v>238</v>
      </c>
    </row>
    <row r="116" spans="1:8" s="8" customFormat="1" x14ac:dyDescent="0.35">
      <c r="A116" s="8" t="s">
        <v>106</v>
      </c>
      <c r="B116" s="8" t="s">
        <v>50</v>
      </c>
      <c r="C116" s="8" t="s">
        <v>201</v>
      </c>
      <c r="D116" s="8">
        <v>3</v>
      </c>
      <c r="E116" s="8" t="s">
        <v>273</v>
      </c>
      <c r="F116" s="8">
        <v>1</v>
      </c>
      <c r="H116" s="8" t="s">
        <v>240</v>
      </c>
    </row>
    <row r="117" spans="1:8" s="8" customFormat="1" x14ac:dyDescent="0.35">
      <c r="A117" s="8" t="s">
        <v>107</v>
      </c>
      <c r="B117" s="8" t="s">
        <v>51</v>
      </c>
      <c r="C117" s="8" t="s">
        <v>203</v>
      </c>
      <c r="D117" s="8">
        <v>3</v>
      </c>
      <c r="E117" s="8" t="s">
        <v>274</v>
      </c>
      <c r="F117" s="8">
        <v>1</v>
      </c>
      <c r="H117" s="8" t="s">
        <v>238</v>
      </c>
    </row>
    <row r="118" spans="1:8" s="8" customFormat="1" x14ac:dyDescent="0.35">
      <c r="A118" s="8" t="s">
        <v>108</v>
      </c>
      <c r="B118" s="8" t="s">
        <v>52</v>
      </c>
      <c r="C118" s="8" t="s">
        <v>204</v>
      </c>
      <c r="D118" s="8">
        <v>6</v>
      </c>
      <c r="E118" s="8" t="s">
        <v>275</v>
      </c>
      <c r="F118" s="8">
        <v>2</v>
      </c>
      <c r="H118" s="8" t="s">
        <v>240</v>
      </c>
    </row>
    <row r="119" spans="1:8" s="8" customFormat="1" x14ac:dyDescent="0.35">
      <c r="A119" s="8" t="s">
        <v>109</v>
      </c>
      <c r="B119" s="8" t="s">
        <v>53</v>
      </c>
      <c r="C119" s="8" t="s">
        <v>205</v>
      </c>
      <c r="D119" s="8">
        <v>3</v>
      </c>
      <c r="E119" s="8" t="s">
        <v>271</v>
      </c>
      <c r="F119" s="8">
        <v>2</v>
      </c>
      <c r="H119" s="8" t="s">
        <v>238</v>
      </c>
    </row>
    <row r="120" spans="1:8" s="8" customFormat="1" x14ac:dyDescent="0.35">
      <c r="A120" s="8" t="s">
        <v>110</v>
      </c>
      <c r="B120" s="8" t="s">
        <v>54</v>
      </c>
      <c r="C120" s="8" t="s">
        <v>206</v>
      </c>
      <c r="D120" s="8">
        <v>5</v>
      </c>
      <c r="E120" s="10" t="s">
        <v>276</v>
      </c>
      <c r="F120" s="8">
        <v>1</v>
      </c>
      <c r="H120" s="8" t="s">
        <v>191</v>
      </c>
    </row>
    <row r="121" spans="1:8" s="8" customFormat="1" x14ac:dyDescent="0.35">
      <c r="A121" s="8" t="s">
        <v>111</v>
      </c>
      <c r="B121" s="8" t="s">
        <v>55</v>
      </c>
      <c r="C121" s="8" t="s">
        <v>202</v>
      </c>
      <c r="D121" s="8">
        <v>4</v>
      </c>
      <c r="E121" s="8" t="s">
        <v>277</v>
      </c>
      <c r="F121" s="8">
        <v>1</v>
      </c>
      <c r="H121" s="8" t="s">
        <v>238</v>
      </c>
    </row>
    <row r="122" spans="1:8" s="8" customFormat="1" x14ac:dyDescent="0.35">
      <c r="A122" s="8" t="s">
        <v>112</v>
      </c>
      <c r="B122" s="8" t="s">
        <v>56</v>
      </c>
      <c r="C122" s="8" t="s">
        <v>207</v>
      </c>
      <c r="D122" s="8">
        <v>3</v>
      </c>
      <c r="E122" s="8" t="s">
        <v>278</v>
      </c>
      <c r="F122" s="8">
        <v>1</v>
      </c>
      <c r="H122" s="8" t="s">
        <v>246</v>
      </c>
    </row>
    <row r="124" spans="1:8" s="8" customFormat="1" x14ac:dyDescent="0.35">
      <c r="A124" s="8" t="s">
        <v>113</v>
      </c>
      <c r="B124" s="8" t="s">
        <v>161</v>
      </c>
      <c r="C124" s="9" t="s">
        <v>209</v>
      </c>
      <c r="D124" s="8">
        <v>0</v>
      </c>
      <c r="E124" s="8" t="s">
        <v>161</v>
      </c>
    </row>
    <row r="125" spans="1:8" s="8" customFormat="1" x14ac:dyDescent="0.35">
      <c r="A125" s="8" t="s">
        <v>114</v>
      </c>
      <c r="B125" s="8" t="s">
        <v>162</v>
      </c>
      <c r="C125" s="8" t="s">
        <v>208</v>
      </c>
      <c r="D125" s="8">
        <v>0</v>
      </c>
      <c r="E125" s="8" t="s">
        <v>162</v>
      </c>
    </row>
    <row r="126" spans="1:8" s="8" customFormat="1" x14ac:dyDescent="0.35">
      <c r="A126" s="8" t="s">
        <v>115</v>
      </c>
      <c r="B126" s="8" t="s">
        <v>163</v>
      </c>
      <c r="C126" s="8" t="s">
        <v>208</v>
      </c>
      <c r="D126" s="8">
        <v>0</v>
      </c>
      <c r="E126" s="8" t="s">
        <v>163</v>
      </c>
    </row>
    <row r="127" spans="1:8" s="8" customFormat="1" x14ac:dyDescent="0.35">
      <c r="A127" s="8" t="s">
        <v>116</v>
      </c>
      <c r="B127" s="8" t="s">
        <v>164</v>
      </c>
      <c r="C127" s="8" t="s">
        <v>210</v>
      </c>
      <c r="D127" s="8">
        <v>2</v>
      </c>
      <c r="E127" s="8" t="s">
        <v>58</v>
      </c>
      <c r="G127" s="8" t="s">
        <v>241</v>
      </c>
    </row>
    <row r="128" spans="1:8" s="8" customFormat="1" x14ac:dyDescent="0.35">
      <c r="A128" s="8" t="s">
        <v>117</v>
      </c>
      <c r="B128" s="8" t="s">
        <v>165</v>
      </c>
      <c r="C128" s="8" t="s">
        <v>211</v>
      </c>
      <c r="D128" s="8">
        <v>1</v>
      </c>
      <c r="E128" s="8" t="s">
        <v>279</v>
      </c>
      <c r="G128" s="8" t="s">
        <v>244</v>
      </c>
    </row>
    <row r="129" spans="1:8" s="8" customFormat="1" x14ac:dyDescent="0.35">
      <c r="A129" s="8" t="s">
        <v>118</v>
      </c>
      <c r="B129" s="8" t="s">
        <v>166</v>
      </c>
      <c r="C129" s="8" t="s">
        <v>212</v>
      </c>
      <c r="D129" s="8">
        <v>0</v>
      </c>
      <c r="E129" s="8" t="s">
        <v>281</v>
      </c>
    </row>
    <row r="130" spans="1:8" s="8" customFormat="1" x14ac:dyDescent="0.35">
      <c r="A130" s="8" t="s">
        <v>119</v>
      </c>
      <c r="B130" s="8" t="s">
        <v>167</v>
      </c>
      <c r="C130" s="8" t="s">
        <v>212</v>
      </c>
      <c r="D130" s="8">
        <v>0</v>
      </c>
      <c r="E130" s="8" t="s">
        <v>280</v>
      </c>
    </row>
    <row r="131" spans="1:8" s="8" customFormat="1" x14ac:dyDescent="0.35">
      <c r="A131" s="8" t="s">
        <v>120</v>
      </c>
      <c r="B131" s="8" t="s">
        <v>168</v>
      </c>
      <c r="C131" s="8" t="s">
        <v>213</v>
      </c>
      <c r="D131" s="8">
        <v>1</v>
      </c>
      <c r="E131" s="8" t="s">
        <v>242</v>
      </c>
      <c r="G131" s="8" t="s">
        <v>244</v>
      </c>
    </row>
    <row r="132" spans="1:8" s="8" customFormat="1" x14ac:dyDescent="0.35">
      <c r="A132" s="8" t="s">
        <v>121</v>
      </c>
      <c r="B132" s="8" t="s">
        <v>169</v>
      </c>
      <c r="C132" s="8" t="s">
        <v>214</v>
      </c>
      <c r="D132" s="8">
        <v>1</v>
      </c>
      <c r="E132" s="8" t="s">
        <v>243</v>
      </c>
      <c r="G132" s="8" t="s">
        <v>244</v>
      </c>
    </row>
    <row r="133" spans="1:8" s="8" customFormat="1" x14ac:dyDescent="0.35">
      <c r="A133" s="8" t="s">
        <v>122</v>
      </c>
      <c r="B133" s="8" t="s">
        <v>170</v>
      </c>
      <c r="C133" s="8" t="s">
        <v>215</v>
      </c>
      <c r="D133" s="8">
        <v>1</v>
      </c>
      <c r="E133" s="8" t="s">
        <v>282</v>
      </c>
      <c r="G133" s="8" t="s">
        <v>244</v>
      </c>
    </row>
    <row r="134" spans="1:8" s="8" customFormat="1" x14ac:dyDescent="0.35">
      <c r="A134" s="8" t="s">
        <v>123</v>
      </c>
      <c r="B134" s="8" t="s">
        <v>171</v>
      </c>
      <c r="C134" s="8" t="s">
        <v>216</v>
      </c>
      <c r="D134" s="8">
        <v>0</v>
      </c>
      <c r="E134" s="8" t="s">
        <v>171</v>
      </c>
    </row>
    <row r="136" spans="1:8" s="8" customFormat="1" x14ac:dyDescent="0.35">
      <c r="A136" s="8" t="s">
        <v>124</v>
      </c>
      <c r="B136" s="8" t="s">
        <v>172</v>
      </c>
      <c r="C136" s="8" t="s">
        <v>217</v>
      </c>
      <c r="D136" s="8">
        <v>1</v>
      </c>
      <c r="E136" s="8" t="s">
        <v>283</v>
      </c>
    </row>
    <row r="137" spans="1:8" s="8" customFormat="1" x14ac:dyDescent="0.35">
      <c r="A137" s="8" t="s">
        <v>125</v>
      </c>
      <c r="B137" s="8" t="s">
        <v>173</v>
      </c>
      <c r="C137" s="8" t="s">
        <v>209</v>
      </c>
      <c r="D137" s="8">
        <v>4</v>
      </c>
      <c r="E137" s="8" t="s">
        <v>284</v>
      </c>
      <c r="F137" s="8">
        <v>1</v>
      </c>
      <c r="H137" s="8" t="s">
        <v>237</v>
      </c>
    </row>
    <row r="138" spans="1:8" s="8" customFormat="1" x14ac:dyDescent="0.35">
      <c r="A138" s="8" t="s">
        <v>126</v>
      </c>
      <c r="B138" s="8" t="s">
        <v>174</v>
      </c>
      <c r="C138" s="8" t="s">
        <v>218</v>
      </c>
      <c r="D138" s="8">
        <v>4</v>
      </c>
      <c r="E138" s="8" t="s">
        <v>285</v>
      </c>
      <c r="F138" s="8">
        <v>2</v>
      </c>
      <c r="H138" s="8" t="s">
        <v>246</v>
      </c>
    </row>
    <row r="139" spans="1:8" s="8" customFormat="1" x14ac:dyDescent="0.35">
      <c r="A139" s="8" t="s">
        <v>127</v>
      </c>
      <c r="B139" s="8" t="s">
        <v>175</v>
      </c>
      <c r="C139" s="8" t="s">
        <v>191</v>
      </c>
      <c r="D139" s="8">
        <v>0</v>
      </c>
      <c r="E139" s="8" t="s">
        <v>286</v>
      </c>
    </row>
    <row r="141" spans="1:8" s="8" customFormat="1" x14ac:dyDescent="0.35">
      <c r="A141" s="8" t="s">
        <v>128</v>
      </c>
      <c r="B141" s="8" t="s">
        <v>176</v>
      </c>
      <c r="C141" s="8" t="s">
        <v>219</v>
      </c>
      <c r="D141" s="8">
        <v>5</v>
      </c>
      <c r="E141" s="8" t="s">
        <v>288</v>
      </c>
      <c r="F141" s="8">
        <v>1</v>
      </c>
      <c r="G141" s="8" t="s">
        <v>250</v>
      </c>
      <c r="H141" s="8" t="s">
        <v>259</v>
      </c>
    </row>
    <row r="142" spans="1:8" s="8" customFormat="1" x14ac:dyDescent="0.35">
      <c r="A142" s="8" t="s">
        <v>129</v>
      </c>
      <c r="B142" s="8" t="s">
        <v>177</v>
      </c>
      <c r="C142" s="8" t="s">
        <v>219</v>
      </c>
      <c r="D142" s="8">
        <v>5</v>
      </c>
      <c r="E142" s="8" t="s">
        <v>288</v>
      </c>
      <c r="F142" s="8">
        <v>1</v>
      </c>
      <c r="G142" s="8" t="s">
        <v>250</v>
      </c>
      <c r="H142" s="8" t="s">
        <v>259</v>
      </c>
    </row>
    <row r="143" spans="1:8" s="8" customFormat="1" x14ac:dyDescent="0.35">
      <c r="A143" s="8" t="s">
        <v>130</v>
      </c>
      <c r="B143" s="8" t="s">
        <v>178</v>
      </c>
      <c r="C143" s="8" t="s">
        <v>220</v>
      </c>
      <c r="D143" s="8">
        <v>5</v>
      </c>
      <c r="E143" s="8" t="s">
        <v>287</v>
      </c>
      <c r="F143" s="8">
        <v>1</v>
      </c>
      <c r="G143" s="8" t="s">
        <v>250</v>
      </c>
      <c r="H143" s="8" t="s">
        <v>237</v>
      </c>
    </row>
    <row r="144" spans="1:8" s="8" customFormat="1" x14ac:dyDescent="0.35">
      <c r="A144" s="8" t="s">
        <v>131</v>
      </c>
      <c r="B144" s="8" t="s">
        <v>179</v>
      </c>
      <c r="C144" s="8" t="s">
        <v>251</v>
      </c>
      <c r="D144" s="8">
        <v>13</v>
      </c>
      <c r="E144" s="8" t="s">
        <v>289</v>
      </c>
      <c r="F144" s="8">
        <v>2</v>
      </c>
      <c r="G144" s="8" t="s">
        <v>252</v>
      </c>
      <c r="H144" s="8" t="s">
        <v>260</v>
      </c>
    </row>
    <row r="145" spans="1:8" s="8" customFormat="1" x14ac:dyDescent="0.35">
      <c r="A145" s="8" t="s">
        <v>132</v>
      </c>
      <c r="B145" s="8" t="s">
        <v>180</v>
      </c>
      <c r="C145" s="8" t="s">
        <v>222</v>
      </c>
      <c r="D145" s="8">
        <v>17</v>
      </c>
      <c r="E145" s="8" t="s">
        <v>254</v>
      </c>
      <c r="F145" s="8">
        <v>2</v>
      </c>
      <c r="G145" s="8" t="s">
        <v>253</v>
      </c>
      <c r="H145" s="8" t="s">
        <v>261</v>
      </c>
    </row>
    <row r="146" spans="1:8" s="8" customFormat="1" x14ac:dyDescent="0.35">
      <c r="A146" s="8" t="s">
        <v>133</v>
      </c>
      <c r="B146" s="8" t="s">
        <v>181</v>
      </c>
      <c r="C146" s="8" t="s">
        <v>223</v>
      </c>
      <c r="D146" s="8">
        <v>7</v>
      </c>
      <c r="E146" s="8" t="s">
        <v>255</v>
      </c>
      <c r="F146" s="8">
        <v>2</v>
      </c>
      <c r="G146" s="8" t="s">
        <v>250</v>
      </c>
      <c r="H146" s="8" t="s">
        <v>262</v>
      </c>
    </row>
    <row r="147" spans="1:8" s="8" customFormat="1" x14ac:dyDescent="0.35">
      <c r="A147" s="8" t="s">
        <v>134</v>
      </c>
      <c r="B147" s="8" t="s">
        <v>182</v>
      </c>
      <c r="C147" s="8" t="s">
        <v>256</v>
      </c>
      <c r="D147" s="8">
        <v>13</v>
      </c>
      <c r="E147" s="8" t="s">
        <v>257</v>
      </c>
      <c r="F147" s="8">
        <v>2</v>
      </c>
      <c r="G147" s="8" t="s">
        <v>252</v>
      </c>
      <c r="H147" s="8" t="s">
        <v>263</v>
      </c>
    </row>
    <row r="148" spans="1:8" s="8" customFormat="1" x14ac:dyDescent="0.35">
      <c r="A148" s="8" t="s">
        <v>135</v>
      </c>
      <c r="B148" s="8" t="s">
        <v>183</v>
      </c>
      <c r="C148" s="8" t="s">
        <v>225</v>
      </c>
      <c r="D148" s="8">
        <v>5</v>
      </c>
      <c r="E148" s="8" t="s">
        <v>255</v>
      </c>
      <c r="F148" s="8">
        <v>1</v>
      </c>
      <c r="G148" s="8" t="s">
        <v>250</v>
      </c>
      <c r="H148" s="8" t="s">
        <v>262</v>
      </c>
    </row>
    <row r="149" spans="1:8" s="8" customFormat="1" x14ac:dyDescent="0.35">
      <c r="A149" s="8" t="s">
        <v>136</v>
      </c>
      <c r="B149" s="8" t="s">
        <v>184</v>
      </c>
      <c r="C149" s="8" t="s">
        <v>226</v>
      </c>
      <c r="D149" s="8">
        <v>3</v>
      </c>
      <c r="E149" s="8" t="s">
        <v>290</v>
      </c>
      <c r="G149" s="8" t="s">
        <v>250</v>
      </c>
      <c r="H149" s="8" t="s">
        <v>264</v>
      </c>
    </row>
    <row r="150" spans="1:8" s="8" customFormat="1" x14ac:dyDescent="0.35">
      <c r="A150" s="8" t="s">
        <v>137</v>
      </c>
      <c r="B150" s="8" t="s">
        <v>185</v>
      </c>
      <c r="C150" s="8" t="s">
        <v>227</v>
      </c>
      <c r="D150" s="8">
        <v>4</v>
      </c>
      <c r="E150" s="8" t="s">
        <v>258</v>
      </c>
      <c r="G150" s="8" t="s">
        <v>250</v>
      </c>
      <c r="H150" s="8" t="s">
        <v>265</v>
      </c>
    </row>
    <row r="152" spans="1:8" s="8" customFormat="1" x14ac:dyDescent="0.35">
      <c r="A152" s="8" t="s">
        <v>138</v>
      </c>
      <c r="B152" s="8" t="s">
        <v>186</v>
      </c>
      <c r="C152" s="8" t="s">
        <v>228</v>
      </c>
      <c r="D152" s="8">
        <v>1</v>
      </c>
      <c r="E152" s="8" t="s">
        <v>247</v>
      </c>
      <c r="G152" s="8" t="s">
        <v>245</v>
      </c>
    </row>
    <row r="153" spans="1:8" s="8" customFormat="1" x14ac:dyDescent="0.35">
      <c r="A153" s="8" t="s">
        <v>139</v>
      </c>
      <c r="B153" s="8" t="s">
        <v>187</v>
      </c>
      <c r="C153" s="8" t="s">
        <v>214</v>
      </c>
      <c r="D153" s="8">
        <v>0</v>
      </c>
      <c r="E153" s="8" t="s">
        <v>247</v>
      </c>
    </row>
    <row r="154" spans="1:8" s="8" customFormat="1" x14ac:dyDescent="0.35">
      <c r="A154" s="8" t="s">
        <v>140</v>
      </c>
      <c r="B154" s="8" t="s">
        <v>188</v>
      </c>
      <c r="C154" s="8" t="s">
        <v>214</v>
      </c>
      <c r="D154" s="8">
        <v>0</v>
      </c>
      <c r="E154" s="8" t="s">
        <v>248</v>
      </c>
    </row>
    <row r="155" spans="1:8" s="8" customFormat="1" x14ac:dyDescent="0.35">
      <c r="A155" s="8" t="s">
        <v>141</v>
      </c>
      <c r="B155" s="8" t="s">
        <v>189</v>
      </c>
      <c r="C155" s="8" t="s">
        <v>214</v>
      </c>
      <c r="D155" s="8">
        <v>0</v>
      </c>
      <c r="E155" s="8" t="s">
        <v>249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F9770-9E76-4A3C-BEF2-EC92FA03A5F4}">
  <dimension ref="A2:G58"/>
  <sheetViews>
    <sheetView topLeftCell="A44" workbookViewId="0">
      <selection activeCell="B55" sqref="B55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2" spans="1:7" x14ac:dyDescent="0.35">
      <c r="A2" s="173" t="s">
        <v>951</v>
      </c>
      <c r="B2" s="287" t="s">
        <v>952</v>
      </c>
      <c r="C2" s="288">
        <f>C3+C10+C11+C12</f>
        <v>173.50073674164074</v>
      </c>
    </row>
    <row r="3" spans="1:7" x14ac:dyDescent="0.35">
      <c r="A3" s="289" t="s">
        <v>953</v>
      </c>
      <c r="B3" s="287" t="s">
        <v>952</v>
      </c>
      <c r="C3" s="290">
        <f>C4+C9</f>
        <v>106.3117259446328</v>
      </c>
    </row>
    <row r="4" spans="1:7" x14ac:dyDescent="0.35">
      <c r="A4" s="291" t="s">
        <v>954</v>
      </c>
      <c r="B4" s="287" t="s">
        <v>952</v>
      </c>
      <c r="C4" s="292">
        <f>SUM(C5:C8)</f>
        <v>42.524690377853119</v>
      </c>
    </row>
    <row r="5" spans="1:7" x14ac:dyDescent="0.35">
      <c r="A5" s="293" t="s">
        <v>955</v>
      </c>
      <c r="B5" s="287" t="s">
        <v>952</v>
      </c>
      <c r="C5" s="294">
        <v>0</v>
      </c>
    </row>
    <row r="6" spans="1:7" x14ac:dyDescent="0.35">
      <c r="A6" s="293" t="s">
        <v>956</v>
      </c>
      <c r="B6" s="287" t="s">
        <v>952</v>
      </c>
      <c r="C6" s="294">
        <f>'Expenses variable '!C76*(('Yields '!C28*'Refinery '!B1/'Expenses variable '!B76)^0.75)</f>
        <v>39.314665570803946</v>
      </c>
    </row>
    <row r="7" spans="1:7" x14ac:dyDescent="0.35">
      <c r="A7" s="293" t="s">
        <v>957</v>
      </c>
      <c r="B7" s="287" t="s">
        <v>952</v>
      </c>
      <c r="C7" s="294">
        <v>0</v>
      </c>
    </row>
    <row r="8" spans="1:7" x14ac:dyDescent="0.35">
      <c r="A8" s="293" t="s">
        <v>958</v>
      </c>
      <c r="B8" s="287" t="s">
        <v>952</v>
      </c>
      <c r="C8" s="294">
        <f>'Expenses variable '!C82*(('Yields '!C33*('Refinery '!B1/24)/'Expenses variable '!B82)^0.7)</f>
        <v>3.210024807049173</v>
      </c>
    </row>
    <row r="9" spans="1:7" x14ac:dyDescent="0.35">
      <c r="A9" s="295" t="s">
        <v>959</v>
      </c>
      <c r="B9" s="287" t="s">
        <v>952</v>
      </c>
      <c r="C9" s="292">
        <f>C4*'Expenses variable '!C3</f>
        <v>63.787035566779679</v>
      </c>
    </row>
    <row r="10" spans="1:7" x14ac:dyDescent="0.35">
      <c r="A10" s="296" t="s">
        <v>960</v>
      </c>
      <c r="B10" s="287" t="s">
        <v>952</v>
      </c>
      <c r="C10" s="290">
        <f>C3*'Expenses variable '!C4</f>
        <v>36.145986821175157</v>
      </c>
    </row>
    <row r="11" spans="1:7" x14ac:dyDescent="0.35">
      <c r="A11" s="296" t="s">
        <v>639</v>
      </c>
      <c r="B11" s="287" t="s">
        <v>952</v>
      </c>
      <c r="C11" s="290">
        <f>C4*'Expenses variable '!C5</f>
        <v>9.7806787869062184</v>
      </c>
    </row>
    <row r="12" spans="1:7" x14ac:dyDescent="0.35">
      <c r="A12" s="289" t="s">
        <v>961</v>
      </c>
      <c r="B12" s="287" t="s">
        <v>952</v>
      </c>
      <c r="C12" s="290">
        <f>C4*'Expenses variable '!C6</f>
        <v>21.26234518892656</v>
      </c>
      <c r="E12">
        <f>'Expenses variable '!C48</f>
        <v>48</v>
      </c>
      <c r="F12" t="s">
        <v>943</v>
      </c>
      <c r="G12" t="s">
        <v>732</v>
      </c>
    </row>
    <row r="13" spans="1:7" x14ac:dyDescent="0.35">
      <c r="A13" s="173" t="s">
        <v>641</v>
      </c>
      <c r="B13" s="287" t="s">
        <v>952</v>
      </c>
      <c r="C13" s="288">
        <f>C41*'Expenses variable '!C7</f>
        <v>3.010948132603676</v>
      </c>
      <c r="E13">
        <v>3.1</v>
      </c>
      <c r="F13" t="s">
        <v>715</v>
      </c>
      <c r="G13" t="s">
        <v>775</v>
      </c>
    </row>
    <row r="14" spans="1:7" x14ac:dyDescent="0.35">
      <c r="A14" s="173" t="s">
        <v>962</v>
      </c>
      <c r="B14" s="287" t="s">
        <v>952</v>
      </c>
      <c r="C14" s="297">
        <f>'Expenses variable '!C8*C2</f>
        <v>17.350073674164076</v>
      </c>
      <c r="F14" s="183"/>
    </row>
    <row r="15" spans="1:7" x14ac:dyDescent="0.35">
      <c r="A15" s="298" t="s">
        <v>963</v>
      </c>
      <c r="B15" s="287" t="s">
        <v>952</v>
      </c>
      <c r="C15" s="299">
        <f>C2+C13+C14</f>
        <v>193.86175854840849</v>
      </c>
      <c r="F15" s="183"/>
    </row>
    <row r="16" spans="1:7" x14ac:dyDescent="0.35">
      <c r="A16" s="298" t="s">
        <v>964</v>
      </c>
      <c r="B16" s="287" t="s">
        <v>952</v>
      </c>
      <c r="C16" s="299">
        <f>C15*'Expenses variable '!C9</f>
        <v>155.0894068387268</v>
      </c>
      <c r="F16" s="159"/>
    </row>
    <row r="17" spans="1:6" x14ac:dyDescent="0.35">
      <c r="A17" s="298"/>
      <c r="B17" s="210"/>
      <c r="C17" s="300"/>
      <c r="F17" s="183"/>
    </row>
    <row r="18" spans="1:6" x14ac:dyDescent="0.35">
      <c r="A18" s="173" t="s">
        <v>965</v>
      </c>
      <c r="B18" s="210"/>
      <c r="C18" s="288">
        <f>C19+C28+C31</f>
        <v>20.739718213038724</v>
      </c>
      <c r="F18" s="183"/>
    </row>
    <row r="19" spans="1:6" x14ac:dyDescent="0.35">
      <c r="A19" s="289" t="s">
        <v>966</v>
      </c>
      <c r="B19" s="204" t="s">
        <v>967</v>
      </c>
      <c r="C19" s="290">
        <f>SUM(C20:C27)+B58</f>
        <v>6.4587152737074618</v>
      </c>
      <c r="F19" s="183"/>
    </row>
    <row r="20" spans="1:6" x14ac:dyDescent="0.35">
      <c r="A20" s="293" t="s">
        <v>968</v>
      </c>
      <c r="B20" s="301" t="s">
        <v>967</v>
      </c>
      <c r="C20" s="294">
        <f>E12*'Refinery '!C5/1000000</f>
        <v>3.6245161290322581</v>
      </c>
      <c r="F20" s="183"/>
    </row>
    <row r="21" spans="1:6" x14ac:dyDescent="0.35">
      <c r="A21" s="293" t="s">
        <v>969</v>
      </c>
      <c r="B21" s="301" t="s">
        <v>967</v>
      </c>
      <c r="C21" s="302">
        <v>0</v>
      </c>
      <c r="F21" s="183"/>
    </row>
    <row r="22" spans="1:6" x14ac:dyDescent="0.35">
      <c r="A22" s="293" t="s">
        <v>970</v>
      </c>
      <c r="B22" s="301" t="s">
        <v>967</v>
      </c>
      <c r="C22" s="294">
        <f>'Expenses variable '!C65*'Yields '!C23*'Refinery '!C4/1000000</f>
        <v>0.25737048194112383</v>
      </c>
      <c r="F22" s="183"/>
    </row>
    <row r="23" spans="1:6" x14ac:dyDescent="0.35">
      <c r="A23" s="293" t="s">
        <v>971</v>
      </c>
      <c r="B23" s="301" t="s">
        <v>967</v>
      </c>
      <c r="C23" s="294">
        <f>'Yields '!C22*'Refinery '!C4*'Expenses variable '!C64/1000000</f>
        <v>1.2107373879040917</v>
      </c>
    </row>
    <row r="24" spans="1:6" x14ac:dyDescent="0.35">
      <c r="A24" s="293" t="s">
        <v>972</v>
      </c>
      <c r="B24" s="301" t="s">
        <v>967</v>
      </c>
      <c r="C24" s="171">
        <f>'Expenses variable '!C66*'Refinery '!C4*'Yields '!C24/1000000</f>
        <v>0.98212500000000014</v>
      </c>
    </row>
    <row r="25" spans="1:6" ht="15" customHeight="1" x14ac:dyDescent="0.35">
      <c r="A25" s="293" t="s">
        <v>973</v>
      </c>
      <c r="B25" s="301" t="s">
        <v>967</v>
      </c>
      <c r="C25" s="171">
        <v>0</v>
      </c>
    </row>
    <row r="26" spans="1:6" x14ac:dyDescent="0.35">
      <c r="A26" s="293" t="s">
        <v>974</v>
      </c>
      <c r="B26" s="301" t="s">
        <v>967</v>
      </c>
      <c r="C26" s="294">
        <f>'Expenses variable '!C68*'Refinery '!C4*'Yields '!C36/1000000</f>
        <v>0</v>
      </c>
    </row>
    <row r="27" spans="1:6" x14ac:dyDescent="0.35">
      <c r="A27" s="293" t="s">
        <v>975</v>
      </c>
      <c r="B27" s="301" t="s">
        <v>967</v>
      </c>
      <c r="C27" s="171">
        <f>'Expenses variable '!C67*'Refinery '!C4*'Yields '!C15/1000000</f>
        <v>4.6572546829987967E-2</v>
      </c>
    </row>
    <row r="28" spans="1:6" x14ac:dyDescent="0.35">
      <c r="A28" s="289" t="s">
        <v>976</v>
      </c>
      <c r="B28" s="204" t="s">
        <v>967</v>
      </c>
      <c r="C28" s="303">
        <f t="shared" ref="C28" si="0">SUM(C29:C30)</f>
        <v>0.40094399999999997</v>
      </c>
    </row>
    <row r="29" spans="1:6" x14ac:dyDescent="0.35">
      <c r="A29" s="293" t="s">
        <v>977</v>
      </c>
      <c r="B29" s="301" t="s">
        <v>967</v>
      </c>
      <c r="C29" s="171">
        <f>'Expenses variable '!C29*'Expenses variable '!C28*'Expenses variable '!C27*(8000/24)*'Expenses variable '!C70/1000000</f>
        <v>0.26729599999999998</v>
      </c>
    </row>
    <row r="30" spans="1:6" x14ac:dyDescent="0.35">
      <c r="A30" s="293" t="s">
        <v>978</v>
      </c>
      <c r="B30" s="301" t="s">
        <v>967</v>
      </c>
      <c r="C30" s="171">
        <f>C29*'Expenses variable '!C30</f>
        <v>0.13364799999999999</v>
      </c>
    </row>
    <row r="31" spans="1:6" x14ac:dyDescent="0.35">
      <c r="A31" s="289" t="s">
        <v>666</v>
      </c>
      <c r="B31" s="204" t="s">
        <v>967</v>
      </c>
      <c r="C31" s="290">
        <f>'Expenses variable '!C32*'Expenses variable '!C9*C2</f>
        <v>13.880058939331262</v>
      </c>
    </row>
    <row r="32" spans="1:6" x14ac:dyDescent="0.35">
      <c r="A32" s="173" t="s">
        <v>668</v>
      </c>
      <c r="B32" s="152" t="s">
        <v>967</v>
      </c>
      <c r="C32" s="288">
        <f>'Expenses variable '!C33*C28</f>
        <v>0.28066079999999993</v>
      </c>
    </row>
    <row r="33" spans="1:5" x14ac:dyDescent="0.35">
      <c r="A33" s="173" t="s">
        <v>961</v>
      </c>
      <c r="B33" s="152" t="s">
        <v>967</v>
      </c>
      <c r="C33" s="288">
        <f>'Expenses variable '!C39*C18</f>
        <v>4.1479436426077454</v>
      </c>
    </row>
    <row r="34" spans="1:5" x14ac:dyDescent="0.35">
      <c r="A34" s="173" t="s">
        <v>979</v>
      </c>
      <c r="B34" s="152" t="s">
        <v>967</v>
      </c>
      <c r="C34" s="288">
        <f t="shared" ref="C34" si="1">SUM(C35:C37)</f>
        <v>46.302095241166384</v>
      </c>
    </row>
    <row r="35" spans="1:5" x14ac:dyDescent="0.35">
      <c r="A35" s="289" t="s">
        <v>672</v>
      </c>
      <c r="B35" s="204" t="s">
        <v>967</v>
      </c>
      <c r="C35" s="290">
        <f>C2*'Expenses variable '!C35*'Expenses variable '!C9</f>
        <v>2.0820088408996891</v>
      </c>
    </row>
    <row r="36" spans="1:5" x14ac:dyDescent="0.35">
      <c r="A36" s="289" t="s">
        <v>675</v>
      </c>
      <c r="B36" s="204" t="s">
        <v>967</v>
      </c>
      <c r="C36" s="290">
        <f>'Expenses variable '!C37*C2*'Expenses variable '!C9</f>
        <v>1.3880058939331261</v>
      </c>
    </row>
    <row r="37" spans="1:5" x14ac:dyDescent="0.35">
      <c r="A37" s="289" t="s">
        <v>670</v>
      </c>
      <c r="B37" s="204" t="s">
        <v>967</v>
      </c>
      <c r="C37" s="290">
        <f>'Expenses variable '!C34*C16</f>
        <v>42.832080506333568</v>
      </c>
    </row>
    <row r="38" spans="1:5" x14ac:dyDescent="0.35">
      <c r="A38" s="173" t="s">
        <v>980</v>
      </c>
      <c r="B38" s="152" t="s">
        <v>967</v>
      </c>
      <c r="C38" s="288">
        <f>C41*'Expenses variable '!C38</f>
        <v>1.505474066301838</v>
      </c>
    </row>
    <row r="39" spans="1:5" x14ac:dyDescent="0.35">
      <c r="A39" s="298" t="s">
        <v>981</v>
      </c>
      <c r="B39" s="304" t="s">
        <v>982</v>
      </c>
      <c r="C39" s="299">
        <f>SUM(C38+C34+C32+C18+C33)+B58</f>
        <v>73.313285691114686</v>
      </c>
      <c r="E39">
        <f>(C39*1000000)/('Mass balances '!D71*8000/1000)</f>
        <v>3911.2734853211737</v>
      </c>
    </row>
    <row r="40" spans="1:5" x14ac:dyDescent="0.35">
      <c r="A40" s="298"/>
      <c r="B40" s="210"/>
      <c r="C40" s="287"/>
    </row>
    <row r="41" spans="1:5" x14ac:dyDescent="0.35">
      <c r="A41" s="152" t="s">
        <v>983</v>
      </c>
      <c r="B41" s="152" t="s">
        <v>967</v>
      </c>
      <c r="C41" s="288">
        <f>SUM(C42:C44)+C50+C51</f>
        <v>15.054740663018379</v>
      </c>
    </row>
    <row r="42" spans="1:5" x14ac:dyDescent="0.35">
      <c r="A42" s="305" t="s">
        <v>984</v>
      </c>
      <c r="B42" s="301" t="s">
        <v>967</v>
      </c>
      <c r="C42" s="294">
        <f>'Mass balances '!D71*(8000/1000)*'Expenses variable '!C50/1000000</f>
        <v>15.048547244235465</v>
      </c>
    </row>
    <row r="43" spans="1:5" x14ac:dyDescent="0.35">
      <c r="A43" s="306" t="s">
        <v>985</v>
      </c>
      <c r="B43" s="307" t="s">
        <v>986</v>
      </c>
      <c r="C43" s="294">
        <v>0</v>
      </c>
    </row>
    <row r="44" spans="1:5" x14ac:dyDescent="0.35">
      <c r="A44" s="305" t="s">
        <v>987</v>
      </c>
      <c r="B44" s="301" t="s">
        <v>967</v>
      </c>
      <c r="C44" s="171">
        <f>'Yields '!C19*'Refinery '!B1*'Expenses variable '!C52/1000000</f>
        <v>6.1934187829140791E-3</v>
      </c>
    </row>
    <row r="45" spans="1:5" x14ac:dyDescent="0.35">
      <c r="A45" s="152" t="s">
        <v>988</v>
      </c>
      <c r="B45" s="152" t="s">
        <v>967</v>
      </c>
      <c r="C45" s="288">
        <f>C41-C19</f>
        <v>8.5960253893109169</v>
      </c>
    </row>
    <row r="46" spans="1:5" x14ac:dyDescent="0.35">
      <c r="A46" s="152" t="s">
        <v>989</v>
      </c>
      <c r="B46" s="152" t="s">
        <v>967</v>
      </c>
      <c r="C46" s="288">
        <f t="shared" ref="C46" si="2">C41-C39</f>
        <v>-58.258545028096307</v>
      </c>
    </row>
    <row r="47" spans="1:5" x14ac:dyDescent="0.35">
      <c r="A47" s="308" t="s">
        <v>990</v>
      </c>
      <c r="B47" s="308" t="s">
        <v>877</v>
      </c>
      <c r="C47" s="288">
        <f>(C39-C44-C50-C51)*1000000/((8000/24)*'Yields '!C8*'Refinery '!B1)</f>
        <v>4820.6617077621704</v>
      </c>
    </row>
    <row r="48" spans="1:5" x14ac:dyDescent="0.35">
      <c r="A48" s="152" t="s">
        <v>991</v>
      </c>
      <c r="C48">
        <f>C47/'Expenses variable '!C50</f>
        <v>6.0044962724512292</v>
      </c>
    </row>
    <row r="50" spans="1:5" x14ac:dyDescent="0.35">
      <c r="B50" t="s">
        <v>992</v>
      </c>
      <c r="C50">
        <v>0</v>
      </c>
    </row>
    <row r="51" spans="1:5" x14ac:dyDescent="0.35">
      <c r="B51" t="s">
        <v>993</v>
      </c>
      <c r="C51">
        <v>0</v>
      </c>
    </row>
    <row r="55" spans="1:5" x14ac:dyDescent="0.35">
      <c r="A55" t="s">
        <v>1009</v>
      </c>
      <c r="B55">
        <f>'Mass balances '!C151</f>
        <v>18.744095999999999</v>
      </c>
      <c r="D55" t="s">
        <v>994</v>
      </c>
      <c r="E55">
        <f>B55*1000*'Refinery '!B9</f>
        <v>1405807.1999999997</v>
      </c>
    </row>
    <row r="56" spans="1:5" x14ac:dyDescent="0.35">
      <c r="A56" t="s">
        <v>995</v>
      </c>
      <c r="B56">
        <f>B55*'Expenses variable '!C59*1000/1000000</f>
        <v>0.112464576</v>
      </c>
    </row>
    <row r="57" spans="1:5" x14ac:dyDescent="0.35">
      <c r="A57" t="s">
        <v>996</v>
      </c>
      <c r="B57">
        <f>'Expenses variable '!C60*E55/1000000</f>
        <v>0.22492915199999997</v>
      </c>
    </row>
    <row r="58" spans="1:5" x14ac:dyDescent="0.35">
      <c r="A58" t="s">
        <v>997</v>
      </c>
      <c r="B58">
        <f>B56+B57</f>
        <v>0.33739372799999995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C0D06-5125-4BDD-85C2-E8BF9D2D5C59}">
  <dimension ref="A2:G58"/>
  <sheetViews>
    <sheetView topLeftCell="A45" workbookViewId="0">
      <selection activeCell="E56" sqref="E56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2" spans="1:7" x14ac:dyDescent="0.35">
      <c r="A2" s="173" t="s">
        <v>951</v>
      </c>
      <c r="B2" s="287" t="s">
        <v>952</v>
      </c>
      <c r="C2" s="288">
        <f>C3+C10+C11+C12</f>
        <v>173.50073674164074</v>
      </c>
    </row>
    <row r="3" spans="1:7" x14ac:dyDescent="0.35">
      <c r="A3" s="289" t="s">
        <v>953</v>
      </c>
      <c r="B3" s="287" t="s">
        <v>952</v>
      </c>
      <c r="C3" s="290">
        <f>C4+C9</f>
        <v>106.3117259446328</v>
      </c>
    </row>
    <row r="4" spans="1:7" x14ac:dyDescent="0.35">
      <c r="A4" s="291" t="s">
        <v>954</v>
      </c>
      <c r="B4" s="287" t="s">
        <v>952</v>
      </c>
      <c r="C4" s="292">
        <f>SUM(C5:C8)</f>
        <v>42.524690377853119</v>
      </c>
    </row>
    <row r="5" spans="1:7" x14ac:dyDescent="0.35">
      <c r="A5" s="293" t="s">
        <v>955</v>
      </c>
      <c r="B5" s="287" t="s">
        <v>952</v>
      </c>
      <c r="C5" s="294">
        <v>0</v>
      </c>
    </row>
    <row r="6" spans="1:7" x14ac:dyDescent="0.35">
      <c r="A6" s="293" t="s">
        <v>956</v>
      </c>
      <c r="B6" s="287" t="s">
        <v>952</v>
      </c>
      <c r="C6" s="294">
        <f>'Expenses variable '!C76*(('Yields '!C28*'Refinery '!B1/'Expenses variable '!B76)^0.75)</f>
        <v>39.314665570803946</v>
      </c>
    </row>
    <row r="7" spans="1:7" x14ac:dyDescent="0.35">
      <c r="A7" s="293" t="s">
        <v>957</v>
      </c>
      <c r="B7" s="287" t="s">
        <v>952</v>
      </c>
      <c r="C7" s="294">
        <v>0</v>
      </c>
    </row>
    <row r="8" spans="1:7" x14ac:dyDescent="0.35">
      <c r="A8" s="293" t="s">
        <v>958</v>
      </c>
      <c r="B8" s="287" t="s">
        <v>952</v>
      </c>
      <c r="C8" s="294">
        <f>'Expenses variable '!C82*(('Yields '!C33*('Refinery '!B1/24)/'Expenses variable '!B82)^0.7)</f>
        <v>3.210024807049173</v>
      </c>
    </row>
    <row r="9" spans="1:7" x14ac:dyDescent="0.35">
      <c r="A9" s="295" t="s">
        <v>959</v>
      </c>
      <c r="B9" s="287" t="s">
        <v>952</v>
      </c>
      <c r="C9" s="292">
        <f>C4*'Expenses variable '!C3</f>
        <v>63.787035566779679</v>
      </c>
    </row>
    <row r="10" spans="1:7" x14ac:dyDescent="0.35">
      <c r="A10" s="296" t="s">
        <v>960</v>
      </c>
      <c r="B10" s="287" t="s">
        <v>952</v>
      </c>
      <c r="C10" s="290">
        <f>C3*'Expenses variable '!C4</f>
        <v>36.145986821175157</v>
      </c>
    </row>
    <row r="11" spans="1:7" x14ac:dyDescent="0.35">
      <c r="A11" s="296" t="s">
        <v>639</v>
      </c>
      <c r="B11" s="287" t="s">
        <v>952</v>
      </c>
      <c r="C11" s="290">
        <f>C4*'Expenses variable '!C5</f>
        <v>9.7806787869062184</v>
      </c>
    </row>
    <row r="12" spans="1:7" x14ac:dyDescent="0.35">
      <c r="A12" s="289" t="s">
        <v>961</v>
      </c>
      <c r="B12" s="287" t="s">
        <v>952</v>
      </c>
      <c r="C12" s="290">
        <f>C4*'Expenses variable '!C6</f>
        <v>21.26234518892656</v>
      </c>
      <c r="E12">
        <f>'Expenses variable '!C48</f>
        <v>48</v>
      </c>
      <c r="F12" t="s">
        <v>943</v>
      </c>
      <c r="G12" t="s">
        <v>732</v>
      </c>
    </row>
    <row r="13" spans="1:7" x14ac:dyDescent="0.35">
      <c r="A13" s="173" t="s">
        <v>641</v>
      </c>
      <c r="B13" s="287" t="s">
        <v>952</v>
      </c>
      <c r="C13" s="288">
        <f>C41*'Expenses variable '!C7</f>
        <v>2.0664606349054604</v>
      </c>
      <c r="E13">
        <v>3.1</v>
      </c>
      <c r="F13" t="s">
        <v>715</v>
      </c>
      <c r="G13" t="s">
        <v>775</v>
      </c>
    </row>
    <row r="14" spans="1:7" x14ac:dyDescent="0.35">
      <c r="A14" s="173" t="s">
        <v>962</v>
      </c>
      <c r="B14" s="287" t="s">
        <v>952</v>
      </c>
      <c r="C14" s="297">
        <f>'Expenses variable '!C8*C2</f>
        <v>17.350073674164076</v>
      </c>
      <c r="F14" s="183"/>
    </row>
    <row r="15" spans="1:7" x14ac:dyDescent="0.35">
      <c r="A15" s="298" t="s">
        <v>963</v>
      </c>
      <c r="B15" s="287" t="s">
        <v>952</v>
      </c>
      <c r="C15" s="299">
        <f>C2+C13+C14</f>
        <v>192.91727105071027</v>
      </c>
      <c r="F15" s="183"/>
    </row>
    <row r="16" spans="1:7" x14ac:dyDescent="0.35">
      <c r="A16" s="298" t="s">
        <v>964</v>
      </c>
      <c r="B16" s="287" t="s">
        <v>952</v>
      </c>
      <c r="C16" s="299">
        <f>C15*'Expenses variable '!C9</f>
        <v>154.33381684056823</v>
      </c>
      <c r="F16" s="159"/>
    </row>
    <row r="17" spans="1:6" x14ac:dyDescent="0.35">
      <c r="A17" s="298"/>
      <c r="B17" s="210"/>
      <c r="C17" s="300"/>
      <c r="F17" s="183"/>
    </row>
    <row r="18" spans="1:6" x14ac:dyDescent="0.35">
      <c r="A18" s="173" t="s">
        <v>965</v>
      </c>
      <c r="B18" s="210"/>
      <c r="C18" s="288">
        <f>C19+C28+C31</f>
        <v>21.447015270421311</v>
      </c>
      <c r="F18" s="183"/>
    </row>
    <row r="19" spans="1:6" x14ac:dyDescent="0.35">
      <c r="A19" s="289" t="s">
        <v>966</v>
      </c>
      <c r="B19" s="204" t="s">
        <v>967</v>
      </c>
      <c r="C19" s="290">
        <f>SUM(C20:C27)+B58</f>
        <v>7.1660123310900508</v>
      </c>
      <c r="F19" s="183"/>
    </row>
    <row r="20" spans="1:6" x14ac:dyDescent="0.35">
      <c r="A20" s="293" t="s">
        <v>968</v>
      </c>
      <c r="B20" s="301" t="s">
        <v>967</v>
      </c>
      <c r="C20" s="294">
        <f>E12*'Refinery '!C5/1000000</f>
        <v>3.6245161290322581</v>
      </c>
      <c r="F20" s="183"/>
    </row>
    <row r="21" spans="1:6" x14ac:dyDescent="0.35">
      <c r="A21" s="293" t="s">
        <v>969</v>
      </c>
      <c r="B21" s="301" t="s">
        <v>967</v>
      </c>
      <c r="C21" s="302">
        <f>E13*'Yields '!C32*'Refinery '!C4/1000000</f>
        <v>2.8996417920000008E-3</v>
      </c>
      <c r="F21" s="183"/>
    </row>
    <row r="22" spans="1:6" x14ac:dyDescent="0.35">
      <c r="A22" s="293" t="s">
        <v>970</v>
      </c>
      <c r="B22" s="301" t="s">
        <v>967</v>
      </c>
      <c r="C22" s="294">
        <f>'Expenses variable '!C65*'Yields '!C23*'Refinery '!C4/1000000</f>
        <v>0.25737048194112383</v>
      </c>
      <c r="F22" s="183"/>
    </row>
    <row r="23" spans="1:6" x14ac:dyDescent="0.35">
      <c r="A23" s="293" t="s">
        <v>971</v>
      </c>
      <c r="B23" s="301" t="s">
        <v>967</v>
      </c>
      <c r="C23" s="294">
        <f>'Yields '!C22*'Refinery '!C4*'Expenses variable '!C64/1000000</f>
        <v>1.2107373879040917</v>
      </c>
    </row>
    <row r="24" spans="1:6" x14ac:dyDescent="0.35">
      <c r="A24" s="293" t="s">
        <v>972</v>
      </c>
      <c r="B24" s="301" t="s">
        <v>967</v>
      </c>
      <c r="C24" s="171">
        <f>'Expenses variable '!C66*'Refinery '!C4*'Yields '!C24/1000000</f>
        <v>0.98212500000000014</v>
      </c>
    </row>
    <row r="25" spans="1:6" ht="15" customHeight="1" x14ac:dyDescent="0.35">
      <c r="A25" s="293" t="s">
        <v>973</v>
      </c>
      <c r="B25" s="301" t="s">
        <v>967</v>
      </c>
      <c r="C25" s="171">
        <f>('Mass balances '!G139*8000/1000)*'Expenses variable '!C71/1000000</f>
        <v>0.70439741559058833</v>
      </c>
    </row>
    <row r="26" spans="1:6" x14ac:dyDescent="0.35">
      <c r="A26" s="293" t="s">
        <v>974</v>
      </c>
      <c r="B26" s="301" t="s">
        <v>967</v>
      </c>
      <c r="C26" s="294">
        <f>'Expenses variable '!C68*'Refinery '!C4*'Yields '!C36/1000000</f>
        <v>0</v>
      </c>
    </row>
    <row r="27" spans="1:6" x14ac:dyDescent="0.35">
      <c r="A27" s="293" t="s">
        <v>975</v>
      </c>
      <c r="B27" s="301" t="s">
        <v>967</v>
      </c>
      <c r="C27" s="171">
        <f>'Expenses variable '!C67*'Refinery '!C4*'Yields '!C15/1000000</f>
        <v>4.6572546829987967E-2</v>
      </c>
    </row>
    <row r="28" spans="1:6" x14ac:dyDescent="0.35">
      <c r="A28" s="289" t="s">
        <v>976</v>
      </c>
      <c r="B28" s="204" t="s">
        <v>967</v>
      </c>
      <c r="C28" s="303">
        <f t="shared" ref="C28" si="0">SUM(C29:C30)</f>
        <v>0.40094399999999997</v>
      </c>
    </row>
    <row r="29" spans="1:6" x14ac:dyDescent="0.35">
      <c r="A29" s="293" t="s">
        <v>977</v>
      </c>
      <c r="B29" s="301" t="s">
        <v>967</v>
      </c>
      <c r="C29" s="171">
        <f>'Expenses variable '!C29*'Expenses variable '!C28*'Expenses variable '!C27*(8000/24)*'Expenses variable '!C70/1000000</f>
        <v>0.26729599999999998</v>
      </c>
    </row>
    <row r="30" spans="1:6" x14ac:dyDescent="0.35">
      <c r="A30" s="293" t="s">
        <v>978</v>
      </c>
      <c r="B30" s="301" t="s">
        <v>967</v>
      </c>
      <c r="C30" s="171">
        <f>C29*'Expenses variable '!C30</f>
        <v>0.13364799999999999</v>
      </c>
    </row>
    <row r="31" spans="1:6" x14ac:dyDescent="0.35">
      <c r="A31" s="289" t="s">
        <v>666</v>
      </c>
      <c r="B31" s="204" t="s">
        <v>967</v>
      </c>
      <c r="C31" s="290">
        <f>'Expenses variable '!C32*'Expenses variable '!C9*C2</f>
        <v>13.880058939331262</v>
      </c>
    </row>
    <row r="32" spans="1:6" x14ac:dyDescent="0.35">
      <c r="A32" s="173" t="s">
        <v>668</v>
      </c>
      <c r="B32" s="152" t="s">
        <v>967</v>
      </c>
      <c r="C32" s="288">
        <f>'Expenses variable '!C33*C28</f>
        <v>0.28066079999999993</v>
      </c>
    </row>
    <row r="33" spans="1:5" x14ac:dyDescent="0.35">
      <c r="A33" s="173" t="s">
        <v>961</v>
      </c>
      <c r="B33" s="152" t="s">
        <v>967</v>
      </c>
      <c r="C33" s="288">
        <f>'Expenses variable '!C39*C18</f>
        <v>4.2894030540842625</v>
      </c>
    </row>
    <row r="34" spans="1:5" x14ac:dyDescent="0.35">
      <c r="A34" s="173" t="s">
        <v>979</v>
      </c>
      <c r="B34" s="152" t="s">
        <v>967</v>
      </c>
      <c r="C34" s="288">
        <f t="shared" ref="C34" si="1">SUM(C35:C37)</f>
        <v>46.093418889308509</v>
      </c>
    </row>
    <row r="35" spans="1:5" x14ac:dyDescent="0.35">
      <c r="A35" s="289" t="s">
        <v>672</v>
      </c>
      <c r="B35" s="204" t="s">
        <v>967</v>
      </c>
      <c r="C35" s="290">
        <f>C2*'Expenses variable '!C35*'Expenses variable '!C9</f>
        <v>2.0820088408996891</v>
      </c>
    </row>
    <row r="36" spans="1:5" x14ac:dyDescent="0.35">
      <c r="A36" s="289" t="s">
        <v>675</v>
      </c>
      <c r="B36" s="204" t="s">
        <v>967</v>
      </c>
      <c r="C36" s="290">
        <f>'Expenses variable '!C37*C2*'Expenses variable '!C9</f>
        <v>1.3880058939331261</v>
      </c>
    </row>
    <row r="37" spans="1:5" x14ac:dyDescent="0.35">
      <c r="A37" s="289" t="s">
        <v>670</v>
      </c>
      <c r="B37" s="204" t="s">
        <v>967</v>
      </c>
      <c r="C37" s="290">
        <f>'Expenses variable '!C34*C16</f>
        <v>42.623404154475693</v>
      </c>
    </row>
    <row r="38" spans="1:5" x14ac:dyDescent="0.35">
      <c r="A38" s="173" t="s">
        <v>980</v>
      </c>
      <c r="B38" s="152" t="s">
        <v>967</v>
      </c>
      <c r="C38" s="288">
        <f>C41*'Expenses variable '!C38</f>
        <v>1.0332303174527302</v>
      </c>
    </row>
    <row r="39" spans="1:5" x14ac:dyDescent="0.35">
      <c r="A39" s="298" t="s">
        <v>981</v>
      </c>
      <c r="B39" s="304" t="s">
        <v>982</v>
      </c>
      <c r="C39" s="299">
        <f>SUM(C38+C34+C32+C18+C33)+B58</f>
        <v>73.481122059266795</v>
      </c>
      <c r="E39">
        <f>(C39*1000000)/('Mass balances '!D138*8000/1000)</f>
        <v>4832.1058764487561</v>
      </c>
    </row>
    <row r="40" spans="1:5" x14ac:dyDescent="0.35">
      <c r="A40" s="298"/>
      <c r="B40" s="210"/>
      <c r="C40" s="287"/>
    </row>
    <row r="41" spans="1:5" x14ac:dyDescent="0.35">
      <c r="A41" s="152" t="s">
        <v>983</v>
      </c>
      <c r="B41" s="152" t="s">
        <v>967</v>
      </c>
      <c r="C41" s="288">
        <f>SUM(C42:C44)+C50+C51</f>
        <v>10.332303174527301</v>
      </c>
    </row>
    <row r="42" spans="1:5" x14ac:dyDescent="0.35">
      <c r="A42" s="305" t="s">
        <v>984</v>
      </c>
      <c r="B42" s="301" t="s">
        <v>967</v>
      </c>
      <c r="C42" s="294">
        <f>'Mass balances '!B148*(8000/1000)*'Expenses variable '!C50/1000000</f>
        <v>4.4781265843459099</v>
      </c>
    </row>
    <row r="43" spans="1:5" x14ac:dyDescent="0.35">
      <c r="A43" s="306" t="s">
        <v>985</v>
      </c>
      <c r="B43" s="307" t="s">
        <v>986</v>
      </c>
      <c r="C43" s="294">
        <v>0</v>
      </c>
    </row>
    <row r="44" spans="1:5" x14ac:dyDescent="0.35">
      <c r="A44" s="305" t="s">
        <v>987</v>
      </c>
      <c r="B44" s="301" t="s">
        <v>967</v>
      </c>
      <c r="C44" s="171">
        <f>'Yields '!C19*'Refinery '!B1*'Expenses variable '!C52/1000000</f>
        <v>6.1934187829140791E-3</v>
      </c>
    </row>
    <row r="45" spans="1:5" x14ac:dyDescent="0.35">
      <c r="A45" s="152" t="s">
        <v>988</v>
      </c>
      <c r="B45" s="152" t="s">
        <v>967</v>
      </c>
      <c r="C45" s="288">
        <f>C41-C19</f>
        <v>3.1662908434372499</v>
      </c>
    </row>
    <row r="46" spans="1:5" x14ac:dyDescent="0.35">
      <c r="A46" s="152" t="s">
        <v>989</v>
      </c>
      <c r="B46" s="152" t="s">
        <v>967</v>
      </c>
      <c r="C46" s="288">
        <f t="shared" ref="C46" si="2">C41-C39</f>
        <v>-63.148818884739498</v>
      </c>
    </row>
    <row r="47" spans="1:5" x14ac:dyDescent="0.35">
      <c r="A47" s="308" t="s">
        <v>990</v>
      </c>
      <c r="B47" s="308" t="s">
        <v>877</v>
      </c>
      <c r="C47" s="288">
        <f>(C39-C44-C50-C51)*1000000/((8000/24)*'Yields '!C8*'Refinery '!B1)</f>
        <v>4447.1362364864226</v>
      </c>
    </row>
    <row r="48" spans="1:5" x14ac:dyDescent="0.35">
      <c r="A48" s="152" t="s">
        <v>991</v>
      </c>
      <c r="C48">
        <f>C47/'Expenses variable '!C50</f>
        <v>5.5392422397259224</v>
      </c>
    </row>
    <row r="50" spans="1:5" x14ac:dyDescent="0.35">
      <c r="B50" t="s">
        <v>992</v>
      </c>
      <c r="C50">
        <f>'Mass balances '!B146*(8000/1000)*Sheet4!K60/1000000</f>
        <v>1.0589964258917703</v>
      </c>
    </row>
    <row r="51" spans="1:5" x14ac:dyDescent="0.35">
      <c r="B51" t="s">
        <v>993</v>
      </c>
      <c r="C51">
        <f>'Mass balances '!B147*(8000/1000)*Sheet4!K61/1000000</f>
        <v>4.7889867455067057</v>
      </c>
    </row>
    <row r="55" spans="1:5" x14ac:dyDescent="0.35">
      <c r="A55" t="s">
        <v>1009</v>
      </c>
      <c r="B55">
        <f>'Mass balances '!C151</f>
        <v>18.744095999999999</v>
      </c>
      <c r="D55" t="s">
        <v>994</v>
      </c>
      <c r="E55">
        <f>B55*1000*'Refinery '!B9</f>
        <v>1405807.1999999997</v>
      </c>
    </row>
    <row r="56" spans="1:5" x14ac:dyDescent="0.35">
      <c r="A56" t="s">
        <v>995</v>
      </c>
      <c r="B56">
        <f>B55*'Expenses variable '!C59*1000/1000000</f>
        <v>0.112464576</v>
      </c>
    </row>
    <row r="57" spans="1:5" x14ac:dyDescent="0.35">
      <c r="A57" t="s">
        <v>996</v>
      </c>
      <c r="B57">
        <f>'Expenses variable '!C60*E55/1000000</f>
        <v>0.22492915199999997</v>
      </c>
    </row>
    <row r="58" spans="1:5" x14ac:dyDescent="0.35">
      <c r="A58" t="s">
        <v>997</v>
      </c>
      <c r="B58">
        <f>B56+B57</f>
        <v>0.33739372799999995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C93A6-373A-41D3-9828-14CC8C3468F0}">
  <dimension ref="A1:U90"/>
  <sheetViews>
    <sheetView topLeftCell="D37" zoomScale="70" zoomScaleNormal="70" workbookViewId="0">
      <selection activeCell="T8" sqref="T8"/>
    </sheetView>
  </sheetViews>
  <sheetFormatPr defaultRowHeight="14.5" x14ac:dyDescent="0.35"/>
  <cols>
    <col min="1" max="1" width="24.1796875" customWidth="1"/>
    <col min="2" max="2" width="24" customWidth="1"/>
    <col min="4" max="4" width="33.7265625" customWidth="1"/>
    <col min="5" max="5" width="35.36328125" customWidth="1"/>
    <col min="6" max="6" width="22.7265625" customWidth="1"/>
    <col min="7" max="7" width="11.81640625" bestFit="1" customWidth="1"/>
    <col min="8" max="8" width="14.81640625" customWidth="1"/>
    <col min="9" max="10" width="10.81640625" bestFit="1" customWidth="1"/>
    <col min="11" max="11" width="12.26953125" bestFit="1" customWidth="1"/>
    <col min="13" max="13" width="11.81640625" bestFit="1" customWidth="1"/>
    <col min="14" max="14" width="10.81640625" bestFit="1" customWidth="1"/>
    <col min="15" max="15" width="24" customWidth="1"/>
    <col min="16" max="17" width="10.81640625" bestFit="1" customWidth="1"/>
  </cols>
  <sheetData>
    <row r="1" spans="1:21" x14ac:dyDescent="0.35">
      <c r="D1" t="s">
        <v>1013</v>
      </c>
      <c r="I1" t="s">
        <v>1014</v>
      </c>
      <c r="K1" t="s">
        <v>1015</v>
      </c>
      <c r="N1" t="s">
        <v>1016</v>
      </c>
      <c r="S1" t="s">
        <v>1017</v>
      </c>
    </row>
    <row r="2" spans="1:21" x14ac:dyDescent="0.35">
      <c r="D2" t="s">
        <v>1018</v>
      </c>
      <c r="E2" t="s">
        <v>1112</v>
      </c>
      <c r="H2" s="309" t="s">
        <v>1110</v>
      </c>
      <c r="I2" s="309" t="s">
        <v>1019</v>
      </c>
      <c r="K2" s="309" t="s">
        <v>1020</v>
      </c>
      <c r="L2" s="309" t="s">
        <v>1021</v>
      </c>
      <c r="M2" s="309" t="s">
        <v>1107</v>
      </c>
      <c r="N2" s="309" t="s">
        <v>1022</v>
      </c>
      <c r="O2" s="309" t="s">
        <v>1023</v>
      </c>
      <c r="P2" s="309" t="s">
        <v>1024</v>
      </c>
      <c r="Q2" s="309" t="s">
        <v>1025</v>
      </c>
      <c r="S2" s="309" t="s">
        <v>1026</v>
      </c>
      <c r="T2" s="309" t="s">
        <v>1027</v>
      </c>
      <c r="U2" s="309" t="s">
        <v>1028</v>
      </c>
    </row>
    <row r="3" spans="1:21" x14ac:dyDescent="0.35">
      <c r="D3">
        <v>0</v>
      </c>
    </row>
    <row r="4" spans="1:21" x14ac:dyDescent="0.35">
      <c r="A4" t="s">
        <v>1029</v>
      </c>
      <c r="D4">
        <v>0</v>
      </c>
      <c r="E4" t="s">
        <v>1113</v>
      </c>
      <c r="H4" t="s">
        <v>1032</v>
      </c>
      <c r="I4" t="s">
        <v>1030</v>
      </c>
      <c r="K4" t="s">
        <v>1033</v>
      </c>
      <c r="L4" t="s">
        <v>1033</v>
      </c>
      <c r="M4" t="s">
        <v>1032</v>
      </c>
      <c r="N4" t="s">
        <v>1034</v>
      </c>
      <c r="O4" t="s">
        <v>1030</v>
      </c>
      <c r="P4" t="s">
        <v>1031</v>
      </c>
      <c r="Q4" t="s">
        <v>1035</v>
      </c>
      <c r="S4" t="s">
        <v>1036</v>
      </c>
      <c r="T4" t="s">
        <v>1030</v>
      </c>
      <c r="U4" t="s">
        <v>1037</v>
      </c>
    </row>
    <row r="5" spans="1:21" x14ac:dyDescent="0.35">
      <c r="A5" t="s">
        <v>1038</v>
      </c>
      <c r="D5">
        <v>0</v>
      </c>
    </row>
    <row r="6" spans="1:21" x14ac:dyDescent="0.35">
      <c r="D6">
        <v>0</v>
      </c>
    </row>
    <row r="7" spans="1:21" x14ac:dyDescent="0.35">
      <c r="A7" t="s">
        <v>1039</v>
      </c>
      <c r="B7" t="s">
        <v>1040</v>
      </c>
      <c r="D7">
        <v>0</v>
      </c>
      <c r="H7" t="s">
        <v>1111</v>
      </c>
      <c r="I7" t="s">
        <v>1104</v>
      </c>
      <c r="K7" t="s">
        <v>1105</v>
      </c>
      <c r="L7" t="s">
        <v>1106</v>
      </c>
      <c r="M7" t="s">
        <v>1108</v>
      </c>
      <c r="N7" t="s">
        <v>1041</v>
      </c>
      <c r="O7" t="s">
        <v>1042</v>
      </c>
      <c r="P7" t="s">
        <v>1043</v>
      </c>
      <c r="S7" t="s">
        <v>1044</v>
      </c>
      <c r="T7" t="s">
        <v>1045</v>
      </c>
      <c r="U7" t="s">
        <v>1046</v>
      </c>
    </row>
    <row r="8" spans="1:21" x14ac:dyDescent="0.35">
      <c r="A8" t="s">
        <v>1047</v>
      </c>
      <c r="B8" t="s">
        <v>1048</v>
      </c>
      <c r="D8">
        <f>D7/12</f>
        <v>0</v>
      </c>
      <c r="E8">
        <v>0.94</v>
      </c>
      <c r="H8">
        <v>0.26286359483323701</v>
      </c>
      <c r="I8">
        <v>5.6727755206221597E-4</v>
      </c>
      <c r="K8">
        <v>0.27636748556933</v>
      </c>
      <c r="L8">
        <v>2.7325398001462099E-2</v>
      </c>
      <c r="M8">
        <v>0.16974356641452201</v>
      </c>
      <c r="N8">
        <v>0.77300000000000002</v>
      </c>
      <c r="O8">
        <v>13.692738923308699</v>
      </c>
      <c r="P8">
        <v>2.1174291616537499E-2</v>
      </c>
      <c r="Q8">
        <v>1.5E-3</v>
      </c>
      <c r="S8">
        <v>0.56585255536269397</v>
      </c>
      <c r="T8">
        <v>8.3681259861770902E-3</v>
      </c>
      <c r="U8">
        <v>5.6243999695652698E-2</v>
      </c>
    </row>
    <row r="9" spans="1:21" x14ac:dyDescent="0.35">
      <c r="A9" t="s">
        <v>1049</v>
      </c>
      <c r="B9" t="s">
        <v>1050</v>
      </c>
      <c r="D9">
        <v>0</v>
      </c>
      <c r="E9">
        <v>0</v>
      </c>
      <c r="H9">
        <v>1.8765336592149301E-7</v>
      </c>
      <c r="I9">
        <v>2.5724051309977299E-10</v>
      </c>
      <c r="K9">
        <v>1.21824465342679E-7</v>
      </c>
      <c r="L9">
        <v>6.6728440114888701E-7</v>
      </c>
      <c r="M9">
        <v>1.2071758062269801E-7</v>
      </c>
      <c r="N9" s="64">
        <v>4.5838999999999998E-8</v>
      </c>
      <c r="O9">
        <v>2.30064076844141E-5</v>
      </c>
      <c r="P9">
        <v>7.9582359318618705E-9</v>
      </c>
      <c r="S9">
        <v>1.4453566906485401E-6</v>
      </c>
      <c r="T9">
        <v>5.3600689148372E-9</v>
      </c>
      <c r="U9">
        <v>0</v>
      </c>
    </row>
    <row r="10" spans="1:21" x14ac:dyDescent="0.35">
      <c r="A10" t="s">
        <v>1051</v>
      </c>
      <c r="B10" t="s">
        <v>1052</v>
      </c>
      <c r="D10">
        <v>0</v>
      </c>
      <c r="E10">
        <v>0</v>
      </c>
      <c r="H10">
        <v>4.4961450859884603E-3</v>
      </c>
      <c r="I10">
        <v>1.1172275348030999E-5</v>
      </c>
      <c r="K10">
        <v>7.9144599858715795E-4</v>
      </c>
      <c r="L10">
        <v>2.4211461162849899E-4</v>
      </c>
      <c r="M10">
        <v>2.8601785174066602E-3</v>
      </c>
      <c r="O10">
        <v>0.74418278353357603</v>
      </c>
      <c r="P10">
        <v>1.37372620925443E-3</v>
      </c>
      <c r="S10">
        <v>2.37627757004822E-2</v>
      </c>
      <c r="T10">
        <v>2.15894546830072E-4</v>
      </c>
      <c r="U10">
        <v>9.2220001935958895E-6</v>
      </c>
    </row>
    <row r="11" spans="1:21" x14ac:dyDescent="0.35">
      <c r="A11" t="s">
        <v>1053</v>
      </c>
      <c r="B11" t="s">
        <v>1054</v>
      </c>
      <c r="D11">
        <v>0</v>
      </c>
      <c r="E11">
        <v>0</v>
      </c>
      <c r="H11">
        <v>3.9509706426009601E-4</v>
      </c>
      <c r="I11">
        <v>1.39379799534703E-6</v>
      </c>
      <c r="K11">
        <v>5.08623037970108E-4</v>
      </c>
      <c r="L11">
        <v>2.1117104454100202E-3</v>
      </c>
      <c r="M11">
        <v>2.7832679727396399E-4</v>
      </c>
      <c r="O11">
        <v>9.7769337451951405E-2</v>
      </c>
      <c r="P11">
        <v>7.0150537878038995E-5</v>
      </c>
      <c r="S11">
        <v>2.0953205911776198E-3</v>
      </c>
      <c r="T11">
        <v>6.4728604101075703E-5</v>
      </c>
      <c r="U11">
        <v>1.9289460682557499E-4</v>
      </c>
    </row>
    <row r="12" spans="1:21" x14ac:dyDescent="0.35">
      <c r="A12" t="s">
        <v>1055</v>
      </c>
      <c r="B12" t="s">
        <v>1056</v>
      </c>
      <c r="D12">
        <v>0</v>
      </c>
      <c r="E12">
        <v>0</v>
      </c>
      <c r="H12">
        <v>2.31867398139318E-4</v>
      </c>
      <c r="I12">
        <v>1.0432887071968101E-6</v>
      </c>
      <c r="K12">
        <v>4.1199188494730202E-4</v>
      </c>
      <c r="L12">
        <v>1.61746851586634E-3</v>
      </c>
      <c r="M12">
        <v>1.6076101659980699E-4</v>
      </c>
      <c r="O12">
        <v>0.79840406379384499</v>
      </c>
      <c r="P12">
        <v>4.7676219780943501E-5</v>
      </c>
      <c r="S12">
        <v>1.63281029273235E-3</v>
      </c>
      <c r="T12">
        <v>1.8226356972006101E-5</v>
      </c>
      <c r="U12">
        <v>2.37990006917244E-4</v>
      </c>
    </row>
    <row r="13" spans="1:21" x14ac:dyDescent="0.35">
      <c r="A13" t="s">
        <v>1057</v>
      </c>
      <c r="B13" t="s">
        <v>1054</v>
      </c>
      <c r="D13">
        <v>0</v>
      </c>
      <c r="E13">
        <v>0</v>
      </c>
      <c r="H13">
        <v>4.1487766938581302E-4</v>
      </c>
      <c r="I13">
        <v>1.43572389279644E-6</v>
      </c>
      <c r="K13">
        <v>5.1569064460133701E-4</v>
      </c>
      <c r="L13">
        <v>2.1362401955837E-3</v>
      </c>
      <c r="M13">
        <v>2.9285799867264799E-4</v>
      </c>
      <c r="O13">
        <v>9.9583253675808295E-2</v>
      </c>
      <c r="P13">
        <v>7.1401568057323704E-5</v>
      </c>
      <c r="Q13">
        <v>1.7562428571428572E-3</v>
      </c>
      <c r="S13">
        <v>2.1290443992909099E-3</v>
      </c>
      <c r="T13">
        <v>6.6017013284606002E-5</v>
      </c>
      <c r="U13">
        <v>1.9344130684658E-4</v>
      </c>
    </row>
    <row r="14" spans="1:21" x14ac:dyDescent="0.35">
      <c r="A14" t="s">
        <v>1058</v>
      </c>
      <c r="B14" t="s">
        <v>1059</v>
      </c>
      <c r="D14">
        <v>0</v>
      </c>
      <c r="E14">
        <v>0</v>
      </c>
      <c r="H14">
        <v>5.1218213795174695E-4</v>
      </c>
      <c r="I14">
        <v>2.51578627846389E-6</v>
      </c>
      <c r="K14">
        <v>1.27276787479239E-3</v>
      </c>
      <c r="L14">
        <v>1.0427375026158699E-3</v>
      </c>
      <c r="M14">
        <v>3.3551009662909802E-4</v>
      </c>
      <c r="O14">
        <v>2.68605219535179</v>
      </c>
      <c r="P14">
        <v>7.4480853306545505E-5</v>
      </c>
      <c r="Q14">
        <v>3.0714285714285719E-6</v>
      </c>
      <c r="S14">
        <v>3.9904755833553296E-3</v>
      </c>
      <c r="T14">
        <v>4.0659305515793001E-5</v>
      </c>
      <c r="U14">
        <v>7.9812002368271305E-4</v>
      </c>
    </row>
    <row r="15" spans="1:21" x14ac:dyDescent="0.35">
      <c r="A15" t="s">
        <v>1060</v>
      </c>
      <c r="B15" t="s">
        <v>1061</v>
      </c>
      <c r="D15">
        <v>0</v>
      </c>
      <c r="E15">
        <v>0</v>
      </c>
      <c r="H15">
        <v>2.4237914346772201E-5</v>
      </c>
      <c r="I15">
        <v>1.55059794090962E-7</v>
      </c>
      <c r="K15">
        <v>4.4451298854078202E-5</v>
      </c>
      <c r="L15">
        <v>9.3217098233909792E-6</v>
      </c>
      <c r="M15">
        <v>1.4496612800795899E-5</v>
      </c>
      <c r="O15">
        <v>2.0336793477681001E-2</v>
      </c>
      <c r="P15">
        <v>8.8186095809968292E-6</v>
      </c>
      <c r="S15">
        <v>1.12521999891543E-3</v>
      </c>
      <c r="T15">
        <v>9.3823672438994103E-7</v>
      </c>
      <c r="U15">
        <v>0</v>
      </c>
    </row>
    <row r="16" spans="1:21" x14ac:dyDescent="0.35">
      <c r="A16" t="s">
        <v>1062</v>
      </c>
      <c r="B16" t="s">
        <v>1063</v>
      </c>
      <c r="D16">
        <v>0</v>
      </c>
      <c r="E16">
        <v>0</v>
      </c>
      <c r="H16">
        <v>3.8220643948805496E-6</v>
      </c>
      <c r="I16">
        <v>2.4451224090334999E-8</v>
      </c>
      <c r="K16">
        <v>2.9774261338442402E-6</v>
      </c>
      <c r="L16">
        <v>2.2575173445448301E-5</v>
      </c>
      <c r="M16">
        <v>1.1723066361828999E-6</v>
      </c>
      <c r="N16" s="64">
        <v>9.64323E-4</v>
      </c>
      <c r="O16">
        <v>1.36159748096508E-3</v>
      </c>
      <c r="P16">
        <v>6.4560407746079204E-7</v>
      </c>
      <c r="S16">
        <v>5.8807093339760599E-3</v>
      </c>
      <c r="T16">
        <v>7.0552270167900004E-8</v>
      </c>
      <c r="U16">
        <v>0</v>
      </c>
    </row>
    <row r="17" spans="1:21" x14ac:dyDescent="0.35">
      <c r="A17" t="s">
        <v>1064</v>
      </c>
      <c r="B17" t="s">
        <v>1065</v>
      </c>
      <c r="D17">
        <v>0</v>
      </c>
      <c r="E17">
        <v>0</v>
      </c>
      <c r="H17">
        <v>3.2452243330971799</v>
      </c>
      <c r="I17">
        <v>1.9338757473718799E-3</v>
      </c>
      <c r="K17">
        <v>0.241311920150347</v>
      </c>
      <c r="L17">
        <v>1.52495505441816</v>
      </c>
      <c r="M17">
        <v>2.96690489292848</v>
      </c>
      <c r="O17">
        <v>693.05823889272597</v>
      </c>
      <c r="P17">
        <v>3.14008511544802E-2</v>
      </c>
      <c r="S17">
        <v>3.0226326306102602</v>
      </c>
      <c r="T17">
        <v>6.8950160628618307E-2</v>
      </c>
      <c r="U17">
        <v>1.9182000055018001E-3</v>
      </c>
    </row>
    <row r="18" spans="1:21" x14ac:dyDescent="0.35">
      <c r="A18" t="s">
        <v>1066</v>
      </c>
      <c r="B18" t="s">
        <v>1065</v>
      </c>
      <c r="D18">
        <v>0</v>
      </c>
      <c r="E18">
        <v>0</v>
      </c>
      <c r="H18">
        <v>1.0602481508108099E-2</v>
      </c>
      <c r="I18">
        <v>2.8959227827704702E-5</v>
      </c>
      <c r="K18">
        <v>2.4071826660980902E-3</v>
      </c>
      <c r="L18">
        <v>3.9291538675364198E-3</v>
      </c>
      <c r="M18">
        <v>3.9942726794296498E-3</v>
      </c>
      <c r="O18">
        <v>14.1523854482695</v>
      </c>
      <c r="P18">
        <v>6.8387659675921597E-4</v>
      </c>
      <c r="S18">
        <v>5.4435942570134399E-2</v>
      </c>
      <c r="T18">
        <v>1.7507497800547001E-4</v>
      </c>
      <c r="U18">
        <v>1.4039000040266799E-9</v>
      </c>
    </row>
    <row r="19" spans="1:21" x14ac:dyDescent="0.35">
      <c r="A19" t="s">
        <v>1067</v>
      </c>
      <c r="B19" t="s">
        <v>1065</v>
      </c>
      <c r="D19">
        <v>0</v>
      </c>
      <c r="E19">
        <v>0</v>
      </c>
      <c r="H19">
        <v>1.49418849857819E-2</v>
      </c>
      <c r="I19">
        <v>3.85587460683585E-5</v>
      </c>
      <c r="K19">
        <v>3.38578909645072E-3</v>
      </c>
      <c r="L19">
        <v>5.8742021991573896E-3</v>
      </c>
      <c r="M19">
        <v>6.8165589828837799E-3</v>
      </c>
      <c r="O19">
        <v>18.1058713810779</v>
      </c>
      <c r="P19">
        <v>9.03345392254992E-4</v>
      </c>
      <c r="S19">
        <v>7.1402113938475106E-2</v>
      </c>
      <c r="T19">
        <v>2.6668052050771499E-4</v>
      </c>
      <c r="U19">
        <v>3.3360000095683502E-7</v>
      </c>
    </row>
    <row r="20" spans="1:21" x14ac:dyDescent="0.35">
      <c r="A20" t="s">
        <v>1068</v>
      </c>
      <c r="B20" t="s">
        <v>1065</v>
      </c>
      <c r="D20">
        <v>0</v>
      </c>
      <c r="E20">
        <v>0</v>
      </c>
      <c r="H20">
        <v>6.4464332998747298E-3</v>
      </c>
      <c r="I20">
        <v>1.9012405834305799E-4</v>
      </c>
      <c r="K20">
        <v>4.9804114444542804E-3</v>
      </c>
      <c r="L20">
        <v>1.3906611534391601E-3</v>
      </c>
      <c r="M20">
        <v>3.7251488678352301E-3</v>
      </c>
      <c r="O20">
        <v>2.2829045330893201</v>
      </c>
      <c r="P20">
        <v>2.1374092432198798E-3</v>
      </c>
      <c r="S20">
        <v>0.10689906813998699</v>
      </c>
      <c r="T20">
        <v>2.42758445945427E-4</v>
      </c>
      <c r="U20">
        <v>9.6744000277482206E-8</v>
      </c>
    </row>
    <row r="21" spans="1:21" x14ac:dyDescent="0.35">
      <c r="A21" t="s">
        <v>1069</v>
      </c>
      <c r="B21" t="s">
        <v>1065</v>
      </c>
      <c r="D21">
        <v>0</v>
      </c>
      <c r="E21" s="64">
        <v>0</v>
      </c>
      <c r="H21">
        <v>0.15315546047887199</v>
      </c>
      <c r="I21">
        <v>5.5352399815798399E-4</v>
      </c>
      <c r="K21">
        <v>8.6412661553474795E-2</v>
      </c>
      <c r="L21">
        <v>0.44493644885649503</v>
      </c>
      <c r="M21">
        <v>0.12633486557641199</v>
      </c>
      <c r="O21">
        <v>205.038435744949</v>
      </c>
      <c r="P21">
        <v>1.6551614751022899E-2</v>
      </c>
      <c r="S21">
        <v>3.1276847206530598</v>
      </c>
      <c r="T21">
        <v>4.5259660802639701E-3</v>
      </c>
      <c r="U21">
        <v>3.4472000098873002E-5</v>
      </c>
    </row>
    <row r="22" spans="1:21" x14ac:dyDescent="0.35">
      <c r="A22" t="s">
        <v>1070</v>
      </c>
      <c r="B22" t="s">
        <v>1071</v>
      </c>
      <c r="D22">
        <v>0</v>
      </c>
      <c r="E22">
        <v>0</v>
      </c>
      <c r="H22">
        <v>7.7894625077260804E-3</v>
      </c>
      <c r="I22">
        <v>7.6170640908955403E-6</v>
      </c>
      <c r="K22">
        <v>8.08281921704596E-4</v>
      </c>
      <c r="L22">
        <v>2.4306472346820401E-2</v>
      </c>
      <c r="M22">
        <v>7.0019095959611196E-3</v>
      </c>
      <c r="O22">
        <v>0.62898690445818695</v>
      </c>
      <c r="P22">
        <v>3.0929626825198402E-4</v>
      </c>
      <c r="S22">
        <v>2.81202991365977E-2</v>
      </c>
      <c r="T22">
        <v>9.9905136019498792E-4</v>
      </c>
      <c r="U22">
        <v>0</v>
      </c>
    </row>
    <row r="23" spans="1:21" x14ac:dyDescent="0.35">
      <c r="A23" t="s">
        <v>1072</v>
      </c>
      <c r="B23" t="s">
        <v>1073</v>
      </c>
      <c r="D23">
        <v>0</v>
      </c>
      <c r="E23">
        <v>0</v>
      </c>
      <c r="H23">
        <v>1.19724605829554E-3</v>
      </c>
      <c r="I23">
        <v>9.3367756410341297E-6</v>
      </c>
      <c r="K23">
        <v>1.63491785217968E-4</v>
      </c>
      <c r="L23">
        <v>1.3140607930132E-4</v>
      </c>
      <c r="M23">
        <v>6.4594674403491603E-4</v>
      </c>
      <c r="O23">
        <v>3.9215655944172498</v>
      </c>
      <c r="P23">
        <v>1.4101361792991701E-4</v>
      </c>
      <c r="S23">
        <v>1.0583704387099799E-2</v>
      </c>
      <c r="T23">
        <v>2.6521663838926899E-5</v>
      </c>
      <c r="U23">
        <v>0</v>
      </c>
    </row>
    <row r="24" spans="1:21" x14ac:dyDescent="0.35">
      <c r="A24" t="s">
        <v>1074</v>
      </c>
      <c r="B24" t="s">
        <v>1075</v>
      </c>
      <c r="D24">
        <v>0</v>
      </c>
      <c r="E24">
        <v>0</v>
      </c>
      <c r="H24">
        <v>8.6980326825923798E-2</v>
      </c>
      <c r="I24">
        <v>1.41298542664643E-4</v>
      </c>
      <c r="K24">
        <v>6.6222378508768998E-2</v>
      </c>
      <c r="L24">
        <v>2.8227272660365098E-3</v>
      </c>
      <c r="M24">
        <v>5.7555070639027699E-2</v>
      </c>
      <c r="O24">
        <v>3.24835311891511</v>
      </c>
      <c r="P24">
        <v>5.2902154095011197E-3</v>
      </c>
      <c r="S24">
        <v>0.12531976075457399</v>
      </c>
      <c r="T24">
        <v>4.4317541825785204E-3</v>
      </c>
      <c r="U24">
        <v>0</v>
      </c>
    </row>
    <row r="25" spans="1:21" x14ac:dyDescent="0.35">
      <c r="A25" t="s">
        <v>1076</v>
      </c>
      <c r="B25" t="s">
        <v>1077</v>
      </c>
      <c r="D25">
        <v>0</v>
      </c>
      <c r="E25">
        <v>0</v>
      </c>
      <c r="H25">
        <v>4.3967706360687901E-4</v>
      </c>
      <c r="I25">
        <v>1.01161720698136E-3</v>
      </c>
      <c r="K25">
        <v>3.2313632886351701E-3</v>
      </c>
      <c r="L25">
        <v>9.8196080480470894E-3</v>
      </c>
      <c r="M25">
        <v>2.8116671676958201E-4</v>
      </c>
      <c r="N25" s="64">
        <v>0.9052</v>
      </c>
      <c r="O25">
        <v>0.14257388130339199</v>
      </c>
      <c r="P25">
        <v>1.46871221430531E-4</v>
      </c>
      <c r="S25">
        <v>-0.89523327239583905</v>
      </c>
      <c r="T25">
        <v>1.64928301944395E-4</v>
      </c>
      <c r="U25">
        <v>0</v>
      </c>
    </row>
    <row r="27" spans="1:21" x14ac:dyDescent="0.35">
      <c r="D27" t="s">
        <v>1078</v>
      </c>
      <c r="E27" t="s">
        <v>1114</v>
      </c>
      <c r="F27" t="s">
        <v>1079</v>
      </c>
      <c r="G27" t="s">
        <v>1080</v>
      </c>
      <c r="H27" t="s">
        <v>1081</v>
      </c>
      <c r="I27" t="s">
        <v>1082</v>
      </c>
      <c r="K27" t="s">
        <v>1083</v>
      </c>
      <c r="L27" t="s">
        <v>1084</v>
      </c>
      <c r="M27" t="s">
        <v>1109</v>
      </c>
      <c r="N27" t="s">
        <v>1085</v>
      </c>
      <c r="O27" t="s">
        <v>1086</v>
      </c>
      <c r="P27" t="s">
        <v>1087</v>
      </c>
      <c r="Q27" t="s">
        <v>1088</v>
      </c>
    </row>
    <row r="28" spans="1:21" x14ac:dyDescent="0.35">
      <c r="D28">
        <f>'[5]mass balances '!D5*8000</f>
        <v>250000000</v>
      </c>
      <c r="E28" s="99">
        <f>'Mass balances '!D5*8000</f>
        <v>83333333.333333328</v>
      </c>
      <c r="H28">
        <f>'Mass balances '!D5*8000*'Refinery '!B9/1000</f>
        <v>6250000</v>
      </c>
      <c r="I28">
        <f>'Yields '!C15*'Mass balances '!D6*8000</f>
        <v>582156835.37484956</v>
      </c>
      <c r="K28" s="99">
        <f>'Yields '!C19*'Mass balances '!D6*8000</f>
        <v>15880560.981830971</v>
      </c>
      <c r="M28">
        <f>'Mass balances '!D96*8000*'Refinery '!B10/1000</f>
        <v>7122756.4800000004</v>
      </c>
      <c r="N28">
        <f>'Yields '!C32*'Mass balances '!D6*8000</f>
        <v>935368.32000000007</v>
      </c>
      <c r="O28">
        <f>'Mass balances '!G139*8000</f>
        <v>7685.0793599999997</v>
      </c>
      <c r="P28">
        <f>'Mass balances '!B148*8000*100/1000</f>
        <v>557784.30458983674</v>
      </c>
      <c r="Q28">
        <f>'Mass balances '!B148*8000*43.05</f>
        <v>240126143.12592471</v>
      </c>
    </row>
    <row r="32" spans="1:21" x14ac:dyDescent="0.35">
      <c r="D32">
        <f>D28*D8</f>
        <v>0</v>
      </c>
      <c r="E32">
        <f>(E8*$E$28)/2.5</f>
        <v>31333333.333333332</v>
      </c>
      <c r="F32">
        <f>F8*$F$28</f>
        <v>0</v>
      </c>
      <c r="G32">
        <f>G8*$G$28</f>
        <v>0</v>
      </c>
      <c r="H32">
        <f>H8*$H$28</f>
        <v>1642897.4677077313</v>
      </c>
      <c r="I32">
        <f>I8*$I$28</f>
        <v>330244.50448773109</v>
      </c>
      <c r="J32">
        <f>J8*$J$28</f>
        <v>0</v>
      </c>
      <c r="K32">
        <f>L8*$K$28</f>
        <v>433942.649315021</v>
      </c>
      <c r="L32">
        <f>$K$28*(K8-L8)</f>
        <v>3954928.0586640146</v>
      </c>
      <c r="M32">
        <f>M8*$M$28</f>
        <v>1209042.087617347</v>
      </c>
      <c r="N32">
        <f>N8*$N$28</f>
        <v>723039.71136000007</v>
      </c>
      <c r="O32">
        <f>O8*$O$28</f>
        <v>105229.78528138831</v>
      </c>
      <c r="P32">
        <f>P8*$P$28</f>
        <v>11810.687524512779</v>
      </c>
      <c r="Q32">
        <f>Q8*$Q$28</f>
        <v>360189.21468888706</v>
      </c>
    </row>
    <row r="33" spans="4:17" x14ac:dyDescent="0.35">
      <c r="D33">
        <f t="shared" ref="D33:D49" si="0">D29*D9</f>
        <v>0</v>
      </c>
      <c r="E33">
        <f t="shared" ref="E33:E49" si="1">(E9*$E$28)/2.5</f>
        <v>0</v>
      </c>
      <c r="F33">
        <f t="shared" ref="F33:F48" si="2">F9*$F$28</f>
        <v>0</v>
      </c>
      <c r="G33">
        <f t="shared" ref="G33:G49" si="3">G9*$G$28</f>
        <v>0</v>
      </c>
      <c r="H33">
        <f t="shared" ref="H33:H49" si="4">H9*$H$28</f>
        <v>1.1728335370093312</v>
      </c>
      <c r="I33">
        <f t="shared" ref="I33:I49" si="5">I9*$I$28</f>
        <v>0.14975432303636638</v>
      </c>
      <c r="J33">
        <f t="shared" ref="J33:J49" si="6">J9*$J$28</f>
        <v>0</v>
      </c>
      <c r="K33">
        <f t="shared" ref="K33:K49" si="7">L9*$K$28</f>
        <v>10.596850624669461</v>
      </c>
      <c r="L33">
        <f t="shared" ref="L33:L49" si="8">$K$28*(K9-L9)</f>
        <v>-8.6622097737160928</v>
      </c>
      <c r="M33">
        <f t="shared" ref="M33:M49" si="9">M9*$M$28</f>
        <v>0.85984192963024475</v>
      </c>
      <c r="N33">
        <f t="shared" ref="N33:N49" si="10">N9*$N$28</f>
        <v>4.287634842048E-2</v>
      </c>
      <c r="O33">
        <f t="shared" ref="O33:O49" si="11">O9*$O$28</f>
        <v>0.17680606884323619</v>
      </c>
      <c r="P33">
        <f t="shared" ref="P33:P49" si="12">P9*$P$28</f>
        <v>4.4389790950154252E-3</v>
      </c>
      <c r="Q33">
        <f t="shared" ref="Q33:Q49" si="13">Q9*$Q$28</f>
        <v>0</v>
      </c>
    </row>
    <row r="34" spans="4:17" x14ac:dyDescent="0.35">
      <c r="D34">
        <f t="shared" si="0"/>
        <v>0</v>
      </c>
      <c r="E34">
        <f t="shared" si="1"/>
        <v>0</v>
      </c>
      <c r="F34">
        <f t="shared" si="2"/>
        <v>0</v>
      </c>
      <c r="G34">
        <f t="shared" si="3"/>
        <v>0</v>
      </c>
      <c r="H34">
        <f t="shared" si="4"/>
        <v>28100.906787427877</v>
      </c>
      <c r="I34">
        <f t="shared" si="5"/>
        <v>6504.0164605461723</v>
      </c>
      <c r="J34">
        <f t="shared" si="6"/>
        <v>0</v>
      </c>
      <c r="K34">
        <f t="shared" si="7"/>
        <v>3844.9158545587002</v>
      </c>
      <c r="L34">
        <f t="shared" si="8"/>
        <v>8723.6905898307705</v>
      </c>
      <c r="M34">
        <f t="shared" si="9"/>
        <v>20372.355068815083</v>
      </c>
      <c r="N34">
        <f t="shared" si="10"/>
        <v>0</v>
      </c>
      <c r="O34">
        <f t="shared" si="11"/>
        <v>5719.1037498012329</v>
      </c>
      <c r="P34">
        <f t="shared" si="12"/>
        <v>766.2429183258148</v>
      </c>
      <c r="Q34">
        <f t="shared" si="13"/>
        <v>0</v>
      </c>
    </row>
    <row r="35" spans="4:17" x14ac:dyDescent="0.35">
      <c r="D35">
        <f t="shared" si="0"/>
        <v>0</v>
      </c>
      <c r="E35">
        <f t="shared" si="1"/>
        <v>0</v>
      </c>
      <c r="F35">
        <f t="shared" si="2"/>
        <v>0</v>
      </c>
      <c r="G35">
        <f t="shared" si="3"/>
        <v>0</v>
      </c>
      <c r="H35">
        <f t="shared" si="4"/>
        <v>2469.3566516256001</v>
      </c>
      <c r="I35">
        <f t="shared" si="5"/>
        <v>811.40903012303625</v>
      </c>
      <c r="J35">
        <f t="shared" si="6"/>
        <v>0</v>
      </c>
      <c r="K35">
        <f t="shared" si="7"/>
        <v>33535.146504303266</v>
      </c>
      <c r="L35">
        <f t="shared" si="8"/>
        <v>-25457.927333054839</v>
      </c>
      <c r="M35">
        <f t="shared" si="9"/>
        <v>1982.4539988407735</v>
      </c>
      <c r="N35">
        <f t="shared" si="10"/>
        <v>0</v>
      </c>
      <c r="O35">
        <f t="shared" si="11"/>
        <v>751.36511729286667</v>
      </c>
      <c r="P35">
        <f t="shared" si="12"/>
        <v>39.128868986904983</v>
      </c>
      <c r="Q35">
        <f t="shared" si="13"/>
        <v>0</v>
      </c>
    </row>
    <row r="36" spans="4:17" x14ac:dyDescent="0.35">
      <c r="D36">
        <f t="shared" si="0"/>
        <v>0</v>
      </c>
      <c r="E36">
        <f t="shared" si="1"/>
        <v>0</v>
      </c>
      <c r="F36">
        <f t="shared" si="2"/>
        <v>0</v>
      </c>
      <c r="G36">
        <f t="shared" si="3"/>
        <v>0</v>
      </c>
      <c r="H36">
        <f t="shared" si="4"/>
        <v>1449.1712383707375</v>
      </c>
      <c r="I36">
        <f t="shared" si="5"/>
        <v>607.35765216401296</v>
      </c>
      <c r="J36">
        <f t="shared" si="6"/>
        <v>0</v>
      </c>
      <c r="K36">
        <f t="shared" si="7"/>
        <v>25686.307402407048</v>
      </c>
      <c r="L36">
        <f t="shared" si="8"/>
        <v>-19143.64514948193</v>
      </c>
      <c r="M36">
        <f t="shared" si="9"/>
        <v>1145.0615727176628</v>
      </c>
      <c r="N36">
        <f t="shared" si="10"/>
        <v>0</v>
      </c>
      <c r="O36">
        <f t="shared" si="11"/>
        <v>6135.7985916022008</v>
      </c>
      <c r="P36">
        <f t="shared" si="12"/>
        <v>26.593047095985789</v>
      </c>
      <c r="Q36">
        <f t="shared" si="13"/>
        <v>0</v>
      </c>
    </row>
    <row r="37" spans="4:17" x14ac:dyDescent="0.35">
      <c r="D37">
        <f t="shared" si="0"/>
        <v>0</v>
      </c>
      <c r="E37">
        <f t="shared" si="1"/>
        <v>0</v>
      </c>
      <c r="F37">
        <f t="shared" si="2"/>
        <v>0</v>
      </c>
      <c r="G37">
        <f t="shared" si="3"/>
        <v>0</v>
      </c>
      <c r="H37">
        <f t="shared" si="4"/>
        <v>2592.9854336613312</v>
      </c>
      <c r="I37">
        <f t="shared" si="5"/>
        <v>835.81647790243528</v>
      </c>
      <c r="J37">
        <f t="shared" si="6"/>
        <v>0</v>
      </c>
      <c r="K37">
        <f t="shared" si="7"/>
        <v>33924.692697805469</v>
      </c>
      <c r="L37">
        <f t="shared" si="8"/>
        <v>-25735.235968454213</v>
      </c>
      <c r="M37">
        <f t="shared" si="9"/>
        <v>2085.956207765435</v>
      </c>
      <c r="N37">
        <f t="shared" si="10"/>
        <v>0</v>
      </c>
      <c r="O37">
        <f t="shared" si="11"/>
        <v>765.30520742559838</v>
      </c>
      <c r="P37">
        <f t="shared" si="12"/>
        <v>39.826673985478202</v>
      </c>
      <c r="Q37">
        <f t="shared" si="13"/>
        <v>421719.82367816864</v>
      </c>
    </row>
    <row r="38" spans="4:17" x14ac:dyDescent="0.35">
      <c r="D38">
        <f t="shared" si="0"/>
        <v>0</v>
      </c>
      <c r="E38">
        <f t="shared" si="1"/>
        <v>0</v>
      </c>
      <c r="F38">
        <f t="shared" si="2"/>
        <v>0</v>
      </c>
      <c r="G38">
        <f t="shared" si="3"/>
        <v>0</v>
      </c>
      <c r="H38">
        <f t="shared" si="4"/>
        <v>3201.1383621984182</v>
      </c>
      <c r="I38">
        <f t="shared" si="5"/>
        <v>1464.5821783500082</v>
      </c>
      <c r="J38">
        <f t="shared" si="6"/>
        <v>0</v>
      </c>
      <c r="K38">
        <f t="shared" si="7"/>
        <v>16559.256498333452</v>
      </c>
      <c r="L38">
        <f t="shared" si="8"/>
        <v>3653.0113530225012</v>
      </c>
      <c r="M38">
        <f t="shared" si="9"/>
        <v>2389.7567148703342</v>
      </c>
      <c r="N38">
        <f t="shared" si="10"/>
        <v>0</v>
      </c>
      <c r="O38">
        <f t="shared" si="11"/>
        <v>20642.524286380729</v>
      </c>
      <c r="P38">
        <f t="shared" si="12"/>
        <v>41.544250966849127</v>
      </c>
      <c r="Q38">
        <f t="shared" si="13"/>
        <v>737.53029674391166</v>
      </c>
    </row>
    <row r="39" spans="4:17" x14ac:dyDescent="0.35">
      <c r="D39">
        <f t="shared" si="0"/>
        <v>0</v>
      </c>
      <c r="E39">
        <f t="shared" si="1"/>
        <v>0</v>
      </c>
      <c r="F39">
        <f t="shared" si="2"/>
        <v>0</v>
      </c>
      <c r="G39">
        <f t="shared" si="3"/>
        <v>0</v>
      </c>
      <c r="H39">
        <f t="shared" si="4"/>
        <v>151.48696466732625</v>
      </c>
      <c r="I39">
        <f t="shared" si="5"/>
        <v>90.269119021870239</v>
      </c>
      <c r="J39">
        <f t="shared" si="6"/>
        <v>0</v>
      </c>
      <c r="K39">
        <f t="shared" si="7"/>
        <v>148.03398130529325</v>
      </c>
      <c r="L39">
        <f t="shared" si="8"/>
        <v>557.87758086848885</v>
      </c>
      <c r="M39">
        <f t="shared" si="9"/>
        <v>103.25584276491995</v>
      </c>
      <c r="N39">
        <f t="shared" si="10"/>
        <v>0</v>
      </c>
      <c r="O39">
        <f t="shared" si="11"/>
        <v>156.28987180390888</v>
      </c>
      <c r="P39">
        <f t="shared" si="12"/>
        <v>4.9188820125855877</v>
      </c>
      <c r="Q39">
        <f t="shared" si="13"/>
        <v>0</v>
      </c>
    </row>
    <row r="40" spans="4:17" x14ac:dyDescent="0.35">
      <c r="D40">
        <f t="shared" si="0"/>
        <v>0</v>
      </c>
      <c r="E40">
        <f t="shared" si="1"/>
        <v>0</v>
      </c>
      <c r="F40">
        <f t="shared" si="2"/>
        <v>0</v>
      </c>
      <c r="G40">
        <f t="shared" si="3"/>
        <v>0</v>
      </c>
      <c r="H40">
        <f t="shared" si="4"/>
        <v>23.887902468003436</v>
      </c>
      <c r="I40">
        <f t="shared" si="5"/>
        <v>14.234447237470707</v>
      </c>
      <c r="J40">
        <f t="shared" si="6"/>
        <v>0</v>
      </c>
      <c r="K40">
        <f t="shared" si="7"/>
        <v>358.50641857585293</v>
      </c>
      <c r="L40">
        <f t="shared" si="8"/>
        <v>-311.22322128844223</v>
      </c>
      <c r="M40">
        <f t="shared" si="9"/>
        <v>8.3500546894187533</v>
      </c>
      <c r="N40">
        <f t="shared" si="10"/>
        <v>901.99718444736004</v>
      </c>
      <c r="O40">
        <f t="shared" si="11"/>
        <v>10.463984697592728</v>
      </c>
      <c r="P40">
        <f t="shared" si="12"/>
        <v>0.36010782138683101</v>
      </c>
      <c r="Q40">
        <f t="shared" si="13"/>
        <v>0</v>
      </c>
    </row>
    <row r="41" spans="4:17" x14ac:dyDescent="0.35">
      <c r="D41">
        <f t="shared" si="0"/>
        <v>0</v>
      </c>
      <c r="E41">
        <f t="shared" si="1"/>
        <v>0</v>
      </c>
      <c r="F41">
        <f>F17*$F$28</f>
        <v>0</v>
      </c>
      <c r="G41">
        <f t="shared" si="3"/>
        <v>0</v>
      </c>
      <c r="H41">
        <f t="shared" si="4"/>
        <v>20282652.081857376</v>
      </c>
      <c r="I41">
        <f t="shared" si="5"/>
        <v>1125818.9850981857</v>
      </c>
      <c r="J41">
        <f t="shared" si="6"/>
        <v>0</v>
      </c>
      <c r="K41">
        <f t="shared" si="7"/>
        <v>24217141.736238956</v>
      </c>
      <c r="L41">
        <f t="shared" si="8"/>
        <v>-20384973.072648644</v>
      </c>
      <c r="M41">
        <f t="shared" si="9"/>
        <v>21132541.05165004</v>
      </c>
      <c r="N41">
        <f t="shared" si="10"/>
        <v>0</v>
      </c>
      <c r="O41">
        <f t="shared" si="11"/>
        <v>5326207.5669924375</v>
      </c>
      <c r="P41">
        <f t="shared" si="12"/>
        <v>17514.901924730711</v>
      </c>
      <c r="Q41">
        <f t="shared" si="13"/>
        <v>0</v>
      </c>
    </row>
    <row r="42" spans="4:17" x14ac:dyDescent="0.35">
      <c r="D42">
        <f t="shared" si="0"/>
        <v>0</v>
      </c>
      <c r="E42">
        <f t="shared" si="1"/>
        <v>0</v>
      </c>
      <c r="F42">
        <f t="shared" si="2"/>
        <v>0</v>
      </c>
      <c r="G42">
        <f t="shared" si="3"/>
        <v>0</v>
      </c>
      <c r="H42">
        <f t="shared" si="4"/>
        <v>66265.509425675627</v>
      </c>
      <c r="I42">
        <f t="shared" si="5"/>
        <v>16858.812427075849</v>
      </c>
      <c r="J42">
        <f t="shared" si="6"/>
        <v>0</v>
      </c>
      <c r="K42">
        <f t="shared" si="7"/>
        <v>62397.167600409128</v>
      </c>
      <c r="L42">
        <f t="shared" si="8"/>
        <v>-24169.75647703194</v>
      </c>
      <c r="M42">
        <f t="shared" si="9"/>
        <v>28450.231610294504</v>
      </c>
      <c r="N42">
        <f t="shared" si="10"/>
        <v>0</v>
      </c>
      <c r="O42">
        <f t="shared" si="11"/>
        <v>108762.20530326029</v>
      </c>
      <c r="P42">
        <f t="shared" si="12"/>
        <v>381.45563194860347</v>
      </c>
      <c r="Q42">
        <f t="shared" si="13"/>
        <v>0</v>
      </c>
    </row>
    <row r="43" spans="4:17" x14ac:dyDescent="0.35">
      <c r="D43">
        <f t="shared" si="0"/>
        <v>0</v>
      </c>
      <c r="E43">
        <f t="shared" si="1"/>
        <v>0</v>
      </c>
      <c r="F43">
        <f>F19*$F$28</f>
        <v>0</v>
      </c>
      <c r="G43">
        <f t="shared" si="3"/>
        <v>0</v>
      </c>
      <c r="H43">
        <f t="shared" si="4"/>
        <v>93386.781161136867</v>
      </c>
      <c r="I43">
        <f t="shared" si="5"/>
        <v>22447.237587178006</v>
      </c>
      <c r="J43">
        <f t="shared" si="6"/>
        <v>0</v>
      </c>
      <c r="K43">
        <f t="shared" si="7"/>
        <v>93285.626243324528</v>
      </c>
      <c r="L43">
        <f t="shared" si="8"/>
        <v>-39517.39602552048</v>
      </c>
      <c r="M43">
        <f t="shared" si="9"/>
        <v>48552.689666637656</v>
      </c>
      <c r="N43">
        <f t="shared" si="10"/>
        <v>0</v>
      </c>
      <c r="O43">
        <f t="shared" si="11"/>
        <v>139145.05844553647</v>
      </c>
      <c r="P43">
        <f t="shared" si="12"/>
        <v>503.87188142338402</v>
      </c>
      <c r="Q43">
        <f t="shared" si="13"/>
        <v>0</v>
      </c>
    </row>
    <row r="44" spans="4:17" x14ac:dyDescent="0.35">
      <c r="D44">
        <f t="shared" si="0"/>
        <v>0</v>
      </c>
      <c r="E44">
        <f t="shared" si="1"/>
        <v>0</v>
      </c>
      <c r="F44">
        <f t="shared" si="2"/>
        <v>0</v>
      </c>
      <c r="G44">
        <f t="shared" si="3"/>
        <v>0</v>
      </c>
      <c r="H44">
        <f t="shared" si="4"/>
        <v>40290.208124217061</v>
      </c>
      <c r="I44">
        <f t="shared" si="5"/>
        <v>110682.0201336179</v>
      </c>
      <c r="J44">
        <f t="shared" si="6"/>
        <v>0</v>
      </c>
      <c r="K44">
        <f t="shared" si="7"/>
        <v>22084.479252253979</v>
      </c>
      <c r="L44">
        <f t="shared" si="8"/>
        <v>57007.248406011087</v>
      </c>
      <c r="M44">
        <f t="shared" si="9"/>
        <v>26533.32823733805</v>
      </c>
      <c r="N44">
        <f t="shared" si="10"/>
        <v>0</v>
      </c>
      <c r="O44">
        <f t="shared" si="11"/>
        <v>17544.30250809517</v>
      </c>
      <c r="P44">
        <f t="shared" si="12"/>
        <v>1192.2133283532899</v>
      </c>
      <c r="Q44">
        <f t="shared" si="13"/>
        <v>0</v>
      </c>
    </row>
    <row r="45" spans="4:17" x14ac:dyDescent="0.35">
      <c r="D45">
        <f t="shared" si="0"/>
        <v>0</v>
      </c>
      <c r="E45">
        <f t="shared" si="1"/>
        <v>0</v>
      </c>
      <c r="F45">
        <f t="shared" si="2"/>
        <v>0</v>
      </c>
      <c r="G45">
        <f t="shared" si="3"/>
        <v>0</v>
      </c>
      <c r="H45">
        <f t="shared" si="4"/>
        <v>957221.62799294991</v>
      </c>
      <c r="I45">
        <f t="shared" si="5"/>
        <v>322237.77907168603</v>
      </c>
      <c r="J45">
        <f t="shared" si="6"/>
        <v>0</v>
      </c>
      <c r="K45">
        <f t="shared" si="7"/>
        <v>7065840.4091048865</v>
      </c>
      <c r="L45">
        <f t="shared" si="8"/>
        <v>-5693558.8677026099</v>
      </c>
      <c r="M45">
        <f t="shared" si="9"/>
        <v>899852.48243431747</v>
      </c>
      <c r="N45">
        <f t="shared" si="10"/>
        <v>0</v>
      </c>
      <c r="O45">
        <f t="shared" si="11"/>
        <v>1575736.6505501936</v>
      </c>
      <c r="P45">
        <f t="shared" si="12"/>
        <v>9232.2309237381924</v>
      </c>
      <c r="Q45">
        <f t="shared" si="13"/>
        <v>0</v>
      </c>
    </row>
    <row r="46" spans="4:17" x14ac:dyDescent="0.35">
      <c r="D46">
        <f t="shared" si="0"/>
        <v>0</v>
      </c>
      <c r="E46">
        <f t="shared" si="1"/>
        <v>0</v>
      </c>
      <c r="F46">
        <f>F22*$F$28</f>
        <v>0</v>
      </c>
      <c r="G46">
        <f t="shared" si="3"/>
        <v>0</v>
      </c>
      <c r="H46">
        <f t="shared" si="4"/>
        <v>48684.140673288006</v>
      </c>
      <c r="I46">
        <f t="shared" si="5"/>
        <v>4434.3259260031527</v>
      </c>
      <c r="J46">
        <f t="shared" si="6"/>
        <v>0</v>
      </c>
      <c r="K46">
        <f t="shared" si="7"/>
        <v>386000.41635686957</v>
      </c>
      <c r="L46">
        <f t="shared" si="8"/>
        <v>-373164.44600872818</v>
      </c>
      <c r="M46">
        <f t="shared" si="9"/>
        <v>49872.896947006251</v>
      </c>
      <c r="N46">
        <f t="shared" si="10"/>
        <v>0</v>
      </c>
      <c r="O46">
        <f t="shared" si="11"/>
        <v>4833.8142771619041</v>
      </c>
      <c r="P46">
        <f t="shared" si="12"/>
        <v>172.52060389916451</v>
      </c>
      <c r="Q46">
        <f t="shared" si="13"/>
        <v>0</v>
      </c>
    </row>
    <row r="47" spans="4:17" x14ac:dyDescent="0.35">
      <c r="D47">
        <f t="shared" si="0"/>
        <v>0</v>
      </c>
      <c r="E47">
        <f t="shared" si="1"/>
        <v>0</v>
      </c>
      <c r="F47">
        <f t="shared" si="2"/>
        <v>0</v>
      </c>
      <c r="G47">
        <f t="shared" si="3"/>
        <v>0</v>
      </c>
      <c r="H47">
        <f t="shared" si="4"/>
        <v>7482.7878643471249</v>
      </c>
      <c r="I47">
        <f t="shared" si="5"/>
        <v>5435.4677597894115</v>
      </c>
      <c r="J47">
        <f t="shared" si="6"/>
        <v>0</v>
      </c>
      <c r="K47">
        <f t="shared" si="7"/>
        <v>2086.8022557279287</v>
      </c>
      <c r="L47">
        <f t="shared" si="8"/>
        <v>509.53900945442336</v>
      </c>
      <c r="M47">
        <f t="shared" si="9"/>
        <v>4600.9213568096002</v>
      </c>
      <c r="N47">
        <f t="shared" si="10"/>
        <v>0</v>
      </c>
      <c r="O47">
        <f t="shared" si="11"/>
        <v>30137.542808542137</v>
      </c>
      <c r="P47">
        <f t="shared" si="12"/>
        <v>78.655182814735696</v>
      </c>
      <c r="Q47">
        <f t="shared" si="13"/>
        <v>0</v>
      </c>
    </row>
    <row r="48" spans="4:17" x14ac:dyDescent="0.35">
      <c r="D48">
        <f t="shared" si="0"/>
        <v>0</v>
      </c>
      <c r="E48">
        <f t="shared" si="1"/>
        <v>0</v>
      </c>
      <c r="F48">
        <f t="shared" si="2"/>
        <v>0</v>
      </c>
      <c r="G48">
        <f t="shared" si="3"/>
        <v>0</v>
      </c>
      <c r="H48">
        <f t="shared" si="4"/>
        <v>543627.04266202368</v>
      </c>
      <c r="I48">
        <f t="shared" si="5"/>
        <v>82257.912440726737</v>
      </c>
      <c r="J48">
        <f t="shared" si="6"/>
        <v>0</v>
      </c>
      <c r="K48">
        <f t="shared" si="7"/>
        <v>44826.49248336981</v>
      </c>
      <c r="L48">
        <f t="shared" si="8"/>
        <v>1006822.027787029</v>
      </c>
      <c r="M48">
        <f t="shared" si="9"/>
        <v>409950.75235099229</v>
      </c>
      <c r="N48">
        <f t="shared" si="10"/>
        <v>0</v>
      </c>
      <c r="O48">
        <f t="shared" si="11"/>
        <v>24963.851508166135</v>
      </c>
      <c r="P48">
        <f t="shared" si="12"/>
        <v>2950.7991233190205</v>
      </c>
      <c r="Q48">
        <f t="shared" si="13"/>
        <v>0</v>
      </c>
    </row>
    <row r="49" spans="4:18" x14ac:dyDescent="0.35">
      <c r="D49">
        <f t="shared" si="0"/>
        <v>0</v>
      </c>
      <c r="E49">
        <f t="shared" si="1"/>
        <v>0</v>
      </c>
      <c r="F49">
        <f>F25*$F$28</f>
        <v>0</v>
      </c>
      <c r="G49">
        <f t="shared" si="3"/>
        <v>0</v>
      </c>
      <c r="H49">
        <f t="shared" si="4"/>
        <v>2747.9816475429939</v>
      </c>
      <c r="I49">
        <f t="shared" si="5"/>
        <v>588919.87182701274</v>
      </c>
      <c r="J49">
        <f t="shared" si="6"/>
        <v>0</v>
      </c>
      <c r="K49">
        <f t="shared" si="7"/>
        <v>155940.88442468998</v>
      </c>
      <c r="L49">
        <f t="shared" si="8"/>
        <v>-104625.02266506929</v>
      </c>
      <c r="M49">
        <f t="shared" si="9"/>
        <v>2002.682053830865</v>
      </c>
      <c r="N49">
        <f t="shared" si="10"/>
        <v>846695.40326400008</v>
      </c>
      <c r="O49">
        <f t="shared" si="11"/>
        <v>1095.6915924797877</v>
      </c>
      <c r="P49">
        <f t="shared" si="12"/>
        <v>81.922462109888656</v>
      </c>
      <c r="Q49">
        <f t="shared" si="13"/>
        <v>0</v>
      </c>
    </row>
    <row r="50" spans="4:18" x14ac:dyDescent="0.35">
      <c r="M50" t="s">
        <v>1089</v>
      </c>
      <c r="N50">
        <f>'Mass balances '!G147</f>
        <v>0.36679799388821782</v>
      </c>
    </row>
    <row r="51" spans="4:18" x14ac:dyDescent="0.35">
      <c r="F51" t="s">
        <v>1090</v>
      </c>
      <c r="G51" t="s">
        <v>1091</v>
      </c>
      <c r="H51" t="s">
        <v>1084</v>
      </c>
      <c r="I51" t="s">
        <v>783</v>
      </c>
      <c r="J51" t="s">
        <v>1092</v>
      </c>
      <c r="K51" t="s">
        <v>1093</v>
      </c>
      <c r="L51" t="s">
        <v>1094</v>
      </c>
      <c r="N51" t="s">
        <v>1095</v>
      </c>
      <c r="O51" t="s">
        <v>1096</v>
      </c>
      <c r="P51" t="s">
        <v>1097</v>
      </c>
      <c r="Q51" t="s">
        <v>1092</v>
      </c>
      <c r="R51" t="s">
        <v>1093</v>
      </c>
    </row>
    <row r="52" spans="4:18" x14ac:dyDescent="0.35">
      <c r="F52">
        <f>D32-E32+F32+G32+H32</f>
        <v>-29690435.865625601</v>
      </c>
      <c r="G52">
        <f>I32+J32+K32</f>
        <v>764187.15380275203</v>
      </c>
      <c r="H52">
        <f>L32</f>
        <v>3954928.0586640146</v>
      </c>
      <c r="I52">
        <f>F52+G52-H52+G73+H73+I73</f>
        <v>-31442630.524522014</v>
      </c>
      <c r="J52">
        <f>I52/('Mass balances '!D96*8000)</f>
        <v>-1.6774684959211696</v>
      </c>
      <c r="K52">
        <f>J52*1000/[5]Sheet1!$B$31</f>
        <v>-56.29088912487147</v>
      </c>
      <c r="L52">
        <f>N32+O32+M32</f>
        <v>2037311.5842587354</v>
      </c>
      <c r="M52">
        <f>(I52+L52)*$N$50</f>
        <v>-10785811.996931786</v>
      </c>
      <c r="N52">
        <f>P32</f>
        <v>11810.687524512779</v>
      </c>
      <c r="O52">
        <f>Q32</f>
        <v>360189.21468888706</v>
      </c>
      <c r="P52">
        <f>M52+N52+O52</f>
        <v>-10413812.094718385</v>
      </c>
      <c r="Q52">
        <f>P52/('Mass balances '!B148*8000)</f>
        <v>-1.8669962580564394</v>
      </c>
      <c r="R52">
        <f>Q52*1000/43.05</f>
        <v>-43.368089618035761</v>
      </c>
    </row>
    <row r="53" spans="4:18" x14ac:dyDescent="0.35">
      <c r="F53">
        <f t="shared" ref="F53:F69" si="14">D33-E33+F33+G33+H33</f>
        <v>1.1728335370093312</v>
      </c>
      <c r="G53">
        <f t="shared" ref="G53:G69" si="15">I33+J33+K33</f>
        <v>10.746604947705828</v>
      </c>
      <c r="H53">
        <f t="shared" ref="H53:H69" si="16">L33</f>
        <v>-8.6622097737160928</v>
      </c>
      <c r="I53">
        <f t="shared" ref="I53:I69" si="17">F53+G53-H53+G74+H74+I74</f>
        <v>21.240629673201763</v>
      </c>
      <c r="J53">
        <f>I53/('[5]mass balances '!$D$136*8000)</f>
        <v>2.7995496799959171E-7</v>
      </c>
      <c r="K53">
        <f>J53*1000/[5]Sheet1!$B$31</f>
        <v>9.3944620134091184E-6</v>
      </c>
      <c r="L53">
        <f t="shared" ref="L53:L69" si="18">N33+O33+M33</f>
        <v>1.0795243468939608</v>
      </c>
      <c r="M53">
        <f t="shared" ref="M53:M69" si="19">(I53+L53)*$N$50</f>
        <v>8.1869877178471526</v>
      </c>
      <c r="N53">
        <f t="shared" ref="N53:O69" si="20">P33</f>
        <v>4.4389790950154252E-3</v>
      </c>
      <c r="O53">
        <f t="shared" si="20"/>
        <v>0</v>
      </c>
      <c r="P53">
        <f t="shared" ref="P53:P69" si="21">M53+N53+O53</f>
        <v>8.1914266969421679</v>
      </c>
      <c r="Q53">
        <f>P53/('[5]mass balances '!$B$190*8000)</f>
        <v>4.8018593717087417E-7</v>
      </c>
      <c r="R53">
        <f t="shared" ref="R53:R69" si="22">Q53*1000/43.05</f>
        <v>1.1154144882017984E-5</v>
      </c>
    </row>
    <row r="54" spans="4:18" x14ac:dyDescent="0.35">
      <c r="F54">
        <f t="shared" si="14"/>
        <v>28100.906787427877</v>
      </c>
      <c r="G54">
        <f t="shared" si="15"/>
        <v>10348.932315104872</v>
      </c>
      <c r="H54">
        <f t="shared" si="16"/>
        <v>8723.6905898307705</v>
      </c>
      <c r="I54">
        <f t="shared" si="17"/>
        <v>41675.933405138057</v>
      </c>
      <c r="J54">
        <f>I54/('[5]mass balances '!$D$136*8000)</f>
        <v>5.4929560857175028E-4</v>
      </c>
      <c r="K54">
        <f>J54*1000/[5]Sheet1!$B$31</f>
        <v>1.8432738542676186E-2</v>
      </c>
      <c r="L54">
        <f t="shared" si="18"/>
        <v>26091.458818616316</v>
      </c>
      <c r="M54">
        <f t="shared" si="19"/>
        <v>24856.943518709119</v>
      </c>
      <c r="N54">
        <f t="shared" si="20"/>
        <v>766.2429183258148</v>
      </c>
      <c r="O54">
        <f t="shared" si="20"/>
        <v>0</v>
      </c>
      <c r="P54">
        <f t="shared" si="21"/>
        <v>25623.186437034932</v>
      </c>
      <c r="Q54">
        <f>P54/('[5]mass balances '!$B$190*8000)</f>
        <v>1.5020452782864616E-3</v>
      </c>
      <c r="R54">
        <f t="shared" si="22"/>
        <v>3.4890714942774952E-2</v>
      </c>
    </row>
    <row r="55" spans="4:18" x14ac:dyDescent="0.35">
      <c r="F55">
        <f t="shared" si="14"/>
        <v>2469.3566516256001</v>
      </c>
      <c r="G55">
        <f t="shared" si="15"/>
        <v>34346.555534426305</v>
      </c>
      <c r="H55">
        <f t="shared" si="16"/>
        <v>-25457.927333054839</v>
      </c>
      <c r="I55">
        <f t="shared" si="17"/>
        <v>67535.941438042704</v>
      </c>
      <c r="J55">
        <f>I55/('[5]mass balances '!$D$136*8000)</f>
        <v>8.9013473776455821E-4</v>
      </c>
      <c r="K55">
        <f>J55*1000/[5]Sheet1!$B$31</f>
        <v>2.9870293213575778E-2</v>
      </c>
      <c r="L55">
        <f t="shared" si="18"/>
        <v>2733.8191161336399</v>
      </c>
      <c r="M55">
        <f t="shared" si="19"/>
        <v>25774.807202277305</v>
      </c>
      <c r="N55">
        <f t="shared" si="20"/>
        <v>39.128868986904983</v>
      </c>
      <c r="O55">
        <f t="shared" si="20"/>
        <v>0</v>
      </c>
      <c r="P55">
        <f t="shared" si="21"/>
        <v>25813.936071264208</v>
      </c>
      <c r="Q55">
        <f>P55/('[5]mass balances '!$B$190*8000)</f>
        <v>1.513227126731932E-3</v>
      </c>
      <c r="R55">
        <f t="shared" si="22"/>
        <v>3.5150455905503648E-2</v>
      </c>
    </row>
    <row r="56" spans="4:18" x14ac:dyDescent="0.35">
      <c r="F56">
        <f t="shared" si="14"/>
        <v>1449.1712383707375</v>
      </c>
      <c r="G56">
        <f t="shared" si="15"/>
        <v>26293.665054571062</v>
      </c>
      <c r="H56">
        <f t="shared" si="16"/>
        <v>-19143.64514948193</v>
      </c>
      <c r="I56">
        <f t="shared" si="17"/>
        <v>52521.863464697672</v>
      </c>
      <c r="J56">
        <f>I56/('[5]mass balances '!$D$136*8000)</f>
        <v>6.9224673805642184E-4</v>
      </c>
      <c r="K56">
        <f>J56*1000/[5]Sheet1!$B$31</f>
        <v>2.3229756310618185E-2</v>
      </c>
      <c r="L56">
        <f t="shared" si="18"/>
        <v>7280.8601643198635</v>
      </c>
      <c r="M56">
        <f t="shared" si="19"/>
        <v>21935.519056175155</v>
      </c>
      <c r="N56">
        <f t="shared" si="20"/>
        <v>26.593047095985789</v>
      </c>
      <c r="O56">
        <f t="shared" si="20"/>
        <v>0</v>
      </c>
      <c r="P56">
        <f t="shared" si="21"/>
        <v>21962.112103271142</v>
      </c>
      <c r="Q56">
        <f>P56/('[5]mass balances '!$B$190*8000)</f>
        <v>1.287431087736865E-3</v>
      </c>
      <c r="R56">
        <f t="shared" si="22"/>
        <v>2.990548403569954E-2</v>
      </c>
    </row>
    <row r="57" spans="4:18" x14ac:dyDescent="0.35">
      <c r="F57">
        <f t="shared" si="14"/>
        <v>2592.9854336613312</v>
      </c>
      <c r="G57">
        <f t="shared" si="15"/>
        <v>34760.509175707906</v>
      </c>
      <c r="H57">
        <f t="shared" si="16"/>
        <v>-25735.235968454213</v>
      </c>
      <c r="I57">
        <f t="shared" si="17"/>
        <v>68385.703364071232</v>
      </c>
      <c r="J57">
        <f>I57/('[5]mass balances '!$D$136*8000)</f>
        <v>9.0133473872821743E-4</v>
      </c>
      <c r="K57">
        <f>J57*1000/[5]Sheet1!$B$31</f>
        <v>3.0246132172087832E-2</v>
      </c>
      <c r="L57">
        <f t="shared" si="18"/>
        <v>2851.2614151910334</v>
      </c>
      <c r="M57">
        <f t="shared" si="19"/>
        <v>26129.575771719032</v>
      </c>
      <c r="N57">
        <f t="shared" si="20"/>
        <v>39.826673985478202</v>
      </c>
      <c r="O57">
        <f t="shared" si="20"/>
        <v>421719.82367816864</v>
      </c>
      <c r="P57">
        <f t="shared" si="21"/>
        <v>447889.22612387314</v>
      </c>
      <c r="Q57">
        <f>P57/('[5]mass balances '!$B$190*8000)</f>
        <v>2.6255512714935793E-2</v>
      </c>
      <c r="R57">
        <f t="shared" si="22"/>
        <v>0.60988415133416485</v>
      </c>
    </row>
    <row r="58" spans="4:18" x14ac:dyDescent="0.35">
      <c r="F58">
        <f t="shared" si="14"/>
        <v>3201.1383621984182</v>
      </c>
      <c r="G58">
        <f t="shared" si="15"/>
        <v>18023.838676683459</v>
      </c>
      <c r="H58">
        <f t="shared" si="16"/>
        <v>3653.0113530225012</v>
      </c>
      <c r="I58">
        <f t="shared" si="17"/>
        <v>35684.709052050181</v>
      </c>
      <c r="J58">
        <f>I58/('[5]mass balances '!$D$136*8000)</f>
        <v>4.7033029314312049E-4</v>
      </c>
      <c r="K58">
        <f>J58*1000/[5]Sheet1!$B$31</f>
        <v>1.5782895743057735E-2</v>
      </c>
      <c r="L58">
        <f t="shared" si="18"/>
        <v>23032.281001251064</v>
      </c>
      <c r="M58">
        <f t="shared" si="19"/>
        <v>21537.274158705335</v>
      </c>
      <c r="N58">
        <f t="shared" si="20"/>
        <v>41.544250966849127</v>
      </c>
      <c r="O58">
        <f t="shared" si="20"/>
        <v>737.53029674391166</v>
      </c>
      <c r="P58">
        <f t="shared" si="21"/>
        <v>22316.348706416098</v>
      </c>
      <c r="Q58">
        <f>P58/('[5]mass balances '!$B$190*8000)</f>
        <v>1.3081966321962797E-3</v>
      </c>
      <c r="R58">
        <f t="shared" si="22"/>
        <v>3.0387842792015791E-2</v>
      </c>
    </row>
    <row r="59" spans="4:18" x14ac:dyDescent="0.35">
      <c r="F59">
        <f t="shared" si="14"/>
        <v>151.48696466732625</v>
      </c>
      <c r="G59">
        <f t="shared" si="15"/>
        <v>238.30310032716349</v>
      </c>
      <c r="H59">
        <f t="shared" si="16"/>
        <v>557.87758086848885</v>
      </c>
      <c r="I59">
        <f t="shared" si="17"/>
        <v>321.40217864702936</v>
      </c>
      <c r="J59">
        <f>I59/('[5]mass balances '!$D$136*8000)</f>
        <v>4.2361332042641402E-6</v>
      </c>
      <c r="K59">
        <f>J59*1000/[5]Sheet1!$B$31</f>
        <v>1.4215212094846106E-4</v>
      </c>
      <c r="L59">
        <f t="shared" si="18"/>
        <v>259.54571456882883</v>
      </c>
      <c r="M59">
        <f t="shared" si="19"/>
        <v>213.09052178516336</v>
      </c>
      <c r="N59">
        <f t="shared" si="20"/>
        <v>4.9188820125855877</v>
      </c>
      <c r="O59">
        <f t="shared" si="20"/>
        <v>0</v>
      </c>
      <c r="P59">
        <f t="shared" si="21"/>
        <v>218.00940379774894</v>
      </c>
      <c r="Q59">
        <f>P59/('[5]mass balances '!$B$190*8000)</f>
        <v>1.2779831126824853E-5</v>
      </c>
      <c r="R59">
        <f t="shared" si="22"/>
        <v>2.9686018877641938E-4</v>
      </c>
    </row>
    <row r="60" spans="4:18" x14ac:dyDescent="0.35">
      <c r="F60">
        <f t="shared" si="14"/>
        <v>23.887902468003436</v>
      </c>
      <c r="G60">
        <f t="shared" si="15"/>
        <v>372.74086581332364</v>
      </c>
      <c r="H60">
        <f t="shared" si="16"/>
        <v>-311.22322128844223</v>
      </c>
      <c r="I60">
        <f t="shared" si="17"/>
        <v>3230.9002497370466</v>
      </c>
      <c r="J60">
        <f>I60/('[5]mass balances '!$D$136*8000)</f>
        <v>4.2583792944998157E-5</v>
      </c>
      <c r="K60">
        <f>J60*1000/[5]Sheet1!$B$31</f>
        <v>1.4289863404361798E-3</v>
      </c>
      <c r="L60">
        <f t="shared" si="18"/>
        <v>920.8112238343715</v>
      </c>
      <c r="M60">
        <f t="shared" si="19"/>
        <v>1522.8394397086929</v>
      </c>
      <c r="N60">
        <f t="shared" si="20"/>
        <v>0.36010782138683101</v>
      </c>
      <c r="O60">
        <f t="shared" si="20"/>
        <v>0</v>
      </c>
      <c r="P60">
        <f t="shared" si="21"/>
        <v>1523.1995475300798</v>
      </c>
      <c r="Q60">
        <f>P60/('[5]mass balances '!$B$190*8000)</f>
        <v>8.9290795033546369E-5</v>
      </c>
      <c r="R60">
        <f t="shared" si="22"/>
        <v>2.0741183515341783E-3</v>
      </c>
    </row>
    <row r="61" spans="4:18" x14ac:dyDescent="0.35">
      <c r="F61">
        <f t="shared" si="14"/>
        <v>20282652.081857376</v>
      </c>
      <c r="G61">
        <f t="shared" si="15"/>
        <v>25342960.721337143</v>
      </c>
      <c r="H61">
        <f t="shared" si="16"/>
        <v>-20384973.072648644</v>
      </c>
      <c r="I61">
        <f t="shared" si="17"/>
        <v>67847466.263603911</v>
      </c>
      <c r="J61">
        <f>I61/('[5]mass balances '!$D$136*8000)</f>
        <v>0.89424068584203431</v>
      </c>
      <c r="K61">
        <f>J61*1000/[5]Sheet1!$B$31</f>
        <v>30.008076706108533</v>
      </c>
      <c r="L61">
        <f t="shared" si="18"/>
        <v>26458748.618642479</v>
      </c>
      <c r="M61">
        <f t="shared" si="19"/>
        <v>34591330.429999165</v>
      </c>
      <c r="N61">
        <f t="shared" si="20"/>
        <v>17514.901924730711</v>
      </c>
      <c r="O61">
        <f t="shared" si="20"/>
        <v>0</v>
      </c>
      <c r="P61">
        <f t="shared" si="21"/>
        <v>34608845.331923895</v>
      </c>
      <c r="Q61">
        <f>P61/('[5]mass balances '!$B$190*8000)</f>
        <v>2.0287895436231405</v>
      </c>
      <c r="R61">
        <f t="shared" si="22"/>
        <v>47.126354091129862</v>
      </c>
    </row>
    <row r="62" spans="4:18" x14ac:dyDescent="0.35">
      <c r="F62">
        <f t="shared" si="14"/>
        <v>66265.509425675627</v>
      </c>
      <c r="G62">
        <f t="shared" si="15"/>
        <v>79255.980027484969</v>
      </c>
      <c r="H62">
        <f t="shared" si="16"/>
        <v>-24169.75647703194</v>
      </c>
      <c r="I62">
        <f t="shared" si="17"/>
        <v>194315.28601474414</v>
      </c>
      <c r="J62">
        <f>I62/('[5]mass balances '!$D$136*8000)</f>
        <v>2.5611072042144947E-3</v>
      </c>
      <c r="K62">
        <f>J62*1000/[5]Sheet1!$B$31</f>
        <v>8.594319477229849E-2</v>
      </c>
      <c r="L62">
        <f t="shared" si="18"/>
        <v>137212.43691355479</v>
      </c>
      <c r="M62">
        <f t="shared" si="19"/>
        <v>121603.70368842896</v>
      </c>
      <c r="N62">
        <f t="shared" si="20"/>
        <v>381.45563194860347</v>
      </c>
      <c r="O62">
        <f t="shared" si="20"/>
        <v>0</v>
      </c>
      <c r="P62">
        <f t="shared" si="21"/>
        <v>121985.15932037756</v>
      </c>
      <c r="Q62">
        <f>P62/('[5]mass balances '!$B$190*8000)</f>
        <v>7.1508371149875448E-3</v>
      </c>
      <c r="R62">
        <f t="shared" si="22"/>
        <v>0.16610539175348538</v>
      </c>
    </row>
    <row r="63" spans="4:18" x14ac:dyDescent="0.35">
      <c r="F63">
        <f t="shared" si="14"/>
        <v>93386.781161136867</v>
      </c>
      <c r="G63">
        <f t="shared" si="15"/>
        <v>115732.86383050254</v>
      </c>
      <c r="H63">
        <f t="shared" si="16"/>
        <v>-39517.39602552048</v>
      </c>
      <c r="I63">
        <f t="shared" si="17"/>
        <v>281211.86763035017</v>
      </c>
      <c r="J63">
        <f>I63/('[5]mass balances '!$D$136*8000)</f>
        <v>3.7064183413962333E-3</v>
      </c>
      <c r="K63">
        <f>J63*1000/[5]Sheet1!$B$31</f>
        <v>0.12437645440926957</v>
      </c>
      <c r="L63">
        <f t="shared" si="18"/>
        <v>187697.74811217413</v>
      </c>
      <c r="M63">
        <f t="shared" si="19"/>
        <v>171995.10636925299</v>
      </c>
      <c r="N63">
        <f t="shared" si="20"/>
        <v>503.87188142338402</v>
      </c>
      <c r="O63">
        <f t="shared" si="20"/>
        <v>0</v>
      </c>
      <c r="P63">
        <f t="shared" si="21"/>
        <v>172498.97825067636</v>
      </c>
      <c r="Q63">
        <f>P63/('[5]mass balances '!$B$190*8000)</f>
        <v>1.0111984956569288E-2</v>
      </c>
      <c r="R63">
        <f t="shared" si="22"/>
        <v>0.23488931374144686</v>
      </c>
    </row>
    <row r="64" spans="4:18" x14ac:dyDescent="0.35">
      <c r="F64">
        <f t="shared" si="14"/>
        <v>40290.208124217061</v>
      </c>
      <c r="G64">
        <f t="shared" si="15"/>
        <v>132766.49938587187</v>
      </c>
      <c r="H64">
        <f t="shared" si="16"/>
        <v>57007.248406011087</v>
      </c>
      <c r="I64">
        <f t="shared" si="17"/>
        <v>163671.92013504315</v>
      </c>
      <c r="J64">
        <f>I64/('[5]mass balances '!$D$136*8000)</f>
        <v>2.1572226374083204E-3</v>
      </c>
      <c r="K64">
        <f>J64*1000/[5]Sheet1!$B$31</f>
        <v>7.2390021389540954E-2</v>
      </c>
      <c r="L64">
        <f t="shared" si="18"/>
        <v>44077.63074543322</v>
      </c>
      <c r="M64">
        <f t="shared" si="19"/>
        <v>76202.118494136972</v>
      </c>
      <c r="N64">
        <f t="shared" si="20"/>
        <v>1192.2133283532899</v>
      </c>
      <c r="O64">
        <f t="shared" si="20"/>
        <v>0</v>
      </c>
      <c r="P64">
        <f t="shared" si="21"/>
        <v>77394.331822490261</v>
      </c>
      <c r="Q64">
        <f>P64/('[5]mass balances '!$B$190*8000)</f>
        <v>4.5368982880319457E-3</v>
      </c>
      <c r="R64">
        <f t="shared" si="22"/>
        <v>0.10538671981491164</v>
      </c>
    </row>
    <row r="65" spans="6:18" x14ac:dyDescent="0.35">
      <c r="F65">
        <f t="shared" si="14"/>
        <v>957221.62799294991</v>
      </c>
      <c r="G65">
        <f t="shared" si="15"/>
        <v>7388078.1881765723</v>
      </c>
      <c r="H65">
        <f t="shared" si="16"/>
        <v>-5693558.8677026099</v>
      </c>
      <c r="I65">
        <f t="shared" si="17"/>
        <v>15414103.569285925</v>
      </c>
      <c r="J65">
        <f>I65/('[5]mass balances '!$D$136*8000)</f>
        <v>0.20316040239269245</v>
      </c>
      <c r="K65">
        <f>J65*1000/[5]Sheet1!$B$31</f>
        <v>6.8174631675400148</v>
      </c>
      <c r="L65">
        <f t="shared" si="18"/>
        <v>2475589.1329845111</v>
      </c>
      <c r="M65">
        <f t="shared" si="19"/>
        <v>6561903.3944694865</v>
      </c>
      <c r="N65">
        <f t="shared" si="20"/>
        <v>9232.2309237381924</v>
      </c>
      <c r="O65">
        <f t="shared" si="20"/>
        <v>0</v>
      </c>
      <c r="P65">
        <f t="shared" si="21"/>
        <v>6571135.6253932249</v>
      </c>
      <c r="Q65">
        <f>P65/('[5]mass balances '!$B$190*8000)</f>
        <v>0.38520358361190632</v>
      </c>
      <c r="R65">
        <f t="shared" si="22"/>
        <v>8.9478184346551988</v>
      </c>
    </row>
    <row r="66" spans="6:18" x14ac:dyDescent="0.35">
      <c r="F66">
        <f t="shared" si="14"/>
        <v>48684.140673288006</v>
      </c>
      <c r="G66">
        <f t="shared" si="15"/>
        <v>390434.74228287273</v>
      </c>
      <c r="H66">
        <f t="shared" si="16"/>
        <v>-373164.44600872818</v>
      </c>
      <c r="I66">
        <f t="shared" si="17"/>
        <v>831613.65251216537</v>
      </c>
      <c r="J66">
        <f>I66/('[5]mass balances '!$D$136*8000)</f>
        <v>1.0960803754833928E-2</v>
      </c>
      <c r="K66">
        <f>J66*1000/[5]Sheet1!$B$31</f>
        <v>0.36781220653805125</v>
      </c>
      <c r="L66">
        <f t="shared" si="18"/>
        <v>54706.711224168153</v>
      </c>
      <c r="M66">
        <f t="shared" si="19"/>
        <v>325100.53136076266</v>
      </c>
      <c r="N66">
        <f t="shared" si="20"/>
        <v>172.52060389916451</v>
      </c>
      <c r="O66">
        <f t="shared" si="20"/>
        <v>0</v>
      </c>
      <c r="P66">
        <f t="shared" si="21"/>
        <v>325273.0519646618</v>
      </c>
      <c r="Q66">
        <f>P66/('[5]mass balances '!$B$190*8000)</f>
        <v>1.9067685163121507E-2</v>
      </c>
      <c r="R66">
        <f t="shared" si="22"/>
        <v>0.44291951598423945</v>
      </c>
    </row>
    <row r="67" spans="6:18" x14ac:dyDescent="0.35">
      <c r="F67">
        <f t="shared" si="14"/>
        <v>7482.7878643471249</v>
      </c>
      <c r="G67">
        <f t="shared" si="15"/>
        <v>7522.2700155173407</v>
      </c>
      <c r="H67">
        <f t="shared" si="16"/>
        <v>509.53900945442336</v>
      </c>
      <c r="I67">
        <f t="shared" si="17"/>
        <v>19228.35247288867</v>
      </c>
      <c r="J67">
        <f>I67/('[5]mass balances '!$D$136*8000)</f>
        <v>2.5343282586504345E-4</v>
      </c>
      <c r="K67">
        <f>J67*1000/[5]Sheet1!$B$31</f>
        <v>8.5044572437934039E-3</v>
      </c>
      <c r="L67">
        <f t="shared" si="18"/>
        <v>34738.464165351739</v>
      </c>
      <c r="M67">
        <f t="shared" si="19"/>
        <v>19794.920079439878</v>
      </c>
      <c r="N67">
        <f t="shared" si="20"/>
        <v>78.655182814735696</v>
      </c>
      <c r="O67">
        <f t="shared" si="20"/>
        <v>0</v>
      </c>
      <c r="P67">
        <f t="shared" si="21"/>
        <v>19873.575262254613</v>
      </c>
      <c r="Q67">
        <f>P67/('[5]mass balances '!$B$190*8000)</f>
        <v>1.1649999096987594E-3</v>
      </c>
      <c r="R67">
        <f t="shared" si="22"/>
        <v>2.706155423225922E-2</v>
      </c>
    </row>
    <row r="68" spans="6:18" x14ac:dyDescent="0.35">
      <c r="F68">
        <f t="shared" si="14"/>
        <v>543627.04266202368</v>
      </c>
      <c r="G68">
        <f t="shared" si="15"/>
        <v>127084.40492409654</v>
      </c>
      <c r="H68">
        <f t="shared" si="16"/>
        <v>1006822.027787029</v>
      </c>
      <c r="I68">
        <f t="shared" si="17"/>
        <v>-250113.55648573171</v>
      </c>
      <c r="J68">
        <f>I68/('[5]mass balances '!$D$136*8000)</f>
        <v>-3.2965375216992029E-3</v>
      </c>
      <c r="K68">
        <f>J68*1000/[5]Sheet1!$B$31</f>
        <v>-0.11062206448655043</v>
      </c>
      <c r="L68">
        <f t="shared" si="18"/>
        <v>434914.60385915841</v>
      </c>
      <c r="M68">
        <f t="shared" si="19"/>
        <v>67784.653445014425</v>
      </c>
      <c r="N68">
        <f t="shared" si="20"/>
        <v>2950.7991233190205</v>
      </c>
      <c r="O68">
        <f t="shared" si="20"/>
        <v>0</v>
      </c>
      <c r="P68">
        <f t="shared" si="21"/>
        <v>70735.45256833345</v>
      </c>
      <c r="Q68">
        <f>P68/('[5]mass balances '!$B$190*8000)</f>
        <v>4.1465511246545819E-3</v>
      </c>
      <c r="R68">
        <f t="shared" si="22"/>
        <v>9.6319422175483893E-2</v>
      </c>
    </row>
    <row r="69" spans="6:18" x14ac:dyDescent="0.35">
      <c r="F69">
        <f t="shared" si="14"/>
        <v>2747.9816475429939</v>
      </c>
      <c r="G69">
        <f t="shared" si="15"/>
        <v>744860.75625170278</v>
      </c>
      <c r="H69">
        <f t="shared" si="16"/>
        <v>-104625.02266506929</v>
      </c>
      <c r="I69">
        <f t="shared" si="17"/>
        <v>469422.58268388326</v>
      </c>
      <c r="J69">
        <f>I69/('[5]mass balances '!$D$136*8000)</f>
        <v>6.1870663033758693E-3</v>
      </c>
      <c r="K69">
        <f>J69*1000/[5]Sheet1!$B$31</f>
        <v>0.20761967460992847</v>
      </c>
      <c r="L69">
        <f t="shared" si="18"/>
        <v>849793.77691031073</v>
      </c>
      <c r="M69">
        <f t="shared" si="19"/>
        <v>483885.91420366813</v>
      </c>
      <c r="N69">
        <f t="shared" si="20"/>
        <v>81.922462109888656</v>
      </c>
      <c r="O69">
        <f t="shared" si="20"/>
        <v>0</v>
      </c>
      <c r="P69">
        <f t="shared" si="21"/>
        <v>483967.83666577801</v>
      </c>
      <c r="Q69">
        <f>P69/('[5]mass balances '!$B$190*8000)</f>
        <v>2.8370460703343568E-2</v>
      </c>
      <c r="R69">
        <f t="shared" si="22"/>
        <v>0.65901186302772519</v>
      </c>
    </row>
    <row r="70" spans="6:18" x14ac:dyDescent="0.35">
      <c r="G70" t="s">
        <v>1098</v>
      </c>
      <c r="H70" t="s">
        <v>1099</v>
      </c>
      <c r="I70" t="s">
        <v>1100</v>
      </c>
    </row>
    <row r="71" spans="6:18" x14ac:dyDescent="0.35">
      <c r="G71">
        <f>'Yields '!C24*'Mass balances '!D6*8000</f>
        <v>7275000</v>
      </c>
      <c r="H71">
        <f>'Yields '!C23*'Mass balances '!D6*8000/1000</f>
        <v>428950.80323520629</v>
      </c>
      <c r="I71">
        <f>'Yields '!C22*'Mass balances '!D6*8000*0.1</f>
        <v>20178956.465068191</v>
      </c>
    </row>
    <row r="72" spans="6:18" x14ac:dyDescent="0.35">
      <c r="F72" t="s">
        <v>1101</v>
      </c>
      <c r="G72" t="s">
        <v>1102</v>
      </c>
      <c r="H72" t="s">
        <v>1103</v>
      </c>
      <c r="I72" t="s">
        <v>349</v>
      </c>
    </row>
    <row r="73" spans="6:18" x14ac:dyDescent="0.35">
      <c r="G73">
        <f>T8*$G$71</f>
        <v>60878.116549438331</v>
      </c>
      <c r="H73">
        <f>S8*$H$71</f>
        <v>242722.9081355216</v>
      </c>
      <c r="I73">
        <f>U8*$I$71</f>
        <v>1134945.2212798845</v>
      </c>
    </row>
    <row r="74" spans="6:18" x14ac:dyDescent="0.35">
      <c r="G74">
        <f t="shared" ref="G74:G90" si="23">T9*$G$71</f>
        <v>3.8994501355440629E-2</v>
      </c>
      <c r="H74">
        <f t="shared" ref="H74:H90" si="24">S9*$H$71</f>
        <v>0.61998691341507084</v>
      </c>
      <c r="I74">
        <f t="shared" ref="I74:I90" si="25">U9*$I$71</f>
        <v>0</v>
      </c>
    </row>
    <row r="75" spans="6:18" x14ac:dyDescent="0.35">
      <c r="G75">
        <f t="shared" si="23"/>
        <v>1570.6328281887738</v>
      </c>
      <c r="H75">
        <f t="shared" si="24"/>
        <v>10193.061723819881</v>
      </c>
      <c r="I75">
        <f t="shared" si="25"/>
        <v>186.09034042742189</v>
      </c>
    </row>
    <row r="76" spans="6:18" x14ac:dyDescent="0.35">
      <c r="G76">
        <f t="shared" si="23"/>
        <v>470.90059483532576</v>
      </c>
      <c r="H76">
        <f t="shared" si="24"/>
        <v>898.78945062090725</v>
      </c>
      <c r="I76">
        <f t="shared" si="25"/>
        <v>3892.4118734797235</v>
      </c>
    </row>
    <row r="77" spans="6:18" x14ac:dyDescent="0.35">
      <c r="G77">
        <f t="shared" si="23"/>
        <v>132.59674697134437</v>
      </c>
      <c r="H77">
        <f t="shared" si="24"/>
        <v>700.39528659825385</v>
      </c>
      <c r="I77">
        <f t="shared" si="25"/>
        <v>4802.3899887043444</v>
      </c>
    </row>
    <row r="78" spans="6:18" x14ac:dyDescent="0.35">
      <c r="G78">
        <f t="shared" si="23"/>
        <v>480.27377164550865</v>
      </c>
      <c r="H78">
        <f t="shared" si="24"/>
        <v>913.25530519925303</v>
      </c>
      <c r="I78">
        <f t="shared" si="25"/>
        <v>3903.4437094030354</v>
      </c>
    </row>
    <row r="79" spans="6:18" x14ac:dyDescent="0.35">
      <c r="G79">
        <f t="shared" si="23"/>
        <v>295.79644762739406</v>
      </c>
      <c r="H79">
        <f t="shared" si="24"/>
        <v>1711.7177067707471</v>
      </c>
      <c r="I79">
        <f t="shared" si="25"/>
        <v>16105.229211792661</v>
      </c>
    </row>
    <row r="80" spans="6:18" x14ac:dyDescent="0.35">
      <c r="G80">
        <f t="shared" si="23"/>
        <v>6.825672169936821</v>
      </c>
      <c r="H80">
        <f t="shared" si="24"/>
        <v>482.66402235109166</v>
      </c>
      <c r="I80">
        <f t="shared" si="25"/>
        <v>0</v>
      </c>
    </row>
    <row r="81" spans="7:9" x14ac:dyDescent="0.35">
      <c r="G81">
        <f t="shared" si="23"/>
        <v>0.51326776547147257</v>
      </c>
      <c r="H81">
        <f t="shared" si="24"/>
        <v>2522.534992401806</v>
      </c>
      <c r="I81">
        <f t="shared" si="25"/>
        <v>0</v>
      </c>
    </row>
    <row r="82" spans="7:9" x14ac:dyDescent="0.35">
      <c r="G82">
        <f t="shared" si="23"/>
        <v>501612.4185731982</v>
      </c>
      <c r="H82">
        <f t="shared" si="24"/>
        <v>1296560.6947852157</v>
      </c>
      <c r="I82">
        <f t="shared" si="25"/>
        <v>38707.27440231439</v>
      </c>
    </row>
    <row r="83" spans="7:9" x14ac:dyDescent="0.35">
      <c r="G83">
        <f t="shared" si="23"/>
        <v>1273.6704649897943</v>
      </c>
      <c r="H83">
        <f t="shared" si="24"/>
        <v>23350.341290324712</v>
      </c>
      <c r="I83">
        <f t="shared" si="25"/>
        <v>2.8329237062563434E-2</v>
      </c>
    </row>
    <row r="84" spans="7:9" x14ac:dyDescent="0.35">
      <c r="G84">
        <f t="shared" si="23"/>
        <v>1940.1007866936266</v>
      </c>
      <c r="H84">
        <f t="shared" si="24"/>
        <v>30627.994126600617</v>
      </c>
      <c r="I84">
        <f t="shared" si="25"/>
        <v>6.731699896054681</v>
      </c>
    </row>
    <row r="85" spans="7:9" x14ac:dyDescent="0.35">
      <c r="G85">
        <f t="shared" si="23"/>
        <v>1766.0676942529815</v>
      </c>
      <c r="H85">
        <f t="shared" si="24"/>
        <v>45854.441143742471</v>
      </c>
      <c r="I85">
        <f t="shared" si="25"/>
        <v>1.9521929698558584</v>
      </c>
    </row>
    <row r="86" spans="7:9" x14ac:dyDescent="0.35">
      <c r="G86">
        <f t="shared" si="23"/>
        <v>32926.403233920384</v>
      </c>
      <c r="H86">
        <f t="shared" si="24"/>
        <v>1341622.8731906118</v>
      </c>
      <c r="I86">
        <f t="shared" si="25"/>
        <v>695.60898925898471</v>
      </c>
    </row>
    <row r="87" spans="7:9" x14ac:dyDescent="0.35">
      <c r="G87">
        <f t="shared" si="23"/>
        <v>7268.0986454185368</v>
      </c>
      <c r="H87">
        <f t="shared" si="24"/>
        <v>12062.22490185786</v>
      </c>
      <c r="I87">
        <f t="shared" si="25"/>
        <v>0</v>
      </c>
    </row>
    <row r="88" spans="7:9" x14ac:dyDescent="0.35">
      <c r="G88">
        <f t="shared" si="23"/>
        <v>192.94510442819319</v>
      </c>
      <c r="H88">
        <f t="shared" si="24"/>
        <v>4539.8884980504354</v>
      </c>
      <c r="I88">
        <f t="shared" si="25"/>
        <v>0</v>
      </c>
    </row>
    <row r="89" spans="7:9" x14ac:dyDescent="0.35">
      <c r="G89">
        <f t="shared" si="23"/>
        <v>32241.011678258736</v>
      </c>
      <c r="H89">
        <f t="shared" si="24"/>
        <v>53756.012036918393</v>
      </c>
      <c r="I89">
        <f t="shared" si="25"/>
        <v>0</v>
      </c>
    </row>
    <row r="90" spans="7:9" x14ac:dyDescent="0.35">
      <c r="G90">
        <f t="shared" si="23"/>
        <v>1199.8533966454736</v>
      </c>
      <c r="H90">
        <f t="shared" si="24"/>
        <v>-384011.03127707739</v>
      </c>
      <c r="I90">
        <f t="shared" si="25"/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E3114-276C-4EB8-B4F8-67E128B380F7}">
  <dimension ref="A1:X113"/>
  <sheetViews>
    <sheetView tabSelected="1" topLeftCell="A37" workbookViewId="0">
      <selection activeCell="F42" sqref="F42"/>
    </sheetView>
  </sheetViews>
  <sheetFormatPr defaultColWidth="12.6328125" defaultRowHeight="14.5" x14ac:dyDescent="0.35"/>
  <cols>
    <col min="1" max="1" width="19.26953125" customWidth="1"/>
    <col min="2" max="2" width="7.26953125" customWidth="1"/>
    <col min="3" max="3" width="8.08984375" customWidth="1"/>
    <col min="4" max="4" width="11.26953125" customWidth="1"/>
    <col min="5" max="5" width="19.36328125" customWidth="1"/>
    <col min="6" max="6" width="4.90625" customWidth="1"/>
    <col min="7" max="7" width="7.36328125" customWidth="1"/>
    <col min="8" max="8" width="3.26953125" customWidth="1"/>
    <col min="9" max="9" width="13.6328125" customWidth="1"/>
    <col min="10" max="10" width="7.7265625" customWidth="1"/>
    <col min="11" max="11" width="6.453125" customWidth="1"/>
    <col min="12" max="12" width="3.36328125" customWidth="1"/>
    <col min="13" max="13" width="16.453125" customWidth="1"/>
    <col min="14" max="14" width="5.453125" customWidth="1"/>
    <col min="15" max="15" width="7" customWidth="1"/>
    <col min="16" max="16" width="3.453125" customWidth="1"/>
    <col min="17" max="17" width="23" customWidth="1"/>
    <col min="18" max="18" width="12.90625" customWidth="1"/>
    <col min="19" max="19" width="9.7265625" customWidth="1"/>
    <col min="20" max="20" width="7.08984375" customWidth="1"/>
    <col min="21" max="21" width="19.26953125" customWidth="1"/>
    <col min="22" max="22" width="7.08984375" customWidth="1"/>
    <col min="23" max="23" width="19.36328125" customWidth="1"/>
    <col min="24" max="24" width="7.08984375" customWidth="1"/>
  </cols>
  <sheetData>
    <row r="1" spans="1:24" ht="15.75" customHeight="1" x14ac:dyDescent="0.35">
      <c r="A1" s="311" t="s">
        <v>735</v>
      </c>
      <c r="B1" s="312"/>
      <c r="C1" s="312"/>
      <c r="D1" s="37"/>
      <c r="E1" s="311" t="s">
        <v>736</v>
      </c>
      <c r="F1" s="312"/>
      <c r="G1" s="312"/>
      <c r="H1" s="37"/>
      <c r="I1" s="311" t="s">
        <v>737</v>
      </c>
      <c r="J1" s="312"/>
      <c r="K1" s="312"/>
      <c r="L1" s="178"/>
      <c r="M1" s="311" t="s">
        <v>738</v>
      </c>
      <c r="N1" s="312"/>
      <c r="O1" s="312"/>
      <c r="P1" s="178"/>
      <c r="Q1" s="311" t="s">
        <v>739</v>
      </c>
      <c r="R1" s="312"/>
      <c r="S1" s="312"/>
      <c r="T1" s="178"/>
      <c r="U1" s="311" t="s">
        <v>740</v>
      </c>
      <c r="V1" s="312"/>
      <c r="W1" s="312"/>
      <c r="X1" s="178"/>
    </row>
    <row r="2" spans="1:24" ht="15.75" customHeight="1" x14ac:dyDescent="0.35">
      <c r="A2" s="173" t="s">
        <v>741</v>
      </c>
      <c r="B2" s="173" t="s">
        <v>742</v>
      </c>
      <c r="C2" s="173" t="s">
        <v>743</v>
      </c>
      <c r="D2" s="37"/>
      <c r="E2" s="173" t="s">
        <v>741</v>
      </c>
      <c r="F2" s="173" t="s">
        <v>742</v>
      </c>
      <c r="G2" s="173" t="s">
        <v>743</v>
      </c>
      <c r="H2" s="37"/>
      <c r="I2" s="173" t="s">
        <v>741</v>
      </c>
      <c r="J2" s="173" t="s">
        <v>742</v>
      </c>
      <c r="K2" s="173" t="s">
        <v>743</v>
      </c>
      <c r="L2" s="173"/>
      <c r="M2" s="173" t="s">
        <v>741</v>
      </c>
      <c r="N2" s="173" t="s">
        <v>742</v>
      </c>
      <c r="O2" s="173" t="s">
        <v>743</v>
      </c>
      <c r="P2" s="173"/>
      <c r="Q2" s="173" t="s">
        <v>741</v>
      </c>
      <c r="R2" s="233" t="s">
        <v>742</v>
      </c>
      <c r="S2" s="173" t="s">
        <v>743</v>
      </c>
      <c r="T2" s="173"/>
      <c r="U2" s="173" t="s">
        <v>741</v>
      </c>
      <c r="V2" s="233" t="s">
        <v>742</v>
      </c>
      <c r="W2" s="173" t="s">
        <v>743</v>
      </c>
      <c r="X2" s="173"/>
    </row>
    <row r="3" spans="1:24" ht="15.75" customHeight="1" x14ac:dyDescent="0.35">
      <c r="A3" s="234" t="s">
        <v>744</v>
      </c>
      <c r="B3" s="235"/>
      <c r="C3" s="236"/>
      <c r="D3" s="37"/>
      <c r="E3" s="237" t="s">
        <v>745</v>
      </c>
      <c r="F3" s="218"/>
      <c r="G3" s="218"/>
      <c r="H3" s="37"/>
      <c r="I3" s="313" t="s">
        <v>746</v>
      </c>
      <c r="J3" s="312"/>
      <c r="K3" s="312"/>
      <c r="L3" s="178"/>
      <c r="M3" s="313" t="s">
        <v>747</v>
      </c>
      <c r="N3" s="312"/>
      <c r="O3" s="312"/>
      <c r="P3" s="37"/>
      <c r="Q3" s="313" t="s">
        <v>748</v>
      </c>
      <c r="R3" s="312"/>
      <c r="S3" s="312"/>
      <c r="T3" s="37"/>
      <c r="U3" s="313" t="s">
        <v>749</v>
      </c>
      <c r="V3" s="312"/>
      <c r="W3" s="312"/>
      <c r="X3" s="37"/>
    </row>
    <row r="4" spans="1:24" ht="15.75" customHeight="1" x14ac:dyDescent="0.35">
      <c r="A4" s="238" t="s">
        <v>750</v>
      </c>
      <c r="B4" s="239">
        <f>3600</f>
        <v>3600</v>
      </c>
      <c r="C4" s="240" t="s">
        <v>751</v>
      </c>
      <c r="D4" s="37"/>
      <c r="E4" s="241" t="s">
        <v>752</v>
      </c>
      <c r="F4" s="242">
        <f>0.17*F21</f>
        <v>0.17340000000000003</v>
      </c>
      <c r="G4" s="243" t="s">
        <v>753</v>
      </c>
      <c r="H4" s="37"/>
      <c r="I4" s="241" t="s">
        <v>754</v>
      </c>
      <c r="J4" s="244">
        <v>45.8</v>
      </c>
      <c r="K4" s="243" t="s">
        <v>347</v>
      </c>
      <c r="L4" s="37"/>
      <c r="M4" s="241" t="s">
        <v>7</v>
      </c>
      <c r="N4" s="245">
        <v>12.01</v>
      </c>
      <c r="O4" s="243" t="s">
        <v>755</v>
      </c>
      <c r="P4" s="37"/>
      <c r="Q4" s="241" t="s">
        <v>479</v>
      </c>
      <c r="R4" s="246">
        <f>4.182/1000</f>
        <v>4.182E-3</v>
      </c>
      <c r="S4" s="243" t="s">
        <v>756</v>
      </c>
      <c r="T4" s="37"/>
      <c r="U4" s="241" t="s">
        <v>757</v>
      </c>
      <c r="V4" s="247">
        <v>25</v>
      </c>
      <c r="W4" s="243" t="s">
        <v>758</v>
      </c>
      <c r="X4" s="37"/>
    </row>
    <row r="5" spans="1:24" ht="15.75" customHeight="1" x14ac:dyDescent="0.35">
      <c r="A5" s="238" t="s">
        <v>697</v>
      </c>
      <c r="B5" s="37">
        <v>3.6</v>
      </c>
      <c r="C5" s="240" t="s">
        <v>698</v>
      </c>
      <c r="D5" s="37"/>
      <c r="E5" s="238" t="s">
        <v>759</v>
      </c>
      <c r="F5" s="159">
        <v>1.1160000000000001</v>
      </c>
      <c r="G5" s="240" t="s">
        <v>760</v>
      </c>
      <c r="H5" s="37"/>
      <c r="I5" s="238" t="s">
        <v>761</v>
      </c>
      <c r="J5" s="37">
        <v>43.3</v>
      </c>
      <c r="K5" s="240" t="s">
        <v>347</v>
      </c>
      <c r="L5" s="37"/>
      <c r="M5" s="238" t="s">
        <v>8</v>
      </c>
      <c r="N5" s="248">
        <v>1.01</v>
      </c>
      <c r="O5" s="240" t="s">
        <v>755</v>
      </c>
      <c r="P5" s="37"/>
      <c r="Q5" s="238" t="s">
        <v>481</v>
      </c>
      <c r="R5" s="249">
        <f>1.005/1000</f>
        <v>1.0049999999999998E-3</v>
      </c>
      <c r="S5" s="240" t="s">
        <v>756</v>
      </c>
      <c r="T5" s="37"/>
      <c r="U5" s="238" t="s">
        <v>762</v>
      </c>
      <c r="V5" s="219">
        <v>298</v>
      </c>
      <c r="W5" s="240" t="s">
        <v>763</v>
      </c>
      <c r="X5" s="37"/>
    </row>
    <row r="6" spans="1:24" ht="15.75" customHeight="1" x14ac:dyDescent="0.35">
      <c r="A6" s="250" t="s">
        <v>764</v>
      </c>
      <c r="B6" s="251">
        <v>1.1000000000000001</v>
      </c>
      <c r="C6" s="252" t="s">
        <v>765</v>
      </c>
      <c r="D6" s="37"/>
      <c r="E6" s="238" t="s">
        <v>766</v>
      </c>
      <c r="F6" s="172">
        <f>1.28*F10</f>
        <v>1.4080000000000001</v>
      </c>
      <c r="G6" s="240" t="s">
        <v>767</v>
      </c>
      <c r="H6" s="37"/>
      <c r="I6" s="238" t="s">
        <v>768</v>
      </c>
      <c r="J6" s="37">
        <v>45.3</v>
      </c>
      <c r="K6" s="240" t="s">
        <v>347</v>
      </c>
      <c r="L6" s="37"/>
      <c r="M6" s="238" t="s">
        <v>9</v>
      </c>
      <c r="N6" s="248">
        <v>14.01</v>
      </c>
      <c r="O6" s="240" t="s">
        <v>755</v>
      </c>
      <c r="P6" s="37"/>
      <c r="Q6" s="238" t="s">
        <v>769</v>
      </c>
      <c r="R6" s="249">
        <f>0.918/1000</f>
        <v>9.1800000000000009E-4</v>
      </c>
      <c r="S6" s="240" t="s">
        <v>756</v>
      </c>
      <c r="T6" s="37"/>
      <c r="U6" s="250" t="s">
        <v>770</v>
      </c>
      <c r="V6" s="253">
        <v>0</v>
      </c>
      <c r="W6" s="252" t="s">
        <v>771</v>
      </c>
      <c r="X6" s="37"/>
    </row>
    <row r="7" spans="1:24" ht="15.75" customHeight="1" x14ac:dyDescent="0.35">
      <c r="A7" s="237" t="s">
        <v>772</v>
      </c>
      <c r="B7" s="218"/>
      <c r="C7" s="218"/>
      <c r="D7" s="37"/>
      <c r="E7" s="238" t="s">
        <v>773</v>
      </c>
      <c r="F7" s="172">
        <f>1.2314*F10</f>
        <v>1.3545400000000001</v>
      </c>
      <c r="G7" s="240" t="s">
        <v>767</v>
      </c>
      <c r="H7" s="37"/>
      <c r="I7" s="238" t="s">
        <v>774</v>
      </c>
      <c r="J7" s="37">
        <v>40.4</v>
      </c>
      <c r="K7" s="240" t="s">
        <v>347</v>
      </c>
      <c r="L7" s="37"/>
      <c r="M7" s="238" t="s">
        <v>10</v>
      </c>
      <c r="N7" s="248">
        <v>32</v>
      </c>
      <c r="O7" s="240" t="s">
        <v>755</v>
      </c>
      <c r="P7" s="37"/>
      <c r="Q7" s="238" t="s">
        <v>775</v>
      </c>
      <c r="R7" s="249">
        <f>14.304/1000</f>
        <v>1.4304000000000001E-2</v>
      </c>
      <c r="S7" s="240" t="s">
        <v>756</v>
      </c>
      <c r="T7" s="37"/>
      <c r="U7" s="37"/>
      <c r="V7" s="37"/>
      <c r="W7" s="37"/>
      <c r="X7" s="37"/>
    </row>
    <row r="8" spans="1:24" ht="15.75" customHeight="1" x14ac:dyDescent="0.35">
      <c r="A8" s="241" t="s">
        <v>776</v>
      </c>
      <c r="B8" s="244">
        <v>2.5</v>
      </c>
      <c r="C8" s="243" t="s">
        <v>777</v>
      </c>
      <c r="D8" s="37"/>
      <c r="E8" s="238" t="s">
        <v>778</v>
      </c>
      <c r="F8" s="172">
        <f>1.116*F20</f>
        <v>1.2130920000000001</v>
      </c>
      <c r="G8" s="240" t="s">
        <v>767</v>
      </c>
      <c r="H8" s="37"/>
      <c r="I8" s="238" t="s">
        <v>779</v>
      </c>
      <c r="J8" s="37">
        <v>43</v>
      </c>
      <c r="K8" s="240" t="s">
        <v>347</v>
      </c>
      <c r="L8" s="37"/>
      <c r="M8" s="238" t="s">
        <v>11</v>
      </c>
      <c r="N8" s="248">
        <v>16</v>
      </c>
      <c r="O8" s="240" t="s">
        <v>755</v>
      </c>
      <c r="P8" s="37"/>
      <c r="Q8" s="238" t="s">
        <v>780</v>
      </c>
      <c r="R8" s="249">
        <f>3.985/1000</f>
        <v>3.9849999999999998E-3</v>
      </c>
      <c r="S8" s="240" t="s">
        <v>756</v>
      </c>
      <c r="T8" s="37"/>
      <c r="U8" s="313"/>
      <c r="V8" s="312"/>
      <c r="W8" s="312"/>
      <c r="X8" s="37"/>
    </row>
    <row r="9" spans="1:24" ht="15.75" customHeight="1" x14ac:dyDescent="0.35">
      <c r="A9" s="250" t="s">
        <v>781</v>
      </c>
      <c r="B9" s="254">
        <f>0.0025*J7</f>
        <v>0.10099999999999999</v>
      </c>
      <c r="C9" s="252" t="s">
        <v>777</v>
      </c>
      <c r="D9" s="37"/>
      <c r="E9" s="238" t="s">
        <v>782</v>
      </c>
      <c r="F9" s="172">
        <f>1.0046*F10</f>
        <v>1.1050599999999999</v>
      </c>
      <c r="G9" s="240" t="s">
        <v>767</v>
      </c>
      <c r="H9" s="37"/>
      <c r="I9" s="238" t="s">
        <v>783</v>
      </c>
      <c r="J9" s="37">
        <v>35</v>
      </c>
      <c r="K9" s="240" t="s">
        <v>347</v>
      </c>
      <c r="L9" s="37"/>
      <c r="M9" s="238"/>
      <c r="N9" s="37"/>
      <c r="O9" s="240"/>
      <c r="P9" s="37"/>
      <c r="Q9" s="238" t="s">
        <v>784</v>
      </c>
      <c r="R9" s="249">
        <f>0.83/1000</f>
        <v>8.3000000000000001E-4</v>
      </c>
      <c r="S9" s="240" t="s">
        <v>756</v>
      </c>
      <c r="T9" s="37"/>
      <c r="U9" s="241"/>
      <c r="V9" s="242"/>
      <c r="W9" s="243"/>
      <c r="X9" s="37"/>
    </row>
    <row r="10" spans="1:24" ht="15.75" customHeight="1" x14ac:dyDescent="0.35">
      <c r="A10" s="238"/>
      <c r="B10" s="37"/>
      <c r="C10" s="240"/>
      <c r="D10" s="37"/>
      <c r="E10" s="238" t="s">
        <v>785</v>
      </c>
      <c r="F10" s="172">
        <v>1.1000000000000001</v>
      </c>
      <c r="G10" s="240" t="s">
        <v>767</v>
      </c>
      <c r="H10" s="37"/>
      <c r="I10" s="238" t="s">
        <v>786</v>
      </c>
      <c r="J10" s="255">
        <v>35.6</v>
      </c>
      <c r="K10" s="240" t="s">
        <v>347</v>
      </c>
      <c r="L10" s="178"/>
      <c r="M10" s="238" t="s">
        <v>30</v>
      </c>
      <c r="N10" s="37">
        <f>N4+N8</f>
        <v>28.009999999999998</v>
      </c>
      <c r="O10" s="240" t="s">
        <v>755</v>
      </c>
      <c r="P10" s="37"/>
      <c r="Q10" s="256" t="s">
        <v>787</v>
      </c>
      <c r="R10" s="257">
        <v>8.4400000000000002E-4</v>
      </c>
      <c r="S10" s="240" t="s">
        <v>756</v>
      </c>
      <c r="T10" s="37"/>
      <c r="U10" s="238"/>
      <c r="V10" s="172"/>
      <c r="W10" s="240"/>
      <c r="X10" s="37"/>
    </row>
    <row r="11" spans="1:24" ht="15.75" customHeight="1" x14ac:dyDescent="0.35">
      <c r="A11" s="237" t="s">
        <v>788</v>
      </c>
      <c r="B11" s="237"/>
      <c r="C11" s="237"/>
      <c r="D11" s="37"/>
      <c r="E11" s="238" t="s">
        <v>789</v>
      </c>
      <c r="F11" s="172">
        <f>1*0.9986*F10</f>
        <v>1.0984600000000002</v>
      </c>
      <c r="G11" s="240" t="s">
        <v>767</v>
      </c>
      <c r="H11" s="37"/>
      <c r="I11" s="256" t="s">
        <v>790</v>
      </c>
      <c r="J11" s="197">
        <f>J8*1.003</f>
        <v>43.128999999999998</v>
      </c>
      <c r="K11" s="258" t="s">
        <v>347</v>
      </c>
      <c r="L11" s="37"/>
      <c r="M11" s="238" t="s">
        <v>27</v>
      </c>
      <c r="N11" s="37">
        <f>N4+N8*2</f>
        <v>44.01</v>
      </c>
      <c r="O11" s="240" t="s">
        <v>755</v>
      </c>
      <c r="P11" s="37"/>
      <c r="Q11" s="256" t="s">
        <v>791</v>
      </c>
      <c r="R11" s="257">
        <v>3.0000000000000001E-3</v>
      </c>
      <c r="S11" s="240" t="s">
        <v>756</v>
      </c>
      <c r="T11" s="37"/>
      <c r="U11" s="238"/>
      <c r="V11" s="172"/>
      <c r="W11" s="240"/>
      <c r="X11" s="37"/>
    </row>
    <row r="12" spans="1:24" ht="15.75" customHeight="1" x14ac:dyDescent="0.35">
      <c r="A12" s="259">
        <v>2000</v>
      </c>
      <c r="B12" s="244">
        <v>394.1</v>
      </c>
      <c r="C12" s="243" t="s">
        <v>792</v>
      </c>
      <c r="D12" s="37"/>
      <c r="E12" s="238" t="s">
        <v>793</v>
      </c>
      <c r="F12" s="172">
        <v>1.5</v>
      </c>
      <c r="G12" s="240" t="s">
        <v>794</v>
      </c>
      <c r="H12" s="37"/>
      <c r="I12" s="238" t="s">
        <v>795</v>
      </c>
      <c r="J12" s="37">
        <v>9.5</v>
      </c>
      <c r="K12" s="240" t="s">
        <v>347</v>
      </c>
      <c r="L12" s="37"/>
      <c r="M12" s="238" t="s">
        <v>29</v>
      </c>
      <c r="N12" s="37">
        <f>N4+N5*4</f>
        <v>16.05</v>
      </c>
      <c r="O12" s="240" t="s">
        <v>755</v>
      </c>
      <c r="P12" s="37"/>
      <c r="Q12" s="256" t="s">
        <v>796</v>
      </c>
      <c r="R12" s="257">
        <v>1E-3</v>
      </c>
      <c r="S12" s="240" t="s">
        <v>756</v>
      </c>
      <c r="T12" s="37"/>
      <c r="U12" s="238"/>
      <c r="V12" s="172"/>
      <c r="W12" s="240"/>
      <c r="X12" s="37"/>
    </row>
    <row r="13" spans="1:24" ht="15.75" customHeight="1" x14ac:dyDescent="0.35">
      <c r="A13" s="260">
        <v>2001</v>
      </c>
      <c r="B13" s="37">
        <v>394.3</v>
      </c>
      <c r="C13" s="240" t="s">
        <v>792</v>
      </c>
      <c r="D13" s="37"/>
      <c r="E13" s="238" t="s">
        <v>797</v>
      </c>
      <c r="F13" s="172">
        <v>0.125</v>
      </c>
      <c r="G13" s="240" t="s">
        <v>798</v>
      </c>
      <c r="H13" s="37"/>
      <c r="I13" s="238" t="s">
        <v>799</v>
      </c>
      <c r="J13" s="37">
        <v>40</v>
      </c>
      <c r="K13" s="240" t="s">
        <v>347</v>
      </c>
      <c r="L13" s="37"/>
      <c r="M13" s="238" t="s">
        <v>28</v>
      </c>
      <c r="N13" s="37">
        <f>N5*2</f>
        <v>2.02</v>
      </c>
      <c r="O13" s="240" t="s">
        <v>755</v>
      </c>
      <c r="P13" s="37"/>
      <c r="Q13" s="120" t="s">
        <v>800</v>
      </c>
      <c r="R13" s="261">
        <v>1.5E-3</v>
      </c>
      <c r="S13" s="252" t="s">
        <v>756</v>
      </c>
      <c r="T13" s="37"/>
      <c r="U13" s="250"/>
      <c r="V13" s="254"/>
      <c r="W13" s="252"/>
      <c r="X13" s="37"/>
    </row>
    <row r="14" spans="1:24" ht="15.75" customHeight="1" x14ac:dyDescent="0.35">
      <c r="A14" s="260">
        <v>2002</v>
      </c>
      <c r="B14" s="37">
        <v>395.6</v>
      </c>
      <c r="C14" s="240" t="s">
        <v>792</v>
      </c>
      <c r="D14" s="37"/>
      <c r="E14" s="238" t="s">
        <v>801</v>
      </c>
      <c r="F14" s="172">
        <f>0.125*F23</f>
        <v>0.124</v>
      </c>
      <c r="G14" s="240" t="s">
        <v>798</v>
      </c>
      <c r="H14" s="37"/>
      <c r="I14" s="238" t="s">
        <v>802</v>
      </c>
      <c r="J14" s="37">
        <v>48</v>
      </c>
      <c r="K14" s="240" t="s">
        <v>347</v>
      </c>
      <c r="L14" s="37"/>
      <c r="M14" s="238" t="s">
        <v>381</v>
      </c>
      <c r="N14" s="37">
        <f>N5*2+N8</f>
        <v>18.02</v>
      </c>
      <c r="O14" s="240" t="s">
        <v>755</v>
      </c>
      <c r="P14" s="37"/>
      <c r="Q14" s="183"/>
      <c r="R14" s="183"/>
      <c r="S14" s="37"/>
      <c r="T14" s="37"/>
      <c r="U14" s="37"/>
      <c r="V14" s="172"/>
      <c r="W14" s="37"/>
      <c r="X14" s="37"/>
    </row>
    <row r="15" spans="1:24" ht="15.75" customHeight="1" x14ac:dyDescent="0.35">
      <c r="A15" s="260">
        <v>2003</v>
      </c>
      <c r="B15" s="37">
        <v>402</v>
      </c>
      <c r="C15" s="240" t="s">
        <v>792</v>
      </c>
      <c r="D15" s="37"/>
      <c r="E15" s="238" t="s">
        <v>803</v>
      </c>
      <c r="F15" s="172">
        <f>0.1297*F18</f>
        <v>0.16705360000000002</v>
      </c>
      <c r="G15" s="240" t="s">
        <v>804</v>
      </c>
      <c r="H15" s="37"/>
      <c r="I15" s="238" t="s">
        <v>496</v>
      </c>
      <c r="J15" s="37">
        <v>50</v>
      </c>
      <c r="K15" s="240" t="s">
        <v>347</v>
      </c>
      <c r="L15" s="37"/>
      <c r="M15" s="238" t="s">
        <v>805</v>
      </c>
      <c r="N15" s="37">
        <f>N5*2+N7</f>
        <v>34.020000000000003</v>
      </c>
      <c r="O15" s="240" t="s">
        <v>755</v>
      </c>
      <c r="P15" s="37"/>
      <c r="Q15" s="183"/>
      <c r="R15" s="183"/>
      <c r="S15" s="37"/>
      <c r="T15" s="37"/>
      <c r="U15" s="37"/>
      <c r="V15" s="219"/>
      <c r="W15" s="37"/>
      <c r="X15" s="37"/>
    </row>
    <row r="16" spans="1:24" ht="15.75" customHeight="1" x14ac:dyDescent="0.35">
      <c r="A16" s="260">
        <v>2004</v>
      </c>
      <c r="B16" s="37">
        <v>444.2</v>
      </c>
      <c r="C16" s="240" t="s">
        <v>792</v>
      </c>
      <c r="D16" s="37"/>
      <c r="E16" s="238" t="s">
        <v>806</v>
      </c>
      <c r="F16" s="172">
        <f>0.128*F22</f>
        <v>0.12815360000000001</v>
      </c>
      <c r="G16" s="240" t="s">
        <v>804</v>
      </c>
      <c r="H16" s="37"/>
      <c r="I16" s="238" t="s">
        <v>807</v>
      </c>
      <c r="J16" s="37">
        <v>21</v>
      </c>
      <c r="K16" s="240" t="s">
        <v>347</v>
      </c>
      <c r="L16" s="37"/>
      <c r="M16" s="238" t="s">
        <v>250</v>
      </c>
      <c r="N16" s="37">
        <f>N6+N5*3</f>
        <v>17.04</v>
      </c>
      <c r="O16" s="240" t="s">
        <v>755</v>
      </c>
      <c r="P16" s="37"/>
      <c r="Q16" s="37"/>
      <c r="R16" s="37"/>
      <c r="S16" s="37"/>
      <c r="T16" s="37"/>
      <c r="U16" s="37"/>
      <c r="V16" s="37"/>
      <c r="W16" s="37"/>
      <c r="X16" s="37"/>
    </row>
    <row r="17" spans="1:24" ht="15.75" customHeight="1" x14ac:dyDescent="0.35">
      <c r="A17" s="260">
        <v>2005</v>
      </c>
      <c r="B17" s="37">
        <v>468.2</v>
      </c>
      <c r="C17" s="240" t="s">
        <v>792</v>
      </c>
      <c r="D17" s="37"/>
      <c r="E17" s="238" t="s">
        <v>808</v>
      </c>
      <c r="F17" s="172">
        <f>0.115</f>
        <v>0.115</v>
      </c>
      <c r="G17" s="240" t="s">
        <v>804</v>
      </c>
      <c r="H17" s="37"/>
      <c r="I17" s="250" t="s">
        <v>809</v>
      </c>
      <c r="J17" s="251">
        <v>37.26</v>
      </c>
      <c r="K17" s="252" t="s">
        <v>810</v>
      </c>
      <c r="L17" s="178"/>
      <c r="M17" s="238" t="s">
        <v>811</v>
      </c>
      <c r="N17" s="37">
        <f>N8*2</f>
        <v>32</v>
      </c>
      <c r="O17" s="240" t="s">
        <v>755</v>
      </c>
      <c r="P17" s="37"/>
      <c r="Q17" s="313" t="s">
        <v>812</v>
      </c>
      <c r="R17" s="312"/>
      <c r="S17" s="312"/>
      <c r="T17" s="37"/>
      <c r="U17" s="37"/>
      <c r="V17" s="219"/>
      <c r="W17" s="37"/>
      <c r="X17" s="37"/>
    </row>
    <row r="18" spans="1:24" ht="15.75" customHeight="1" x14ac:dyDescent="0.35">
      <c r="A18" s="260">
        <v>2006</v>
      </c>
      <c r="B18" s="37">
        <v>499.6</v>
      </c>
      <c r="C18" s="240" t="s">
        <v>792</v>
      </c>
      <c r="D18" s="37"/>
      <c r="E18" s="238" t="s">
        <v>813</v>
      </c>
      <c r="F18" s="172">
        <v>1.288</v>
      </c>
      <c r="G18" s="240" t="s">
        <v>814</v>
      </c>
      <c r="H18" s="37"/>
      <c r="I18" s="132"/>
      <c r="J18" s="132"/>
      <c r="K18" s="132"/>
      <c r="L18" s="37"/>
      <c r="M18" s="238" t="s">
        <v>815</v>
      </c>
      <c r="N18" s="37">
        <f>N7+2*N8</f>
        <v>64</v>
      </c>
      <c r="O18" s="240" t="s">
        <v>755</v>
      </c>
      <c r="P18" s="37"/>
      <c r="Q18" s="262" t="s">
        <v>816</v>
      </c>
      <c r="R18" s="263">
        <f>(2706.54-379.86)/1000</f>
        <v>2.3266799999999996</v>
      </c>
      <c r="S18" s="264" t="s">
        <v>347</v>
      </c>
      <c r="T18" s="37"/>
      <c r="U18" s="37"/>
      <c r="V18" s="219"/>
      <c r="W18" s="37"/>
      <c r="X18" s="37"/>
    </row>
    <row r="19" spans="1:24" ht="15.75" customHeight="1" x14ac:dyDescent="0.35">
      <c r="A19" s="260">
        <v>2007</v>
      </c>
      <c r="B19" s="37">
        <v>525.4</v>
      </c>
      <c r="C19" s="240" t="s">
        <v>792</v>
      </c>
      <c r="D19" s="37"/>
      <c r="E19" s="238" t="s">
        <v>817</v>
      </c>
      <c r="F19" s="172">
        <v>1.214</v>
      </c>
      <c r="G19" s="240" t="s">
        <v>814</v>
      </c>
      <c r="H19" s="37"/>
      <c r="I19" s="313" t="s">
        <v>818</v>
      </c>
      <c r="J19" s="312"/>
      <c r="K19" s="312"/>
      <c r="L19" s="37"/>
      <c r="M19" s="238" t="s">
        <v>819</v>
      </c>
      <c r="N19" s="37">
        <f>N4*2+N5*4</f>
        <v>28.06</v>
      </c>
      <c r="O19" s="240" t="s">
        <v>755</v>
      </c>
      <c r="P19" s="37"/>
      <c r="Q19" s="256" t="s">
        <v>820</v>
      </c>
      <c r="R19" s="197">
        <f>(2777.22-379.86)/1000</f>
        <v>2.3973599999999995</v>
      </c>
      <c r="S19" s="258" t="s">
        <v>347</v>
      </c>
      <c r="T19" s="37"/>
      <c r="U19" s="37"/>
      <c r="V19" s="219"/>
      <c r="W19" s="37"/>
      <c r="X19" s="37"/>
    </row>
    <row r="20" spans="1:24" ht="15.75" customHeight="1" x14ac:dyDescent="0.35">
      <c r="A20" s="260">
        <v>2008</v>
      </c>
      <c r="B20" s="37">
        <v>575.4</v>
      </c>
      <c r="C20" s="240" t="s">
        <v>792</v>
      </c>
      <c r="D20" s="37"/>
      <c r="E20" s="238" t="s">
        <v>821</v>
      </c>
      <c r="F20" s="172">
        <v>1.087</v>
      </c>
      <c r="G20" s="240" t="s">
        <v>814</v>
      </c>
      <c r="H20" s="37"/>
      <c r="I20" s="241" t="s">
        <v>754</v>
      </c>
      <c r="J20" s="244">
        <v>0.32</v>
      </c>
      <c r="K20" s="243" t="s">
        <v>822</v>
      </c>
      <c r="L20" s="37"/>
      <c r="M20" s="238" t="s">
        <v>823</v>
      </c>
      <c r="N20" s="37">
        <f>N4*3+N5*6</f>
        <v>42.09</v>
      </c>
      <c r="O20" s="240" t="s">
        <v>755</v>
      </c>
      <c r="P20" s="37"/>
      <c r="Q20" s="120" t="s">
        <v>551</v>
      </c>
      <c r="R20" s="121">
        <v>2.8</v>
      </c>
      <c r="S20" s="122" t="s">
        <v>347</v>
      </c>
      <c r="T20" s="37"/>
      <c r="U20" s="37"/>
      <c r="V20" s="37"/>
      <c r="W20" s="37"/>
      <c r="X20" s="37"/>
    </row>
    <row r="21" spans="1:24" ht="15.75" customHeight="1" x14ac:dyDescent="0.35">
      <c r="A21" s="260">
        <v>2009</v>
      </c>
      <c r="B21" s="251">
        <v>521.9</v>
      </c>
      <c r="C21" s="252" t="s">
        <v>792</v>
      </c>
      <c r="D21" s="37"/>
      <c r="E21" s="238" t="s">
        <v>824</v>
      </c>
      <c r="F21" s="37">
        <v>1.02</v>
      </c>
      <c r="G21" s="240" t="s">
        <v>814</v>
      </c>
      <c r="H21" s="37"/>
      <c r="I21" s="238" t="s">
        <v>825</v>
      </c>
      <c r="J21" s="37">
        <v>1.1499999999999999</v>
      </c>
      <c r="K21" s="240" t="s">
        <v>822</v>
      </c>
      <c r="L21" s="37"/>
      <c r="M21" s="238" t="s">
        <v>826</v>
      </c>
      <c r="N21" s="37">
        <f>N4*4+N5*10</f>
        <v>58.14</v>
      </c>
      <c r="O21" s="240" t="s">
        <v>755</v>
      </c>
      <c r="P21" s="37"/>
      <c r="Q21" s="37"/>
      <c r="R21" s="37"/>
      <c r="S21" s="37"/>
      <c r="T21" s="37"/>
      <c r="U21" s="37"/>
      <c r="V21" s="37"/>
      <c r="W21" s="37"/>
      <c r="X21" s="37"/>
    </row>
    <row r="22" spans="1:24" x14ac:dyDescent="0.35">
      <c r="A22" s="265">
        <v>2010</v>
      </c>
      <c r="B22" s="255">
        <v>550.79999999999995</v>
      </c>
      <c r="C22" s="252" t="s">
        <v>792</v>
      </c>
      <c r="D22" s="37"/>
      <c r="E22" s="238" t="s">
        <v>827</v>
      </c>
      <c r="F22" s="172">
        <v>1.0012000000000001</v>
      </c>
      <c r="G22" s="240" t="s">
        <v>814</v>
      </c>
      <c r="H22" s="37"/>
      <c r="I22" s="238" t="s">
        <v>768</v>
      </c>
      <c r="J22" s="37">
        <v>3.16</v>
      </c>
      <c r="K22" s="240" t="s">
        <v>822</v>
      </c>
      <c r="L22" s="37"/>
      <c r="M22" s="250" t="s">
        <v>828</v>
      </c>
      <c r="N22" s="251">
        <f>N4*2+N5*6</f>
        <v>30.08</v>
      </c>
      <c r="O22" s="252" t="s">
        <v>755</v>
      </c>
      <c r="P22" s="37"/>
      <c r="Q22" s="37"/>
      <c r="R22" s="37"/>
      <c r="S22" s="37"/>
      <c r="T22" s="37"/>
      <c r="U22" s="37"/>
      <c r="V22" s="37"/>
      <c r="W22" s="37"/>
      <c r="X22" s="37"/>
    </row>
    <row r="23" spans="1:24" x14ac:dyDescent="0.35">
      <c r="A23" s="265">
        <v>2011</v>
      </c>
      <c r="B23" s="37">
        <v>585.70000000000005</v>
      </c>
      <c r="C23" s="252" t="s">
        <v>792</v>
      </c>
      <c r="D23" s="37"/>
      <c r="E23" s="238" t="s">
        <v>829</v>
      </c>
      <c r="F23" s="172">
        <v>0.99199999999999999</v>
      </c>
      <c r="G23" s="240" t="s">
        <v>814</v>
      </c>
      <c r="H23" s="37"/>
      <c r="I23" s="238" t="s">
        <v>830</v>
      </c>
      <c r="J23" s="37">
        <v>40.479999999999997</v>
      </c>
      <c r="K23" s="240" t="s">
        <v>822</v>
      </c>
      <c r="L23" s="37"/>
      <c r="P23" s="37"/>
      <c r="Q23" s="313" t="s">
        <v>831</v>
      </c>
      <c r="R23" s="312"/>
      <c r="S23" s="312"/>
      <c r="T23" s="37"/>
      <c r="U23" s="37"/>
      <c r="V23" s="37"/>
      <c r="W23" s="37"/>
      <c r="X23" s="37"/>
    </row>
    <row r="24" spans="1:24" x14ac:dyDescent="0.35">
      <c r="A24" s="265">
        <v>2012</v>
      </c>
      <c r="B24" s="37">
        <v>584.6</v>
      </c>
      <c r="C24" s="252" t="s">
        <v>792</v>
      </c>
      <c r="D24" s="37"/>
      <c r="E24" s="238" t="s">
        <v>832</v>
      </c>
      <c r="F24" s="172">
        <v>0.98199999999999998</v>
      </c>
      <c r="G24" s="240" t="s">
        <v>814</v>
      </c>
      <c r="H24" s="37"/>
      <c r="I24" s="250" t="s">
        <v>833</v>
      </c>
      <c r="J24" s="251">
        <v>34316.32</v>
      </c>
      <c r="K24" s="252" t="s">
        <v>822</v>
      </c>
      <c r="L24" s="37"/>
      <c r="P24" s="37"/>
      <c r="Q24" s="241" t="s">
        <v>834</v>
      </c>
      <c r="R24" s="242">
        <v>10</v>
      </c>
      <c r="S24" s="243" t="s">
        <v>835</v>
      </c>
      <c r="T24" s="37"/>
      <c r="U24" s="37"/>
      <c r="V24" s="37"/>
      <c r="W24" s="37"/>
      <c r="X24" s="37"/>
    </row>
    <row r="25" spans="1:24" x14ac:dyDescent="0.35">
      <c r="A25" s="265">
        <v>2013</v>
      </c>
      <c r="B25" s="37">
        <v>567.29999999999995</v>
      </c>
      <c r="C25" s="252" t="s">
        <v>792</v>
      </c>
      <c r="D25" s="37"/>
      <c r="E25" s="238" t="s">
        <v>836</v>
      </c>
      <c r="F25" s="37">
        <v>0.14599999999999999</v>
      </c>
      <c r="G25" s="240" t="s">
        <v>837</v>
      </c>
      <c r="H25" s="37"/>
      <c r="I25" s="37"/>
      <c r="J25" s="37"/>
      <c r="K25" s="37"/>
      <c r="L25" s="178"/>
      <c r="M25" s="37"/>
      <c r="N25" s="37"/>
      <c r="O25" s="37"/>
      <c r="P25" s="37"/>
      <c r="Q25" s="250" t="s">
        <v>838</v>
      </c>
      <c r="R25" s="254">
        <v>6.9000000000000006E-2</v>
      </c>
      <c r="S25" s="252" t="s">
        <v>839</v>
      </c>
      <c r="T25" s="37"/>
      <c r="U25" s="37"/>
      <c r="V25" s="37"/>
      <c r="W25" s="37"/>
      <c r="X25" s="37"/>
    </row>
    <row r="26" spans="1:24" x14ac:dyDescent="0.35">
      <c r="A26" s="265">
        <v>2014</v>
      </c>
      <c r="B26" s="37">
        <v>576.1</v>
      </c>
      <c r="C26" s="252" t="s">
        <v>792</v>
      </c>
      <c r="D26" s="37"/>
      <c r="E26" s="250" t="s">
        <v>840</v>
      </c>
      <c r="F26" s="254">
        <f>0.309196*F23</f>
        <v>0.30672243200000004</v>
      </c>
      <c r="G26" s="252" t="s">
        <v>841</v>
      </c>
      <c r="H26" s="37"/>
      <c r="I26" s="313" t="s">
        <v>842</v>
      </c>
      <c r="J26" s="312"/>
      <c r="K26" s="312"/>
      <c r="L26" s="37"/>
      <c r="M26" s="313" t="s">
        <v>843</v>
      </c>
      <c r="N26" s="312"/>
      <c r="O26" s="312"/>
      <c r="P26" s="37"/>
      <c r="Q26" s="37"/>
      <c r="R26" s="172"/>
      <c r="S26" s="37"/>
      <c r="T26" s="37"/>
      <c r="U26" s="37"/>
      <c r="V26" s="37"/>
      <c r="W26" s="37"/>
      <c r="X26" s="37"/>
    </row>
    <row r="27" spans="1:24" x14ac:dyDescent="0.35">
      <c r="A27" s="265">
        <v>2015</v>
      </c>
      <c r="B27" s="37">
        <v>556.79999999999995</v>
      </c>
      <c r="C27" s="252" t="s">
        <v>792</v>
      </c>
      <c r="D27" s="37"/>
      <c r="E27" s="37"/>
      <c r="F27" s="37"/>
      <c r="G27" s="37"/>
      <c r="H27" s="37"/>
      <c r="I27" s="241" t="s">
        <v>754</v>
      </c>
      <c r="J27" s="266">
        <f t="shared" ref="J27:J31" si="0">14.534*LN(LN(J20+0.8))+10.975</f>
        <v>-20.672246702470083</v>
      </c>
      <c r="K27" s="243" t="s">
        <v>844</v>
      </c>
      <c r="L27" s="37"/>
      <c r="M27" s="241" t="s">
        <v>845</v>
      </c>
      <c r="N27" s="267">
        <v>0.77</v>
      </c>
      <c r="O27" s="243" t="s">
        <v>846</v>
      </c>
      <c r="P27" s="37"/>
      <c r="Q27" s="16"/>
      <c r="R27" s="268"/>
      <c r="S27" s="16"/>
      <c r="T27" s="16"/>
      <c r="U27" s="37"/>
      <c r="V27" s="37"/>
      <c r="W27" s="37"/>
      <c r="X27" s="37"/>
    </row>
    <row r="28" spans="1:24" x14ac:dyDescent="0.35">
      <c r="A28" s="265">
        <v>2016</v>
      </c>
      <c r="B28" s="37">
        <v>541.70000000000005</v>
      </c>
      <c r="C28" s="252" t="s">
        <v>792</v>
      </c>
      <c r="D28" s="37"/>
      <c r="H28" s="37"/>
      <c r="I28" s="238" t="s">
        <v>825</v>
      </c>
      <c r="J28" s="174">
        <f t="shared" si="0"/>
        <v>5.1072961916109039</v>
      </c>
      <c r="K28" s="240" t="s">
        <v>844</v>
      </c>
      <c r="L28" s="37"/>
      <c r="M28" s="250" t="s">
        <v>769</v>
      </c>
      <c r="N28" s="269">
        <v>0.23</v>
      </c>
      <c r="O28" s="252" t="s">
        <v>846</v>
      </c>
      <c r="P28" s="37"/>
      <c r="Q28" s="314"/>
      <c r="R28" s="312"/>
      <c r="S28" s="312"/>
      <c r="T28" s="16"/>
      <c r="U28" s="37"/>
      <c r="V28" s="37"/>
      <c r="W28" s="37"/>
      <c r="X28" s="37"/>
    </row>
    <row r="29" spans="1:24" x14ac:dyDescent="0.35">
      <c r="A29" s="265">
        <v>2017</v>
      </c>
      <c r="B29" s="37">
        <v>567.5</v>
      </c>
      <c r="C29" s="252" t="s">
        <v>792</v>
      </c>
      <c r="D29" s="37"/>
      <c r="H29" s="37"/>
      <c r="I29" s="238" t="s">
        <v>768</v>
      </c>
      <c r="J29" s="174">
        <f t="shared" si="0"/>
        <v>15.616550156404832</v>
      </c>
      <c r="K29" s="240" t="s">
        <v>844</v>
      </c>
      <c r="L29" s="37"/>
      <c r="M29" s="37"/>
      <c r="N29" s="37"/>
      <c r="O29" s="37"/>
      <c r="P29" s="37"/>
      <c r="Q29" s="270"/>
      <c r="R29" s="271"/>
      <c r="S29" s="272"/>
      <c r="T29" s="16"/>
      <c r="U29" s="37"/>
      <c r="V29" s="37"/>
      <c r="W29" s="37"/>
      <c r="X29" s="37"/>
    </row>
    <row r="30" spans="1:24" x14ac:dyDescent="0.35">
      <c r="A30" s="265">
        <v>2018</v>
      </c>
      <c r="B30" s="37">
        <v>603.1</v>
      </c>
      <c r="C30" s="252" t="s">
        <v>792</v>
      </c>
      <c r="D30" s="37"/>
      <c r="H30" s="37"/>
      <c r="I30" s="238" t="s">
        <v>830</v>
      </c>
      <c r="J30" s="174">
        <f t="shared" si="0"/>
        <v>30.070137035137158</v>
      </c>
      <c r="K30" s="240" t="s">
        <v>844</v>
      </c>
      <c r="L30" s="37"/>
      <c r="M30" s="37"/>
      <c r="N30" s="37"/>
      <c r="O30" s="37"/>
      <c r="P30" s="37"/>
      <c r="Q30" s="273"/>
      <c r="R30" s="268"/>
      <c r="S30" s="274"/>
      <c r="T30" s="16"/>
      <c r="U30" s="37"/>
      <c r="V30" s="37"/>
      <c r="W30" s="37"/>
      <c r="X30" s="37"/>
    </row>
    <row r="31" spans="1:24" x14ac:dyDescent="0.35">
      <c r="A31" s="265">
        <v>2019</v>
      </c>
      <c r="B31" s="37">
        <v>607.5</v>
      </c>
      <c r="C31" s="252" t="s">
        <v>792</v>
      </c>
      <c r="D31" s="37"/>
      <c r="H31" s="37"/>
      <c r="I31" s="238" t="s">
        <v>847</v>
      </c>
      <c r="J31" s="174">
        <f t="shared" si="0"/>
        <v>45.071330376468957</v>
      </c>
      <c r="K31" s="240" t="s">
        <v>844</v>
      </c>
      <c r="L31" s="37"/>
      <c r="M31" s="37"/>
      <c r="N31" s="37"/>
      <c r="O31" s="37"/>
      <c r="P31" s="37"/>
      <c r="Q31" s="273"/>
      <c r="R31" s="268"/>
      <c r="S31" s="274"/>
      <c r="T31" s="16"/>
      <c r="U31" s="37"/>
      <c r="V31" s="37"/>
      <c r="W31" s="37"/>
      <c r="X31" s="37"/>
    </row>
    <row r="32" spans="1:24" x14ac:dyDescent="0.35">
      <c r="A32" s="265">
        <v>2020</v>
      </c>
      <c r="B32" s="37">
        <v>596.20000000000005</v>
      </c>
      <c r="C32" s="252" t="s">
        <v>792</v>
      </c>
      <c r="D32" s="37"/>
      <c r="H32" s="37"/>
      <c r="I32" s="250" t="s">
        <v>848</v>
      </c>
      <c r="J32" s="275">
        <f>J30*(28.89/46.18)+J31*(17.29/46.18)</f>
        <v>35.686651389221751</v>
      </c>
      <c r="K32" s="252" t="s">
        <v>844</v>
      </c>
      <c r="L32" s="37"/>
      <c r="M32" s="37"/>
      <c r="N32" s="37"/>
      <c r="O32" s="37"/>
      <c r="P32" s="37"/>
      <c r="Q32" s="273"/>
      <c r="R32" s="268"/>
      <c r="S32" s="274"/>
      <c r="T32" s="16"/>
      <c r="U32" s="37"/>
      <c r="V32" s="37"/>
      <c r="W32" s="37"/>
      <c r="X32" s="37"/>
    </row>
    <row r="33" spans="1:24" x14ac:dyDescent="0.35">
      <c r="A33" s="265">
        <v>2021</v>
      </c>
      <c r="B33" s="37">
        <v>708</v>
      </c>
      <c r="C33" s="252" t="s">
        <v>792</v>
      </c>
      <c r="D33" s="37"/>
      <c r="H33" s="37"/>
      <c r="I33" s="37"/>
      <c r="J33" s="37"/>
      <c r="K33" s="37"/>
      <c r="L33" s="37"/>
      <c r="M33" s="37"/>
      <c r="N33" s="37"/>
      <c r="O33" s="37"/>
      <c r="P33" s="37"/>
      <c r="Q33" s="273"/>
      <c r="R33" s="268"/>
      <c r="S33" s="274"/>
      <c r="T33" s="16"/>
      <c r="U33" s="37"/>
      <c r="V33" s="37"/>
      <c r="W33" s="37"/>
      <c r="X33" s="37"/>
    </row>
    <row r="34" spans="1:24" x14ac:dyDescent="0.35">
      <c r="A34" s="265">
        <v>2022</v>
      </c>
      <c r="B34" s="37">
        <v>813</v>
      </c>
      <c r="C34" s="252" t="s">
        <v>792</v>
      </c>
      <c r="D34" s="37"/>
      <c r="H34" s="37"/>
      <c r="I34" s="313" t="s">
        <v>849</v>
      </c>
      <c r="J34" s="312"/>
      <c r="K34" s="312"/>
      <c r="L34" s="37"/>
      <c r="M34" s="37"/>
      <c r="N34" s="37"/>
      <c r="O34" s="37"/>
      <c r="P34" s="37"/>
      <c r="Q34" s="273"/>
      <c r="R34" s="268"/>
      <c r="S34" s="274"/>
      <c r="T34" s="16"/>
      <c r="U34" s="37"/>
      <c r="V34" s="37"/>
      <c r="W34" s="37"/>
      <c r="X34" s="37"/>
    </row>
    <row r="35" spans="1:24" x14ac:dyDescent="0.35">
      <c r="A35" s="265">
        <v>2023</v>
      </c>
      <c r="B35" s="37"/>
      <c r="C35" s="252" t="s">
        <v>792</v>
      </c>
      <c r="D35" s="37"/>
      <c r="H35" s="37"/>
      <c r="I35" s="241" t="s">
        <v>850</v>
      </c>
      <c r="J35" s="244">
        <v>0.9</v>
      </c>
      <c r="K35" s="243" t="s">
        <v>851</v>
      </c>
      <c r="L35" s="37"/>
      <c r="M35" s="37"/>
      <c r="N35" s="37"/>
      <c r="O35" s="37"/>
      <c r="P35" s="37"/>
      <c r="Q35" s="273"/>
      <c r="R35" s="268"/>
      <c r="S35" s="274"/>
      <c r="T35" s="16"/>
      <c r="U35" s="37"/>
      <c r="V35" s="37"/>
      <c r="W35" s="37"/>
      <c r="X35" s="37"/>
    </row>
    <row r="36" spans="1:24" x14ac:dyDescent="0.35">
      <c r="A36" s="37"/>
      <c r="B36" s="37"/>
      <c r="C36" s="37"/>
      <c r="D36" s="37"/>
      <c r="H36" s="37"/>
      <c r="I36" s="238" t="s">
        <v>852</v>
      </c>
      <c r="J36" s="37">
        <v>1</v>
      </c>
      <c r="K36" s="240" t="s">
        <v>851</v>
      </c>
      <c r="L36" s="37"/>
      <c r="M36" s="37"/>
      <c r="N36" s="37"/>
      <c r="O36" s="37"/>
      <c r="P36" s="37"/>
      <c r="Q36" s="273"/>
      <c r="R36" s="268"/>
      <c r="S36" s="274"/>
      <c r="T36" s="16"/>
      <c r="U36" s="37"/>
      <c r="V36" s="37"/>
      <c r="W36" s="37"/>
      <c r="X36" s="37"/>
    </row>
    <row r="37" spans="1:24" x14ac:dyDescent="0.35">
      <c r="A37" s="37"/>
      <c r="B37" s="37"/>
      <c r="C37" s="37"/>
      <c r="D37" s="37"/>
      <c r="H37" s="37"/>
      <c r="I37" s="238" t="s">
        <v>853</v>
      </c>
      <c r="J37" s="37">
        <v>1.1000000000000001</v>
      </c>
      <c r="K37" s="240" t="s">
        <v>851</v>
      </c>
      <c r="L37" s="37"/>
      <c r="M37" s="37"/>
      <c r="N37" s="37"/>
      <c r="O37" s="37"/>
      <c r="P37" s="37"/>
      <c r="Q37" s="273"/>
      <c r="R37" s="268"/>
      <c r="S37" s="274"/>
      <c r="T37" s="16"/>
      <c r="U37" s="37"/>
      <c r="V37" s="37"/>
      <c r="W37" s="37"/>
      <c r="X37" s="37"/>
    </row>
    <row r="38" spans="1:24" x14ac:dyDescent="0.35">
      <c r="A38" s="37"/>
      <c r="B38" s="37"/>
      <c r="C38" s="37"/>
      <c r="D38" s="37"/>
      <c r="H38" s="37"/>
      <c r="I38" s="238" t="s">
        <v>854</v>
      </c>
      <c r="J38" s="37">
        <v>0.72</v>
      </c>
      <c r="K38" s="240" t="s">
        <v>851</v>
      </c>
      <c r="L38" s="178"/>
      <c r="M38" s="37"/>
      <c r="N38" s="37"/>
      <c r="O38" s="37"/>
      <c r="P38" s="37"/>
      <c r="Q38" s="276"/>
      <c r="R38" s="277"/>
      <c r="S38" s="278"/>
      <c r="T38" s="16"/>
      <c r="U38" s="37"/>
      <c r="V38" s="37"/>
      <c r="W38" s="37"/>
      <c r="X38" s="37"/>
    </row>
    <row r="39" spans="1:24" x14ac:dyDescent="0.35">
      <c r="A39" s="37"/>
      <c r="B39" s="37"/>
      <c r="C39" s="37"/>
      <c r="D39" s="37"/>
      <c r="E39" s="37"/>
      <c r="F39" s="37"/>
      <c r="G39" s="37"/>
      <c r="H39" s="37"/>
      <c r="I39" s="238" t="s">
        <v>855</v>
      </c>
      <c r="J39" s="37">
        <v>0.84</v>
      </c>
      <c r="K39" s="240" t="s">
        <v>851</v>
      </c>
      <c r="L39" s="37"/>
      <c r="M39" s="37"/>
      <c r="N39" s="37"/>
      <c r="O39" s="37"/>
      <c r="P39" s="37"/>
      <c r="Q39" s="16"/>
      <c r="R39" s="16"/>
      <c r="S39" s="16"/>
      <c r="T39" s="16"/>
      <c r="U39" s="37"/>
      <c r="V39" s="37"/>
      <c r="W39" s="37"/>
      <c r="X39" s="37"/>
    </row>
    <row r="40" spans="1:24" x14ac:dyDescent="0.35">
      <c r="A40" s="37"/>
      <c r="B40" s="37"/>
      <c r="C40" s="37"/>
      <c r="D40" s="37"/>
      <c r="E40" s="37"/>
      <c r="F40" s="37"/>
      <c r="G40" s="37"/>
      <c r="H40" s="37"/>
      <c r="I40" s="238" t="s">
        <v>856</v>
      </c>
      <c r="J40" s="37">
        <v>7.5</v>
      </c>
      <c r="K40" s="240" t="s">
        <v>857</v>
      </c>
      <c r="L40" s="37"/>
      <c r="M40" s="37"/>
      <c r="N40" s="37"/>
      <c r="O40" s="37"/>
      <c r="P40" s="37"/>
      <c r="Q40" s="314"/>
      <c r="R40" s="312"/>
      <c r="S40" s="312"/>
      <c r="T40" s="16"/>
      <c r="U40" s="37"/>
      <c r="V40" s="37"/>
      <c r="W40" s="37"/>
      <c r="X40" s="37"/>
    </row>
    <row r="41" spans="1:24" x14ac:dyDescent="0.35">
      <c r="A41" s="37" t="s">
        <v>858</v>
      </c>
      <c r="B41" s="37"/>
      <c r="C41" s="37"/>
      <c r="D41" s="37"/>
      <c r="E41" s="37"/>
      <c r="F41" s="37"/>
      <c r="G41" s="37"/>
      <c r="H41" s="37"/>
      <c r="I41" s="238" t="s">
        <v>852</v>
      </c>
      <c r="J41" s="37">
        <v>6.7</v>
      </c>
      <c r="K41" s="240" t="s">
        <v>859</v>
      </c>
      <c r="L41" s="37"/>
      <c r="M41" s="37"/>
      <c r="N41" s="37"/>
      <c r="O41" s="37"/>
      <c r="P41" s="37"/>
      <c r="Q41" s="279"/>
      <c r="R41" s="280"/>
      <c r="S41" s="281"/>
      <c r="T41" s="16"/>
      <c r="U41" s="37"/>
      <c r="V41" s="37"/>
      <c r="W41" s="37"/>
      <c r="X41" s="37"/>
    </row>
    <row r="42" spans="1:24" x14ac:dyDescent="0.35">
      <c r="A42" s="37" t="s">
        <v>860</v>
      </c>
      <c r="B42" s="37">
        <v>97.27</v>
      </c>
      <c r="C42" s="37" t="s">
        <v>861</v>
      </c>
      <c r="D42" s="37"/>
      <c r="E42" s="37"/>
      <c r="F42" s="37"/>
      <c r="G42" s="37"/>
      <c r="H42" s="37"/>
      <c r="I42" s="238" t="s">
        <v>809</v>
      </c>
      <c r="J42" s="219">
        <f>1000/3.31</f>
        <v>302.11480362537765</v>
      </c>
      <c r="K42" s="240" t="s">
        <v>862</v>
      </c>
      <c r="L42" s="37"/>
      <c r="M42" s="37"/>
      <c r="N42" s="37"/>
      <c r="O42" s="37"/>
      <c r="P42" s="37"/>
      <c r="Q42" s="16"/>
      <c r="R42" s="268"/>
      <c r="S42" s="16"/>
      <c r="T42" s="16"/>
      <c r="U42" s="37"/>
      <c r="V42" s="37"/>
      <c r="W42" s="37"/>
      <c r="X42" s="37"/>
    </row>
    <row r="43" spans="1:24" x14ac:dyDescent="0.35">
      <c r="A43" s="37"/>
      <c r="B43" s="37"/>
      <c r="C43" s="37"/>
      <c r="D43" s="37"/>
      <c r="E43" s="37"/>
      <c r="F43" s="37"/>
      <c r="G43" s="37"/>
      <c r="H43" s="37"/>
      <c r="I43" s="238" t="s">
        <v>850</v>
      </c>
      <c r="J43" s="219">
        <f>1000/(J35*J49)</f>
        <v>293.52464095332101</v>
      </c>
      <c r="K43" s="240" t="s">
        <v>862</v>
      </c>
      <c r="L43" s="37"/>
      <c r="M43" s="37"/>
      <c r="N43" s="37"/>
      <c r="O43" s="37"/>
      <c r="P43" s="37"/>
      <c r="Q43" s="37"/>
      <c r="R43" s="172"/>
      <c r="S43" s="37"/>
      <c r="T43" s="37"/>
      <c r="U43" s="37"/>
      <c r="V43" s="37"/>
      <c r="W43" s="37"/>
      <c r="X43" s="37"/>
    </row>
    <row r="44" spans="1:24" x14ac:dyDescent="0.35">
      <c r="A44" s="37"/>
      <c r="B44" s="37"/>
      <c r="C44" s="37"/>
      <c r="D44" s="37"/>
      <c r="E44" s="37"/>
      <c r="F44" s="37"/>
      <c r="G44" s="37"/>
      <c r="H44" s="37"/>
      <c r="I44" s="238" t="s">
        <v>852</v>
      </c>
      <c r="J44" s="219">
        <f>1000/(J36*J49)</f>
        <v>264.17217685798897</v>
      </c>
      <c r="K44" s="240" t="s">
        <v>862</v>
      </c>
      <c r="L44" s="37"/>
      <c r="M44" s="37"/>
      <c r="N44" s="37"/>
      <c r="O44" s="37"/>
      <c r="P44" s="37"/>
      <c r="Q44" s="37"/>
      <c r="R44" s="172"/>
      <c r="S44" s="37"/>
      <c r="T44" s="37"/>
      <c r="U44" s="37"/>
      <c r="V44" s="37"/>
      <c r="W44" s="37"/>
      <c r="X44" s="37"/>
    </row>
    <row r="45" spans="1:24" x14ac:dyDescent="0.35">
      <c r="A45" s="37"/>
      <c r="B45" s="37"/>
      <c r="C45" s="37"/>
      <c r="D45" s="37"/>
      <c r="E45" s="37"/>
      <c r="F45" s="37"/>
      <c r="G45" s="37"/>
      <c r="H45" s="37"/>
      <c r="I45" s="238" t="s">
        <v>854</v>
      </c>
      <c r="J45" s="219">
        <f>1000/(J38*J49)</f>
        <v>366.90580119165134</v>
      </c>
      <c r="K45" s="240" t="s">
        <v>862</v>
      </c>
      <c r="L45" s="37"/>
      <c r="M45" s="37"/>
      <c r="N45" s="37"/>
      <c r="O45" s="37"/>
      <c r="P45" s="37"/>
      <c r="Q45" s="37"/>
      <c r="R45" s="172"/>
      <c r="S45" s="37"/>
      <c r="T45" s="37"/>
      <c r="U45" s="37"/>
      <c r="V45" s="37"/>
      <c r="W45" s="37"/>
      <c r="X45" s="37"/>
    </row>
    <row r="46" spans="1:24" x14ac:dyDescent="0.35">
      <c r="A46" s="37"/>
      <c r="B46" s="37"/>
      <c r="C46" s="37"/>
      <c r="D46" s="37"/>
      <c r="E46" s="37"/>
      <c r="F46" s="37"/>
      <c r="G46" s="37"/>
      <c r="H46" s="37"/>
      <c r="I46" s="250" t="s">
        <v>855</v>
      </c>
      <c r="J46" s="253">
        <f>1000/(J39*J49)</f>
        <v>314.49068673570116</v>
      </c>
      <c r="K46" s="252" t="s">
        <v>862</v>
      </c>
      <c r="L46" s="37"/>
      <c r="M46" s="37"/>
      <c r="N46" s="37"/>
      <c r="O46" s="37"/>
      <c r="P46" s="37"/>
      <c r="Q46" s="37"/>
      <c r="R46" s="172"/>
      <c r="S46" s="37"/>
      <c r="T46" s="37"/>
      <c r="U46" s="37"/>
      <c r="V46" s="37"/>
      <c r="W46" s="37"/>
      <c r="X46" s="37"/>
    </row>
    <row r="47" spans="1:24" x14ac:dyDescent="0.35">
      <c r="A47" s="37"/>
      <c r="B47" s="37"/>
      <c r="C47" s="37"/>
      <c r="D47" s="37"/>
      <c r="E47" s="37"/>
      <c r="F47" s="37"/>
      <c r="G47" s="37"/>
      <c r="H47" s="37"/>
      <c r="L47" s="37"/>
      <c r="M47" s="37"/>
      <c r="N47" s="37"/>
      <c r="O47" s="37"/>
      <c r="P47" s="37"/>
      <c r="Q47" s="37"/>
      <c r="R47" s="172"/>
      <c r="S47" s="37"/>
      <c r="T47" s="37"/>
      <c r="U47" s="37"/>
      <c r="V47" s="37"/>
      <c r="W47" s="37"/>
      <c r="X47" s="37"/>
    </row>
    <row r="48" spans="1:24" x14ac:dyDescent="0.35">
      <c r="A48" s="37"/>
      <c r="B48" s="37"/>
      <c r="C48" s="37"/>
      <c r="D48" s="37"/>
      <c r="E48" s="37"/>
      <c r="F48" s="37"/>
      <c r="G48" s="37"/>
      <c r="H48" s="37"/>
      <c r="I48" s="313" t="s">
        <v>863</v>
      </c>
      <c r="J48" s="312"/>
      <c r="K48" s="312"/>
      <c r="L48" s="37"/>
      <c r="M48" s="37"/>
      <c r="N48" s="37"/>
      <c r="O48" s="37"/>
      <c r="P48" s="37"/>
      <c r="Q48" s="37"/>
      <c r="R48" s="172"/>
      <c r="S48" s="37"/>
      <c r="T48" s="37"/>
      <c r="U48" s="37"/>
      <c r="V48" s="37"/>
      <c r="W48" s="37"/>
      <c r="X48" s="37"/>
    </row>
    <row r="49" spans="1:24" x14ac:dyDescent="0.35">
      <c r="A49" s="37"/>
      <c r="B49" s="37"/>
      <c r="C49" s="37"/>
      <c r="D49" s="37"/>
      <c r="E49" s="37"/>
      <c r="F49" s="37"/>
      <c r="G49" s="37"/>
      <c r="H49" s="37"/>
      <c r="I49" s="282" t="s">
        <v>864</v>
      </c>
      <c r="J49" s="283">
        <v>3.7854100000000002</v>
      </c>
      <c r="K49" s="284" t="s">
        <v>865</v>
      </c>
      <c r="L49" s="37"/>
      <c r="M49" s="37"/>
      <c r="N49" s="37"/>
      <c r="O49" s="37"/>
      <c r="P49" s="37"/>
      <c r="Q49" s="37"/>
      <c r="R49" s="172"/>
      <c r="S49" s="37"/>
      <c r="T49" s="37"/>
      <c r="U49" s="37"/>
      <c r="V49" s="37"/>
      <c r="W49" s="37"/>
      <c r="X49" s="37"/>
    </row>
    <row r="50" spans="1:24" x14ac:dyDescent="0.35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172"/>
      <c r="S50" s="37"/>
      <c r="T50" s="37"/>
      <c r="U50" s="37"/>
      <c r="V50" s="37"/>
      <c r="W50" s="37"/>
      <c r="X50" s="37"/>
    </row>
    <row r="51" spans="1:24" x14ac:dyDescent="0.35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172"/>
      <c r="S51" s="37"/>
      <c r="T51" s="37"/>
      <c r="U51" s="37"/>
      <c r="V51" s="37"/>
      <c r="W51" s="37"/>
      <c r="X51" s="37"/>
    </row>
    <row r="52" spans="1:24" x14ac:dyDescent="0.35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172"/>
      <c r="S52" s="37"/>
      <c r="T52" s="37"/>
      <c r="U52" s="37"/>
      <c r="V52" s="37"/>
      <c r="W52" s="37"/>
      <c r="X52" s="37"/>
    </row>
    <row r="53" spans="1:24" x14ac:dyDescent="0.35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172"/>
      <c r="S53" s="37"/>
      <c r="T53" s="37"/>
      <c r="U53" s="37"/>
      <c r="V53" s="37"/>
      <c r="W53" s="37"/>
      <c r="X53" s="37"/>
    </row>
    <row r="54" spans="1:24" x14ac:dyDescent="0.35">
      <c r="A54" t="s">
        <v>866</v>
      </c>
      <c r="B54" s="225" t="s">
        <v>788</v>
      </c>
    </row>
    <row r="55" spans="1:24" x14ac:dyDescent="0.35">
      <c r="A55" s="285" t="s">
        <v>867</v>
      </c>
      <c r="B55" s="285" t="s">
        <v>868</v>
      </c>
    </row>
    <row r="56" spans="1:24" x14ac:dyDescent="0.35">
      <c r="A56" s="285" t="s">
        <v>869</v>
      </c>
      <c r="B56" s="285" t="s">
        <v>870</v>
      </c>
    </row>
    <row r="57" spans="1:24" x14ac:dyDescent="0.35">
      <c r="A57" s="285" t="s">
        <v>871</v>
      </c>
      <c r="B57" s="285" t="s">
        <v>872</v>
      </c>
    </row>
    <row r="58" spans="1:24" x14ac:dyDescent="0.35">
      <c r="A58" s="285" t="s">
        <v>873</v>
      </c>
      <c r="B58" s="285">
        <v>789.6</v>
      </c>
    </row>
    <row r="59" spans="1:24" x14ac:dyDescent="0.35">
      <c r="A59" s="285" t="s">
        <v>874</v>
      </c>
      <c r="B59" s="285">
        <v>789.2</v>
      </c>
      <c r="I59" t="s">
        <v>875</v>
      </c>
      <c r="J59" t="s">
        <v>876</v>
      </c>
      <c r="K59" t="s">
        <v>877</v>
      </c>
    </row>
    <row r="60" spans="1:24" x14ac:dyDescent="0.35">
      <c r="A60" s="285" t="s">
        <v>878</v>
      </c>
      <c r="B60" s="285">
        <v>790.7</v>
      </c>
      <c r="I60" t="s">
        <v>879</v>
      </c>
      <c r="J60">
        <v>520</v>
      </c>
      <c r="K60">
        <f>J60/'[4]Expenses variable '!H56</f>
        <v>489.99745578244119</v>
      </c>
    </row>
    <row r="61" spans="1:24" x14ac:dyDescent="0.35">
      <c r="A61" s="285" t="s">
        <v>880</v>
      </c>
      <c r="B61" s="285">
        <v>793.3</v>
      </c>
      <c r="I61" t="s">
        <v>881</v>
      </c>
      <c r="J61">
        <v>701.5</v>
      </c>
      <c r="K61">
        <f>J61/'[4]Expenses variable '!H56</f>
        <v>661.02541390650481</v>
      </c>
    </row>
    <row r="62" spans="1:24" x14ac:dyDescent="0.35">
      <c r="A62" s="285" t="s">
        <v>882</v>
      </c>
      <c r="B62" s="285">
        <v>798.7</v>
      </c>
    </row>
    <row r="63" spans="1:24" x14ac:dyDescent="0.35">
      <c r="A63" s="285" t="s">
        <v>883</v>
      </c>
      <c r="B63" s="285">
        <v>798.7</v>
      </c>
    </row>
    <row r="64" spans="1:24" x14ac:dyDescent="0.35">
      <c r="A64" s="285" t="s">
        <v>884</v>
      </c>
      <c r="B64" s="285">
        <v>803.3</v>
      </c>
    </row>
    <row r="65" spans="1:2" x14ac:dyDescent="0.35">
      <c r="A65" s="285" t="s">
        <v>885</v>
      </c>
      <c r="B65" s="285">
        <v>808.8</v>
      </c>
    </row>
    <row r="66" spans="1:2" x14ac:dyDescent="0.35">
      <c r="A66" s="285" t="s">
        <v>886</v>
      </c>
      <c r="B66" s="285">
        <v>803.3</v>
      </c>
    </row>
    <row r="67" spans="1:2" x14ac:dyDescent="0.35">
      <c r="A67" s="285" t="s">
        <v>887</v>
      </c>
      <c r="B67" s="285">
        <v>799.1</v>
      </c>
    </row>
    <row r="68" spans="1:2" x14ac:dyDescent="0.35">
      <c r="A68" s="285" t="s">
        <v>888</v>
      </c>
      <c r="B68" s="285">
        <v>798</v>
      </c>
    </row>
    <row r="69" spans="1:2" x14ac:dyDescent="0.35">
      <c r="A69" s="285" t="s">
        <v>889</v>
      </c>
      <c r="B69" s="285">
        <v>802.6</v>
      </c>
    </row>
    <row r="70" spans="1:2" x14ac:dyDescent="0.35">
      <c r="A70" s="285" t="s">
        <v>890</v>
      </c>
      <c r="B70" s="285">
        <v>802.9</v>
      </c>
    </row>
    <row r="71" spans="1:2" x14ac:dyDescent="0.35">
      <c r="A71" s="285" t="s">
        <v>891</v>
      </c>
      <c r="B71" s="285">
        <v>814.6</v>
      </c>
    </row>
    <row r="72" spans="1:2" x14ac:dyDescent="0.35">
      <c r="A72" s="285" t="s">
        <v>892</v>
      </c>
      <c r="B72" s="285">
        <v>816.2</v>
      </c>
    </row>
    <row r="73" spans="1:2" x14ac:dyDescent="0.35">
      <c r="A73" s="285" t="s">
        <v>893</v>
      </c>
      <c r="B73" s="285">
        <v>821.3</v>
      </c>
    </row>
    <row r="74" spans="1:2" x14ac:dyDescent="0.35">
      <c r="A74" s="285" t="s">
        <v>894</v>
      </c>
      <c r="B74" s="285">
        <v>824.5</v>
      </c>
    </row>
    <row r="75" spans="1:2" x14ac:dyDescent="0.35">
      <c r="A75" s="285" t="s">
        <v>895</v>
      </c>
      <c r="B75" s="285">
        <v>829.8</v>
      </c>
    </row>
    <row r="76" spans="1:2" x14ac:dyDescent="0.35">
      <c r="A76" s="285" t="s">
        <v>896</v>
      </c>
      <c r="B76" s="285">
        <v>832.6</v>
      </c>
    </row>
    <row r="77" spans="1:2" x14ac:dyDescent="0.35">
      <c r="A77" s="285" t="s">
        <v>897</v>
      </c>
      <c r="B77" s="285">
        <v>831.1</v>
      </c>
    </row>
    <row r="78" spans="1:2" x14ac:dyDescent="0.35">
      <c r="A78" s="285" t="s">
        <v>898</v>
      </c>
      <c r="B78" s="285">
        <v>816.3</v>
      </c>
    </row>
    <row r="79" spans="1:2" x14ac:dyDescent="0.35">
      <c r="A79" s="285" t="s">
        <v>899</v>
      </c>
      <c r="B79" s="285">
        <v>803.6</v>
      </c>
    </row>
    <row r="80" spans="1:2" x14ac:dyDescent="0.35">
      <c r="A80" s="285" t="s">
        <v>900</v>
      </c>
      <c r="B80" s="285">
        <v>801.3</v>
      </c>
    </row>
    <row r="81" spans="1:5" x14ac:dyDescent="0.35">
      <c r="A81" s="285" t="s">
        <v>901</v>
      </c>
      <c r="B81" s="285">
        <v>797.6</v>
      </c>
    </row>
    <row r="82" spans="1:5" x14ac:dyDescent="0.35">
      <c r="A82" s="285" t="s">
        <v>902</v>
      </c>
      <c r="B82" s="285">
        <v>776.3</v>
      </c>
    </row>
    <row r="83" spans="1:5" x14ac:dyDescent="0.35">
      <c r="A83" s="285" t="s">
        <v>903</v>
      </c>
      <c r="B83" s="285">
        <v>773.1</v>
      </c>
    </row>
    <row r="84" spans="1:5" x14ac:dyDescent="0.35">
      <c r="A84" s="285" t="s">
        <v>904</v>
      </c>
      <c r="B84" s="285">
        <v>761.4</v>
      </c>
    </row>
    <row r="85" spans="1:5" x14ac:dyDescent="0.35">
      <c r="A85" s="285" t="s">
        <v>905</v>
      </c>
      <c r="B85" s="285">
        <v>754</v>
      </c>
    </row>
    <row r="86" spans="1:5" x14ac:dyDescent="0.35">
      <c r="A86" s="285" t="s">
        <v>906</v>
      </c>
      <c r="B86" s="285">
        <v>735.2</v>
      </c>
    </row>
    <row r="87" spans="1:5" x14ac:dyDescent="0.35">
      <c r="A87" s="285" t="s">
        <v>907</v>
      </c>
      <c r="B87" s="285">
        <v>720.2</v>
      </c>
    </row>
    <row r="88" spans="1:5" x14ac:dyDescent="0.35">
      <c r="A88" s="285" t="s">
        <v>908</v>
      </c>
      <c r="B88" s="285">
        <v>701.4</v>
      </c>
    </row>
    <row r="89" spans="1:5" x14ac:dyDescent="0.35">
      <c r="A89" s="285" t="s">
        <v>909</v>
      </c>
      <c r="B89" s="285">
        <v>686.7</v>
      </c>
    </row>
    <row r="90" spans="1:5" x14ac:dyDescent="0.35">
      <c r="A90" s="285" t="s">
        <v>910</v>
      </c>
      <c r="B90" s="285" t="s">
        <v>911</v>
      </c>
      <c r="C90">
        <v>2023</v>
      </c>
      <c r="D90">
        <f>AVERAGE(B58:B69)</f>
        <v>797.94166666666672</v>
      </c>
    </row>
    <row r="91" spans="1:5" x14ac:dyDescent="0.35">
      <c r="A91" s="285">
        <v>2022</v>
      </c>
      <c r="B91" s="285" t="s">
        <v>912</v>
      </c>
    </row>
    <row r="92" spans="1:5" x14ac:dyDescent="0.35">
      <c r="A92" s="285">
        <v>2021</v>
      </c>
      <c r="B92" s="285">
        <v>708.8</v>
      </c>
    </row>
    <row r="93" spans="1:5" x14ac:dyDescent="0.35">
      <c r="A93" s="285">
        <v>2020</v>
      </c>
      <c r="B93" s="285">
        <v>596.20000000000005</v>
      </c>
    </row>
    <row r="94" spans="1:5" x14ac:dyDescent="0.35">
      <c r="A94" s="285">
        <v>2019</v>
      </c>
      <c r="B94" s="285" t="s">
        <v>913</v>
      </c>
    </row>
    <row r="95" spans="1:5" x14ac:dyDescent="0.35">
      <c r="A95" s="285">
        <v>2018</v>
      </c>
      <c r="B95" s="285" t="s">
        <v>914</v>
      </c>
      <c r="E95" t="s">
        <v>915</v>
      </c>
    </row>
    <row r="96" spans="1:5" x14ac:dyDescent="0.35">
      <c r="A96" s="285">
        <v>2017</v>
      </c>
      <c r="B96" s="285" t="s">
        <v>916</v>
      </c>
      <c r="E96">
        <f>D90/B98</f>
        <v>1.4330848898467434</v>
      </c>
    </row>
    <row r="97" spans="1:5" x14ac:dyDescent="0.35">
      <c r="A97" s="285">
        <v>2016</v>
      </c>
      <c r="B97" s="285" t="s">
        <v>917</v>
      </c>
    </row>
    <row r="98" spans="1:5" x14ac:dyDescent="0.35">
      <c r="A98" s="285">
        <v>2015</v>
      </c>
      <c r="B98" s="285">
        <v>556.79999999999995</v>
      </c>
      <c r="E98" t="s">
        <v>918</v>
      </c>
    </row>
    <row r="99" spans="1:5" x14ac:dyDescent="0.35">
      <c r="A99" s="285">
        <v>2014</v>
      </c>
      <c r="B99" s="285" t="s">
        <v>919</v>
      </c>
      <c r="E99">
        <f>D90/B93</f>
        <v>1.338379179246338</v>
      </c>
    </row>
    <row r="100" spans="1:5" x14ac:dyDescent="0.35">
      <c r="A100" s="285">
        <v>2013</v>
      </c>
      <c r="B100" s="285" t="s">
        <v>920</v>
      </c>
    </row>
    <row r="101" spans="1:5" x14ac:dyDescent="0.35">
      <c r="A101" s="285">
        <v>2012</v>
      </c>
      <c r="B101" s="285" t="s">
        <v>921</v>
      </c>
    </row>
    <row r="102" spans="1:5" x14ac:dyDescent="0.35">
      <c r="A102" s="285">
        <v>2011</v>
      </c>
      <c r="B102" s="285" t="s">
        <v>922</v>
      </c>
    </row>
    <row r="103" spans="1:5" x14ac:dyDescent="0.35">
      <c r="A103" s="285">
        <v>2010</v>
      </c>
      <c r="B103" s="285" t="s">
        <v>923</v>
      </c>
    </row>
    <row r="104" spans="1:5" x14ac:dyDescent="0.35">
      <c r="A104" s="285">
        <v>2009</v>
      </c>
      <c r="B104" s="285" t="s">
        <v>924</v>
      </c>
    </row>
    <row r="105" spans="1:5" x14ac:dyDescent="0.35">
      <c r="A105" s="285">
        <v>2008</v>
      </c>
      <c r="B105" s="285" t="s">
        <v>925</v>
      </c>
    </row>
    <row r="106" spans="1:5" x14ac:dyDescent="0.35">
      <c r="A106" s="285">
        <v>2007</v>
      </c>
      <c r="B106" s="285" t="s">
        <v>926</v>
      </c>
    </row>
    <row r="107" spans="1:5" x14ac:dyDescent="0.35">
      <c r="A107" s="285">
        <v>2006</v>
      </c>
      <c r="B107" s="285" t="s">
        <v>927</v>
      </c>
    </row>
    <row r="108" spans="1:5" x14ac:dyDescent="0.35">
      <c r="A108" s="285">
        <v>2005</v>
      </c>
      <c r="B108" s="285" t="s">
        <v>928</v>
      </c>
    </row>
    <row r="109" spans="1:5" x14ac:dyDescent="0.35">
      <c r="A109" s="285">
        <v>2004</v>
      </c>
      <c r="B109" s="285" t="s">
        <v>929</v>
      </c>
    </row>
    <row r="110" spans="1:5" x14ac:dyDescent="0.35">
      <c r="A110" s="285">
        <v>2003</v>
      </c>
      <c r="B110" s="285" t="s">
        <v>930</v>
      </c>
    </row>
    <row r="111" spans="1:5" x14ac:dyDescent="0.35">
      <c r="A111" s="285">
        <v>2002</v>
      </c>
      <c r="B111" s="285" t="s">
        <v>931</v>
      </c>
    </row>
    <row r="112" spans="1:5" x14ac:dyDescent="0.35">
      <c r="A112" s="285">
        <v>2001</v>
      </c>
      <c r="B112" s="285" t="s">
        <v>932</v>
      </c>
    </row>
    <row r="113" spans="1:2" x14ac:dyDescent="0.35">
      <c r="A113" s="286" t="s">
        <v>933</v>
      </c>
      <c r="B113" s="286" t="s">
        <v>934</v>
      </c>
    </row>
  </sheetData>
  <mergeCells count="20">
    <mergeCell ref="Q40:S40"/>
    <mergeCell ref="I48:K48"/>
    <mergeCell ref="I19:K19"/>
    <mergeCell ref="Q23:S23"/>
    <mergeCell ref="I26:K26"/>
    <mergeCell ref="M26:O26"/>
    <mergeCell ref="Q28:S28"/>
    <mergeCell ref="I34:K34"/>
    <mergeCell ref="U1:W1"/>
    <mergeCell ref="Q17:S17"/>
    <mergeCell ref="A1:C1"/>
    <mergeCell ref="E1:G1"/>
    <mergeCell ref="I1:K1"/>
    <mergeCell ref="M1:O1"/>
    <mergeCell ref="Q1:S1"/>
    <mergeCell ref="I3:K3"/>
    <mergeCell ref="M3:O3"/>
    <mergeCell ref="Q3:S3"/>
    <mergeCell ref="U3:W3"/>
    <mergeCell ref="U8:W8"/>
  </mergeCells>
  <hyperlinks>
    <hyperlink ref="B54" r:id="rId1" xr:uid="{8133C1AD-90EB-4D4A-8AE9-0013BA98B4FD}"/>
  </hyperlinks>
  <pageMargins left="0.7" right="0.7" top="0.75" bottom="0.75" header="0.3" footer="0.3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8E5F0-BD0B-4BAD-93EB-52567E80A907}">
  <dimension ref="A1:H155"/>
  <sheetViews>
    <sheetView topLeftCell="A119" workbookViewId="0">
      <selection activeCell="E4" sqref="E4"/>
    </sheetView>
  </sheetViews>
  <sheetFormatPr defaultRowHeight="14.5" x14ac:dyDescent="0.35"/>
  <cols>
    <col min="1" max="1" width="20.6328125" customWidth="1"/>
    <col min="2" max="2" width="30.453125" customWidth="1"/>
    <col min="3" max="3" width="14.1796875" customWidth="1"/>
    <col min="5" max="5" width="55.26953125" customWidth="1"/>
    <col min="6" max="6" width="20.1796875" customWidth="1"/>
    <col min="7" max="7" width="11.90625" customWidth="1"/>
  </cols>
  <sheetData>
    <row r="1" spans="1:7" x14ac:dyDescent="0.35">
      <c r="A1" t="s">
        <v>5</v>
      </c>
      <c r="E1" t="s">
        <v>291</v>
      </c>
    </row>
    <row r="3" spans="1:7" x14ac:dyDescent="0.35">
      <c r="A3" t="s">
        <v>0</v>
      </c>
      <c r="E3">
        <v>8000</v>
      </c>
      <c r="F3" t="s">
        <v>292</v>
      </c>
    </row>
    <row r="4" spans="1:7" x14ac:dyDescent="0.35">
      <c r="E4">
        <v>250</v>
      </c>
      <c r="F4" t="s">
        <v>293</v>
      </c>
    </row>
    <row r="5" spans="1:7" x14ac:dyDescent="0.35">
      <c r="A5" t="s">
        <v>1</v>
      </c>
      <c r="B5">
        <v>7</v>
      </c>
      <c r="E5">
        <f>E4/24</f>
        <v>10.416666666666666</v>
      </c>
      <c r="F5" t="s">
        <v>294</v>
      </c>
    </row>
    <row r="6" spans="1:7" x14ac:dyDescent="0.35">
      <c r="A6" t="s">
        <v>2</v>
      </c>
      <c r="B6">
        <v>67.239999999999995</v>
      </c>
      <c r="E6">
        <f>E5*1000</f>
        <v>10416.666666666666</v>
      </c>
      <c r="F6" t="s">
        <v>295</v>
      </c>
    </row>
    <row r="7" spans="1:7" x14ac:dyDescent="0.35">
      <c r="A7" t="s">
        <v>3</v>
      </c>
      <c r="B7">
        <v>16.61</v>
      </c>
      <c r="E7">
        <f>E6/B22</f>
        <v>208333.33333333331</v>
      </c>
      <c r="F7" t="s">
        <v>296</v>
      </c>
    </row>
    <row r="8" spans="1:7" x14ac:dyDescent="0.35">
      <c r="A8" t="s">
        <v>4</v>
      </c>
      <c r="B8">
        <v>8.73</v>
      </c>
      <c r="C8">
        <f>SUM(B5:B8)</f>
        <v>99.58</v>
      </c>
      <c r="E8">
        <f>E6*B5/100</f>
        <v>729.16666666666652</v>
      </c>
      <c r="F8" t="s">
        <v>297</v>
      </c>
    </row>
    <row r="9" spans="1:7" x14ac:dyDescent="0.35">
      <c r="E9">
        <f>E7-E8</f>
        <v>207604.16666666666</v>
      </c>
      <c r="F9" t="s">
        <v>298</v>
      </c>
    </row>
    <row r="10" spans="1:7" x14ac:dyDescent="0.35">
      <c r="A10" t="s">
        <v>6</v>
      </c>
      <c r="E10">
        <f>E6*B8/100</f>
        <v>909.375</v>
      </c>
    </row>
    <row r="11" spans="1:7" x14ac:dyDescent="0.35">
      <c r="E11">
        <f>E6-E10</f>
        <v>9507.2916666666661</v>
      </c>
    </row>
    <row r="12" spans="1:7" x14ac:dyDescent="0.35">
      <c r="A12" t="s">
        <v>7</v>
      </c>
      <c r="B12">
        <v>42.4</v>
      </c>
      <c r="E12">
        <f>E11*B8/100</f>
        <v>829.98656249999999</v>
      </c>
    </row>
    <row r="13" spans="1:7" x14ac:dyDescent="0.35">
      <c r="A13" t="s">
        <v>8</v>
      </c>
      <c r="B13">
        <v>5.71</v>
      </c>
      <c r="F13">
        <v>48500.000000000102</v>
      </c>
      <c r="G13">
        <v>160748.052912488</v>
      </c>
    </row>
    <row r="14" spans="1:7" x14ac:dyDescent="0.35">
      <c r="A14" t="s">
        <v>9</v>
      </c>
      <c r="B14">
        <v>2.17</v>
      </c>
      <c r="F14">
        <f>SUM(F13:G13)</f>
        <v>209248.05291248811</v>
      </c>
    </row>
    <row r="15" spans="1:7" x14ac:dyDescent="0.35">
      <c r="A15" t="s">
        <v>10</v>
      </c>
      <c r="B15">
        <v>0</v>
      </c>
    </row>
    <row r="16" spans="1:7" x14ac:dyDescent="0.35">
      <c r="A16" t="s">
        <v>11</v>
      </c>
      <c r="B16">
        <v>49.57</v>
      </c>
      <c r="C16">
        <f>SUM(B12:B16)</f>
        <v>99.85</v>
      </c>
    </row>
    <row r="17" spans="1:7" x14ac:dyDescent="0.35">
      <c r="A17" t="s">
        <v>12</v>
      </c>
    </row>
    <row r="18" spans="1:7" x14ac:dyDescent="0.35">
      <c r="A18" t="s">
        <v>13</v>
      </c>
    </row>
    <row r="19" spans="1:7" x14ac:dyDescent="0.35">
      <c r="A19" t="s">
        <v>14</v>
      </c>
      <c r="B19">
        <v>15.39</v>
      </c>
    </row>
    <row r="21" spans="1:7" x14ac:dyDescent="0.35">
      <c r="A21" t="s">
        <v>15</v>
      </c>
    </row>
    <row r="22" spans="1:7" x14ac:dyDescent="0.35">
      <c r="A22" t="s">
        <v>16</v>
      </c>
      <c r="B22">
        <v>0.05</v>
      </c>
      <c r="E22">
        <v>2566.56508845082</v>
      </c>
    </row>
    <row r="23" spans="1:7" x14ac:dyDescent="0.35">
      <c r="A23" t="s">
        <v>17</v>
      </c>
      <c r="B23">
        <v>320</v>
      </c>
      <c r="E23">
        <v>1475.55057425361</v>
      </c>
      <c r="F23">
        <v>10416.666670000001</v>
      </c>
    </row>
    <row r="24" spans="1:7" x14ac:dyDescent="0.35">
      <c r="A24" t="s">
        <v>18</v>
      </c>
      <c r="B24">
        <v>60</v>
      </c>
      <c r="E24">
        <v>5553.2829304530396</v>
      </c>
      <c r="F24">
        <f>E22+E23+E24+E25</f>
        <v>10849.643594067609</v>
      </c>
    </row>
    <row r="25" spans="1:7" x14ac:dyDescent="0.35">
      <c r="A25" t="s">
        <v>19</v>
      </c>
      <c r="B25">
        <v>0</v>
      </c>
      <c r="E25">
        <v>1254.2450009101401</v>
      </c>
    </row>
    <row r="26" spans="1:7" x14ac:dyDescent="0.35">
      <c r="A26" s="1" t="s">
        <v>20</v>
      </c>
      <c r="F26" t="s">
        <v>299</v>
      </c>
      <c r="G26">
        <v>212590.73003298999</v>
      </c>
    </row>
    <row r="27" spans="1:7" x14ac:dyDescent="0.35">
      <c r="A27" s="2" t="s">
        <v>21</v>
      </c>
      <c r="B27">
        <v>24.81</v>
      </c>
      <c r="E27">
        <f>E22/$F$23</f>
        <v>0.24639024841243382</v>
      </c>
      <c r="F27">
        <f>G27/$G$26</f>
        <v>0.24358753508984729</v>
      </c>
      <c r="G27">
        <v>51784.451911687203</v>
      </c>
    </row>
    <row r="28" spans="1:7" x14ac:dyDescent="0.35">
      <c r="A28" s="2" t="s">
        <v>22</v>
      </c>
      <c r="B28">
        <v>14.04</v>
      </c>
      <c r="D28">
        <f>B28/100</f>
        <v>0.1404</v>
      </c>
      <c r="E28">
        <f t="shared" ref="E28:E30" si="0">E23/$F$23</f>
        <v>0.14165285508301764</v>
      </c>
      <c r="F28">
        <f t="shared" ref="F28:F30" si="1">G28/$G$26</f>
        <v>0.14014267422586674</v>
      </c>
      <c r="G28">
        <v>29793.0334224525</v>
      </c>
    </row>
    <row r="29" spans="1:7" x14ac:dyDescent="0.35">
      <c r="A29" s="2" t="s">
        <v>23</v>
      </c>
      <c r="B29">
        <v>52.84</v>
      </c>
      <c r="D29">
        <f>B29/100</f>
        <v>0.52839999999999998</v>
      </c>
      <c r="E29">
        <f t="shared" si="0"/>
        <v>0.53311516115289492</v>
      </c>
      <c r="F29">
        <f t="shared" si="1"/>
        <v>0.49603050598636617</v>
      </c>
      <c r="G29">
        <v>105451.487386275</v>
      </c>
    </row>
    <row r="30" spans="1:7" x14ac:dyDescent="0.35">
      <c r="A30" s="2" t="s">
        <v>24</v>
      </c>
      <c r="B30">
        <v>8.6300000000000008</v>
      </c>
      <c r="C30">
        <f>SUM(B27:B30)</f>
        <v>100.32</v>
      </c>
      <c r="E30">
        <f t="shared" si="0"/>
        <v>0.12040752004884303</v>
      </c>
      <c r="F30">
        <f t="shared" si="1"/>
        <v>0.12023928469791796</v>
      </c>
      <c r="G30">
        <v>25561.7573125749</v>
      </c>
    </row>
    <row r="31" spans="1:7" x14ac:dyDescent="0.35">
      <c r="A31" s="2" t="s">
        <v>25</v>
      </c>
      <c r="B31">
        <v>30.24</v>
      </c>
      <c r="C31">
        <v>27</v>
      </c>
    </row>
    <row r="32" spans="1:7" x14ac:dyDescent="0.35">
      <c r="A32" s="1" t="s">
        <v>26</v>
      </c>
    </row>
    <row r="33" spans="1:7" x14ac:dyDescent="0.35">
      <c r="A33" t="s">
        <v>27</v>
      </c>
      <c r="B33">
        <v>68.69</v>
      </c>
      <c r="D33">
        <f>B33*$B$30/10000</f>
        <v>5.9279470000000001E-2</v>
      </c>
      <c r="F33" t="s">
        <v>300</v>
      </c>
      <c r="G33">
        <f>G27*0.036</f>
        <v>1864.2402688207392</v>
      </c>
    </row>
    <row r="34" spans="1:7" x14ac:dyDescent="0.35">
      <c r="A34" t="s">
        <v>28</v>
      </c>
      <c r="B34">
        <v>12.13</v>
      </c>
      <c r="D34">
        <f t="shared" ref="D34:D36" si="2">B34*$B$30/10000</f>
        <v>1.046819E-2</v>
      </c>
    </row>
    <row r="35" spans="1:7" x14ac:dyDescent="0.35">
      <c r="A35" t="s">
        <v>29</v>
      </c>
      <c r="B35">
        <v>6.04</v>
      </c>
      <c r="D35">
        <f t="shared" si="2"/>
        <v>5.2125200000000009E-3</v>
      </c>
    </row>
    <row r="36" spans="1:7" x14ac:dyDescent="0.35">
      <c r="A36" t="s">
        <v>30</v>
      </c>
      <c r="B36">
        <v>10.51</v>
      </c>
      <c r="C36">
        <f>SUM(B33:B36)</f>
        <v>97.37</v>
      </c>
      <c r="D36">
        <f t="shared" si="2"/>
        <v>9.0701300000000009E-3</v>
      </c>
    </row>
    <row r="37" spans="1:7" x14ac:dyDescent="0.35">
      <c r="A37" s="1" t="s">
        <v>31</v>
      </c>
    </row>
    <row r="38" spans="1:7" ht="15" thickBot="1" x14ac:dyDescent="0.4">
      <c r="A38" s="3" t="s">
        <v>32</v>
      </c>
      <c r="B38">
        <f>SUM(B39:B44)</f>
        <v>14.540000000000001</v>
      </c>
    </row>
    <row r="39" spans="1:7" ht="15" thickBot="1" x14ac:dyDescent="0.4">
      <c r="A39" s="4" t="s">
        <v>33</v>
      </c>
      <c r="B39">
        <v>7.9649999999999999</v>
      </c>
      <c r="D39">
        <f t="shared" ref="D39:D95" si="3">B39*$B$27/10000</f>
        <v>1.9761165000000001E-2</v>
      </c>
      <c r="E39" t="s">
        <v>91</v>
      </c>
      <c r="F39" t="s">
        <v>142</v>
      </c>
      <c r="G39" t="s">
        <v>190</v>
      </c>
    </row>
    <row r="40" spans="1:7" ht="21.5" thickBot="1" x14ac:dyDescent="0.4">
      <c r="A40" s="4" t="s">
        <v>34</v>
      </c>
      <c r="E40" s="11" t="s">
        <v>92</v>
      </c>
    </row>
    <row r="41" spans="1:7" ht="15" thickBot="1" x14ac:dyDescent="0.4">
      <c r="A41" s="4" t="s">
        <v>35</v>
      </c>
      <c r="B41">
        <v>2.3050000000000002</v>
      </c>
      <c r="D41">
        <f t="shared" si="3"/>
        <v>5.7187050000000001E-3</v>
      </c>
      <c r="E41" t="s">
        <v>93</v>
      </c>
      <c r="F41" t="s">
        <v>144</v>
      </c>
      <c r="G41" t="s">
        <v>192</v>
      </c>
    </row>
    <row r="42" spans="1:7" ht="15" thickBot="1" x14ac:dyDescent="0.4">
      <c r="A42" s="4" t="s">
        <v>36</v>
      </c>
      <c r="B42">
        <v>1.865</v>
      </c>
      <c r="D42">
        <f t="shared" si="3"/>
        <v>4.6270649999999997E-3</v>
      </c>
      <c r="E42" t="s">
        <v>94</v>
      </c>
      <c r="F42" t="s">
        <v>145</v>
      </c>
      <c r="G42" t="s">
        <v>193</v>
      </c>
    </row>
    <row r="43" spans="1:7" ht="15" thickBot="1" x14ac:dyDescent="0.4">
      <c r="A43" s="4" t="s">
        <v>37</v>
      </c>
      <c r="B43">
        <v>1.855</v>
      </c>
      <c r="D43">
        <f t="shared" si="3"/>
        <v>4.6022549999999995E-3</v>
      </c>
      <c r="E43" t="s">
        <v>95</v>
      </c>
      <c r="F43" t="s">
        <v>146</v>
      </c>
      <c r="G43" t="s">
        <v>194</v>
      </c>
    </row>
    <row r="44" spans="1:7" ht="15" thickBot="1" x14ac:dyDescent="0.4">
      <c r="A44" s="4" t="s">
        <v>38</v>
      </c>
      <c r="B44">
        <v>0.55000000000000004</v>
      </c>
      <c r="D44">
        <f t="shared" si="3"/>
        <v>1.36455E-3</v>
      </c>
      <c r="E44" t="s">
        <v>96</v>
      </c>
      <c r="F44" t="s">
        <v>147</v>
      </c>
      <c r="G44" t="s">
        <v>195</v>
      </c>
    </row>
    <row r="45" spans="1:7" ht="15" thickBot="1" x14ac:dyDescent="0.4">
      <c r="A45" s="3" t="s">
        <v>39</v>
      </c>
      <c r="B45">
        <f>SUM(B46:B49)</f>
        <v>9.19</v>
      </c>
    </row>
    <row r="46" spans="1:7" ht="15" thickBot="1" x14ac:dyDescent="0.4">
      <c r="A46" s="4" t="s">
        <v>40</v>
      </c>
      <c r="B46">
        <v>6.16</v>
      </c>
      <c r="D46">
        <f t="shared" si="3"/>
        <v>1.528296E-2</v>
      </c>
      <c r="E46" t="s">
        <v>97</v>
      </c>
      <c r="F46" t="s">
        <v>148</v>
      </c>
      <c r="G46" t="s">
        <v>196</v>
      </c>
    </row>
    <row r="47" spans="1:7" ht="15" thickBot="1" x14ac:dyDescent="0.4">
      <c r="A47" s="4" t="s">
        <v>41</v>
      </c>
      <c r="B47">
        <v>0.93</v>
      </c>
      <c r="D47">
        <f t="shared" si="3"/>
        <v>2.3073299999999998E-3</v>
      </c>
      <c r="E47" t="s">
        <v>98</v>
      </c>
      <c r="F47" t="s">
        <v>149</v>
      </c>
      <c r="G47" t="s">
        <v>197</v>
      </c>
    </row>
    <row r="48" spans="1:7" ht="15" thickBot="1" x14ac:dyDescent="0.4">
      <c r="A48" s="4" t="s">
        <v>42</v>
      </c>
      <c r="B48">
        <v>1.36</v>
      </c>
      <c r="D48">
        <f t="shared" si="3"/>
        <v>3.3741599999999997E-3</v>
      </c>
      <c r="E48" t="s">
        <v>99</v>
      </c>
      <c r="F48" t="s">
        <v>150</v>
      </c>
      <c r="G48" t="s">
        <v>198</v>
      </c>
    </row>
    <row r="49" spans="1:7" ht="15" thickBot="1" x14ac:dyDescent="0.4">
      <c r="A49" s="4" t="s">
        <v>43</v>
      </c>
      <c r="B49">
        <v>0.74</v>
      </c>
      <c r="D49">
        <f t="shared" si="3"/>
        <v>1.8359399999999997E-3</v>
      </c>
      <c r="E49" t="s">
        <v>100</v>
      </c>
      <c r="F49" t="s">
        <v>151</v>
      </c>
      <c r="G49" t="s">
        <v>199</v>
      </c>
    </row>
    <row r="50" spans="1:7" ht="15" thickBot="1" x14ac:dyDescent="0.4">
      <c r="A50" s="3" t="s">
        <v>44</v>
      </c>
      <c r="B50">
        <f>SUM(B51:B62)</f>
        <v>21.08</v>
      </c>
    </row>
    <row r="51" spans="1:7" ht="15" thickBot="1" x14ac:dyDescent="0.4">
      <c r="A51" s="4" t="s">
        <v>45</v>
      </c>
      <c r="B51">
        <v>2.7250000000000001</v>
      </c>
      <c r="D51">
        <f t="shared" si="3"/>
        <v>6.7607249999999995E-3</v>
      </c>
      <c r="E51" t="s">
        <v>101</v>
      </c>
      <c r="F51" t="s">
        <v>152</v>
      </c>
      <c r="G51" t="s">
        <v>200</v>
      </c>
    </row>
    <row r="52" spans="1:7" ht="15" thickBot="1" x14ac:dyDescent="0.4">
      <c r="A52" s="4" t="s">
        <v>46</v>
      </c>
      <c r="B52">
        <v>4.0999999999999996</v>
      </c>
      <c r="D52">
        <f t="shared" si="3"/>
        <v>1.0172099999999998E-2</v>
      </c>
      <c r="E52" t="s">
        <v>102</v>
      </c>
      <c r="F52" t="s">
        <v>153</v>
      </c>
      <c r="G52" t="s">
        <v>200</v>
      </c>
    </row>
    <row r="53" spans="1:7" ht="15" thickBot="1" x14ac:dyDescent="0.4">
      <c r="A53" s="4" t="s">
        <v>47</v>
      </c>
      <c r="B53">
        <v>1.0050000000000001</v>
      </c>
      <c r="D53">
        <f t="shared" si="3"/>
        <v>2.4934050000000002E-3</v>
      </c>
      <c r="E53" t="s">
        <v>103</v>
      </c>
      <c r="F53" t="s">
        <v>154</v>
      </c>
      <c r="G53" t="s">
        <v>203</v>
      </c>
    </row>
    <row r="54" spans="1:7" ht="21.5" thickBot="1" x14ac:dyDescent="0.4">
      <c r="A54" s="4" t="s">
        <v>48</v>
      </c>
      <c r="B54">
        <v>0.505</v>
      </c>
      <c r="D54">
        <f t="shared" si="3"/>
        <v>1.2529049999999999E-3</v>
      </c>
      <c r="E54" t="s">
        <v>104</v>
      </c>
      <c r="F54" t="s">
        <v>155</v>
      </c>
      <c r="G54" t="s">
        <v>201</v>
      </c>
    </row>
    <row r="55" spans="1:7" ht="15" thickBot="1" x14ac:dyDescent="0.4">
      <c r="A55" s="4" t="s">
        <v>49</v>
      </c>
      <c r="B55">
        <v>6.7649999999999997</v>
      </c>
      <c r="D55">
        <f t="shared" si="3"/>
        <v>1.6783964999999998E-2</v>
      </c>
      <c r="E55" t="s">
        <v>105</v>
      </c>
      <c r="F55" t="s">
        <v>154</v>
      </c>
      <c r="G55" t="s">
        <v>203</v>
      </c>
    </row>
    <row r="56" spans="1:7" ht="21.5" thickBot="1" x14ac:dyDescent="0.4">
      <c r="A56" s="4" t="s">
        <v>50</v>
      </c>
      <c r="B56">
        <v>1.5049999999999999</v>
      </c>
      <c r="D56">
        <f t="shared" si="3"/>
        <v>3.7339049999999992E-3</v>
      </c>
      <c r="E56" t="s">
        <v>106</v>
      </c>
      <c r="F56" t="s">
        <v>155</v>
      </c>
      <c r="G56" t="s">
        <v>201</v>
      </c>
    </row>
    <row r="57" spans="1:7" ht="15" thickBot="1" x14ac:dyDescent="0.4">
      <c r="A57" s="4" t="s">
        <v>51</v>
      </c>
      <c r="B57">
        <v>1.2250000000000001</v>
      </c>
      <c r="D57">
        <f t="shared" si="3"/>
        <v>3.039225E-3</v>
      </c>
      <c r="E57" t="s">
        <v>107</v>
      </c>
      <c r="F57" t="s">
        <v>156</v>
      </c>
      <c r="G57" t="s">
        <v>203</v>
      </c>
    </row>
    <row r="58" spans="1:7" ht="15" thickBot="1" x14ac:dyDescent="0.4">
      <c r="A58" s="4" t="s">
        <v>52</v>
      </c>
      <c r="B58">
        <v>0.96499999999999997</v>
      </c>
      <c r="D58">
        <f t="shared" si="3"/>
        <v>2.3941649999999997E-3</v>
      </c>
      <c r="E58" t="s">
        <v>108</v>
      </c>
      <c r="F58" t="s">
        <v>157</v>
      </c>
      <c r="G58" t="s">
        <v>204</v>
      </c>
    </row>
    <row r="59" spans="1:7" ht="21.5" thickBot="1" x14ac:dyDescent="0.4">
      <c r="A59" s="4" t="s">
        <v>53</v>
      </c>
      <c r="B59">
        <v>0.42499999999999999</v>
      </c>
      <c r="D59">
        <f t="shared" si="3"/>
        <v>1.0544249999999999E-3</v>
      </c>
      <c r="E59" t="s">
        <v>109</v>
      </c>
      <c r="F59" t="s">
        <v>158</v>
      </c>
      <c r="G59" t="s">
        <v>205</v>
      </c>
    </row>
    <row r="60" spans="1:7" ht="15" thickBot="1" x14ac:dyDescent="0.4">
      <c r="A60" s="4" t="s">
        <v>54</v>
      </c>
      <c r="B60">
        <v>0.96</v>
      </c>
      <c r="D60">
        <f t="shared" si="3"/>
        <v>2.3817599999999997E-3</v>
      </c>
      <c r="E60" t="s">
        <v>110</v>
      </c>
      <c r="F60" t="s">
        <v>159</v>
      </c>
      <c r="G60" t="s">
        <v>206</v>
      </c>
    </row>
    <row r="61" spans="1:7" ht="15" thickBot="1" x14ac:dyDescent="0.4">
      <c r="A61" s="4" t="s">
        <v>55</v>
      </c>
      <c r="B61">
        <v>0.56999999999999995</v>
      </c>
      <c r="D61">
        <f t="shared" si="3"/>
        <v>1.4141699999999998E-3</v>
      </c>
      <c r="E61" t="s">
        <v>111</v>
      </c>
      <c r="F61" t="s">
        <v>154</v>
      </c>
      <c r="G61" t="s">
        <v>202</v>
      </c>
    </row>
    <row r="62" spans="1:7" ht="15" thickBot="1" x14ac:dyDescent="0.4">
      <c r="A62" s="4" t="s">
        <v>56</v>
      </c>
      <c r="B62">
        <v>0.33</v>
      </c>
      <c r="D62">
        <f t="shared" si="3"/>
        <v>8.1873000000000004E-4</v>
      </c>
      <c r="E62" t="s">
        <v>112</v>
      </c>
      <c r="F62" t="s">
        <v>160</v>
      </c>
      <c r="G62" t="s">
        <v>207</v>
      </c>
    </row>
    <row r="63" spans="1:7" ht="15" thickBot="1" x14ac:dyDescent="0.4">
      <c r="A63" s="3" t="s">
        <v>57</v>
      </c>
      <c r="B63">
        <f>SUM(B64:B74)</f>
        <v>30.225000000000005</v>
      </c>
    </row>
    <row r="64" spans="1:7" ht="15" thickBot="1" x14ac:dyDescent="0.4">
      <c r="A64" s="4" t="s">
        <v>58</v>
      </c>
      <c r="B64">
        <v>11.93</v>
      </c>
      <c r="D64">
        <f t="shared" si="3"/>
        <v>2.9598329999999999E-2</v>
      </c>
      <c r="E64" t="s">
        <v>113</v>
      </c>
      <c r="F64" t="s">
        <v>161</v>
      </c>
      <c r="G64" s="7" t="s">
        <v>209</v>
      </c>
    </row>
    <row r="65" spans="1:7" ht="15" thickBot="1" x14ac:dyDescent="0.4">
      <c r="A65" s="4" t="s">
        <v>59</v>
      </c>
      <c r="B65">
        <v>4.3049999999999997</v>
      </c>
      <c r="D65">
        <f t="shared" si="3"/>
        <v>1.0680704999999999E-2</v>
      </c>
      <c r="E65" t="s">
        <v>114</v>
      </c>
      <c r="F65" t="s">
        <v>162</v>
      </c>
      <c r="G65" t="s">
        <v>208</v>
      </c>
    </row>
    <row r="66" spans="1:7" ht="15" thickBot="1" x14ac:dyDescent="0.4">
      <c r="A66" s="4" t="s">
        <v>60</v>
      </c>
      <c r="D66">
        <f t="shared" si="3"/>
        <v>0</v>
      </c>
      <c r="E66" s="11" t="s">
        <v>115</v>
      </c>
      <c r="F66" t="s">
        <v>163</v>
      </c>
      <c r="G66" t="s">
        <v>208</v>
      </c>
    </row>
    <row r="67" spans="1:7" ht="15" thickBot="1" x14ac:dyDescent="0.4">
      <c r="A67" s="4" t="s">
        <v>61</v>
      </c>
      <c r="B67">
        <v>0.81499999999999995</v>
      </c>
      <c r="D67">
        <f t="shared" si="3"/>
        <v>2.0220149999999998E-3</v>
      </c>
      <c r="E67" t="s">
        <v>116</v>
      </c>
      <c r="F67" t="s">
        <v>164</v>
      </c>
      <c r="G67" t="s">
        <v>210</v>
      </c>
    </row>
    <row r="68" spans="1:7" ht="15" thickBot="1" x14ac:dyDescent="0.4">
      <c r="A68" s="4" t="s">
        <v>62</v>
      </c>
      <c r="B68">
        <v>1.405</v>
      </c>
      <c r="D68">
        <f t="shared" si="3"/>
        <v>3.4858049999999998E-3</v>
      </c>
      <c r="E68" t="s">
        <v>117</v>
      </c>
      <c r="F68" t="s">
        <v>165</v>
      </c>
      <c r="G68" t="s">
        <v>211</v>
      </c>
    </row>
    <row r="69" spans="1:7" ht="15" thickBot="1" x14ac:dyDescent="0.4">
      <c r="A69" s="4" t="s">
        <v>63</v>
      </c>
      <c r="B69">
        <v>0.63500000000000001</v>
      </c>
      <c r="D69">
        <f t="shared" si="3"/>
        <v>1.5754349999999998E-3</v>
      </c>
      <c r="E69" t="s">
        <v>118</v>
      </c>
      <c r="F69" t="s">
        <v>166</v>
      </c>
      <c r="G69" t="s">
        <v>212</v>
      </c>
    </row>
    <row r="70" spans="1:7" ht="15" thickBot="1" x14ac:dyDescent="0.4">
      <c r="A70" s="4" t="s">
        <v>64</v>
      </c>
      <c r="B70">
        <v>1.44</v>
      </c>
      <c r="D70">
        <f t="shared" si="3"/>
        <v>3.5726399999999998E-3</v>
      </c>
      <c r="E70" t="s">
        <v>119</v>
      </c>
      <c r="F70" t="s">
        <v>167</v>
      </c>
      <c r="G70" t="s">
        <v>212</v>
      </c>
    </row>
    <row r="71" spans="1:7" ht="15" thickBot="1" x14ac:dyDescent="0.4">
      <c r="A71" s="4" t="s">
        <v>65</v>
      </c>
      <c r="B71">
        <v>1.2250000000000001</v>
      </c>
      <c r="D71">
        <f t="shared" si="3"/>
        <v>3.039225E-3</v>
      </c>
      <c r="E71" t="s">
        <v>120</v>
      </c>
      <c r="F71" t="s">
        <v>168</v>
      </c>
      <c r="G71" t="s">
        <v>213</v>
      </c>
    </row>
    <row r="72" spans="1:7" ht="15" thickBot="1" x14ac:dyDescent="0.4">
      <c r="A72" s="4" t="s">
        <v>66</v>
      </c>
      <c r="B72">
        <v>3.4049999999999998</v>
      </c>
      <c r="D72">
        <f t="shared" si="3"/>
        <v>8.4478049999999992E-3</v>
      </c>
      <c r="E72" t="s">
        <v>121</v>
      </c>
      <c r="F72" t="s">
        <v>169</v>
      </c>
      <c r="G72" t="s">
        <v>214</v>
      </c>
    </row>
    <row r="73" spans="1:7" ht="15" thickBot="1" x14ac:dyDescent="0.4">
      <c r="A73" s="4" t="s">
        <v>67</v>
      </c>
      <c r="B73">
        <v>0.34499999999999997</v>
      </c>
      <c r="D73">
        <f t="shared" si="3"/>
        <v>8.5594499999999977E-4</v>
      </c>
      <c r="E73" t="s">
        <v>122</v>
      </c>
      <c r="F73" t="s">
        <v>170</v>
      </c>
      <c r="G73" t="s">
        <v>215</v>
      </c>
    </row>
    <row r="74" spans="1:7" ht="15" thickBot="1" x14ac:dyDescent="0.4">
      <c r="A74" s="4" t="s">
        <v>68</v>
      </c>
      <c r="B74">
        <v>4.72</v>
      </c>
      <c r="D74">
        <f t="shared" si="3"/>
        <v>1.1710319999999998E-2</v>
      </c>
      <c r="E74" t="s">
        <v>123</v>
      </c>
      <c r="F74" t="s">
        <v>171</v>
      </c>
      <c r="G74" t="s">
        <v>216</v>
      </c>
    </row>
    <row r="75" spans="1:7" ht="15" thickBot="1" x14ac:dyDescent="0.4">
      <c r="A75" s="3" t="s">
        <v>69</v>
      </c>
      <c r="B75">
        <f>SUM(B76:B79)</f>
        <v>3.6750000000000003</v>
      </c>
    </row>
    <row r="76" spans="1:7" ht="15" thickBot="1" x14ac:dyDescent="0.4">
      <c r="A76" s="6"/>
      <c r="E76" s="11" t="s">
        <v>124</v>
      </c>
    </row>
    <row r="77" spans="1:7" ht="21.5" thickBot="1" x14ac:dyDescent="0.4">
      <c r="A77" s="6" t="s">
        <v>71</v>
      </c>
      <c r="B77">
        <v>0.89</v>
      </c>
      <c r="D77">
        <f t="shared" si="3"/>
        <v>2.2080899999999998E-3</v>
      </c>
      <c r="E77" t="s">
        <v>125</v>
      </c>
      <c r="F77" t="s">
        <v>173</v>
      </c>
      <c r="G77" t="s">
        <v>209</v>
      </c>
    </row>
    <row r="78" spans="1:7" ht="21.5" thickBot="1" x14ac:dyDescent="0.4">
      <c r="A78" s="6" t="s">
        <v>72</v>
      </c>
      <c r="B78">
        <v>2.7850000000000001</v>
      </c>
      <c r="D78">
        <f t="shared" si="3"/>
        <v>6.9095850000000002E-3</v>
      </c>
      <c r="E78" t="s">
        <v>126</v>
      </c>
      <c r="F78" t="s">
        <v>174</v>
      </c>
      <c r="G78" t="s">
        <v>218</v>
      </c>
    </row>
    <row r="79" spans="1:7" ht="15" thickBot="1" x14ac:dyDescent="0.4">
      <c r="A79" s="6"/>
      <c r="E79" s="11" t="s">
        <v>127</v>
      </c>
      <c r="F79" t="s">
        <v>175</v>
      </c>
      <c r="G79" t="s">
        <v>191</v>
      </c>
    </row>
    <row r="80" spans="1:7" ht="15" thickBot="1" x14ac:dyDescent="0.4">
      <c r="A80" s="3" t="s">
        <v>74</v>
      </c>
      <c r="B80">
        <f>SUM(B81:B90)</f>
        <v>15.665000000000001</v>
      </c>
    </row>
    <row r="81" spans="1:7" ht="15" thickBot="1" x14ac:dyDescent="0.4">
      <c r="A81" s="4" t="s">
        <v>75</v>
      </c>
      <c r="B81">
        <v>7.5750000000000002</v>
      </c>
      <c r="D81">
        <f t="shared" si="3"/>
        <v>1.8793575E-2</v>
      </c>
      <c r="E81" t="s">
        <v>128</v>
      </c>
      <c r="F81" t="s">
        <v>176</v>
      </c>
      <c r="G81" t="s">
        <v>219</v>
      </c>
    </row>
    <row r="82" spans="1:7" ht="15" thickBot="1" x14ac:dyDescent="0.4">
      <c r="A82" s="4" t="s">
        <v>76</v>
      </c>
      <c r="B82">
        <v>2.4350000000000001</v>
      </c>
      <c r="D82">
        <f t="shared" si="3"/>
        <v>6.0412349999999998E-3</v>
      </c>
      <c r="E82" t="s">
        <v>129</v>
      </c>
      <c r="F82" t="s">
        <v>177</v>
      </c>
      <c r="G82" t="s">
        <v>219</v>
      </c>
    </row>
    <row r="83" spans="1:7" ht="15" thickBot="1" x14ac:dyDescent="0.4">
      <c r="A83" s="4" t="s">
        <v>77</v>
      </c>
      <c r="B83">
        <v>3.48</v>
      </c>
      <c r="D83">
        <f t="shared" si="3"/>
        <v>8.63388E-3</v>
      </c>
      <c r="E83" t="s">
        <v>130</v>
      </c>
      <c r="F83" t="s">
        <v>178</v>
      </c>
      <c r="G83" t="s">
        <v>220</v>
      </c>
    </row>
    <row r="84" spans="1:7" ht="21.5" thickBot="1" x14ac:dyDescent="0.4">
      <c r="A84" s="4" t="s">
        <v>78</v>
      </c>
      <c r="D84">
        <f t="shared" si="3"/>
        <v>0</v>
      </c>
      <c r="E84" s="11" t="s">
        <v>131</v>
      </c>
      <c r="F84" t="s">
        <v>179</v>
      </c>
      <c r="G84" t="s">
        <v>221</v>
      </c>
    </row>
    <row r="85" spans="1:7" ht="21.5" thickBot="1" x14ac:dyDescent="0.4">
      <c r="A85" s="4" t="s">
        <v>79</v>
      </c>
      <c r="D85">
        <f t="shared" si="3"/>
        <v>0</v>
      </c>
      <c r="E85" s="11" t="s">
        <v>132</v>
      </c>
      <c r="F85" t="s">
        <v>180</v>
      </c>
      <c r="G85" t="s">
        <v>222</v>
      </c>
    </row>
    <row r="86" spans="1:7" ht="15" thickBot="1" x14ac:dyDescent="0.4">
      <c r="A86" s="4" t="s">
        <v>80</v>
      </c>
      <c r="D86">
        <f t="shared" si="3"/>
        <v>0</v>
      </c>
      <c r="E86" s="11" t="s">
        <v>133</v>
      </c>
      <c r="F86" t="s">
        <v>181</v>
      </c>
      <c r="G86" t="s">
        <v>223</v>
      </c>
    </row>
    <row r="87" spans="1:7" ht="21.5" thickBot="1" x14ac:dyDescent="0.4">
      <c r="A87" s="4" t="s">
        <v>81</v>
      </c>
      <c r="D87">
        <f t="shared" si="3"/>
        <v>0</v>
      </c>
      <c r="E87" s="11" t="s">
        <v>134</v>
      </c>
      <c r="F87" t="s">
        <v>182</v>
      </c>
      <c r="G87" t="s">
        <v>224</v>
      </c>
    </row>
    <row r="88" spans="1:7" ht="15" thickBot="1" x14ac:dyDescent="0.4">
      <c r="A88" s="4" t="s">
        <v>82</v>
      </c>
      <c r="B88">
        <v>1.25</v>
      </c>
      <c r="D88">
        <f t="shared" si="3"/>
        <v>3.1012499999999998E-3</v>
      </c>
      <c r="E88" t="s">
        <v>135</v>
      </c>
      <c r="F88" t="s">
        <v>183</v>
      </c>
      <c r="G88" t="s">
        <v>225</v>
      </c>
    </row>
    <row r="89" spans="1:7" ht="15" thickBot="1" x14ac:dyDescent="0.4">
      <c r="A89" s="4" t="s">
        <v>83</v>
      </c>
      <c r="B89">
        <v>0.92500000000000004</v>
      </c>
      <c r="D89">
        <f t="shared" si="3"/>
        <v>2.2949249999999997E-3</v>
      </c>
      <c r="E89" t="s">
        <v>136</v>
      </c>
      <c r="F89" t="s">
        <v>184</v>
      </c>
      <c r="G89" t="s">
        <v>226</v>
      </c>
    </row>
    <row r="90" spans="1:7" ht="15" thickBot="1" x14ac:dyDescent="0.4">
      <c r="A90" s="4" t="s">
        <v>84</v>
      </c>
      <c r="D90">
        <f t="shared" si="3"/>
        <v>0</v>
      </c>
      <c r="E90" s="11" t="s">
        <v>137</v>
      </c>
      <c r="F90" t="s">
        <v>185</v>
      </c>
      <c r="G90" t="s">
        <v>227</v>
      </c>
    </row>
    <row r="91" spans="1:7" ht="15" thickBot="1" x14ac:dyDescent="0.4">
      <c r="A91" s="3" t="s">
        <v>85</v>
      </c>
      <c r="B91">
        <f>SUM(B92:B95)</f>
        <v>5.9899999999999993</v>
      </c>
    </row>
    <row r="92" spans="1:7" ht="15" thickBot="1" x14ac:dyDescent="0.4">
      <c r="A92" s="4" t="s">
        <v>86</v>
      </c>
      <c r="B92">
        <v>2.4049999999999998</v>
      </c>
      <c r="D92">
        <f t="shared" si="3"/>
        <v>5.9668049999999995E-3</v>
      </c>
      <c r="E92" t="s">
        <v>138</v>
      </c>
      <c r="F92" t="s">
        <v>186</v>
      </c>
      <c r="G92" t="s">
        <v>228</v>
      </c>
    </row>
    <row r="93" spans="1:7" ht="15" thickBot="1" x14ac:dyDescent="0.4">
      <c r="A93" s="4" t="s">
        <v>87</v>
      </c>
      <c r="B93">
        <v>2.14</v>
      </c>
      <c r="D93">
        <f t="shared" si="3"/>
        <v>5.3093400000000001E-3</v>
      </c>
      <c r="E93" t="s">
        <v>139</v>
      </c>
      <c r="F93" t="s">
        <v>187</v>
      </c>
      <c r="G93" t="s">
        <v>214</v>
      </c>
    </row>
    <row r="94" spans="1:7" ht="15" thickBot="1" x14ac:dyDescent="0.4">
      <c r="A94" s="4" t="s">
        <v>88</v>
      </c>
      <c r="B94">
        <v>1.18</v>
      </c>
      <c r="D94">
        <f t="shared" si="3"/>
        <v>2.9275799999999995E-3</v>
      </c>
      <c r="E94" t="s">
        <v>140</v>
      </c>
      <c r="F94" t="s">
        <v>188</v>
      </c>
      <c r="G94" t="s">
        <v>214</v>
      </c>
    </row>
    <row r="95" spans="1:7" ht="15" thickBot="1" x14ac:dyDescent="0.4">
      <c r="A95" s="4" t="s">
        <v>89</v>
      </c>
      <c r="B95">
        <v>0.26500000000000001</v>
      </c>
      <c r="D95">
        <f t="shared" si="3"/>
        <v>6.5746499999999998E-4</v>
      </c>
      <c r="E95" t="s">
        <v>141</v>
      </c>
      <c r="F95" t="s">
        <v>189</v>
      </c>
      <c r="G95" t="s">
        <v>214</v>
      </c>
    </row>
    <row r="96" spans="1:7" x14ac:dyDescent="0.35">
      <c r="A96" s="5" t="s">
        <v>90</v>
      </c>
      <c r="B96">
        <f>SUM(B38,B45,B50,B63,B75,B80,B91)</f>
        <v>100.36500000000001</v>
      </c>
      <c r="D96">
        <f>SUM(D27:D95)</f>
        <v>1.0018358749999998</v>
      </c>
    </row>
    <row r="98" spans="1:8" x14ac:dyDescent="0.35">
      <c r="A98" s="1" t="s">
        <v>266</v>
      </c>
      <c r="D98" t="s">
        <v>230</v>
      </c>
      <c r="E98" t="s">
        <v>229</v>
      </c>
      <c r="F98" t="s">
        <v>234</v>
      </c>
      <c r="G98" t="s">
        <v>235</v>
      </c>
      <c r="H98" t="s">
        <v>231</v>
      </c>
    </row>
    <row r="99" spans="1:8" s="8" customFormat="1" x14ac:dyDescent="0.35">
      <c r="A99" t="s">
        <v>91</v>
      </c>
      <c r="B99" s="8" t="s">
        <v>142</v>
      </c>
      <c r="C99" s="8" t="s">
        <v>190</v>
      </c>
      <c r="D99" s="8">
        <v>0</v>
      </c>
      <c r="E99" s="8" t="s">
        <v>142</v>
      </c>
      <c r="H99" s="8" t="s">
        <v>190</v>
      </c>
    </row>
    <row r="100" spans="1:8" s="8" customFormat="1" x14ac:dyDescent="0.35">
      <c r="A100" s="11" t="s">
        <v>92</v>
      </c>
      <c r="B100" s="8" t="s">
        <v>143</v>
      </c>
      <c r="C100" s="8" t="s">
        <v>191</v>
      </c>
      <c r="D100" s="8">
        <v>2</v>
      </c>
      <c r="E100" s="8" t="s">
        <v>267</v>
      </c>
      <c r="H100" s="8" t="s">
        <v>232</v>
      </c>
    </row>
    <row r="101" spans="1:8" s="8" customFormat="1" x14ac:dyDescent="0.35">
      <c r="A101" t="s">
        <v>93</v>
      </c>
      <c r="B101" s="8" t="s">
        <v>144</v>
      </c>
      <c r="C101" s="8" t="s">
        <v>192</v>
      </c>
      <c r="D101" s="8">
        <v>0</v>
      </c>
      <c r="E101" s="8" t="s">
        <v>144</v>
      </c>
      <c r="H101" s="8" t="s">
        <v>192</v>
      </c>
    </row>
    <row r="102" spans="1:8" s="8" customFormat="1" x14ac:dyDescent="0.35">
      <c r="A102" t="s">
        <v>94</v>
      </c>
      <c r="B102" s="8" t="s">
        <v>145</v>
      </c>
      <c r="C102" s="8" t="s">
        <v>193</v>
      </c>
      <c r="D102" s="8">
        <v>0</v>
      </c>
      <c r="E102" s="8" t="s">
        <v>145</v>
      </c>
      <c r="H102" s="8" t="s">
        <v>193</v>
      </c>
    </row>
    <row r="103" spans="1:8" s="8" customFormat="1" x14ac:dyDescent="0.35">
      <c r="A103" t="s">
        <v>95</v>
      </c>
      <c r="B103" s="8" t="s">
        <v>146</v>
      </c>
      <c r="C103" s="8" t="s">
        <v>194</v>
      </c>
      <c r="D103" s="8">
        <v>1</v>
      </c>
      <c r="E103" s="8" t="s">
        <v>233</v>
      </c>
      <c r="H103" s="8" t="s">
        <v>192</v>
      </c>
    </row>
    <row r="104" spans="1:8" s="8" customFormat="1" x14ac:dyDescent="0.35">
      <c r="A104" t="s">
        <v>96</v>
      </c>
      <c r="B104" s="8" t="s">
        <v>147</v>
      </c>
      <c r="C104" s="8" t="s">
        <v>195</v>
      </c>
      <c r="D104" s="8">
        <v>0</v>
      </c>
      <c r="E104" s="8" t="s">
        <v>147</v>
      </c>
      <c r="H104" s="8" t="s">
        <v>195</v>
      </c>
    </row>
    <row r="105" spans="1:8" s="8" customFormat="1" x14ac:dyDescent="0.35">
      <c r="A105"/>
    </row>
    <row r="106" spans="1:8" s="8" customFormat="1" x14ac:dyDescent="0.35">
      <c r="A106" t="s">
        <v>97</v>
      </c>
      <c r="B106" s="8" t="s">
        <v>148</v>
      </c>
      <c r="C106" s="8" t="s">
        <v>196</v>
      </c>
      <c r="D106" s="8">
        <v>3</v>
      </c>
      <c r="E106" s="8" t="s">
        <v>268</v>
      </c>
      <c r="F106" s="8">
        <v>2</v>
      </c>
      <c r="H106" s="8" t="s">
        <v>236</v>
      </c>
    </row>
    <row r="107" spans="1:8" s="8" customFormat="1" x14ac:dyDescent="0.35">
      <c r="A107" t="s">
        <v>98</v>
      </c>
      <c r="B107" s="8" t="s">
        <v>149</v>
      </c>
      <c r="C107" s="8" t="s">
        <v>197</v>
      </c>
      <c r="D107" s="8">
        <v>3</v>
      </c>
      <c r="E107" s="8" t="s">
        <v>35</v>
      </c>
      <c r="F107" s="8">
        <v>2</v>
      </c>
      <c r="H107" s="8" t="s">
        <v>192</v>
      </c>
    </row>
    <row r="108" spans="1:8" s="8" customFormat="1" x14ac:dyDescent="0.35">
      <c r="A108" t="s">
        <v>99</v>
      </c>
      <c r="B108" s="8" t="s">
        <v>150</v>
      </c>
      <c r="C108" s="8" t="s">
        <v>198</v>
      </c>
      <c r="D108" s="8">
        <v>5</v>
      </c>
      <c r="E108" s="8" t="s">
        <v>35</v>
      </c>
      <c r="F108" s="8">
        <v>2</v>
      </c>
      <c r="H108" s="8" t="s">
        <v>192</v>
      </c>
    </row>
    <row r="109" spans="1:8" s="8" customFormat="1" x14ac:dyDescent="0.35">
      <c r="A109" t="s">
        <v>100</v>
      </c>
      <c r="B109" s="8" t="s">
        <v>151</v>
      </c>
      <c r="C109" s="8" t="s">
        <v>199</v>
      </c>
      <c r="D109" s="8">
        <v>4</v>
      </c>
      <c r="E109" s="8" t="s">
        <v>35</v>
      </c>
      <c r="F109" s="8">
        <v>2</v>
      </c>
      <c r="H109" s="8" t="s">
        <v>192</v>
      </c>
    </row>
    <row r="110" spans="1:8" s="8" customFormat="1" x14ac:dyDescent="0.35">
      <c r="A110"/>
    </row>
    <row r="111" spans="1:8" s="8" customFormat="1" x14ac:dyDescent="0.35">
      <c r="A111" t="s">
        <v>101</v>
      </c>
      <c r="B111" s="8" t="s">
        <v>45</v>
      </c>
      <c r="C111" s="8" t="s">
        <v>200</v>
      </c>
      <c r="D111" s="8">
        <v>3</v>
      </c>
      <c r="E111" s="8" t="s">
        <v>269</v>
      </c>
      <c r="F111" s="8">
        <v>1</v>
      </c>
      <c r="H111" s="8" t="s">
        <v>237</v>
      </c>
    </row>
    <row r="112" spans="1:8" s="8" customFormat="1" x14ac:dyDescent="0.35">
      <c r="A112" t="s">
        <v>102</v>
      </c>
      <c r="B112" s="8" t="s">
        <v>46</v>
      </c>
      <c r="C112" s="8" t="s">
        <v>200</v>
      </c>
      <c r="D112" s="8">
        <v>3</v>
      </c>
      <c r="E112" s="8" t="s">
        <v>270</v>
      </c>
      <c r="F112" s="8">
        <v>1</v>
      </c>
      <c r="H112" s="8" t="s">
        <v>237</v>
      </c>
    </row>
    <row r="113" spans="1:8" s="8" customFormat="1" x14ac:dyDescent="0.35">
      <c r="A113" t="s">
        <v>103</v>
      </c>
      <c r="B113" s="8" t="s">
        <v>47</v>
      </c>
      <c r="C113" s="8" t="s">
        <v>203</v>
      </c>
      <c r="D113" s="8">
        <v>3</v>
      </c>
      <c r="E113" s="8" t="s">
        <v>271</v>
      </c>
      <c r="F113" s="8">
        <v>1</v>
      </c>
      <c r="H113" s="8" t="s">
        <v>238</v>
      </c>
    </row>
    <row r="114" spans="1:8" s="8" customFormat="1" x14ac:dyDescent="0.35">
      <c r="A114" t="s">
        <v>104</v>
      </c>
      <c r="B114" s="8" t="s">
        <v>48</v>
      </c>
      <c r="C114" s="8" t="s">
        <v>201</v>
      </c>
      <c r="D114" s="8">
        <v>3</v>
      </c>
      <c r="E114" s="8" t="s">
        <v>239</v>
      </c>
      <c r="F114" s="8">
        <v>1</v>
      </c>
      <c r="H114" s="8" t="s">
        <v>240</v>
      </c>
    </row>
    <row r="115" spans="1:8" s="8" customFormat="1" x14ac:dyDescent="0.35">
      <c r="A115" t="s">
        <v>105</v>
      </c>
      <c r="B115" s="8" t="s">
        <v>49</v>
      </c>
      <c r="C115" s="8" t="s">
        <v>203</v>
      </c>
      <c r="D115" s="8">
        <v>3</v>
      </c>
      <c r="E115" s="8" t="s">
        <v>272</v>
      </c>
      <c r="F115" s="8">
        <v>1</v>
      </c>
      <c r="H115" s="8" t="s">
        <v>238</v>
      </c>
    </row>
    <row r="116" spans="1:8" s="8" customFormat="1" x14ac:dyDescent="0.35">
      <c r="A116" t="s">
        <v>106</v>
      </c>
      <c r="B116" s="8" t="s">
        <v>50</v>
      </c>
      <c r="C116" s="8" t="s">
        <v>201</v>
      </c>
      <c r="D116" s="8">
        <v>3</v>
      </c>
      <c r="E116" s="8" t="s">
        <v>273</v>
      </c>
      <c r="F116" s="8">
        <v>1</v>
      </c>
      <c r="H116" s="8" t="s">
        <v>240</v>
      </c>
    </row>
    <row r="117" spans="1:8" s="8" customFormat="1" x14ac:dyDescent="0.35">
      <c r="A117" t="s">
        <v>107</v>
      </c>
      <c r="B117" s="8" t="s">
        <v>51</v>
      </c>
      <c r="C117" s="8" t="s">
        <v>203</v>
      </c>
      <c r="D117" s="8">
        <v>3</v>
      </c>
      <c r="E117" s="8" t="s">
        <v>274</v>
      </c>
      <c r="F117" s="8">
        <v>1</v>
      </c>
      <c r="H117" s="8" t="s">
        <v>238</v>
      </c>
    </row>
    <row r="118" spans="1:8" s="8" customFormat="1" x14ac:dyDescent="0.35">
      <c r="A118" t="s">
        <v>108</v>
      </c>
      <c r="B118" s="8" t="s">
        <v>52</v>
      </c>
      <c r="C118" s="8" t="s">
        <v>204</v>
      </c>
      <c r="D118" s="8">
        <v>6</v>
      </c>
      <c r="E118" s="8" t="s">
        <v>275</v>
      </c>
      <c r="F118" s="8">
        <v>2</v>
      </c>
      <c r="H118" s="8" t="s">
        <v>240</v>
      </c>
    </row>
    <row r="119" spans="1:8" s="8" customFormat="1" x14ac:dyDescent="0.35">
      <c r="A119" t="s">
        <v>109</v>
      </c>
      <c r="B119" s="8" t="s">
        <v>53</v>
      </c>
      <c r="C119" s="8" t="s">
        <v>205</v>
      </c>
      <c r="D119" s="8">
        <v>3</v>
      </c>
      <c r="E119" s="8" t="s">
        <v>271</v>
      </c>
      <c r="F119" s="8">
        <v>2</v>
      </c>
      <c r="H119" s="8" t="s">
        <v>238</v>
      </c>
    </row>
    <row r="120" spans="1:8" s="8" customFormat="1" x14ac:dyDescent="0.35">
      <c r="A120" t="s">
        <v>110</v>
      </c>
      <c r="B120" s="8" t="s">
        <v>54</v>
      </c>
      <c r="C120" s="8" t="s">
        <v>206</v>
      </c>
      <c r="D120" s="8">
        <v>5</v>
      </c>
      <c r="E120" s="10" t="s">
        <v>276</v>
      </c>
      <c r="F120" s="8">
        <v>1</v>
      </c>
      <c r="H120" s="8" t="s">
        <v>191</v>
      </c>
    </row>
    <row r="121" spans="1:8" s="8" customFormat="1" x14ac:dyDescent="0.35">
      <c r="A121" t="s">
        <v>111</v>
      </c>
      <c r="B121" s="8" t="s">
        <v>55</v>
      </c>
      <c r="C121" s="8" t="s">
        <v>202</v>
      </c>
      <c r="D121" s="8">
        <v>4</v>
      </c>
      <c r="E121" s="8" t="s">
        <v>277</v>
      </c>
      <c r="F121" s="8">
        <v>1</v>
      </c>
      <c r="H121" s="8" t="s">
        <v>238</v>
      </c>
    </row>
    <row r="122" spans="1:8" s="8" customFormat="1" x14ac:dyDescent="0.35">
      <c r="A122" t="s">
        <v>112</v>
      </c>
      <c r="B122" s="8" t="s">
        <v>56</v>
      </c>
      <c r="C122" s="8" t="s">
        <v>207</v>
      </c>
      <c r="D122" s="8">
        <v>3</v>
      </c>
      <c r="E122" s="8" t="s">
        <v>278</v>
      </c>
      <c r="F122" s="8">
        <v>1</v>
      </c>
      <c r="H122" s="8" t="s">
        <v>246</v>
      </c>
    </row>
    <row r="124" spans="1:8" s="8" customFormat="1" x14ac:dyDescent="0.35">
      <c r="A124" t="s">
        <v>113</v>
      </c>
      <c r="B124" s="8" t="s">
        <v>161</v>
      </c>
      <c r="C124" s="9" t="s">
        <v>209</v>
      </c>
      <c r="D124" s="8">
        <v>0</v>
      </c>
      <c r="E124" s="8" t="s">
        <v>161</v>
      </c>
    </row>
    <row r="125" spans="1:8" s="8" customFormat="1" x14ac:dyDescent="0.35">
      <c r="A125" t="s">
        <v>114</v>
      </c>
      <c r="B125" s="8" t="s">
        <v>162</v>
      </c>
      <c r="C125" s="8" t="s">
        <v>208</v>
      </c>
      <c r="D125" s="8">
        <v>0</v>
      </c>
      <c r="E125" s="8" t="s">
        <v>162</v>
      </c>
    </row>
    <row r="126" spans="1:8" s="8" customFormat="1" x14ac:dyDescent="0.35">
      <c r="A126" t="s">
        <v>115</v>
      </c>
      <c r="B126" s="8" t="s">
        <v>163</v>
      </c>
      <c r="C126" s="8" t="s">
        <v>208</v>
      </c>
      <c r="D126" s="8">
        <v>0</v>
      </c>
      <c r="E126" s="8" t="s">
        <v>163</v>
      </c>
    </row>
    <row r="127" spans="1:8" s="8" customFormat="1" x14ac:dyDescent="0.35">
      <c r="A127" t="s">
        <v>116</v>
      </c>
      <c r="B127" s="8" t="s">
        <v>164</v>
      </c>
      <c r="C127" s="8" t="s">
        <v>210</v>
      </c>
      <c r="D127" s="8">
        <v>2</v>
      </c>
      <c r="E127" s="8" t="s">
        <v>58</v>
      </c>
      <c r="G127" s="8" t="s">
        <v>241</v>
      </c>
    </row>
    <row r="128" spans="1:8" s="8" customFormat="1" x14ac:dyDescent="0.35">
      <c r="A128" t="s">
        <v>117</v>
      </c>
      <c r="B128" s="8" t="s">
        <v>165</v>
      </c>
      <c r="C128" s="8" t="s">
        <v>211</v>
      </c>
      <c r="D128" s="8">
        <v>1</v>
      </c>
      <c r="E128" s="8" t="s">
        <v>279</v>
      </c>
      <c r="G128" s="8" t="s">
        <v>244</v>
      </c>
    </row>
    <row r="129" spans="1:8" s="8" customFormat="1" x14ac:dyDescent="0.35">
      <c r="A129" t="s">
        <v>118</v>
      </c>
      <c r="B129" s="8" t="s">
        <v>166</v>
      </c>
      <c r="C129" s="8" t="s">
        <v>212</v>
      </c>
      <c r="D129" s="8">
        <v>0</v>
      </c>
      <c r="E129" s="8" t="s">
        <v>281</v>
      </c>
    </row>
    <row r="130" spans="1:8" s="8" customFormat="1" x14ac:dyDescent="0.35">
      <c r="A130" t="s">
        <v>119</v>
      </c>
      <c r="B130" s="8" t="s">
        <v>167</v>
      </c>
      <c r="C130" s="8" t="s">
        <v>212</v>
      </c>
      <c r="D130" s="8">
        <v>0</v>
      </c>
      <c r="E130" s="8" t="s">
        <v>280</v>
      </c>
    </row>
    <row r="131" spans="1:8" s="8" customFormat="1" x14ac:dyDescent="0.35">
      <c r="A131" t="s">
        <v>120</v>
      </c>
      <c r="B131" s="8" t="s">
        <v>168</v>
      </c>
      <c r="C131" s="8" t="s">
        <v>213</v>
      </c>
      <c r="D131" s="8">
        <v>1</v>
      </c>
      <c r="E131" s="8" t="s">
        <v>242</v>
      </c>
      <c r="G131" s="8" t="s">
        <v>244</v>
      </c>
    </row>
    <row r="132" spans="1:8" s="8" customFormat="1" x14ac:dyDescent="0.35">
      <c r="A132" t="s">
        <v>121</v>
      </c>
      <c r="B132" s="8" t="s">
        <v>169</v>
      </c>
      <c r="C132" s="8" t="s">
        <v>214</v>
      </c>
      <c r="D132" s="8">
        <v>1</v>
      </c>
      <c r="E132" s="8" t="s">
        <v>243</v>
      </c>
      <c r="G132" s="8" t="s">
        <v>244</v>
      </c>
    </row>
    <row r="133" spans="1:8" s="8" customFormat="1" x14ac:dyDescent="0.35">
      <c r="A133" t="s">
        <v>122</v>
      </c>
      <c r="B133" s="8" t="s">
        <v>170</v>
      </c>
      <c r="C133" s="8" t="s">
        <v>215</v>
      </c>
      <c r="D133" s="8">
        <v>1</v>
      </c>
      <c r="E133" s="8" t="s">
        <v>282</v>
      </c>
      <c r="G133" s="8" t="s">
        <v>244</v>
      </c>
    </row>
    <row r="134" spans="1:8" s="8" customFormat="1" x14ac:dyDescent="0.35">
      <c r="A134" t="s">
        <v>123</v>
      </c>
      <c r="B134" s="8" t="s">
        <v>171</v>
      </c>
      <c r="C134" s="8" t="s">
        <v>216</v>
      </c>
      <c r="D134" s="8">
        <v>0</v>
      </c>
      <c r="E134" s="8" t="s">
        <v>171</v>
      </c>
    </row>
    <row r="136" spans="1:8" s="8" customFormat="1" x14ac:dyDescent="0.35">
      <c r="A136" s="11" t="s">
        <v>124</v>
      </c>
      <c r="B136" s="8" t="s">
        <v>172</v>
      </c>
      <c r="C136" s="8" t="s">
        <v>217</v>
      </c>
      <c r="D136" s="8">
        <v>1</v>
      </c>
      <c r="E136" s="8" t="s">
        <v>283</v>
      </c>
    </row>
    <row r="137" spans="1:8" s="8" customFormat="1" x14ac:dyDescent="0.35">
      <c r="A137" t="s">
        <v>125</v>
      </c>
      <c r="B137" s="8" t="s">
        <v>173</v>
      </c>
      <c r="C137" s="8" t="s">
        <v>209</v>
      </c>
      <c r="D137" s="8">
        <v>4</v>
      </c>
      <c r="E137" s="8" t="s">
        <v>284</v>
      </c>
      <c r="F137" s="8">
        <v>1</v>
      </c>
      <c r="H137" s="8" t="s">
        <v>237</v>
      </c>
    </row>
    <row r="138" spans="1:8" s="8" customFormat="1" x14ac:dyDescent="0.35">
      <c r="A138" t="s">
        <v>126</v>
      </c>
      <c r="B138" s="8" t="s">
        <v>174</v>
      </c>
      <c r="C138" s="8" t="s">
        <v>218</v>
      </c>
      <c r="D138" s="8">
        <v>4</v>
      </c>
      <c r="E138" s="8" t="s">
        <v>285</v>
      </c>
      <c r="F138" s="8">
        <v>2</v>
      </c>
      <c r="H138" s="8" t="s">
        <v>246</v>
      </c>
    </row>
    <row r="139" spans="1:8" s="8" customFormat="1" x14ac:dyDescent="0.35">
      <c r="A139" s="11" t="s">
        <v>127</v>
      </c>
      <c r="B139" s="8" t="s">
        <v>175</v>
      </c>
      <c r="C139" s="8" t="s">
        <v>191</v>
      </c>
      <c r="D139" s="8">
        <v>0</v>
      </c>
      <c r="E139" s="8" t="s">
        <v>286</v>
      </c>
    </row>
    <row r="141" spans="1:8" s="8" customFormat="1" x14ac:dyDescent="0.35">
      <c r="A141" t="s">
        <v>128</v>
      </c>
      <c r="B141" s="8" t="s">
        <v>176</v>
      </c>
      <c r="C141" s="8" t="s">
        <v>219</v>
      </c>
      <c r="D141" s="8">
        <v>5</v>
      </c>
      <c r="E141" s="8" t="s">
        <v>288</v>
      </c>
      <c r="F141" s="8">
        <v>1</v>
      </c>
      <c r="G141" s="8" t="s">
        <v>250</v>
      </c>
      <c r="H141" s="8" t="s">
        <v>259</v>
      </c>
    </row>
    <row r="142" spans="1:8" s="8" customFormat="1" x14ac:dyDescent="0.35">
      <c r="A142" t="s">
        <v>129</v>
      </c>
      <c r="B142" s="8" t="s">
        <v>177</v>
      </c>
      <c r="C142" s="8" t="s">
        <v>219</v>
      </c>
      <c r="D142" s="8">
        <v>5</v>
      </c>
      <c r="E142" s="8" t="s">
        <v>288</v>
      </c>
      <c r="F142" s="8">
        <v>1</v>
      </c>
      <c r="G142" s="8" t="s">
        <v>250</v>
      </c>
      <c r="H142" s="8" t="s">
        <v>259</v>
      </c>
    </row>
    <row r="143" spans="1:8" s="8" customFormat="1" x14ac:dyDescent="0.35">
      <c r="A143" t="s">
        <v>130</v>
      </c>
      <c r="B143" s="8" t="s">
        <v>178</v>
      </c>
      <c r="C143" s="8" t="s">
        <v>220</v>
      </c>
      <c r="D143" s="8">
        <v>5</v>
      </c>
      <c r="E143" s="8" t="s">
        <v>287</v>
      </c>
      <c r="F143" s="8">
        <v>1</v>
      </c>
      <c r="G143" s="8" t="s">
        <v>250</v>
      </c>
      <c r="H143" s="8" t="s">
        <v>237</v>
      </c>
    </row>
    <row r="144" spans="1:8" s="8" customFormat="1" x14ac:dyDescent="0.35">
      <c r="A144" s="11" t="s">
        <v>131</v>
      </c>
      <c r="B144" s="8" t="s">
        <v>179</v>
      </c>
      <c r="C144" s="8" t="s">
        <v>251</v>
      </c>
      <c r="D144" s="8">
        <v>13</v>
      </c>
      <c r="E144" s="8" t="s">
        <v>289</v>
      </c>
      <c r="F144" s="8">
        <v>2</v>
      </c>
      <c r="G144" s="8" t="s">
        <v>252</v>
      </c>
      <c r="H144" s="8" t="s">
        <v>260</v>
      </c>
    </row>
    <row r="145" spans="1:8" s="8" customFormat="1" x14ac:dyDescent="0.35">
      <c r="A145" s="11" t="s">
        <v>132</v>
      </c>
      <c r="B145" s="8" t="s">
        <v>180</v>
      </c>
      <c r="C145" s="8" t="s">
        <v>222</v>
      </c>
      <c r="D145" s="8">
        <v>17</v>
      </c>
      <c r="E145" s="8" t="s">
        <v>254</v>
      </c>
      <c r="F145" s="8">
        <v>2</v>
      </c>
      <c r="G145" s="8" t="s">
        <v>253</v>
      </c>
      <c r="H145" s="8" t="s">
        <v>261</v>
      </c>
    </row>
    <row r="146" spans="1:8" s="8" customFormat="1" x14ac:dyDescent="0.35">
      <c r="A146" s="11" t="s">
        <v>133</v>
      </c>
      <c r="B146" s="8" t="s">
        <v>181</v>
      </c>
      <c r="C146" s="8" t="s">
        <v>223</v>
      </c>
      <c r="D146" s="8">
        <v>7</v>
      </c>
      <c r="E146" s="8" t="s">
        <v>255</v>
      </c>
      <c r="F146" s="8">
        <v>2</v>
      </c>
      <c r="G146" s="8" t="s">
        <v>250</v>
      </c>
      <c r="H146" s="8" t="s">
        <v>262</v>
      </c>
    </row>
    <row r="147" spans="1:8" s="8" customFormat="1" x14ac:dyDescent="0.35">
      <c r="A147" s="11" t="s">
        <v>134</v>
      </c>
      <c r="B147" s="8" t="s">
        <v>182</v>
      </c>
      <c r="C147" s="8" t="s">
        <v>256</v>
      </c>
      <c r="D147" s="8">
        <v>13</v>
      </c>
      <c r="E147" s="8" t="s">
        <v>257</v>
      </c>
      <c r="F147" s="8">
        <v>2</v>
      </c>
      <c r="G147" s="8" t="s">
        <v>252</v>
      </c>
      <c r="H147" s="8" t="s">
        <v>263</v>
      </c>
    </row>
    <row r="148" spans="1:8" s="8" customFormat="1" x14ac:dyDescent="0.35">
      <c r="A148" t="s">
        <v>135</v>
      </c>
      <c r="B148" s="8" t="s">
        <v>183</v>
      </c>
      <c r="C148" s="8" t="s">
        <v>225</v>
      </c>
      <c r="D148" s="8">
        <v>5</v>
      </c>
      <c r="E148" s="8" t="s">
        <v>255</v>
      </c>
      <c r="F148" s="8">
        <v>1</v>
      </c>
      <c r="G148" s="8" t="s">
        <v>250</v>
      </c>
      <c r="H148" s="8" t="s">
        <v>262</v>
      </c>
    </row>
    <row r="149" spans="1:8" s="8" customFormat="1" x14ac:dyDescent="0.35">
      <c r="A149" s="11" t="s">
        <v>136</v>
      </c>
      <c r="B149" s="8" t="s">
        <v>184</v>
      </c>
      <c r="C149" s="8" t="s">
        <v>226</v>
      </c>
      <c r="D149" s="8">
        <v>3</v>
      </c>
      <c r="E149" s="8" t="s">
        <v>290</v>
      </c>
      <c r="G149" s="8" t="s">
        <v>250</v>
      </c>
      <c r="H149" s="8" t="s">
        <v>264</v>
      </c>
    </row>
    <row r="150" spans="1:8" s="8" customFormat="1" x14ac:dyDescent="0.35">
      <c r="A150" s="11" t="s">
        <v>137</v>
      </c>
      <c r="B150" s="8" t="s">
        <v>185</v>
      </c>
      <c r="C150" s="8" t="s">
        <v>227</v>
      </c>
      <c r="D150" s="8">
        <v>4</v>
      </c>
      <c r="E150" s="8" t="s">
        <v>258</v>
      </c>
      <c r="G150" s="8" t="s">
        <v>250</v>
      </c>
      <c r="H150" s="8" t="s">
        <v>265</v>
      </c>
    </row>
    <row r="152" spans="1:8" s="8" customFormat="1" x14ac:dyDescent="0.35">
      <c r="A152" t="s">
        <v>138</v>
      </c>
      <c r="B152" s="8" t="s">
        <v>186</v>
      </c>
      <c r="C152" s="8" t="s">
        <v>228</v>
      </c>
      <c r="D152" s="8">
        <v>1</v>
      </c>
      <c r="E152" s="8" t="s">
        <v>247</v>
      </c>
      <c r="G152" s="8" t="s">
        <v>245</v>
      </c>
    </row>
    <row r="153" spans="1:8" s="8" customFormat="1" x14ac:dyDescent="0.35">
      <c r="A153" t="s">
        <v>139</v>
      </c>
      <c r="B153" s="8" t="s">
        <v>187</v>
      </c>
      <c r="C153" s="8" t="s">
        <v>214</v>
      </c>
      <c r="D153" s="8">
        <v>0</v>
      </c>
      <c r="E153" s="8" t="s">
        <v>247</v>
      </c>
    </row>
    <row r="154" spans="1:8" s="8" customFormat="1" x14ac:dyDescent="0.35">
      <c r="A154" t="s">
        <v>140</v>
      </c>
      <c r="B154" s="8" t="s">
        <v>188</v>
      </c>
      <c r="C154" s="8" t="s">
        <v>214</v>
      </c>
      <c r="D154" s="8">
        <v>0</v>
      </c>
      <c r="E154" s="8" t="s">
        <v>248</v>
      </c>
    </row>
    <row r="155" spans="1:8" s="8" customFormat="1" x14ac:dyDescent="0.35">
      <c r="A155" t="s">
        <v>141</v>
      </c>
      <c r="B155" s="8" t="s">
        <v>189</v>
      </c>
      <c r="C155" s="8" t="s">
        <v>214</v>
      </c>
      <c r="D155" s="8">
        <v>0</v>
      </c>
      <c r="E155" s="8" t="s">
        <v>249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35EDA-5613-4DCF-A8D5-FB868FCA60E8}">
  <dimension ref="A1:P191"/>
  <sheetViews>
    <sheetView topLeftCell="A109" workbookViewId="0">
      <selection activeCell="A126" sqref="A126"/>
    </sheetView>
  </sheetViews>
  <sheetFormatPr defaultRowHeight="14.5" x14ac:dyDescent="0.35"/>
  <cols>
    <col min="1" max="1" width="29.1796875" customWidth="1"/>
    <col min="3" max="3" width="21.36328125" customWidth="1"/>
    <col min="4" max="4" width="17.1796875" customWidth="1"/>
    <col min="5" max="5" width="31.1796875" customWidth="1"/>
    <col min="7" max="7" width="20.08984375" customWidth="1"/>
  </cols>
  <sheetData>
    <row r="1" spans="1:9" ht="15" thickBot="1" x14ac:dyDescent="0.4">
      <c r="A1" s="12" t="s">
        <v>301</v>
      </c>
      <c r="B1" s="13"/>
      <c r="C1" s="13"/>
      <c r="E1" s="14"/>
      <c r="F1" s="15"/>
      <c r="G1" s="16"/>
    </row>
    <row r="2" spans="1:9" ht="15" thickBot="1" x14ac:dyDescent="0.4">
      <c r="A2" s="17"/>
      <c r="B2" s="17"/>
      <c r="C2" s="17"/>
      <c r="E2" s="18"/>
      <c r="F2" s="19"/>
      <c r="G2" s="18"/>
    </row>
    <row r="3" spans="1:9" ht="15" thickBot="1" x14ac:dyDescent="0.4">
      <c r="A3" s="20" t="s">
        <v>302</v>
      </c>
      <c r="B3" s="13"/>
      <c r="C3" s="13"/>
      <c r="E3" s="18"/>
      <c r="F3" s="19"/>
      <c r="G3" s="18"/>
    </row>
    <row r="4" spans="1:9" ht="15" thickBot="1" x14ac:dyDescent="0.4">
      <c r="A4" s="21" t="s">
        <v>303</v>
      </c>
      <c r="B4" s="22" t="s">
        <v>304</v>
      </c>
      <c r="C4" s="23">
        <v>0.8</v>
      </c>
      <c r="E4" s="18"/>
      <c r="F4" s="19"/>
      <c r="G4" s="18"/>
    </row>
    <row r="5" spans="1:9" ht="15" thickBot="1" x14ac:dyDescent="0.4">
      <c r="A5" s="21" t="s">
        <v>305</v>
      </c>
      <c r="B5" s="22" t="s">
        <v>306</v>
      </c>
      <c r="C5" s="23">
        <v>0.22</v>
      </c>
      <c r="E5" s="18"/>
      <c r="F5" s="19"/>
      <c r="G5" s="18"/>
    </row>
    <row r="6" spans="1:9" ht="15" thickBot="1" x14ac:dyDescent="0.4">
      <c r="A6" s="21" t="s">
        <v>307</v>
      </c>
      <c r="B6" s="22" t="s">
        <v>306</v>
      </c>
      <c r="C6" s="23">
        <v>0.03</v>
      </c>
      <c r="E6" s="16"/>
      <c r="F6" s="24"/>
      <c r="G6" s="18"/>
    </row>
    <row r="7" spans="1:9" ht="15" thickBot="1" x14ac:dyDescent="0.4">
      <c r="A7" s="20" t="s">
        <v>308</v>
      </c>
      <c r="B7" s="13"/>
      <c r="C7" s="13"/>
      <c r="E7" s="25"/>
      <c r="F7" s="26"/>
      <c r="G7" s="18"/>
    </row>
    <row r="8" spans="1:9" ht="15" thickBot="1" x14ac:dyDescent="0.4">
      <c r="A8" s="21" t="s">
        <v>309</v>
      </c>
      <c r="B8" s="22" t="s">
        <v>310</v>
      </c>
      <c r="C8" s="27"/>
      <c r="E8" s="16"/>
      <c r="F8" s="24"/>
      <c r="G8" s="18"/>
      <c r="H8" s="310"/>
      <c r="I8" s="310"/>
    </row>
    <row r="9" spans="1:9" ht="15" thickBot="1" x14ac:dyDescent="0.4">
      <c r="A9" s="17"/>
      <c r="B9" s="17"/>
      <c r="C9" s="17"/>
      <c r="E9" s="16"/>
      <c r="F9" s="24"/>
      <c r="G9" s="18"/>
      <c r="I9" s="28"/>
    </row>
    <row r="10" spans="1:9" ht="15" thickBot="1" x14ac:dyDescent="0.4">
      <c r="A10" s="21" t="s">
        <v>311</v>
      </c>
      <c r="B10" s="22" t="s">
        <v>7</v>
      </c>
      <c r="C10" s="29">
        <v>25</v>
      </c>
      <c r="E10" s="16"/>
      <c r="F10" s="24"/>
      <c r="G10" s="18"/>
      <c r="H10" s="30"/>
      <c r="I10" s="31"/>
    </row>
    <row r="11" spans="1:9" ht="15" thickBot="1" x14ac:dyDescent="0.4">
      <c r="A11" s="21" t="s">
        <v>312</v>
      </c>
      <c r="B11" s="22" t="s">
        <v>7</v>
      </c>
      <c r="C11" s="29">
        <v>150</v>
      </c>
      <c r="E11" s="16"/>
      <c r="F11" s="24"/>
      <c r="G11" s="18"/>
      <c r="I11" s="28"/>
    </row>
    <row r="12" spans="1:9" ht="15" thickBot="1" x14ac:dyDescent="0.4">
      <c r="A12" s="21" t="s">
        <v>313</v>
      </c>
      <c r="B12" s="22" t="s">
        <v>7</v>
      </c>
      <c r="C12" s="29">
        <v>126</v>
      </c>
      <c r="E12" s="16"/>
      <c r="F12" s="24"/>
      <c r="G12" s="18"/>
    </row>
    <row r="13" spans="1:9" ht="15" thickBot="1" x14ac:dyDescent="0.4">
      <c r="A13" s="17" t="s">
        <v>314</v>
      </c>
      <c r="B13" s="17" t="s">
        <v>315</v>
      </c>
      <c r="C13" s="32">
        <v>5</v>
      </c>
      <c r="E13" s="18"/>
      <c r="F13" s="19"/>
      <c r="G13" s="18"/>
    </row>
    <row r="14" spans="1:9" ht="15" thickBot="1" x14ac:dyDescent="0.4">
      <c r="A14" s="17" t="s">
        <v>316</v>
      </c>
      <c r="B14" s="17" t="s">
        <v>315</v>
      </c>
      <c r="C14" s="32">
        <v>5</v>
      </c>
      <c r="E14" s="16"/>
      <c r="F14" s="24"/>
      <c r="G14" s="18"/>
    </row>
    <row r="15" spans="1:9" ht="15" thickBot="1" x14ac:dyDescent="0.4">
      <c r="A15" s="17" t="s">
        <v>317</v>
      </c>
      <c r="B15" s="17" t="s">
        <v>315</v>
      </c>
      <c r="C15" s="32">
        <v>5</v>
      </c>
      <c r="F15" s="33"/>
    </row>
    <row r="16" spans="1:9" ht="15" thickBot="1" x14ac:dyDescent="0.4">
      <c r="A16" s="17" t="s">
        <v>318</v>
      </c>
      <c r="B16" s="17" t="s">
        <v>319</v>
      </c>
      <c r="C16">
        <v>0.1</v>
      </c>
      <c r="E16" t="s">
        <v>1002</v>
      </c>
      <c r="F16">
        <v>20</v>
      </c>
      <c r="G16" t="s">
        <v>1003</v>
      </c>
    </row>
    <row r="17" spans="1:13" ht="15" thickBot="1" x14ac:dyDescent="0.4">
      <c r="A17" s="17"/>
      <c r="B17" s="17"/>
      <c r="C17" s="17"/>
      <c r="E17" s="30"/>
      <c r="F17" s="33"/>
    </row>
    <row r="18" spans="1:13" ht="15" thickBot="1" x14ac:dyDescent="0.4">
      <c r="A18" s="17" t="s">
        <v>320</v>
      </c>
      <c r="B18" s="17" t="s">
        <v>321</v>
      </c>
      <c r="C18" s="32">
        <v>25</v>
      </c>
      <c r="E18" s="34" t="s">
        <v>322</v>
      </c>
      <c r="F18" s="35"/>
      <c r="G18" s="36"/>
    </row>
    <row r="19" spans="1:13" ht="15" thickBot="1" x14ac:dyDescent="0.4">
      <c r="A19" s="17"/>
      <c r="B19" s="17"/>
      <c r="C19" s="17"/>
      <c r="E19" s="37" t="s">
        <v>323</v>
      </c>
      <c r="F19" s="38" t="s">
        <v>324</v>
      </c>
      <c r="G19" s="39">
        <v>0.8</v>
      </c>
    </row>
    <row r="20" spans="1:13" ht="15" thickBot="1" x14ac:dyDescent="0.4">
      <c r="A20" s="12" t="s">
        <v>325</v>
      </c>
      <c r="B20" s="13"/>
      <c r="C20" s="13"/>
      <c r="E20" s="37" t="s">
        <v>326</v>
      </c>
      <c r="F20" s="38" t="s">
        <v>324</v>
      </c>
      <c r="G20" s="39">
        <v>0.2</v>
      </c>
    </row>
    <row r="21" spans="1:13" ht="15" thickBot="1" x14ac:dyDescent="0.4">
      <c r="A21" s="21" t="s">
        <v>327</v>
      </c>
      <c r="B21" s="22" t="s">
        <v>7</v>
      </c>
      <c r="C21" s="29">
        <v>300</v>
      </c>
      <c r="E21" s="37" t="s">
        <v>328</v>
      </c>
      <c r="F21" s="38" t="s">
        <v>324</v>
      </c>
      <c r="G21" s="39">
        <v>0.8</v>
      </c>
      <c r="H21" s="310"/>
      <c r="I21" s="310"/>
      <c r="K21" s="40"/>
      <c r="L21" s="40"/>
      <c r="M21" s="40"/>
    </row>
    <row r="22" spans="1:13" ht="15" thickBot="1" x14ac:dyDescent="0.4">
      <c r="A22" s="41" t="s">
        <v>329</v>
      </c>
      <c r="B22" s="17"/>
      <c r="C22" s="17"/>
      <c r="E22" s="37"/>
      <c r="F22" s="38"/>
      <c r="G22" s="42"/>
      <c r="H22" s="30"/>
      <c r="I22" s="30"/>
      <c r="K22" s="43"/>
      <c r="L22" s="44"/>
      <c r="M22" s="44"/>
    </row>
    <row r="23" spans="1:13" ht="15" thickBot="1" x14ac:dyDescent="0.4">
      <c r="A23" s="41" t="s">
        <v>330</v>
      </c>
      <c r="B23" s="17" t="s">
        <v>315</v>
      </c>
      <c r="C23" s="17">
        <v>150</v>
      </c>
      <c r="F23" s="45"/>
      <c r="H23" s="46"/>
      <c r="I23" s="45"/>
      <c r="K23" s="43"/>
      <c r="L23" s="44"/>
      <c r="M23" s="44"/>
    </row>
    <row r="24" spans="1:13" ht="15" thickBot="1" x14ac:dyDescent="0.4">
      <c r="A24" s="21" t="s">
        <v>331</v>
      </c>
      <c r="B24" s="22" t="s">
        <v>332</v>
      </c>
      <c r="C24" s="29"/>
      <c r="E24" s="30"/>
      <c r="F24" s="45"/>
      <c r="G24" s="31"/>
      <c r="H24" s="30"/>
      <c r="I24" s="45"/>
      <c r="J24" s="31"/>
      <c r="K24" s="43"/>
      <c r="L24" s="44"/>
      <c r="M24" s="44"/>
    </row>
    <row r="25" spans="1:13" ht="25" thickBot="1" x14ac:dyDescent="0.4">
      <c r="A25" s="21" t="s">
        <v>334</v>
      </c>
      <c r="B25" s="22" t="s">
        <v>335</v>
      </c>
      <c r="C25" s="29"/>
      <c r="E25" s="30"/>
      <c r="F25" s="45"/>
      <c r="G25" s="31"/>
      <c r="H25" s="30"/>
      <c r="I25" s="45"/>
      <c r="J25" s="31"/>
      <c r="K25" s="43"/>
      <c r="L25" s="44"/>
    </row>
    <row r="26" spans="1:13" ht="15" thickBot="1" x14ac:dyDescent="0.4">
      <c r="A26" s="17" t="s">
        <v>336</v>
      </c>
      <c r="B26" s="17" t="s">
        <v>337</v>
      </c>
      <c r="C26" s="47"/>
      <c r="E26" s="48"/>
      <c r="F26" s="49"/>
      <c r="H26" s="48"/>
      <c r="I26" s="49"/>
      <c r="K26" s="43"/>
      <c r="L26" s="44"/>
    </row>
    <row r="27" spans="1:13" ht="15" thickBot="1" x14ac:dyDescent="0.4">
      <c r="A27" s="17"/>
      <c r="B27" s="17"/>
      <c r="C27" s="17"/>
      <c r="K27" s="43"/>
      <c r="L27" s="44"/>
    </row>
    <row r="28" spans="1:13" ht="15" thickBot="1" x14ac:dyDescent="0.4">
      <c r="A28" s="50" t="s">
        <v>338</v>
      </c>
      <c r="B28" s="17"/>
      <c r="C28" s="17"/>
    </row>
    <row r="29" spans="1:13" ht="15" thickBot="1" x14ac:dyDescent="0.4">
      <c r="A29" s="2" t="s">
        <v>21</v>
      </c>
      <c r="B29" s="51" t="s">
        <v>339</v>
      </c>
      <c r="C29">
        <v>39.5</v>
      </c>
    </row>
    <row r="30" spans="1:13" ht="15" thickBot="1" x14ac:dyDescent="0.4">
      <c r="A30" s="2" t="s">
        <v>22</v>
      </c>
      <c r="B30" s="51" t="s">
        <v>339</v>
      </c>
      <c r="C30">
        <v>12</v>
      </c>
      <c r="E30" s="2"/>
    </row>
    <row r="31" spans="1:13" ht="15" thickBot="1" x14ac:dyDescent="0.4">
      <c r="A31" s="2" t="s">
        <v>23</v>
      </c>
      <c r="B31" s="51" t="s">
        <v>339</v>
      </c>
      <c r="C31">
        <v>48.2</v>
      </c>
      <c r="E31" s="2"/>
    </row>
    <row r="32" spans="1:13" ht="15" thickBot="1" x14ac:dyDescent="0.4">
      <c r="A32" s="2" t="s">
        <v>24</v>
      </c>
      <c r="B32" s="51" t="s">
        <v>339</v>
      </c>
      <c r="C32">
        <v>0.3</v>
      </c>
      <c r="E32" s="2"/>
    </row>
    <row r="33" spans="1:16" ht="15" thickBot="1" x14ac:dyDescent="0.4">
      <c r="A33" s="50" t="s">
        <v>340</v>
      </c>
      <c r="B33" s="51"/>
      <c r="C33" s="17">
        <f>SUM(C29:C32)</f>
        <v>100</v>
      </c>
      <c r="E33" s="46"/>
      <c r="F33" s="45"/>
      <c r="H33" s="52"/>
      <c r="I33" s="45"/>
    </row>
    <row r="34" spans="1:16" ht="15" thickBot="1" x14ac:dyDescent="0.4">
      <c r="A34" s="17"/>
      <c r="B34" s="17"/>
      <c r="C34" s="17"/>
      <c r="E34" s="30"/>
      <c r="F34" s="45"/>
      <c r="H34" s="30"/>
      <c r="I34" s="45"/>
      <c r="J34" s="31"/>
    </row>
    <row r="35" spans="1:16" ht="15" thickBot="1" x14ac:dyDescent="0.4">
      <c r="A35" s="53" t="s">
        <v>341</v>
      </c>
      <c r="B35" s="17"/>
      <c r="C35" s="17"/>
      <c r="E35" s="30"/>
      <c r="F35" s="45"/>
      <c r="G35" s="54"/>
      <c r="H35" s="30"/>
      <c r="I35" s="45"/>
      <c r="J35" s="31"/>
    </row>
    <row r="36" spans="1:16" ht="15" thickBot="1" x14ac:dyDescent="0.4">
      <c r="A36" s="21" t="s">
        <v>342</v>
      </c>
      <c r="B36" s="51" t="s">
        <v>319</v>
      </c>
      <c r="C36" s="55">
        <v>0.95</v>
      </c>
      <c r="D36" t="s">
        <v>333</v>
      </c>
      <c r="E36" s="48"/>
      <c r="F36" s="49"/>
      <c r="H36" s="48"/>
      <c r="I36" s="49"/>
    </row>
    <row r="37" spans="1:16" ht="15" thickBot="1" x14ac:dyDescent="0.4">
      <c r="A37" s="21" t="s">
        <v>343</v>
      </c>
      <c r="B37" s="51" t="s">
        <v>319</v>
      </c>
      <c r="C37" s="55">
        <v>0</v>
      </c>
      <c r="D37" t="s">
        <v>333</v>
      </c>
    </row>
    <row r="38" spans="1:16" ht="15" thickBot="1" x14ac:dyDescent="0.4">
      <c r="A38" s="56" t="s">
        <v>344</v>
      </c>
      <c r="B38" s="57" t="s">
        <v>319</v>
      </c>
      <c r="C38" s="58">
        <v>0</v>
      </c>
      <c r="D38" t="s">
        <v>333</v>
      </c>
    </row>
    <row r="39" spans="1:16" ht="15" thickBot="1" x14ac:dyDescent="0.4">
      <c r="A39" s="56" t="s">
        <v>345</v>
      </c>
      <c r="B39" s="57" t="s">
        <v>319</v>
      </c>
      <c r="C39" s="55">
        <v>0.05</v>
      </c>
      <c r="D39" t="s">
        <v>333</v>
      </c>
    </row>
    <row r="40" spans="1:16" ht="15" thickBot="1" x14ac:dyDescent="0.4">
      <c r="A40" s="17"/>
      <c r="B40" s="17"/>
      <c r="C40" s="17"/>
    </row>
    <row r="41" spans="1:16" ht="15" thickBot="1" x14ac:dyDescent="0.4">
      <c r="A41" s="50" t="s">
        <v>346</v>
      </c>
      <c r="B41" s="17"/>
      <c r="C41" s="17"/>
      <c r="D41" s="59"/>
    </row>
    <row r="42" spans="1:16" ht="15" thickBot="1" x14ac:dyDescent="0.4">
      <c r="A42" s="21" t="s">
        <v>21</v>
      </c>
      <c r="B42" s="22" t="s">
        <v>347</v>
      </c>
      <c r="C42" s="29">
        <v>31.184999999999999</v>
      </c>
      <c r="D42" s="60"/>
    </row>
    <row r="43" spans="1:16" ht="15" thickBot="1" x14ac:dyDescent="0.4">
      <c r="A43" s="21" t="s">
        <v>348</v>
      </c>
      <c r="B43" s="22" t="s">
        <v>347</v>
      </c>
      <c r="C43" s="29">
        <v>28.11</v>
      </c>
    </row>
    <row r="44" spans="1:16" ht="15" thickBot="1" x14ac:dyDescent="0.4">
      <c r="A44" s="21" t="s">
        <v>349</v>
      </c>
      <c r="B44" s="22" t="s">
        <v>347</v>
      </c>
      <c r="C44" s="29">
        <v>3.6</v>
      </c>
      <c r="D44" s="61"/>
      <c r="E44" s="62"/>
      <c r="F44" s="62"/>
      <c r="G44" s="62"/>
      <c r="H44" s="62"/>
      <c r="P44" s="48"/>
    </row>
    <row r="45" spans="1:16" ht="15" thickBot="1" x14ac:dyDescent="0.4">
      <c r="A45" s="17"/>
      <c r="B45" s="17"/>
      <c r="C45" s="17"/>
      <c r="D45" s="61"/>
      <c r="E45" s="62"/>
      <c r="F45" s="62"/>
      <c r="G45" s="62"/>
      <c r="H45" s="62"/>
      <c r="P45" s="48"/>
    </row>
    <row r="46" spans="1:16" ht="15" thickBot="1" x14ac:dyDescent="0.4">
      <c r="A46" s="12" t="s">
        <v>350</v>
      </c>
      <c r="B46" s="13"/>
      <c r="C46" s="13"/>
      <c r="D46" s="61"/>
      <c r="E46" s="62"/>
      <c r="F46" s="62"/>
      <c r="G46" s="62"/>
      <c r="H46" s="62"/>
      <c r="P46" s="48"/>
    </row>
    <row r="47" spans="1:16" ht="15" thickBot="1" x14ac:dyDescent="0.4">
      <c r="A47" s="17" t="s">
        <v>313</v>
      </c>
      <c r="B47" s="17" t="s">
        <v>7</v>
      </c>
      <c r="C47" s="32">
        <v>117</v>
      </c>
      <c r="D47" s="63"/>
      <c r="E47" s="62"/>
      <c r="F47" s="62"/>
      <c r="G47" s="62"/>
      <c r="H47" s="62"/>
      <c r="P47" s="48"/>
    </row>
    <row r="48" spans="1:16" ht="15" thickBot="1" x14ac:dyDescent="0.4">
      <c r="A48" s="17" t="s">
        <v>317</v>
      </c>
      <c r="B48" s="17" t="s">
        <v>315</v>
      </c>
      <c r="C48" s="32">
        <v>1</v>
      </c>
      <c r="P48" s="48"/>
    </row>
    <row r="49" spans="1:16" ht="15" thickBot="1" x14ac:dyDescent="0.4">
      <c r="A49" s="17"/>
      <c r="B49" s="17"/>
      <c r="C49" s="17"/>
      <c r="D49" s="61"/>
      <c r="P49" s="48"/>
    </row>
    <row r="50" spans="1:16" ht="15" thickBot="1" x14ac:dyDescent="0.4">
      <c r="A50" s="12" t="s">
        <v>351</v>
      </c>
      <c r="B50" s="13"/>
      <c r="C50" s="13"/>
      <c r="D50" s="64"/>
      <c r="F50" s="65"/>
      <c r="G50" s="65"/>
      <c r="P50" s="48"/>
    </row>
    <row r="51" spans="1:16" ht="15" thickBot="1" x14ac:dyDescent="0.4">
      <c r="A51" s="17" t="s">
        <v>352</v>
      </c>
      <c r="B51" s="51" t="s">
        <v>319</v>
      </c>
      <c r="C51" s="23">
        <v>1</v>
      </c>
      <c r="P51" s="48"/>
    </row>
    <row r="52" spans="1:16" ht="15" thickBot="1" x14ac:dyDescent="0.4">
      <c r="A52" s="17"/>
      <c r="B52" s="17"/>
      <c r="C52" s="17"/>
      <c r="P52" s="48"/>
    </row>
    <row r="53" spans="1:16" ht="15" thickBot="1" x14ac:dyDescent="0.4">
      <c r="A53" s="12" t="s">
        <v>353</v>
      </c>
      <c r="B53" s="13"/>
      <c r="C53" s="13"/>
    </row>
    <row r="54" spans="1:16" ht="15" thickBot="1" x14ac:dyDescent="0.4">
      <c r="A54" s="17" t="s">
        <v>354</v>
      </c>
      <c r="B54" s="51" t="s">
        <v>319</v>
      </c>
      <c r="C54" s="66">
        <v>1</v>
      </c>
    </row>
    <row r="55" spans="1:16" ht="15" thickBot="1" x14ac:dyDescent="0.4">
      <c r="A55" s="21" t="s">
        <v>355</v>
      </c>
      <c r="B55" s="22" t="s">
        <v>324</v>
      </c>
      <c r="C55" s="23">
        <v>0.2</v>
      </c>
    </row>
    <row r="56" spans="1:16" ht="15" thickBot="1" x14ac:dyDescent="0.4">
      <c r="A56" s="67" t="s">
        <v>356</v>
      </c>
      <c r="B56" s="17"/>
      <c r="C56" s="17"/>
    </row>
    <row r="57" spans="1:16" ht="15" thickBot="1" x14ac:dyDescent="0.4">
      <c r="A57" s="21" t="s">
        <v>27</v>
      </c>
      <c r="B57" s="51" t="s">
        <v>357</v>
      </c>
      <c r="C57" s="29" t="s">
        <v>358</v>
      </c>
    </row>
    <row r="58" spans="1:16" ht="15" thickBot="1" x14ac:dyDescent="0.4">
      <c r="A58" s="21" t="s">
        <v>30</v>
      </c>
      <c r="B58" s="51" t="s">
        <v>357</v>
      </c>
      <c r="C58" s="29" t="s">
        <v>359</v>
      </c>
    </row>
    <row r="59" spans="1:16" ht="15" thickBot="1" x14ac:dyDescent="0.4">
      <c r="A59" s="21" t="s">
        <v>29</v>
      </c>
      <c r="B59" s="51" t="s">
        <v>357</v>
      </c>
      <c r="C59" s="29" t="s">
        <v>360</v>
      </c>
    </row>
    <row r="60" spans="1:16" ht="15" thickBot="1" x14ac:dyDescent="0.4">
      <c r="A60" s="21" t="s">
        <v>28</v>
      </c>
      <c r="B60" s="51" t="s">
        <v>357</v>
      </c>
      <c r="C60" s="29" t="s">
        <v>361</v>
      </c>
    </row>
    <row r="61" spans="1:16" ht="15" thickBot="1" x14ac:dyDescent="0.4">
      <c r="A61" s="21" t="s">
        <v>362</v>
      </c>
      <c r="B61" s="51" t="s">
        <v>357</v>
      </c>
      <c r="C61" s="29" t="s">
        <v>363</v>
      </c>
    </row>
    <row r="62" spans="1:16" ht="15" thickBot="1" x14ac:dyDescent="0.4">
      <c r="A62" s="21" t="s">
        <v>364</v>
      </c>
      <c r="B62" s="51" t="s">
        <v>357</v>
      </c>
      <c r="C62" s="29" t="s">
        <v>365</v>
      </c>
    </row>
    <row r="63" spans="1:16" ht="15" thickBot="1" x14ac:dyDescent="0.4">
      <c r="A63" s="21" t="s">
        <v>366</v>
      </c>
      <c r="B63" s="51" t="s">
        <v>357</v>
      </c>
      <c r="C63" s="29" t="s">
        <v>367</v>
      </c>
    </row>
    <row r="64" spans="1:16" ht="15" thickBot="1" x14ac:dyDescent="0.4">
      <c r="A64" s="67" t="s">
        <v>368</v>
      </c>
      <c r="B64" s="51" t="s">
        <v>357</v>
      </c>
      <c r="C64" s="17" t="s">
        <v>369</v>
      </c>
    </row>
    <row r="65" spans="1:4" ht="15" thickBot="1" x14ac:dyDescent="0.4">
      <c r="A65" s="67"/>
      <c r="B65" s="17"/>
      <c r="C65" s="17"/>
    </row>
    <row r="66" spans="1:4" ht="15" thickBot="1" x14ac:dyDescent="0.4">
      <c r="A66" s="67"/>
      <c r="B66" s="17"/>
      <c r="C66" s="17"/>
    </row>
    <row r="67" spans="1:4" ht="15" thickBot="1" x14ac:dyDescent="0.4">
      <c r="A67" s="67" t="s">
        <v>370</v>
      </c>
      <c r="B67" s="17"/>
      <c r="C67" s="17"/>
      <c r="D67" s="68"/>
    </row>
    <row r="68" spans="1:4" ht="15" thickBot="1" x14ac:dyDescent="0.4">
      <c r="A68" s="21" t="s">
        <v>27</v>
      </c>
      <c r="B68" s="51" t="s">
        <v>357</v>
      </c>
      <c r="C68" s="29" t="s">
        <v>371</v>
      </c>
      <c r="D68" s="68"/>
    </row>
    <row r="69" spans="1:4" ht="15" thickBot="1" x14ac:dyDescent="0.4">
      <c r="A69" s="21" t="s">
        <v>30</v>
      </c>
      <c r="B69" s="51" t="s">
        <v>357</v>
      </c>
      <c r="C69" s="29" t="s">
        <v>359</v>
      </c>
      <c r="D69" s="68"/>
    </row>
    <row r="70" spans="1:4" ht="15" thickBot="1" x14ac:dyDescent="0.4">
      <c r="A70" s="21" t="s">
        <v>29</v>
      </c>
      <c r="B70" s="51" t="s">
        <v>357</v>
      </c>
      <c r="C70" s="29" t="s">
        <v>372</v>
      </c>
      <c r="D70" s="69"/>
    </row>
    <row r="71" spans="1:4" ht="15" thickBot="1" x14ac:dyDescent="0.4">
      <c r="A71" s="21" t="s">
        <v>28</v>
      </c>
      <c r="B71" s="51" t="s">
        <v>357</v>
      </c>
      <c r="C71" s="29" t="s">
        <v>359</v>
      </c>
      <c r="D71" s="69"/>
    </row>
    <row r="72" spans="1:4" ht="15" thickBot="1" x14ac:dyDescent="0.4">
      <c r="A72" s="21" t="s">
        <v>362</v>
      </c>
      <c r="B72" s="51" t="s">
        <v>357</v>
      </c>
      <c r="C72" s="29" t="s">
        <v>373</v>
      </c>
      <c r="D72" s="69"/>
    </row>
    <row r="73" spans="1:4" ht="15" thickBot="1" x14ac:dyDescent="0.4">
      <c r="A73" s="21" t="s">
        <v>364</v>
      </c>
      <c r="B73" s="51" t="s">
        <v>357</v>
      </c>
      <c r="C73" s="29" t="s">
        <v>365</v>
      </c>
      <c r="D73" s="68"/>
    </row>
    <row r="74" spans="1:4" ht="15" thickBot="1" x14ac:dyDescent="0.4">
      <c r="A74" s="21" t="s">
        <v>366</v>
      </c>
      <c r="B74" s="51" t="s">
        <v>357</v>
      </c>
      <c r="C74" s="29" t="s">
        <v>374</v>
      </c>
      <c r="D74" s="68"/>
    </row>
    <row r="75" spans="1:4" ht="15" thickBot="1" x14ac:dyDescent="0.4">
      <c r="A75" s="67" t="s">
        <v>368</v>
      </c>
      <c r="B75" s="51" t="s">
        <v>357</v>
      </c>
      <c r="C75" s="70" t="s">
        <v>369</v>
      </c>
      <c r="D75" s="71"/>
    </row>
    <row r="76" spans="1:4" ht="15" thickBot="1" x14ac:dyDescent="0.4">
      <c r="A76" s="17"/>
      <c r="B76" s="17"/>
      <c r="C76" s="17"/>
      <c r="D76" s="68"/>
    </row>
    <row r="77" spans="1:4" ht="15" thickBot="1" x14ac:dyDescent="0.4">
      <c r="A77" s="72" t="s">
        <v>375</v>
      </c>
      <c r="B77" s="17"/>
      <c r="C77" s="73" t="s">
        <v>376</v>
      </c>
      <c r="D77" s="68"/>
    </row>
    <row r="78" spans="1:4" ht="15" thickBot="1" x14ac:dyDescent="0.4">
      <c r="A78" s="17"/>
      <c r="B78" s="17"/>
      <c r="C78" s="17"/>
      <c r="D78" s="68"/>
    </row>
    <row r="79" spans="1:4" ht="15" thickBot="1" x14ac:dyDescent="0.4">
      <c r="A79" s="12" t="s">
        <v>377</v>
      </c>
      <c r="B79" s="13"/>
      <c r="C79" s="13"/>
      <c r="D79" s="68"/>
    </row>
    <row r="80" spans="1:4" ht="26.5" thickBot="1" x14ac:dyDescent="0.4">
      <c r="A80" s="67" t="s">
        <v>378</v>
      </c>
      <c r="B80" s="17" t="s">
        <v>379</v>
      </c>
      <c r="C80" s="17"/>
      <c r="D80" s="74"/>
    </row>
    <row r="81" spans="1:4" ht="15" thickBot="1" x14ac:dyDescent="0.4">
      <c r="A81" s="17" t="s">
        <v>380</v>
      </c>
      <c r="B81" s="51" t="s">
        <v>319</v>
      </c>
      <c r="C81" s="23">
        <v>0.95</v>
      </c>
      <c r="D81" s="68"/>
    </row>
    <row r="82" spans="1:4" ht="15" thickBot="1" x14ac:dyDescent="0.4">
      <c r="A82" s="17" t="s">
        <v>381</v>
      </c>
      <c r="B82" s="51" t="s">
        <v>319</v>
      </c>
      <c r="C82" s="23">
        <v>0.05</v>
      </c>
      <c r="D82" s="71"/>
    </row>
    <row r="83" spans="1:4" ht="15" thickBot="1" x14ac:dyDescent="0.4">
      <c r="A83" s="17" t="s">
        <v>382</v>
      </c>
      <c r="B83" s="51" t="s">
        <v>319</v>
      </c>
      <c r="C83" s="29" t="s">
        <v>359</v>
      </c>
      <c r="D83" s="71"/>
    </row>
    <row r="84" spans="1:4" ht="15" thickBot="1" x14ac:dyDescent="0.4">
      <c r="A84" s="67" t="s">
        <v>383</v>
      </c>
      <c r="B84" s="51" t="s">
        <v>319</v>
      </c>
      <c r="C84" s="70" t="s">
        <v>369</v>
      </c>
      <c r="D84" s="71"/>
    </row>
    <row r="85" spans="1:4" ht="15" thickBot="1" x14ac:dyDescent="0.4">
      <c r="A85" s="17"/>
      <c r="B85" s="17"/>
      <c r="C85" s="17"/>
      <c r="D85" s="75"/>
    </row>
    <row r="86" spans="1:4" ht="15" thickBot="1" x14ac:dyDescent="0.4">
      <c r="A86" s="12" t="s">
        <v>384</v>
      </c>
      <c r="B86" s="13"/>
      <c r="C86" s="13"/>
      <c r="D86" s="75"/>
    </row>
    <row r="87" spans="1:4" ht="15" thickBot="1" x14ac:dyDescent="0.4">
      <c r="A87" s="17" t="s">
        <v>385</v>
      </c>
      <c r="B87" s="51" t="s">
        <v>319</v>
      </c>
      <c r="C87" s="23">
        <v>0.25</v>
      </c>
      <c r="D87" s="75"/>
    </row>
    <row r="88" spans="1:4" ht="15" thickBot="1" x14ac:dyDescent="0.4">
      <c r="A88" s="12" t="s">
        <v>386</v>
      </c>
      <c r="B88" s="13"/>
      <c r="C88" s="13"/>
      <c r="D88" s="76"/>
    </row>
    <row r="89" spans="1:4" ht="15" thickBot="1" x14ac:dyDescent="0.4">
      <c r="A89" s="21" t="s">
        <v>387</v>
      </c>
      <c r="B89" s="22" t="s">
        <v>7</v>
      </c>
      <c r="C89" s="77">
        <v>375</v>
      </c>
      <c r="D89" s="68"/>
    </row>
    <row r="90" spans="1:4" ht="15" thickBot="1" x14ac:dyDescent="0.4">
      <c r="A90" s="17" t="s">
        <v>388</v>
      </c>
      <c r="B90" s="17" t="s">
        <v>315</v>
      </c>
      <c r="C90" s="77">
        <v>106</v>
      </c>
      <c r="D90" s="75"/>
    </row>
    <row r="91" spans="1:4" ht="15" thickBot="1" x14ac:dyDescent="0.4">
      <c r="A91" s="17"/>
      <c r="B91" s="17"/>
      <c r="C91" s="17"/>
      <c r="D91" s="68"/>
    </row>
    <row r="92" spans="1:4" ht="15" thickBot="1" x14ac:dyDescent="0.4">
      <c r="A92" s="17" t="s">
        <v>389</v>
      </c>
      <c r="B92" s="17" t="s">
        <v>319</v>
      </c>
      <c r="C92" s="29" t="s">
        <v>390</v>
      </c>
      <c r="D92" s="68"/>
    </row>
    <row r="93" spans="1:4" ht="15" thickBot="1" x14ac:dyDescent="0.4">
      <c r="A93" s="17"/>
      <c r="B93" s="17"/>
      <c r="C93" s="17"/>
      <c r="D93" s="71"/>
    </row>
    <row r="94" spans="1:4" ht="15" thickBot="1" x14ac:dyDescent="0.4">
      <c r="A94" s="20" t="s">
        <v>391</v>
      </c>
      <c r="B94" s="13"/>
      <c r="C94" s="13"/>
      <c r="D94" s="68"/>
    </row>
    <row r="95" spans="1:4" ht="15" thickBot="1" x14ac:dyDescent="0.4">
      <c r="A95" s="21" t="s">
        <v>392</v>
      </c>
      <c r="B95" s="22" t="s">
        <v>7</v>
      </c>
      <c r="C95" s="77">
        <v>400</v>
      </c>
      <c r="D95" s="68"/>
    </row>
    <row r="96" spans="1:4" ht="15" thickBot="1" x14ac:dyDescent="0.4">
      <c r="A96" s="17" t="s">
        <v>393</v>
      </c>
      <c r="B96" s="17" t="s">
        <v>315</v>
      </c>
      <c r="C96" s="77">
        <v>106</v>
      </c>
      <c r="D96" s="71"/>
    </row>
    <row r="97" spans="1:4" ht="15" thickBot="1" x14ac:dyDescent="0.4">
      <c r="A97" s="17"/>
      <c r="B97" s="17"/>
      <c r="C97" s="17"/>
      <c r="D97" s="71"/>
    </row>
    <row r="98" spans="1:4" ht="26.5" thickBot="1" x14ac:dyDescent="0.4">
      <c r="A98" s="17" t="s">
        <v>334</v>
      </c>
      <c r="B98" s="17" t="s">
        <v>335</v>
      </c>
      <c r="C98" s="29" t="s">
        <v>394</v>
      </c>
      <c r="D98" s="78"/>
    </row>
    <row r="99" spans="1:4" ht="15" thickBot="1" x14ac:dyDescent="0.4">
      <c r="A99" s="21"/>
      <c r="B99" s="22"/>
      <c r="C99" s="17"/>
      <c r="D99" s="68"/>
    </row>
    <row r="100" spans="1:4" ht="15" thickBot="1" x14ac:dyDescent="0.4">
      <c r="A100" s="21" t="s">
        <v>395</v>
      </c>
      <c r="B100" s="22" t="s">
        <v>319</v>
      </c>
      <c r="C100" s="23">
        <v>0.01</v>
      </c>
      <c r="D100" s="68"/>
    </row>
    <row r="101" spans="1:4" ht="15" thickBot="1" x14ac:dyDescent="0.4">
      <c r="A101" s="17"/>
      <c r="B101" s="17"/>
      <c r="C101" s="77"/>
      <c r="D101" s="71"/>
    </row>
    <row r="102" spans="1:4" ht="15" thickBot="1" x14ac:dyDescent="0.4">
      <c r="A102" s="17"/>
      <c r="B102" s="17"/>
      <c r="C102" s="17"/>
      <c r="D102" s="71"/>
    </row>
    <row r="103" spans="1:4" ht="15" thickBot="1" x14ac:dyDescent="0.4">
      <c r="A103" s="21" t="s">
        <v>396</v>
      </c>
      <c r="B103" s="22" t="s">
        <v>319</v>
      </c>
      <c r="C103" s="23">
        <v>0.53</v>
      </c>
      <c r="D103" s="71"/>
    </row>
    <row r="104" spans="1:4" ht="15" thickBot="1" x14ac:dyDescent="0.4">
      <c r="A104" s="17"/>
      <c r="B104" s="17"/>
      <c r="C104" s="17"/>
      <c r="D104" s="71"/>
    </row>
    <row r="105" spans="1:4" ht="15" thickBot="1" x14ac:dyDescent="0.4">
      <c r="A105" s="12" t="s">
        <v>397</v>
      </c>
      <c r="B105" s="13"/>
      <c r="C105" s="13"/>
      <c r="D105" s="71"/>
    </row>
    <row r="106" spans="1:4" ht="15" thickBot="1" x14ac:dyDescent="0.4">
      <c r="A106" s="17"/>
      <c r="B106" s="17"/>
      <c r="C106" s="17"/>
      <c r="D106" s="68"/>
    </row>
    <row r="107" spans="1:4" ht="15" thickBot="1" x14ac:dyDescent="0.4">
      <c r="A107" s="20" t="s">
        <v>398</v>
      </c>
      <c r="B107" s="13"/>
      <c r="C107" s="13"/>
      <c r="D107" s="68"/>
    </row>
    <row r="108" spans="1:4" ht="15" thickBot="1" x14ac:dyDescent="0.4">
      <c r="A108" s="17" t="s">
        <v>399</v>
      </c>
      <c r="B108" s="17" t="s">
        <v>319</v>
      </c>
      <c r="C108" s="23">
        <v>1</v>
      </c>
      <c r="D108" s="68"/>
    </row>
    <row r="109" spans="1:4" ht="15" thickBot="1" x14ac:dyDescent="0.4">
      <c r="A109" s="17"/>
      <c r="B109" s="17"/>
      <c r="C109" s="17"/>
      <c r="D109" s="79"/>
    </row>
    <row r="110" spans="1:4" ht="15" thickBot="1" x14ac:dyDescent="0.4">
      <c r="A110" s="50" t="s">
        <v>400</v>
      </c>
      <c r="B110" s="17"/>
      <c r="C110" s="17"/>
      <c r="D110" s="79"/>
    </row>
    <row r="111" spans="1:4" ht="15" thickBot="1" x14ac:dyDescent="0.4">
      <c r="A111" s="21" t="s">
        <v>401</v>
      </c>
      <c r="B111" s="22" t="s">
        <v>319</v>
      </c>
      <c r="C111" s="23">
        <v>1</v>
      </c>
      <c r="D111" s="80"/>
    </row>
    <row r="112" spans="1:4" ht="15" thickBot="1" x14ac:dyDescent="0.4">
      <c r="A112" s="17" t="s">
        <v>402</v>
      </c>
      <c r="B112" s="17" t="s">
        <v>319</v>
      </c>
      <c r="C112" s="23">
        <v>0.04</v>
      </c>
      <c r="D112" s="79"/>
    </row>
    <row r="113" spans="1:4" ht="15" thickBot="1" x14ac:dyDescent="0.4">
      <c r="A113" s="17"/>
      <c r="B113" s="17"/>
      <c r="C113" s="17"/>
      <c r="D113" s="68"/>
    </row>
    <row r="114" spans="1:4" ht="15" thickBot="1" x14ac:dyDescent="0.4">
      <c r="A114" s="17" t="s">
        <v>403</v>
      </c>
      <c r="B114" s="17" t="s">
        <v>319</v>
      </c>
      <c r="C114" s="23">
        <v>0.2</v>
      </c>
      <c r="D114" s="68"/>
    </row>
    <row r="115" spans="1:4" ht="15" thickBot="1" x14ac:dyDescent="0.4">
      <c r="A115" s="12" t="s">
        <v>404</v>
      </c>
      <c r="B115" s="13"/>
      <c r="C115" s="13"/>
      <c r="D115" s="71"/>
    </row>
    <row r="116" spans="1:4" ht="15" thickBot="1" x14ac:dyDescent="0.4">
      <c r="A116" s="17" t="s">
        <v>405</v>
      </c>
      <c r="B116" s="17" t="s">
        <v>319</v>
      </c>
      <c r="C116" s="23">
        <v>0.85</v>
      </c>
      <c r="D116" s="71"/>
    </row>
    <row r="117" spans="1:4" ht="15" thickBot="1" x14ac:dyDescent="0.4">
      <c r="A117" s="21" t="s">
        <v>406</v>
      </c>
      <c r="B117" s="22" t="s">
        <v>324</v>
      </c>
      <c r="C117" s="29" t="s">
        <v>407</v>
      </c>
      <c r="D117" s="71"/>
    </row>
    <row r="118" spans="1:4" ht="15" thickBot="1" x14ac:dyDescent="0.4">
      <c r="A118" s="13"/>
      <c r="B118" s="13"/>
      <c r="C118" s="13"/>
      <c r="D118" s="68"/>
    </row>
    <row r="119" spans="1:4" ht="15" thickBot="1" x14ac:dyDescent="0.4">
      <c r="B119" s="81"/>
      <c r="C119" s="68"/>
      <c r="D119" s="68"/>
    </row>
    <row r="120" spans="1:4" ht="15" thickBot="1" x14ac:dyDescent="0.4">
      <c r="B120" s="68"/>
      <c r="C120" s="68"/>
      <c r="D120" s="75"/>
    </row>
    <row r="121" spans="1:4" ht="15" thickBot="1" x14ac:dyDescent="0.4">
      <c r="B121" s="68"/>
      <c r="C121" s="68"/>
      <c r="D121" s="75"/>
    </row>
    <row r="122" spans="1:4" ht="15" thickBot="1" x14ac:dyDescent="0.4">
      <c r="B122" s="68"/>
      <c r="C122" s="68"/>
      <c r="D122" s="68"/>
    </row>
    <row r="123" spans="1:4" ht="15" thickBot="1" x14ac:dyDescent="0.4">
      <c r="B123" s="81"/>
      <c r="C123" s="68"/>
      <c r="D123" s="68"/>
    </row>
    <row r="124" spans="1:4" ht="15" thickBot="1" x14ac:dyDescent="0.4">
      <c r="B124" s="68"/>
      <c r="C124" s="82"/>
      <c r="D124" s="69"/>
    </row>
    <row r="125" spans="1:4" ht="15" thickBot="1" x14ac:dyDescent="0.4">
      <c r="B125" s="68"/>
      <c r="C125" s="68"/>
      <c r="D125" s="68"/>
    </row>
    <row r="126" spans="1:4" ht="15" thickBot="1" x14ac:dyDescent="0.4">
      <c r="B126" s="81"/>
      <c r="C126" s="68"/>
      <c r="D126" s="68"/>
    </row>
    <row r="127" spans="1:4" ht="15" thickBot="1" x14ac:dyDescent="0.4">
      <c r="B127" s="68"/>
      <c r="C127" s="82"/>
      <c r="D127" s="83"/>
    </row>
    <row r="128" spans="1:4" ht="15" thickBot="1" x14ac:dyDescent="0.4">
      <c r="B128" s="84"/>
      <c r="C128" s="85"/>
      <c r="D128" s="69"/>
    </row>
    <row r="129" spans="2:4" ht="15" thickBot="1" x14ac:dyDescent="0.4">
      <c r="B129" s="86"/>
      <c r="C129" s="68"/>
      <c r="D129" s="68"/>
    </row>
    <row r="130" spans="2:4" ht="15" thickBot="1" x14ac:dyDescent="0.4">
      <c r="B130" s="84"/>
      <c r="C130" s="82"/>
      <c r="D130" s="71"/>
    </row>
    <row r="131" spans="2:4" ht="15" thickBot="1" x14ac:dyDescent="0.4">
      <c r="B131" s="84"/>
      <c r="C131" s="82"/>
      <c r="D131" s="71"/>
    </row>
    <row r="132" spans="2:4" ht="15" thickBot="1" x14ac:dyDescent="0.4">
      <c r="B132" s="84"/>
      <c r="C132" s="82"/>
      <c r="D132" s="71"/>
    </row>
    <row r="133" spans="2:4" ht="15" thickBot="1" x14ac:dyDescent="0.4">
      <c r="B133" s="84"/>
      <c r="C133" s="82"/>
      <c r="D133" s="71"/>
    </row>
    <row r="134" spans="2:4" ht="15" thickBot="1" x14ac:dyDescent="0.4">
      <c r="B134" s="84"/>
      <c r="C134" s="82"/>
      <c r="D134" s="71"/>
    </row>
    <row r="135" spans="2:4" ht="15" thickBot="1" x14ac:dyDescent="0.4">
      <c r="B135" s="84"/>
      <c r="C135" s="82"/>
      <c r="D135" s="71"/>
    </row>
    <row r="136" spans="2:4" ht="15" thickBot="1" x14ac:dyDescent="0.4">
      <c r="B136" s="84"/>
      <c r="C136" s="82"/>
      <c r="D136" s="71"/>
    </row>
    <row r="137" spans="2:4" ht="15" thickBot="1" x14ac:dyDescent="0.4">
      <c r="B137" s="86"/>
      <c r="C137" s="82"/>
      <c r="D137" s="68"/>
    </row>
    <row r="138" spans="2:4" ht="15" thickBot="1" x14ac:dyDescent="0.4">
      <c r="B138" s="86"/>
      <c r="C138" s="68"/>
      <c r="D138" s="68"/>
    </row>
    <row r="139" spans="2:4" ht="15" thickBot="1" x14ac:dyDescent="0.4">
      <c r="B139" s="86"/>
      <c r="C139" s="68"/>
      <c r="D139" s="68"/>
    </row>
    <row r="140" spans="2:4" ht="15" thickBot="1" x14ac:dyDescent="0.4">
      <c r="B140" s="86"/>
      <c r="C140" s="68"/>
      <c r="D140" s="68"/>
    </row>
    <row r="141" spans="2:4" ht="15" thickBot="1" x14ac:dyDescent="0.4">
      <c r="B141" s="84"/>
      <c r="C141" s="82"/>
      <c r="D141" s="71"/>
    </row>
    <row r="142" spans="2:4" ht="15" thickBot="1" x14ac:dyDescent="0.4">
      <c r="B142" s="84"/>
      <c r="C142" s="82"/>
      <c r="D142" s="71"/>
    </row>
    <row r="143" spans="2:4" ht="15" thickBot="1" x14ac:dyDescent="0.4">
      <c r="B143" s="84"/>
      <c r="C143" s="82"/>
      <c r="D143" s="71"/>
    </row>
    <row r="144" spans="2:4" ht="15" thickBot="1" x14ac:dyDescent="0.4">
      <c r="B144" s="84"/>
      <c r="C144" s="82"/>
      <c r="D144" s="71"/>
    </row>
    <row r="145" spans="2:4" ht="15" thickBot="1" x14ac:dyDescent="0.4">
      <c r="B145" s="84"/>
      <c r="C145" s="82"/>
      <c r="D145" s="71"/>
    </row>
    <row r="146" spans="2:4" ht="15" thickBot="1" x14ac:dyDescent="0.4">
      <c r="B146" s="84"/>
      <c r="C146" s="82"/>
      <c r="D146" s="71"/>
    </row>
    <row r="147" spans="2:4" ht="15" thickBot="1" x14ac:dyDescent="0.4">
      <c r="B147" s="84"/>
      <c r="C147" s="82"/>
      <c r="D147" s="71"/>
    </row>
    <row r="148" spans="2:4" ht="15" thickBot="1" x14ac:dyDescent="0.4">
      <c r="B148" s="86"/>
      <c r="C148" s="82"/>
      <c r="D148" s="87"/>
    </row>
    <row r="149" spans="2:4" ht="15" thickBot="1" x14ac:dyDescent="0.4">
      <c r="B149" s="68"/>
      <c r="C149" s="68"/>
      <c r="D149" s="68"/>
    </row>
    <row r="150" spans="2:4" ht="15" thickBot="1" x14ac:dyDescent="0.4">
      <c r="B150" s="88"/>
      <c r="C150" s="68"/>
      <c r="D150" s="89"/>
    </row>
    <row r="151" spans="2:4" ht="15" thickBot="1" x14ac:dyDescent="0.4">
      <c r="B151" s="68"/>
      <c r="C151" s="68"/>
      <c r="D151" s="68"/>
    </row>
    <row r="152" spans="2:4" ht="15" thickBot="1" x14ac:dyDescent="0.4">
      <c r="B152" s="81"/>
      <c r="C152" s="68"/>
      <c r="D152" s="68"/>
    </row>
    <row r="153" spans="2:4" ht="15" thickBot="1" x14ac:dyDescent="0.4">
      <c r="B153" s="86"/>
      <c r="C153" s="68"/>
      <c r="D153" s="68"/>
    </row>
    <row r="154" spans="2:4" ht="15" thickBot="1" x14ac:dyDescent="0.4">
      <c r="B154" s="68"/>
      <c r="C154" s="82"/>
      <c r="D154" s="71"/>
    </row>
    <row r="155" spans="2:4" ht="15" thickBot="1" x14ac:dyDescent="0.4">
      <c r="B155" s="68"/>
      <c r="C155" s="82"/>
      <c r="D155" s="71"/>
    </row>
    <row r="156" spans="2:4" ht="15" thickBot="1" x14ac:dyDescent="0.4">
      <c r="B156" s="68"/>
      <c r="C156" s="82"/>
      <c r="D156" s="71"/>
    </row>
    <row r="157" spans="2:4" ht="15" thickBot="1" x14ac:dyDescent="0.4">
      <c r="B157" s="86"/>
      <c r="C157" s="82"/>
      <c r="D157" s="87"/>
    </row>
    <row r="158" spans="2:4" ht="15" thickBot="1" x14ac:dyDescent="0.4">
      <c r="B158" s="68"/>
      <c r="C158" s="68"/>
      <c r="D158" s="68"/>
    </row>
    <row r="159" spans="2:4" ht="15" thickBot="1" x14ac:dyDescent="0.4">
      <c r="B159" s="81"/>
      <c r="C159" s="68"/>
      <c r="D159" s="68"/>
    </row>
    <row r="160" spans="2:4" ht="15" thickBot="1" x14ac:dyDescent="0.4">
      <c r="B160" s="68"/>
      <c r="C160" s="82"/>
      <c r="D160" s="69"/>
    </row>
    <row r="161" spans="2:4" ht="15" thickBot="1" x14ac:dyDescent="0.4">
      <c r="B161" s="81"/>
      <c r="C161" s="68"/>
      <c r="D161" s="68"/>
    </row>
    <row r="162" spans="2:4" ht="15" thickBot="1" x14ac:dyDescent="0.4">
      <c r="B162" s="84"/>
      <c r="C162" s="85"/>
      <c r="D162" s="90"/>
    </row>
    <row r="163" spans="2:4" ht="15" thickBot="1" x14ac:dyDescent="0.4">
      <c r="B163" s="68"/>
      <c r="C163" s="68"/>
      <c r="D163" s="90"/>
    </row>
    <row r="164" spans="2:4" ht="15" thickBot="1" x14ac:dyDescent="0.4">
      <c r="B164" s="68"/>
      <c r="C164" s="68"/>
      <c r="D164" s="68"/>
    </row>
    <row r="165" spans="2:4" ht="15" thickBot="1" x14ac:dyDescent="0.4">
      <c r="B165" s="68"/>
      <c r="C165" s="68"/>
      <c r="D165" s="71"/>
    </row>
    <row r="166" spans="2:4" ht="15" thickBot="1" x14ac:dyDescent="0.4">
      <c r="B166" s="68"/>
      <c r="C166" s="68"/>
      <c r="D166" s="68"/>
    </row>
    <row r="167" spans="2:4" ht="15" thickBot="1" x14ac:dyDescent="0.4">
      <c r="B167" s="91"/>
      <c r="C167" s="68"/>
      <c r="D167" s="68"/>
    </row>
    <row r="168" spans="2:4" ht="15" thickBot="1" x14ac:dyDescent="0.4">
      <c r="B168" s="84"/>
      <c r="C168" s="85"/>
      <c r="D168" s="90"/>
    </row>
    <row r="169" spans="2:4" ht="15" thickBot="1" x14ac:dyDescent="0.4">
      <c r="B169" s="68"/>
      <c r="C169" s="68"/>
      <c r="D169" s="90"/>
    </row>
    <row r="170" spans="2:4" ht="15" thickBot="1" x14ac:dyDescent="0.4">
      <c r="B170" s="68"/>
      <c r="C170" s="68"/>
      <c r="D170" s="68"/>
    </row>
    <row r="171" spans="2:4" ht="15" thickBot="1" x14ac:dyDescent="0.4">
      <c r="B171" s="68"/>
      <c r="C171" s="68"/>
      <c r="D171" s="71"/>
    </row>
    <row r="172" spans="2:4" ht="15" thickBot="1" x14ac:dyDescent="0.4">
      <c r="B172" s="84"/>
      <c r="C172" s="85"/>
      <c r="D172" s="68"/>
    </row>
    <row r="173" spans="2:4" ht="15" thickBot="1" x14ac:dyDescent="0.4">
      <c r="B173" s="84"/>
      <c r="C173" s="85"/>
      <c r="D173" s="69"/>
    </row>
    <row r="174" spans="2:4" ht="15" thickBot="1" x14ac:dyDescent="0.4">
      <c r="B174" s="68"/>
      <c r="C174" s="68"/>
      <c r="D174" s="90"/>
    </row>
    <row r="175" spans="2:4" ht="15" thickBot="1" x14ac:dyDescent="0.4">
      <c r="B175" s="68"/>
      <c r="C175" s="68"/>
      <c r="D175" s="68"/>
    </row>
    <row r="176" spans="2:4" ht="15" thickBot="1" x14ac:dyDescent="0.4">
      <c r="B176" s="84"/>
      <c r="C176" s="85"/>
      <c r="D176" s="69"/>
    </row>
    <row r="177" spans="2:4" ht="15" thickBot="1" x14ac:dyDescent="0.4">
      <c r="B177" s="68"/>
      <c r="C177" s="68"/>
      <c r="D177" s="68"/>
    </row>
    <row r="178" spans="2:4" ht="15" thickBot="1" x14ac:dyDescent="0.4">
      <c r="B178" s="81"/>
      <c r="C178" s="68"/>
      <c r="D178" s="68"/>
    </row>
    <row r="179" spans="2:4" ht="15" thickBot="1" x14ac:dyDescent="0.4">
      <c r="B179" s="68"/>
      <c r="C179" s="68"/>
      <c r="D179" s="68"/>
    </row>
    <row r="180" spans="2:4" ht="15" thickBot="1" x14ac:dyDescent="0.4">
      <c r="B180" s="91"/>
      <c r="C180" s="68"/>
      <c r="D180" s="68"/>
    </row>
    <row r="181" spans="2:4" ht="15" thickBot="1" x14ac:dyDescent="0.4">
      <c r="B181" s="68"/>
      <c r="C181" s="68"/>
      <c r="D181" s="69"/>
    </row>
    <row r="182" spans="2:4" ht="15" thickBot="1" x14ac:dyDescent="0.4">
      <c r="B182" s="68"/>
      <c r="C182" s="68"/>
      <c r="D182" s="68"/>
    </row>
    <row r="183" spans="2:4" ht="15" thickBot="1" x14ac:dyDescent="0.4">
      <c r="B183" s="92"/>
      <c r="C183" s="68"/>
      <c r="D183" s="68"/>
    </row>
    <row r="184" spans="2:4" ht="15" thickBot="1" x14ac:dyDescent="0.4">
      <c r="B184" s="84"/>
      <c r="C184" s="85"/>
      <c r="D184" s="69"/>
    </row>
    <row r="185" spans="2:4" ht="15" thickBot="1" x14ac:dyDescent="0.4">
      <c r="B185" s="68"/>
      <c r="C185" s="68"/>
      <c r="D185" s="69"/>
    </row>
    <row r="186" spans="2:4" ht="15" thickBot="1" x14ac:dyDescent="0.4">
      <c r="B186" s="68"/>
      <c r="C186" s="68"/>
      <c r="D186" s="68"/>
    </row>
    <row r="187" spans="2:4" ht="15" thickBot="1" x14ac:dyDescent="0.4">
      <c r="B187" s="68"/>
      <c r="C187" s="68"/>
      <c r="D187" s="69"/>
    </row>
    <row r="188" spans="2:4" ht="15" thickBot="1" x14ac:dyDescent="0.4">
      <c r="B188" s="81"/>
      <c r="C188" s="68"/>
      <c r="D188" s="68"/>
    </row>
    <row r="189" spans="2:4" ht="15" thickBot="1" x14ac:dyDescent="0.4">
      <c r="B189" s="68"/>
      <c r="C189" s="68"/>
      <c r="D189" s="69"/>
    </row>
    <row r="190" spans="2:4" ht="15" thickBot="1" x14ac:dyDescent="0.4">
      <c r="B190" s="84"/>
      <c r="C190" s="85"/>
      <c r="D190" s="71"/>
    </row>
    <row r="191" spans="2:4" ht="15" thickBot="1" x14ac:dyDescent="0.4">
      <c r="B191" s="68"/>
      <c r="C191" s="68"/>
      <c r="D191" s="68"/>
    </row>
  </sheetData>
  <mergeCells count="2">
    <mergeCell ref="H8:I8"/>
    <mergeCell ref="H21:I21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C3CC0-9F80-491A-B198-01D4EF7325A8}">
  <dimension ref="A1:N175"/>
  <sheetViews>
    <sheetView topLeftCell="A143" workbookViewId="0">
      <selection activeCell="C143" sqref="C1:C143"/>
    </sheetView>
  </sheetViews>
  <sheetFormatPr defaultRowHeight="14.5" x14ac:dyDescent="0.35"/>
  <cols>
    <col min="1" max="1" width="35.453125" customWidth="1"/>
    <col min="2" max="2" width="21.81640625" customWidth="1"/>
    <col min="3" max="3" width="14.26953125" customWidth="1"/>
    <col min="6" max="6" width="28.81640625" customWidth="1"/>
    <col min="7" max="7" width="10.26953125" customWidth="1"/>
    <col min="12" max="12" width="38.1796875" customWidth="1"/>
    <col min="14" max="14" width="11" bestFit="1" customWidth="1"/>
  </cols>
  <sheetData>
    <row r="1" spans="1:5" ht="15" thickBot="1" x14ac:dyDescent="0.4">
      <c r="A1" s="20" t="s">
        <v>408</v>
      </c>
      <c r="B1" s="13"/>
      <c r="C1" s="13"/>
      <c r="D1" t="s">
        <v>409</v>
      </c>
    </row>
    <row r="2" spans="1:5" ht="15" thickBot="1" x14ac:dyDescent="0.4">
      <c r="A2" s="17"/>
      <c r="B2" s="17"/>
      <c r="C2" s="17"/>
    </row>
    <row r="3" spans="1:5" ht="15" thickBot="1" x14ac:dyDescent="0.4">
      <c r="A3" s="20" t="s">
        <v>410</v>
      </c>
      <c r="B3" s="13"/>
      <c r="C3" s="13"/>
    </row>
    <row r="4" spans="1:5" ht="15" thickBot="1" x14ac:dyDescent="0.4">
      <c r="A4" s="67" t="s">
        <v>411</v>
      </c>
      <c r="B4" s="17"/>
      <c r="C4" s="17"/>
    </row>
    <row r="5" spans="1:5" ht="15" thickBot="1" x14ac:dyDescent="0.4">
      <c r="A5" s="93" t="s">
        <v>412</v>
      </c>
      <c r="B5" s="93" t="s">
        <v>413</v>
      </c>
      <c r="C5" s="94"/>
      <c r="D5">
        <v>10416.666666666666</v>
      </c>
      <c r="E5">
        <f>SUM(D6:D8)</f>
        <v>10416.666666666666</v>
      </c>
    </row>
    <row r="6" spans="1:5" ht="15" thickBot="1" x14ac:dyDescent="0.4">
      <c r="A6" s="95" t="s">
        <v>414</v>
      </c>
      <c r="B6" s="96" t="s">
        <v>413</v>
      </c>
      <c r="C6" s="95"/>
      <c r="D6">
        <f>D5-D7-D8</f>
        <v>8778.125</v>
      </c>
    </row>
    <row r="7" spans="1:5" ht="15" thickBot="1" x14ac:dyDescent="0.4">
      <c r="A7" s="95" t="s">
        <v>415</v>
      </c>
      <c r="B7" s="96" t="s">
        <v>413</v>
      </c>
      <c r="C7" s="95"/>
      <c r="D7">
        <f>D5*'Modified_experimental Backgroun'!B5/100</f>
        <v>729.16666666666652</v>
      </c>
    </row>
    <row r="8" spans="1:5" ht="15" thickBot="1" x14ac:dyDescent="0.4">
      <c r="A8" s="95" t="s">
        <v>416</v>
      </c>
      <c r="B8" s="96" t="s">
        <v>413</v>
      </c>
      <c r="C8" s="95"/>
      <c r="D8">
        <f>D5*'Modified_experimental Backgroun'!B8/100</f>
        <v>909.375</v>
      </c>
    </row>
    <row r="9" spans="1:5" ht="15" thickBot="1" x14ac:dyDescent="0.4">
      <c r="A9" s="20" t="s">
        <v>308</v>
      </c>
      <c r="B9" s="20"/>
      <c r="C9" s="20"/>
    </row>
    <row r="10" spans="1:5" ht="15" thickBot="1" x14ac:dyDescent="0.4">
      <c r="A10" s="97" t="s">
        <v>417</v>
      </c>
      <c r="B10" s="17"/>
      <c r="C10" s="98"/>
    </row>
    <row r="11" spans="1:5" ht="15" thickBot="1" x14ac:dyDescent="0.4">
      <c r="A11" s="67"/>
      <c r="B11" s="17"/>
      <c r="C11" s="17"/>
    </row>
    <row r="12" spans="1:5" ht="15" thickBot="1" x14ac:dyDescent="0.4">
      <c r="A12" s="67" t="s">
        <v>418</v>
      </c>
      <c r="B12" s="17"/>
      <c r="C12" s="70"/>
      <c r="D12" s="99">
        <f>SUM(D13:D15)</f>
        <v>218439.78112313777</v>
      </c>
    </row>
    <row r="13" spans="1:5" ht="15" thickBot="1" x14ac:dyDescent="0.4">
      <c r="A13" s="93" t="s">
        <v>419</v>
      </c>
      <c r="B13" s="93" t="s">
        <v>413</v>
      </c>
      <c r="C13" s="94"/>
      <c r="D13">
        <f>D5</f>
        <v>10416.666666666666</v>
      </c>
    </row>
    <row r="14" spans="1:5" ht="15" thickBot="1" x14ac:dyDescent="0.4">
      <c r="A14" s="93" t="s">
        <v>381</v>
      </c>
      <c r="B14" s="93" t="s">
        <v>413</v>
      </c>
      <c r="C14" s="94"/>
      <c r="D14">
        <v>48500.000000000102</v>
      </c>
    </row>
    <row r="15" spans="1:5" ht="15" thickBot="1" x14ac:dyDescent="0.4">
      <c r="A15" s="100" t="s">
        <v>420</v>
      </c>
      <c r="B15" s="93" t="s">
        <v>413</v>
      </c>
      <c r="C15" s="94"/>
      <c r="D15" s="99">
        <f>D16+D17</f>
        <v>159523.114456471</v>
      </c>
    </row>
    <row r="16" spans="1:5" ht="15" thickBot="1" x14ac:dyDescent="0.4">
      <c r="A16" s="101" t="s">
        <v>421</v>
      </c>
      <c r="B16" s="102" t="s">
        <v>413</v>
      </c>
      <c r="C16" s="101"/>
      <c r="D16" s="99">
        <v>104.247</v>
      </c>
    </row>
    <row r="17" spans="1:7" ht="15" thickBot="1" x14ac:dyDescent="0.4">
      <c r="A17" s="101" t="s">
        <v>415</v>
      </c>
      <c r="B17" s="102" t="s">
        <v>413</v>
      </c>
      <c r="C17" s="101"/>
      <c r="D17" s="99">
        <v>159418.86745647099</v>
      </c>
      <c r="F17" s="99"/>
    </row>
    <row r="18" spans="1:7" ht="15" thickBot="1" x14ac:dyDescent="0.4">
      <c r="A18" s="17"/>
      <c r="B18" s="17"/>
      <c r="C18" s="17"/>
    </row>
    <row r="19" spans="1:7" ht="15" thickBot="1" x14ac:dyDescent="0.4">
      <c r="A19" s="67" t="s">
        <v>411</v>
      </c>
      <c r="B19" s="17"/>
      <c r="C19" s="17"/>
    </row>
    <row r="20" spans="1:7" ht="15" thickBot="1" x14ac:dyDescent="0.4">
      <c r="A20" s="93" t="s">
        <v>422</v>
      </c>
      <c r="B20" s="93" t="s">
        <v>413</v>
      </c>
      <c r="C20" s="70"/>
      <c r="D20">
        <f>SUM(D21:D24)</f>
        <v>1051439.006409968</v>
      </c>
    </row>
    <row r="21" spans="1:7" ht="15" thickBot="1" x14ac:dyDescent="0.4">
      <c r="A21" s="95" t="s">
        <v>423</v>
      </c>
      <c r="B21" s="96" t="s">
        <v>413</v>
      </c>
      <c r="C21" s="95"/>
      <c r="D21">
        <f>G7</f>
        <v>0</v>
      </c>
    </row>
    <row r="22" spans="1:7" ht="15" thickBot="1" x14ac:dyDescent="0.4">
      <c r="A22" s="103" t="s">
        <v>424</v>
      </c>
      <c r="B22" s="104" t="s">
        <v>413</v>
      </c>
      <c r="C22" s="103"/>
      <c r="D22">
        <f>D8</f>
        <v>909.375</v>
      </c>
      <c r="G22" s="99"/>
    </row>
    <row r="23" spans="1:7" ht="15" thickBot="1" x14ac:dyDescent="0.4">
      <c r="A23" s="95" t="s">
        <v>425</v>
      </c>
      <c r="B23" s="96" t="s">
        <v>413</v>
      </c>
      <c r="C23" s="95"/>
      <c r="D23" s="99">
        <f>D16</f>
        <v>104.247</v>
      </c>
    </row>
    <row r="24" spans="1:7" ht="15" thickBot="1" x14ac:dyDescent="0.4">
      <c r="A24" s="95" t="s">
        <v>415</v>
      </c>
      <c r="B24" s="96" t="s">
        <v>413</v>
      </c>
      <c r="C24" s="95"/>
      <c r="D24" s="99">
        <f>[1]Sheet1!F8+'[1]Mass balances '!D14+'[1]Mass balances '!D17</f>
        <v>1050425.384409968</v>
      </c>
    </row>
    <row r="25" spans="1:7" ht="15" thickBot="1" x14ac:dyDescent="0.4">
      <c r="A25" s="17"/>
      <c r="B25" s="17"/>
      <c r="C25" s="17"/>
    </row>
    <row r="26" spans="1:7" ht="15" thickBot="1" x14ac:dyDescent="0.4">
      <c r="A26" s="20" t="s">
        <v>325</v>
      </c>
      <c r="B26" s="13"/>
      <c r="C26" s="13"/>
    </row>
    <row r="27" spans="1:7" ht="15" thickBot="1" x14ac:dyDescent="0.4">
      <c r="A27" s="93" t="s">
        <v>422</v>
      </c>
      <c r="B27" s="93" t="s">
        <v>413</v>
      </c>
      <c r="C27" s="94"/>
      <c r="D27">
        <v>217530.08399270801</v>
      </c>
    </row>
    <row r="28" spans="1:7" ht="15" thickBot="1" x14ac:dyDescent="0.4">
      <c r="A28" s="17"/>
      <c r="B28" s="17"/>
      <c r="C28" s="17"/>
    </row>
    <row r="29" spans="1:7" ht="15" thickBot="1" x14ac:dyDescent="0.4">
      <c r="A29" s="93" t="s">
        <v>426</v>
      </c>
      <c r="B29" s="93" t="s">
        <v>413</v>
      </c>
      <c r="C29" s="94"/>
      <c r="D29">
        <v>217530.08399270801</v>
      </c>
    </row>
    <row r="30" spans="1:7" ht="15" thickBot="1" x14ac:dyDescent="0.4">
      <c r="A30" s="95" t="s">
        <v>427</v>
      </c>
      <c r="B30" s="96" t="s">
        <v>413</v>
      </c>
      <c r="C30" s="95"/>
      <c r="D30">
        <v>2343.0159078612301</v>
      </c>
      <c r="E30">
        <f>D30/$D$6</f>
        <v>0.26691530456233309</v>
      </c>
      <c r="G30">
        <v>1157024.7477684901</v>
      </c>
    </row>
    <row r="31" spans="1:7" ht="15" thickBot="1" x14ac:dyDescent="0.4">
      <c r="A31" s="105" t="s">
        <v>428</v>
      </c>
      <c r="B31" s="106" t="s">
        <v>413</v>
      </c>
      <c r="C31" s="105"/>
      <c r="E31">
        <f t="shared" ref="E31:E42" si="0">D31/$D$6</f>
        <v>0</v>
      </c>
    </row>
    <row r="32" spans="1:7" ht="15" thickBot="1" x14ac:dyDescent="0.4">
      <c r="A32" s="105" t="s">
        <v>429</v>
      </c>
      <c r="B32" s="106" t="s">
        <v>413</v>
      </c>
      <c r="C32" s="105"/>
      <c r="E32">
        <f t="shared" si="0"/>
        <v>0</v>
      </c>
    </row>
    <row r="33" spans="1:7" ht="15" thickBot="1" x14ac:dyDescent="0.4">
      <c r="A33" s="95" t="s">
        <v>430</v>
      </c>
      <c r="B33" s="96" t="s">
        <v>413</v>
      </c>
      <c r="C33" s="95"/>
      <c r="D33">
        <v>5069.4284968371403</v>
      </c>
      <c r="E33">
        <f t="shared" si="0"/>
        <v>0.57750698433174974</v>
      </c>
    </row>
    <row r="34" spans="1:7" ht="15" thickBot="1" x14ac:dyDescent="0.4">
      <c r="A34" s="105" t="s">
        <v>428</v>
      </c>
      <c r="B34" s="106" t="s">
        <v>413</v>
      </c>
      <c r="C34" s="105"/>
      <c r="E34">
        <f t="shared" si="0"/>
        <v>0</v>
      </c>
    </row>
    <row r="35" spans="1:7" ht="15" thickBot="1" x14ac:dyDescent="0.4">
      <c r="A35" s="105" t="s">
        <v>429</v>
      </c>
      <c r="B35" s="106" t="s">
        <v>413</v>
      </c>
      <c r="C35" s="105"/>
      <c r="E35">
        <f t="shared" si="0"/>
        <v>0</v>
      </c>
    </row>
    <row r="36" spans="1:7" ht="15" thickBot="1" x14ac:dyDescent="0.4">
      <c r="A36" s="95" t="s">
        <v>431</v>
      </c>
      <c r="B36" s="96" t="s">
        <v>413</v>
      </c>
      <c r="C36" s="95"/>
      <c r="D36">
        <v>1346.9866785691399</v>
      </c>
      <c r="E36">
        <f t="shared" si="0"/>
        <v>0.15344810863016189</v>
      </c>
    </row>
    <row r="37" spans="1:7" ht="15" thickBot="1" x14ac:dyDescent="0.4">
      <c r="A37" s="105" t="s">
        <v>428</v>
      </c>
      <c r="B37" s="106" t="s">
        <v>413</v>
      </c>
      <c r="C37" s="105"/>
      <c r="E37">
        <f t="shared" si="0"/>
        <v>0</v>
      </c>
    </row>
    <row r="38" spans="1:7" ht="15" thickBot="1" x14ac:dyDescent="0.4">
      <c r="A38" s="105" t="s">
        <v>429</v>
      </c>
      <c r="B38" s="106" t="s">
        <v>413</v>
      </c>
      <c r="C38" s="105"/>
      <c r="E38">
        <f t="shared" si="0"/>
        <v>0</v>
      </c>
    </row>
    <row r="39" spans="1:7" ht="15" thickBot="1" x14ac:dyDescent="0.4">
      <c r="A39" s="95" t="s">
        <v>415</v>
      </c>
      <c r="B39" s="96" t="s">
        <v>413</v>
      </c>
      <c r="C39" s="95"/>
      <c r="D39">
        <f>D29-D30-D33-D36-D40</f>
        <v>207628.05699096512</v>
      </c>
      <c r="E39">
        <f t="shared" si="0"/>
        <v>23.652893640836183</v>
      </c>
      <c r="G39">
        <v>51380.707767106003</v>
      </c>
    </row>
    <row r="40" spans="1:7" ht="15" thickBot="1" x14ac:dyDescent="0.4">
      <c r="A40" s="95" t="s">
        <v>432</v>
      </c>
      <c r="B40" s="96" t="s">
        <v>413</v>
      </c>
      <c r="C40" s="95"/>
      <c r="D40">
        <v>1142.5959184753599</v>
      </c>
      <c r="E40">
        <f t="shared" si="0"/>
        <v>0.13016400637668749</v>
      </c>
      <c r="G40">
        <f>G39+D33</f>
        <v>56450.136263943146</v>
      </c>
    </row>
    <row r="41" spans="1:7" ht="15" thickBot="1" x14ac:dyDescent="0.4">
      <c r="A41" s="105" t="s">
        <v>428</v>
      </c>
      <c r="B41" s="106" t="s">
        <v>413</v>
      </c>
      <c r="C41" s="105"/>
      <c r="E41">
        <f t="shared" si="0"/>
        <v>0</v>
      </c>
    </row>
    <row r="42" spans="1:7" ht="15" thickBot="1" x14ac:dyDescent="0.4">
      <c r="A42" s="105" t="s">
        <v>429</v>
      </c>
      <c r="B42" s="106" t="s">
        <v>413</v>
      </c>
      <c r="C42" s="105"/>
      <c r="E42">
        <f t="shared" si="0"/>
        <v>0</v>
      </c>
    </row>
    <row r="43" spans="1:7" ht="15" thickBot="1" x14ac:dyDescent="0.4">
      <c r="A43" s="95"/>
      <c r="B43" s="96"/>
      <c r="C43" s="96"/>
      <c r="E43">
        <f>SUM(E30:E36)</f>
        <v>0.99787039752424478</v>
      </c>
    </row>
    <row r="44" spans="1:7" ht="15" thickBot="1" x14ac:dyDescent="0.4">
      <c r="A44" s="20" t="s">
        <v>433</v>
      </c>
      <c r="B44" s="13"/>
      <c r="C44" s="13"/>
    </row>
    <row r="45" spans="1:7" ht="15" thickBot="1" x14ac:dyDescent="0.4">
      <c r="A45" s="50" t="s">
        <v>418</v>
      </c>
      <c r="B45" s="17"/>
      <c r="C45" s="96"/>
    </row>
    <row r="46" spans="1:7" ht="15" thickBot="1" x14ac:dyDescent="0.4">
      <c r="A46" s="93" t="s">
        <v>426</v>
      </c>
      <c r="B46" s="93" t="s">
        <v>413</v>
      </c>
      <c r="C46" s="94"/>
      <c r="D46">
        <f>D29</f>
        <v>217530.08399270801</v>
      </c>
    </row>
    <row r="47" spans="1:7" ht="15" thickBot="1" x14ac:dyDescent="0.4">
      <c r="A47" s="17"/>
      <c r="B47" s="17"/>
      <c r="C47" s="17"/>
    </row>
    <row r="48" spans="1:7" ht="15" thickBot="1" x14ac:dyDescent="0.4">
      <c r="A48" s="67" t="s">
        <v>411</v>
      </c>
      <c r="B48" s="17"/>
      <c r="C48" s="17"/>
    </row>
    <row r="49" spans="1:4" ht="15" thickBot="1" x14ac:dyDescent="0.4">
      <c r="A49" s="93" t="s">
        <v>434</v>
      </c>
      <c r="B49" s="93" t="s">
        <v>413</v>
      </c>
      <c r="C49" s="94"/>
      <c r="D49">
        <f>D46</f>
        <v>217530.08399270801</v>
      </c>
    </row>
    <row r="50" spans="1:4" ht="15" thickBot="1" x14ac:dyDescent="0.4">
      <c r="A50" s="17"/>
      <c r="B50" s="17"/>
      <c r="C50" s="17"/>
    </row>
    <row r="51" spans="1:4" ht="15" thickBot="1" x14ac:dyDescent="0.4">
      <c r="A51" s="20" t="s">
        <v>435</v>
      </c>
      <c r="B51" s="13"/>
      <c r="C51" s="13"/>
    </row>
    <row r="52" spans="1:4" ht="15" thickBot="1" x14ac:dyDescent="0.4">
      <c r="A52" s="67" t="s">
        <v>418</v>
      </c>
      <c r="B52" s="17"/>
      <c r="C52" s="17"/>
    </row>
    <row r="53" spans="1:4" ht="15" thickBot="1" x14ac:dyDescent="0.4">
      <c r="A53" s="93" t="s">
        <v>436</v>
      </c>
      <c r="B53" s="93" t="s">
        <v>413</v>
      </c>
      <c r="C53" s="94"/>
      <c r="D53">
        <f>D49</f>
        <v>217530.08399270801</v>
      </c>
    </row>
    <row r="54" spans="1:4" ht="15" thickBot="1" x14ac:dyDescent="0.4">
      <c r="A54" s="17"/>
      <c r="B54" s="17"/>
      <c r="C54" s="17"/>
    </row>
    <row r="55" spans="1:4" ht="15" thickBot="1" x14ac:dyDescent="0.4">
      <c r="A55" s="67" t="s">
        <v>411</v>
      </c>
      <c r="B55" s="17"/>
      <c r="C55" s="70"/>
      <c r="D55">
        <f>SUM(D56:D57)</f>
        <v>217530.08399270815</v>
      </c>
    </row>
    <row r="56" spans="1:4" ht="15" thickBot="1" x14ac:dyDescent="0.4">
      <c r="A56" s="93" t="s">
        <v>437</v>
      </c>
      <c r="B56" s="93" t="s">
        <v>413</v>
      </c>
      <c r="C56" s="94"/>
      <c r="D56">
        <v>216183.09731413901</v>
      </c>
    </row>
    <row r="57" spans="1:4" ht="15" thickBot="1" x14ac:dyDescent="0.4">
      <c r="A57" s="93" t="s">
        <v>438</v>
      </c>
      <c r="B57" s="93" t="s">
        <v>413</v>
      </c>
      <c r="C57" s="94"/>
      <c r="D57">
        <f>D36</f>
        <v>1346.9866785691399</v>
      </c>
    </row>
    <row r="58" spans="1:4" ht="15" thickBot="1" x14ac:dyDescent="0.4">
      <c r="A58" s="17"/>
      <c r="B58" s="17"/>
      <c r="C58" s="17"/>
    </row>
    <row r="59" spans="1:4" ht="15" thickBot="1" x14ac:dyDescent="0.4">
      <c r="A59" s="12" t="s">
        <v>353</v>
      </c>
      <c r="B59" s="13"/>
      <c r="C59" s="13"/>
    </row>
    <row r="60" spans="1:4" ht="15" thickBot="1" x14ac:dyDescent="0.4">
      <c r="A60" s="67" t="s">
        <v>418</v>
      </c>
      <c r="B60" s="17"/>
      <c r="C60" s="17"/>
    </row>
    <row r="61" spans="1:4" ht="15" thickBot="1" x14ac:dyDescent="0.4">
      <c r="A61" s="93" t="s">
        <v>437</v>
      </c>
      <c r="B61" s="93" t="s">
        <v>413</v>
      </c>
      <c r="C61" s="94"/>
      <c r="D61">
        <f>D56</f>
        <v>216183.09731413901</v>
      </c>
    </row>
    <row r="62" spans="1:4" ht="15" thickBot="1" x14ac:dyDescent="0.4">
      <c r="A62" s="17"/>
      <c r="B62" s="17"/>
      <c r="C62" s="17"/>
    </row>
    <row r="63" spans="1:4" ht="15" thickBot="1" x14ac:dyDescent="0.4">
      <c r="A63" s="67" t="s">
        <v>411</v>
      </c>
      <c r="B63" s="17"/>
      <c r="C63" s="70"/>
      <c r="D63">
        <f>D64+D65</f>
        <v>216183.09731413837</v>
      </c>
    </row>
    <row r="64" spans="1:4" ht="15" thickBot="1" x14ac:dyDescent="0.4">
      <c r="A64" s="93" t="s">
        <v>439</v>
      </c>
      <c r="B64" s="93" t="s">
        <v>413</v>
      </c>
      <c r="C64" s="94"/>
      <c r="D64">
        <v>215040.50139566301</v>
      </c>
    </row>
    <row r="65" spans="1:14" ht="15" thickBot="1" x14ac:dyDescent="0.4">
      <c r="A65" s="93" t="s">
        <v>440</v>
      </c>
      <c r="B65" s="93" t="s">
        <v>413</v>
      </c>
      <c r="C65" s="94"/>
      <c r="D65">
        <v>1142.5959184753599</v>
      </c>
    </row>
    <row r="66" spans="1:14" ht="15" thickBot="1" x14ac:dyDescent="0.4">
      <c r="A66" s="12" t="s">
        <v>377</v>
      </c>
      <c r="B66" s="13"/>
      <c r="C66" s="13"/>
    </row>
    <row r="67" spans="1:14" ht="15" thickBot="1" x14ac:dyDescent="0.4">
      <c r="A67" s="67" t="s">
        <v>418</v>
      </c>
      <c r="B67" s="17"/>
      <c r="C67" s="17"/>
    </row>
    <row r="68" spans="1:14" ht="15" thickBot="1" x14ac:dyDescent="0.4">
      <c r="A68" s="93" t="s">
        <v>439</v>
      </c>
      <c r="B68" s="93" t="s">
        <v>413</v>
      </c>
      <c r="C68" s="94"/>
      <c r="D68">
        <f>D64</f>
        <v>215040.50139566301</v>
      </c>
    </row>
    <row r="69" spans="1:14" ht="15" thickBot="1" x14ac:dyDescent="0.4">
      <c r="A69" s="17"/>
      <c r="B69" s="17"/>
      <c r="C69" s="17"/>
    </row>
    <row r="70" spans="1:14" ht="15" thickBot="1" x14ac:dyDescent="0.4">
      <c r="A70" s="67" t="s">
        <v>411</v>
      </c>
      <c r="B70" s="17"/>
      <c r="C70" s="70"/>
      <c r="D70">
        <f>D71+D75</f>
        <v>215040.497487802</v>
      </c>
    </row>
    <row r="71" spans="1:14" ht="15" thickBot="1" x14ac:dyDescent="0.4">
      <c r="A71" s="93" t="s">
        <v>21</v>
      </c>
      <c r="B71" s="93" t="s">
        <v>413</v>
      </c>
      <c r="C71" s="94"/>
      <c r="D71">
        <f>SUM(D72:D74)</f>
        <v>2343.0120000000002</v>
      </c>
    </row>
    <row r="72" spans="1:14" ht="15" thickBot="1" x14ac:dyDescent="0.4">
      <c r="A72" s="95" t="s">
        <v>421</v>
      </c>
      <c r="B72" s="96" t="s">
        <v>413</v>
      </c>
      <c r="C72" s="95"/>
      <c r="D72">
        <v>2089.75</v>
      </c>
    </row>
    <row r="73" spans="1:14" ht="15" thickBot="1" x14ac:dyDescent="0.4">
      <c r="A73" s="95" t="s">
        <v>415</v>
      </c>
      <c r="B73" s="96" t="s">
        <v>413</v>
      </c>
      <c r="C73" s="95"/>
      <c r="D73">
        <v>253.262</v>
      </c>
    </row>
    <row r="74" spans="1:14" ht="15" thickBot="1" x14ac:dyDescent="0.4">
      <c r="A74" s="95" t="s">
        <v>416</v>
      </c>
      <c r="B74" s="96" t="s">
        <v>413</v>
      </c>
      <c r="C74" s="95"/>
      <c r="D74">
        <v>0</v>
      </c>
    </row>
    <row r="75" spans="1:14" ht="15" thickBot="1" x14ac:dyDescent="0.4">
      <c r="A75" s="93" t="s">
        <v>441</v>
      </c>
      <c r="B75" s="93" t="s">
        <v>413</v>
      </c>
      <c r="C75" s="94"/>
      <c r="D75">
        <v>212697.48548780201</v>
      </c>
    </row>
    <row r="76" spans="1:14" ht="15" thickBot="1" x14ac:dyDescent="0.4">
      <c r="A76" s="95" t="s">
        <v>421</v>
      </c>
      <c r="B76" s="96" t="s">
        <v>413</v>
      </c>
      <c r="C76" s="95"/>
      <c r="D76">
        <v>138.99600000000001</v>
      </c>
    </row>
    <row r="77" spans="1:14" ht="15" thickBot="1" x14ac:dyDescent="0.4">
      <c r="A77" s="95" t="s">
        <v>415</v>
      </c>
      <c r="B77" s="96" t="s">
        <v>413</v>
      </c>
      <c r="C77" s="95"/>
      <c r="D77">
        <v>212558</v>
      </c>
    </row>
    <row r="78" spans="1:14" ht="15" thickBot="1" x14ac:dyDescent="0.4">
      <c r="A78" s="20" t="s">
        <v>384</v>
      </c>
      <c r="B78" s="13"/>
      <c r="C78" s="13"/>
    </row>
    <row r="79" spans="1:14" ht="15" thickBot="1" x14ac:dyDescent="0.4">
      <c r="A79" s="67" t="s">
        <v>418</v>
      </c>
      <c r="B79" s="17"/>
      <c r="C79" s="17"/>
    </row>
    <row r="80" spans="1:14" ht="15" thickBot="1" x14ac:dyDescent="0.4">
      <c r="A80" s="93" t="s">
        <v>441</v>
      </c>
      <c r="B80" s="93" t="s">
        <v>413</v>
      </c>
      <c r="C80" s="94"/>
      <c r="D80">
        <f>D75</f>
        <v>212697.48548780201</v>
      </c>
      <c r="L80" s="17"/>
      <c r="M80" s="17"/>
      <c r="N80" s="17"/>
    </row>
    <row r="81" spans="1:14" ht="15" thickBot="1" x14ac:dyDescent="0.4">
      <c r="A81" s="17"/>
      <c r="B81" s="17"/>
      <c r="C81" s="17"/>
    </row>
    <row r="82" spans="1:14" ht="15" thickBot="1" x14ac:dyDescent="0.4">
      <c r="A82" s="67" t="s">
        <v>411</v>
      </c>
      <c r="B82" s="17"/>
      <c r="C82" s="70"/>
      <c r="D82">
        <f>D83+D87</f>
        <v>212697.61837195052</v>
      </c>
    </row>
    <row r="83" spans="1:14" ht="15" thickBot="1" x14ac:dyDescent="0.4">
      <c r="A83" s="100" t="s">
        <v>442</v>
      </c>
      <c r="B83" s="93" t="s">
        <v>413</v>
      </c>
      <c r="C83" s="94"/>
      <c r="D83">
        <f>D84+D85</f>
        <v>159523.247</v>
      </c>
    </row>
    <row r="84" spans="1:14" ht="15" thickBot="1" x14ac:dyDescent="0.4">
      <c r="A84" s="95" t="s">
        <v>421</v>
      </c>
      <c r="B84" s="96" t="s">
        <v>413</v>
      </c>
      <c r="C84" s="95"/>
      <c r="D84">
        <v>104.247</v>
      </c>
    </row>
    <row r="85" spans="1:14" ht="15" thickBot="1" x14ac:dyDescent="0.4">
      <c r="A85" s="95" t="s">
        <v>415</v>
      </c>
      <c r="B85" s="96" t="s">
        <v>413</v>
      </c>
      <c r="C85" s="95"/>
      <c r="D85">
        <v>159419</v>
      </c>
    </row>
    <row r="86" spans="1:14" ht="15" thickBot="1" x14ac:dyDescent="0.4">
      <c r="A86" s="17"/>
      <c r="B86" s="17"/>
      <c r="C86" s="17"/>
    </row>
    <row r="87" spans="1:14" ht="15" thickBot="1" x14ac:dyDescent="0.4">
      <c r="A87" s="93" t="s">
        <v>443</v>
      </c>
      <c r="B87" s="93" t="s">
        <v>413</v>
      </c>
      <c r="C87" s="94"/>
      <c r="D87">
        <v>53174.371371950503</v>
      </c>
    </row>
    <row r="88" spans="1:14" ht="15" thickBot="1" x14ac:dyDescent="0.4">
      <c r="A88" s="20" t="s">
        <v>386</v>
      </c>
      <c r="B88" s="13"/>
      <c r="C88" s="13"/>
    </row>
    <row r="89" spans="1:14" ht="15" thickBot="1" x14ac:dyDescent="0.4">
      <c r="A89" s="50" t="s">
        <v>411</v>
      </c>
      <c r="B89" s="17"/>
      <c r="C89" s="107"/>
    </row>
    <row r="90" spans="1:14" ht="15" thickBot="1" x14ac:dyDescent="0.4">
      <c r="A90" s="21" t="s">
        <v>444</v>
      </c>
      <c r="B90" s="21" t="s">
        <v>413</v>
      </c>
      <c r="C90" s="108"/>
      <c r="D90">
        <f>SUM(D91:D92)</f>
        <v>157.28272719672981</v>
      </c>
      <c r="L90" s="17"/>
      <c r="M90" s="17"/>
      <c r="N90" s="17"/>
    </row>
    <row r="91" spans="1:14" ht="15" thickBot="1" x14ac:dyDescent="0.4">
      <c r="A91" s="51" t="s">
        <v>445</v>
      </c>
      <c r="B91" s="51" t="s">
        <v>413</v>
      </c>
      <c r="C91" s="109"/>
      <c r="D91">
        <v>116.92104</v>
      </c>
    </row>
    <row r="92" spans="1:14" ht="15" thickBot="1" x14ac:dyDescent="0.4">
      <c r="A92" s="51" t="s">
        <v>446</v>
      </c>
      <c r="B92" s="51" t="s">
        <v>413</v>
      </c>
      <c r="C92" s="109"/>
      <c r="D92">
        <v>40.361687196729797</v>
      </c>
    </row>
    <row r="93" spans="1:14" ht="15" thickBot="1" x14ac:dyDescent="0.4">
      <c r="A93" s="21"/>
      <c r="B93" s="21"/>
      <c r="C93" s="107"/>
    </row>
    <row r="94" spans="1:14" ht="15" thickBot="1" x14ac:dyDescent="0.4">
      <c r="A94" s="20" t="s">
        <v>391</v>
      </c>
      <c r="B94" s="13"/>
      <c r="C94" s="13"/>
    </row>
    <row r="95" spans="1:14" ht="15" thickBot="1" x14ac:dyDescent="0.4">
      <c r="A95" s="50" t="s">
        <v>418</v>
      </c>
      <c r="B95" s="21"/>
      <c r="C95" s="110"/>
      <c r="D95">
        <f>D96+D97</f>
        <v>2500.29472719673</v>
      </c>
    </row>
    <row r="96" spans="1:14" ht="15" thickBot="1" x14ac:dyDescent="0.4">
      <c r="A96" s="21" t="s">
        <v>447</v>
      </c>
      <c r="B96" s="21" t="s">
        <v>413</v>
      </c>
      <c r="C96" s="29"/>
      <c r="D96">
        <f>D71</f>
        <v>2343.0120000000002</v>
      </c>
    </row>
    <row r="97" spans="1:14" ht="15" thickBot="1" x14ac:dyDescent="0.4">
      <c r="A97" s="21" t="s">
        <v>444</v>
      </c>
      <c r="B97" s="21" t="s">
        <v>413</v>
      </c>
      <c r="C97" s="29"/>
      <c r="D97">
        <f>D90</f>
        <v>157.28272719672981</v>
      </c>
    </row>
    <row r="98" spans="1:14" ht="15" thickBot="1" x14ac:dyDescent="0.4">
      <c r="A98" s="17"/>
      <c r="B98" s="17"/>
      <c r="C98" s="17"/>
    </row>
    <row r="99" spans="1:14" ht="15" thickBot="1" x14ac:dyDescent="0.4">
      <c r="A99" s="50" t="s">
        <v>411</v>
      </c>
      <c r="B99" s="17"/>
      <c r="C99" s="17"/>
    </row>
    <row r="100" spans="1:14" ht="15" thickBot="1" x14ac:dyDescent="0.4">
      <c r="A100" s="21" t="s">
        <v>448</v>
      </c>
      <c r="B100" s="21" t="s">
        <v>413</v>
      </c>
      <c r="C100" s="29"/>
      <c r="D100">
        <f>SUM(D101:D104)</f>
        <v>2500.299</v>
      </c>
    </row>
    <row r="101" spans="1:14" ht="15" thickBot="1" x14ac:dyDescent="0.4">
      <c r="A101" s="103" t="s">
        <v>421</v>
      </c>
      <c r="B101" s="104" t="s">
        <v>413</v>
      </c>
      <c r="C101" s="103"/>
      <c r="D101">
        <v>1975.0966256065408</v>
      </c>
      <c r="L101" s="20" t="s">
        <v>322</v>
      </c>
      <c r="M101" s="13"/>
      <c r="N101" s="13"/>
    </row>
    <row r="102" spans="1:14" ht="15" thickBot="1" x14ac:dyDescent="0.4">
      <c r="A102" s="103" t="s">
        <v>415</v>
      </c>
      <c r="B102" s="104" t="s">
        <v>413</v>
      </c>
      <c r="C102" s="103"/>
      <c r="D102">
        <v>444.47899999999998</v>
      </c>
      <c r="L102" s="67" t="s">
        <v>418</v>
      </c>
      <c r="M102" s="17"/>
      <c r="N102" s="70">
        <f>N103+N106+N155+N156</f>
        <v>26133.0705906445</v>
      </c>
    </row>
    <row r="103" spans="1:14" ht="15" thickBot="1" x14ac:dyDescent="0.4">
      <c r="A103" s="103" t="s">
        <v>416</v>
      </c>
      <c r="B103" s="104" t="s">
        <v>413</v>
      </c>
      <c r="C103" s="103"/>
      <c r="D103">
        <v>0</v>
      </c>
      <c r="L103" s="93" t="s">
        <v>449</v>
      </c>
      <c r="M103" s="93" t="s">
        <v>413</v>
      </c>
      <c r="N103" s="94">
        <f>D36+N105</f>
        <v>2256.3616785691402</v>
      </c>
    </row>
    <row r="104" spans="1:14" ht="15" thickBot="1" x14ac:dyDescent="0.4">
      <c r="A104" s="103" t="s">
        <v>450</v>
      </c>
      <c r="B104" s="104" t="s">
        <v>413</v>
      </c>
      <c r="C104" s="103"/>
      <c r="D104">
        <v>80.723374393459395</v>
      </c>
      <c r="L104" s="96" t="s">
        <v>451</v>
      </c>
      <c r="M104" s="96" t="s">
        <v>413</v>
      </c>
      <c r="N104" s="94">
        <v>1346.9866785691399</v>
      </c>
    </row>
    <row r="105" spans="1:14" ht="15" thickBot="1" x14ac:dyDescent="0.4">
      <c r="A105" s="20" t="s">
        <v>397</v>
      </c>
      <c r="B105" s="13"/>
      <c r="C105" s="13"/>
      <c r="L105" s="96" t="s">
        <v>416</v>
      </c>
      <c r="M105" s="96" t="s">
        <v>413</v>
      </c>
      <c r="N105" s="94">
        <f>D8</f>
        <v>909.375</v>
      </c>
    </row>
    <row r="106" spans="1:14" ht="15" thickBot="1" x14ac:dyDescent="0.4">
      <c r="A106" s="50" t="s">
        <v>418</v>
      </c>
      <c r="B106" s="17"/>
      <c r="C106" s="17"/>
      <c r="L106" s="93" t="s">
        <v>452</v>
      </c>
      <c r="M106" s="93" t="s">
        <v>413</v>
      </c>
      <c r="N106" s="94">
        <f>SUM(N107:N154)</f>
        <v>1142.5959184753613</v>
      </c>
    </row>
    <row r="107" spans="1:14" ht="15" thickBot="1" x14ac:dyDescent="0.4">
      <c r="A107" s="21" t="s">
        <v>448</v>
      </c>
      <c r="B107" s="21" t="s">
        <v>413</v>
      </c>
      <c r="C107" s="29"/>
      <c r="D107">
        <f>D100</f>
        <v>2500.299</v>
      </c>
      <c r="L107" t="s">
        <v>453</v>
      </c>
      <c r="M107" t="s">
        <v>519</v>
      </c>
      <c r="N107">
        <v>172.02819919473001</v>
      </c>
    </row>
    <row r="108" spans="1:14" ht="15" thickBot="1" x14ac:dyDescent="0.4">
      <c r="A108" s="17"/>
      <c r="B108" s="17"/>
      <c r="C108" s="17"/>
      <c r="L108" t="s">
        <v>629</v>
      </c>
      <c r="M108" t="s">
        <v>519</v>
      </c>
      <c r="N108">
        <v>49.877095633018897</v>
      </c>
    </row>
    <row r="109" spans="1:14" ht="15" thickBot="1" x14ac:dyDescent="0.4">
      <c r="A109" s="50" t="s">
        <v>411</v>
      </c>
      <c r="B109" s="17"/>
      <c r="C109" s="17"/>
      <c r="L109" t="s">
        <v>630</v>
      </c>
      <c r="M109" t="s">
        <v>519</v>
      </c>
      <c r="N109">
        <v>100.234387797651</v>
      </c>
    </row>
    <row r="110" spans="1:14" ht="15" thickBot="1" x14ac:dyDescent="0.4">
      <c r="A110" s="21" t="s">
        <v>456</v>
      </c>
      <c r="B110" s="21" t="s">
        <v>413</v>
      </c>
      <c r="C110" s="29"/>
      <c r="D110">
        <f>D100</f>
        <v>2500.299</v>
      </c>
      <c r="L110" t="s">
        <v>544</v>
      </c>
      <c r="M110" t="s">
        <v>519</v>
      </c>
      <c r="N110">
        <v>540.21176299151</v>
      </c>
    </row>
    <row r="111" spans="1:14" ht="15" thickBot="1" x14ac:dyDescent="0.4">
      <c r="A111" s="20" t="s">
        <v>398</v>
      </c>
      <c r="B111" s="13"/>
      <c r="C111" s="13"/>
      <c r="L111" t="s">
        <v>492</v>
      </c>
      <c r="M111" t="s">
        <v>519</v>
      </c>
      <c r="N111">
        <v>86.848528534566896</v>
      </c>
    </row>
    <row r="112" spans="1:14" ht="15" thickBot="1" x14ac:dyDescent="0.4">
      <c r="A112" s="50" t="s">
        <v>418</v>
      </c>
      <c r="B112" s="17"/>
      <c r="C112" s="17"/>
      <c r="L112" t="s">
        <v>91</v>
      </c>
      <c r="M112" t="s">
        <v>519</v>
      </c>
      <c r="N112">
        <v>188.929672437487</v>
      </c>
    </row>
    <row r="113" spans="1:14" ht="15" thickBot="1" x14ac:dyDescent="0.4">
      <c r="A113" s="17" t="s">
        <v>456</v>
      </c>
      <c r="B113" s="21" t="s">
        <v>413</v>
      </c>
      <c r="C113" s="29"/>
      <c r="D113">
        <f>D110</f>
        <v>2500.299</v>
      </c>
      <c r="L113" t="s">
        <v>93</v>
      </c>
      <c r="M113" t="s">
        <v>519</v>
      </c>
      <c r="N113" s="64">
        <v>1.31092687189947E-6</v>
      </c>
    </row>
    <row r="114" spans="1:14" ht="15" thickBot="1" x14ac:dyDescent="0.4">
      <c r="A114" s="17"/>
      <c r="B114" s="17"/>
      <c r="C114" s="17"/>
      <c r="L114" t="s">
        <v>94</v>
      </c>
      <c r="M114" t="s">
        <v>519</v>
      </c>
      <c r="N114" s="64">
        <v>1.5261698945038499E-5</v>
      </c>
    </row>
    <row r="115" spans="1:14" ht="15" thickBot="1" x14ac:dyDescent="0.4">
      <c r="A115" s="50" t="s">
        <v>411</v>
      </c>
      <c r="B115" s="17"/>
      <c r="C115" s="77"/>
      <c r="D115">
        <f>D116+D117+D118</f>
        <v>2500.2986436684569</v>
      </c>
      <c r="L115" t="s">
        <v>95</v>
      </c>
      <c r="M115" t="s">
        <v>519</v>
      </c>
      <c r="N115" s="64">
        <v>2.99423747318093E-6</v>
      </c>
    </row>
    <row r="116" spans="1:14" ht="15" thickBot="1" x14ac:dyDescent="0.4">
      <c r="A116" s="21" t="s">
        <v>460</v>
      </c>
      <c r="B116" s="21" t="s">
        <v>413</v>
      </c>
      <c r="C116" s="29"/>
      <c r="D116">
        <v>1900.8565814287899</v>
      </c>
      <c r="L116" t="s">
        <v>96</v>
      </c>
      <c r="M116" t="s">
        <v>519</v>
      </c>
      <c r="N116" s="64">
        <v>7.7945055482495504E-7</v>
      </c>
    </row>
    <row r="117" spans="1:14" ht="15" thickBot="1" x14ac:dyDescent="0.4">
      <c r="A117" s="21" t="s">
        <v>461</v>
      </c>
      <c r="B117" s="21" t="s">
        <v>413</v>
      </c>
      <c r="C117" s="29"/>
      <c r="D117">
        <v>444.47903245028499</v>
      </c>
      <c r="L117" t="s">
        <v>97</v>
      </c>
      <c r="M117" t="s">
        <v>519</v>
      </c>
      <c r="N117" s="64">
        <v>3.7003681677297602E-8</v>
      </c>
    </row>
    <row r="118" spans="1:14" ht="15" thickBot="1" x14ac:dyDescent="0.4">
      <c r="A118" s="21" t="s">
        <v>462</v>
      </c>
      <c r="B118" s="21" t="s">
        <v>413</v>
      </c>
      <c r="C118" s="29"/>
      <c r="D118">
        <v>154.96302978938201</v>
      </c>
      <c r="L118" t="s">
        <v>98</v>
      </c>
      <c r="M118" t="s">
        <v>519</v>
      </c>
      <c r="N118" s="64">
        <v>7.7046627468718498E-10</v>
      </c>
    </row>
    <row r="119" spans="1:14" ht="15" thickBot="1" x14ac:dyDescent="0.4">
      <c r="A119" s="103" t="s">
        <v>450</v>
      </c>
      <c r="B119" s="104" t="s">
        <v>413</v>
      </c>
      <c r="C119" s="103"/>
      <c r="D119">
        <v>80.723374393459494</v>
      </c>
      <c r="L119" t="s">
        <v>99</v>
      </c>
      <c r="M119" t="s">
        <v>519</v>
      </c>
      <c r="N119" s="64">
        <v>7.8724257003640299E-9</v>
      </c>
    </row>
    <row r="120" spans="1:14" ht="15" thickBot="1" x14ac:dyDescent="0.4">
      <c r="A120" s="20" t="s">
        <v>464</v>
      </c>
      <c r="B120" s="13"/>
      <c r="C120" s="13"/>
      <c r="L120" t="s">
        <v>100</v>
      </c>
      <c r="M120" t="s">
        <v>519</v>
      </c>
      <c r="N120" s="64">
        <v>3.4243935440605499E-9</v>
      </c>
    </row>
    <row r="121" spans="1:14" ht="15" thickBot="1" x14ac:dyDescent="0.4">
      <c r="A121" s="50" t="s">
        <v>418</v>
      </c>
      <c r="B121" s="17"/>
      <c r="C121" s="17"/>
      <c r="L121" t="s">
        <v>101</v>
      </c>
      <c r="M121" t="s">
        <v>519</v>
      </c>
      <c r="N121">
        <v>6.3947588106592597E-3</v>
      </c>
    </row>
    <row r="122" spans="1:14" ht="15" thickBot="1" x14ac:dyDescent="0.4">
      <c r="A122" s="21" t="s">
        <v>349</v>
      </c>
      <c r="B122" s="21" t="s">
        <v>413</v>
      </c>
      <c r="C122" s="29"/>
      <c r="D122">
        <f>D118</f>
        <v>154.96302978938201</v>
      </c>
      <c r="L122" t="s">
        <v>102</v>
      </c>
      <c r="M122" t="s">
        <v>519</v>
      </c>
      <c r="N122">
        <v>3.7164708591221403E-2</v>
      </c>
    </row>
    <row r="123" spans="1:14" ht="15" thickBot="1" x14ac:dyDescent="0.4">
      <c r="A123" s="17"/>
      <c r="B123" s="17"/>
      <c r="C123" s="17"/>
      <c r="L123" t="s">
        <v>103</v>
      </c>
      <c r="M123" t="s">
        <v>519</v>
      </c>
      <c r="N123">
        <v>1.6332417504665399E-3</v>
      </c>
    </row>
    <row r="124" spans="1:14" ht="15" thickBot="1" x14ac:dyDescent="0.4">
      <c r="A124" s="21" t="s">
        <v>411</v>
      </c>
      <c r="B124" s="17"/>
      <c r="C124" s="110"/>
      <c r="D124">
        <f>D125+D126+D127+D128+D129</f>
        <v>154.96307439345949</v>
      </c>
      <c r="L124" t="s">
        <v>104</v>
      </c>
      <c r="M124" t="s">
        <v>519</v>
      </c>
      <c r="N124">
        <v>2.6573277810112799E-4</v>
      </c>
    </row>
    <row r="125" spans="1:14" ht="15" thickBot="1" x14ac:dyDescent="0.4">
      <c r="A125" s="21" t="s">
        <v>467</v>
      </c>
      <c r="B125" s="21" t="s">
        <v>413</v>
      </c>
      <c r="C125" s="29"/>
      <c r="D125">
        <v>40.361687196729797</v>
      </c>
      <c r="L125" t="s">
        <v>105</v>
      </c>
      <c r="M125" t="s">
        <v>519</v>
      </c>
      <c r="N125">
        <v>1.0993910887468801E-2</v>
      </c>
    </row>
    <row r="126" spans="1:14" ht="15" thickBot="1" x14ac:dyDescent="0.4">
      <c r="A126" s="21" t="s">
        <v>469</v>
      </c>
      <c r="B126" s="21" t="s">
        <v>413</v>
      </c>
      <c r="C126" s="29"/>
      <c r="D126">
        <v>0</v>
      </c>
      <c r="L126" t="s">
        <v>106</v>
      </c>
      <c r="M126" t="s">
        <v>519</v>
      </c>
      <c r="N126">
        <v>7.9193629909346205E-4</v>
      </c>
    </row>
    <row r="127" spans="1:14" ht="15" thickBot="1" x14ac:dyDescent="0.4">
      <c r="A127" s="21" t="s">
        <v>470</v>
      </c>
      <c r="B127" s="21" t="s">
        <v>413</v>
      </c>
      <c r="C127" s="29"/>
      <c r="D127">
        <v>40.361687196729697</v>
      </c>
      <c r="L127" t="s">
        <v>107</v>
      </c>
      <c r="M127" t="s">
        <v>519</v>
      </c>
      <c r="N127">
        <v>9.2870159119974604E-4</v>
      </c>
    </row>
    <row r="128" spans="1:14" ht="15" thickBot="1" x14ac:dyDescent="0.4">
      <c r="A128" s="21" t="s">
        <v>471</v>
      </c>
      <c r="B128" s="21" t="s">
        <v>413</v>
      </c>
      <c r="C128" s="29"/>
      <c r="D128">
        <v>0</v>
      </c>
      <c r="L128" t="s">
        <v>108</v>
      </c>
      <c r="M128" t="s">
        <v>519</v>
      </c>
      <c r="N128">
        <v>2.6149679728996702E-4</v>
      </c>
    </row>
    <row r="129" spans="1:14" ht="15" thickBot="1" x14ac:dyDescent="0.4">
      <c r="A129" s="21" t="s">
        <v>472</v>
      </c>
      <c r="B129" s="21" t="s">
        <v>413</v>
      </c>
      <c r="C129" s="29"/>
      <c r="D129">
        <v>74.239699999999999</v>
      </c>
      <c r="L129" t="s">
        <v>109</v>
      </c>
      <c r="M129" t="s">
        <v>519</v>
      </c>
      <c r="N129">
        <v>1.0939483392454401E-3</v>
      </c>
    </row>
    <row r="130" spans="1:14" ht="15" thickBot="1" x14ac:dyDescent="0.4">
      <c r="A130" s="111" t="s">
        <v>474</v>
      </c>
      <c r="B130" s="13"/>
      <c r="C130" s="13"/>
      <c r="L130" t="s">
        <v>110</v>
      </c>
      <c r="M130" t="s">
        <v>519</v>
      </c>
      <c r="N130">
        <v>5.6222390734090503E-4</v>
      </c>
    </row>
    <row r="131" spans="1:14" ht="15" thickBot="1" x14ac:dyDescent="0.4">
      <c r="A131" s="112" t="s">
        <v>476</v>
      </c>
      <c r="B131" s="68"/>
      <c r="C131" s="90"/>
      <c r="D131">
        <f>SUM(D132:D135)</f>
        <v>80129.159033600095</v>
      </c>
      <c r="L131" t="s">
        <v>111</v>
      </c>
      <c r="M131" t="s">
        <v>519</v>
      </c>
      <c r="N131">
        <v>9.2631621668251497E-4</v>
      </c>
    </row>
    <row r="132" spans="1:14" ht="15" thickBot="1" x14ac:dyDescent="0.4">
      <c r="A132" s="93" t="s">
        <v>478</v>
      </c>
      <c r="B132" s="93" t="s">
        <v>413</v>
      </c>
      <c r="C132" s="94"/>
      <c r="D132">
        <f>D6</f>
        <v>8778.125</v>
      </c>
      <c r="L132" t="s">
        <v>112</v>
      </c>
      <c r="M132" t="s">
        <v>519</v>
      </c>
      <c r="N132" s="64">
        <v>5.9371002838409498E-5</v>
      </c>
    </row>
    <row r="133" spans="1:14" ht="15" thickBot="1" x14ac:dyDescent="0.4">
      <c r="A133" s="93" t="s">
        <v>479</v>
      </c>
      <c r="B133" s="93" t="s">
        <v>413</v>
      </c>
      <c r="C133" s="94"/>
      <c r="D133" s="99">
        <f>D14</f>
        <v>48500.000000000102</v>
      </c>
      <c r="L133" t="s">
        <v>113</v>
      </c>
      <c r="M133" t="s">
        <v>519</v>
      </c>
      <c r="N133">
        <v>0.18274727550787101</v>
      </c>
    </row>
    <row r="134" spans="1:14" ht="15" thickBot="1" x14ac:dyDescent="0.4">
      <c r="A134" s="93" t="s">
        <v>300</v>
      </c>
      <c r="B134" s="93" t="s">
        <v>413</v>
      </c>
      <c r="C134" s="94"/>
      <c r="D134">
        <f>D91</f>
        <v>116.92104</v>
      </c>
      <c r="L134" t="s">
        <v>114</v>
      </c>
      <c r="M134" t="s">
        <v>519</v>
      </c>
      <c r="N134">
        <v>1.84961838797644E-3</v>
      </c>
    </row>
    <row r="135" spans="1:14" ht="15" thickBot="1" x14ac:dyDescent="0.4">
      <c r="A135" s="93" t="s">
        <v>481</v>
      </c>
      <c r="B135" s="93" t="s">
        <v>413</v>
      </c>
      <c r="C135" s="94"/>
      <c r="D135">
        <f>N156</f>
        <v>22734.1129936</v>
      </c>
      <c r="L135" t="s">
        <v>116</v>
      </c>
      <c r="M135" t="s">
        <v>519</v>
      </c>
      <c r="N135" s="64">
        <v>7.6256728722991004E-6</v>
      </c>
    </row>
    <row r="136" spans="1:14" ht="15" thickBot="1" x14ac:dyDescent="0.4">
      <c r="A136" s="17" t="s">
        <v>482</v>
      </c>
      <c r="B136" s="17" t="s">
        <v>413</v>
      </c>
      <c r="C136" s="17"/>
      <c r="D136">
        <f>N155</f>
        <v>0</v>
      </c>
      <c r="L136" t="s">
        <v>117</v>
      </c>
      <c r="M136" t="s">
        <v>519</v>
      </c>
      <c r="N136" s="64">
        <v>1.5183236319326501E-5</v>
      </c>
    </row>
    <row r="137" spans="1:14" ht="15" thickBot="1" x14ac:dyDescent="0.4">
      <c r="A137" s="113" t="s">
        <v>483</v>
      </c>
      <c r="B137" s="17"/>
      <c r="C137" s="94"/>
      <c r="D137">
        <f>D138+D139+D140+D141</f>
        <v>81652.777567164812</v>
      </c>
      <c r="L137" t="s">
        <v>118</v>
      </c>
      <c r="M137" t="s">
        <v>519</v>
      </c>
      <c r="N137" s="64">
        <v>5.74512860939496E-5</v>
      </c>
    </row>
    <row r="138" spans="1:14" ht="15" thickBot="1" x14ac:dyDescent="0.4">
      <c r="A138" s="93" t="s">
        <v>485</v>
      </c>
      <c r="B138" s="17" t="s">
        <v>413</v>
      </c>
      <c r="C138" s="94"/>
      <c r="D138">
        <f>D116</f>
        <v>1900.8565814287899</v>
      </c>
      <c r="G138" t="s">
        <v>999</v>
      </c>
      <c r="H138" t="s">
        <v>1000</v>
      </c>
      <c r="L138" t="s">
        <v>119</v>
      </c>
      <c r="M138" t="s">
        <v>519</v>
      </c>
      <c r="N138">
        <v>1.48957887528318E-4</v>
      </c>
    </row>
    <row r="139" spans="1:14" ht="15" thickBot="1" x14ac:dyDescent="0.4">
      <c r="A139" s="93" t="s">
        <v>487</v>
      </c>
      <c r="B139" s="17" t="s">
        <v>413</v>
      </c>
      <c r="C139" s="94"/>
      <c r="D139">
        <f>N163</f>
        <v>25223.695581335236</v>
      </c>
      <c r="F139" t="s">
        <v>998</v>
      </c>
      <c r="G139">
        <f>H139*D96/1000</f>
        <v>0.96063491999999995</v>
      </c>
      <c r="H139">
        <v>0.41</v>
      </c>
      <c r="I139" t="s">
        <v>1001</v>
      </c>
      <c r="L139" t="s">
        <v>120</v>
      </c>
      <c r="M139" t="s">
        <v>519</v>
      </c>
      <c r="N139">
        <v>1.19349921013865E-4</v>
      </c>
    </row>
    <row r="140" spans="1:14" ht="15" thickBot="1" x14ac:dyDescent="0.4">
      <c r="A140" s="93" t="s">
        <v>489</v>
      </c>
      <c r="B140" s="17" t="s">
        <v>413</v>
      </c>
      <c r="C140" s="94"/>
      <c r="D140">
        <f>D117+D87</f>
        <v>53618.850404400786</v>
      </c>
      <c r="L140" t="s">
        <v>121</v>
      </c>
      <c r="M140" t="s">
        <v>519</v>
      </c>
      <c r="N140">
        <v>6.2544447634002305E-4</v>
      </c>
    </row>
    <row r="141" spans="1:14" ht="15" thickBot="1" x14ac:dyDescent="0.4">
      <c r="A141" s="93" t="s">
        <v>382</v>
      </c>
      <c r="B141" s="17" t="s">
        <v>413</v>
      </c>
      <c r="C141" s="94"/>
      <c r="D141">
        <f>D8</f>
        <v>909.375</v>
      </c>
      <c r="L141" t="s">
        <v>122</v>
      </c>
      <c r="M141" t="s">
        <v>519</v>
      </c>
      <c r="N141" s="64">
        <v>2.3755007485898099E-6</v>
      </c>
    </row>
    <row r="142" spans="1:14" ht="15" thickBot="1" x14ac:dyDescent="0.4">
      <c r="A142" s="111"/>
      <c r="B142" s="13"/>
      <c r="C142" s="13"/>
      <c r="L142" t="s">
        <v>123</v>
      </c>
      <c r="M142" t="s">
        <v>519</v>
      </c>
      <c r="N142">
        <v>2.0336559542312501E-4</v>
      </c>
    </row>
    <row r="143" spans="1:14" ht="15" thickBot="1" x14ac:dyDescent="0.4">
      <c r="A143" s="93" t="s">
        <v>493</v>
      </c>
      <c r="B143" s="17"/>
      <c r="C143" s="94"/>
      <c r="D143">
        <f>(D131-D137)/D131</f>
        <v>-1.9014532935829598E-2</v>
      </c>
      <c r="L143" t="s">
        <v>125</v>
      </c>
      <c r="M143" t="s">
        <v>519</v>
      </c>
      <c r="N143">
        <v>1.6133138493223201E-3</v>
      </c>
    </row>
    <row r="144" spans="1:14" ht="15" thickBot="1" x14ac:dyDescent="0.4">
      <c r="A144" s="93"/>
      <c r="B144" s="17"/>
      <c r="C144" s="114"/>
      <c r="L144" t="s">
        <v>126</v>
      </c>
      <c r="M144" t="s">
        <v>519</v>
      </c>
      <c r="N144">
        <v>7.2827467742876998E-4</v>
      </c>
    </row>
    <row r="145" spans="1:14" ht="15" thickBot="1" x14ac:dyDescent="0.4">
      <c r="A145" s="93"/>
      <c r="B145" s="17"/>
      <c r="C145" s="77"/>
      <c r="F145" t="s">
        <v>1010</v>
      </c>
      <c r="G145">
        <f>D96/D6</f>
        <v>0.26691485938056247</v>
      </c>
      <c r="L145" t="s">
        <v>128</v>
      </c>
      <c r="M145" t="s">
        <v>519</v>
      </c>
      <c r="N145">
        <v>2.0898155063568399E-2</v>
      </c>
    </row>
    <row r="146" spans="1:14" ht="15" thickBot="1" x14ac:dyDescent="0.4">
      <c r="A146" s="93" t="s">
        <v>1004</v>
      </c>
      <c r="B146" s="17">
        <v>270.15355217527002</v>
      </c>
      <c r="C146" s="77" t="s">
        <v>1005</v>
      </c>
      <c r="D146">
        <f>B146/$D$132</f>
        <v>3.0775769560728517E-2</v>
      </c>
      <c r="F146" t="s">
        <v>1011</v>
      </c>
      <c r="G146">
        <f>D138/D96</f>
        <v>0.81128759964899444</v>
      </c>
      <c r="L146" t="s">
        <v>129</v>
      </c>
      <c r="M146" t="s">
        <v>519</v>
      </c>
      <c r="N146">
        <v>1.0588854256914301E-3</v>
      </c>
    </row>
    <row r="147" spans="1:14" ht="15" thickBot="1" x14ac:dyDescent="0.4">
      <c r="A147" s="93"/>
      <c r="B147" s="17">
        <v>905.5980762534</v>
      </c>
      <c r="C147" s="94" t="s">
        <v>1006</v>
      </c>
      <c r="D147">
        <f t="shared" ref="D147:D148" si="1">B147/$D$132</f>
        <v>0.10316532018550659</v>
      </c>
      <c r="F147" t="s">
        <v>1012</v>
      </c>
      <c r="G147">
        <f>B148/D138</f>
        <v>0.36679799388821782</v>
      </c>
      <c r="L147" t="s">
        <v>130</v>
      </c>
      <c r="M147" t="s">
        <v>519</v>
      </c>
      <c r="N147" s="64">
        <v>6.9217087847501597E-5</v>
      </c>
    </row>
    <row r="148" spans="1:14" ht="15" thickBot="1" x14ac:dyDescent="0.4">
      <c r="A148" s="94"/>
      <c r="B148" s="17">
        <v>697.23038073729595</v>
      </c>
      <c r="C148" s="94" t="s">
        <v>768</v>
      </c>
      <c r="D148">
        <f t="shared" si="1"/>
        <v>7.9428167260923707E-2</v>
      </c>
      <c r="L148" t="s">
        <v>135</v>
      </c>
      <c r="M148" t="s">
        <v>519</v>
      </c>
      <c r="N148">
        <v>3.4215374160903101E-4</v>
      </c>
    </row>
    <row r="149" spans="1:14" ht="15" thickBot="1" x14ac:dyDescent="0.4">
      <c r="A149" s="94"/>
      <c r="B149" s="17"/>
      <c r="C149" s="94"/>
      <c r="L149" t="s">
        <v>136</v>
      </c>
      <c r="M149" t="s">
        <v>519</v>
      </c>
      <c r="N149">
        <v>2.8825935029408602E-4</v>
      </c>
    </row>
    <row r="150" spans="1:14" ht="15" thickBot="1" x14ac:dyDescent="0.4">
      <c r="A150" s="94"/>
      <c r="B150" s="17"/>
      <c r="C150" s="77"/>
      <c r="L150" t="s">
        <v>138</v>
      </c>
      <c r="M150" t="s">
        <v>519</v>
      </c>
      <c r="N150" s="64">
        <v>8.6657473391656404E-6</v>
      </c>
    </row>
    <row r="151" spans="1:14" ht="15" thickBot="1" x14ac:dyDescent="0.4">
      <c r="A151" s="94"/>
      <c r="B151" s="17" t="s">
        <v>1008</v>
      </c>
      <c r="C151" s="77">
        <f>D96*8000/1000000</f>
        <v>18.744095999999999</v>
      </c>
      <c r="L151" t="s">
        <v>139</v>
      </c>
      <c r="M151" t="s">
        <v>519</v>
      </c>
      <c r="N151" s="64">
        <v>9.7921036941772297E-6</v>
      </c>
    </row>
    <row r="152" spans="1:14" x14ac:dyDescent="0.35">
      <c r="B152" t="s">
        <v>1007</v>
      </c>
      <c r="C152">
        <f>D116*8000/1000000</f>
        <v>15.206852651430321</v>
      </c>
      <c r="L152" t="s">
        <v>140</v>
      </c>
      <c r="M152" t="s">
        <v>519</v>
      </c>
      <c r="N152" s="64">
        <v>2.0111952125454699E-5</v>
      </c>
    </row>
    <row r="153" spans="1:14" x14ac:dyDescent="0.35">
      <c r="L153" t="s">
        <v>141</v>
      </c>
      <c r="M153" t="s">
        <v>519</v>
      </c>
      <c r="N153" s="64">
        <v>4.4384657367657501E-6</v>
      </c>
    </row>
    <row r="154" spans="1:14" ht="15" thickBot="1" x14ac:dyDescent="0.4">
      <c r="L154" t="s">
        <v>631</v>
      </c>
      <c r="M154" t="s">
        <v>519</v>
      </c>
      <c r="N154">
        <v>4.1943572291039102</v>
      </c>
    </row>
    <row r="155" spans="1:14" ht="15" thickBot="1" x14ac:dyDescent="0.4">
      <c r="L155" s="93" t="s">
        <v>496</v>
      </c>
      <c r="M155" s="93" t="s">
        <v>413</v>
      </c>
      <c r="N155" s="94">
        <v>0</v>
      </c>
    </row>
    <row r="156" spans="1:14" ht="15" thickBot="1" x14ac:dyDescent="0.4">
      <c r="B156">
        <f>B148*8000</f>
        <v>5577843.0458983677</v>
      </c>
      <c r="L156" s="93" t="s">
        <v>481</v>
      </c>
      <c r="M156" s="17"/>
      <c r="N156" s="94">
        <f>SUM(N157:N160)</f>
        <v>22734.1129936</v>
      </c>
    </row>
    <row r="157" spans="1:14" ht="15" thickBot="1" x14ac:dyDescent="0.4">
      <c r="L157" s="96" t="s">
        <v>497</v>
      </c>
      <c r="M157" s="96" t="s">
        <v>413</v>
      </c>
      <c r="N157" s="95">
        <v>5295.1614239999999</v>
      </c>
    </row>
    <row r="158" spans="1:14" ht="15" thickBot="1" x14ac:dyDescent="0.4">
      <c r="L158" s="96" t="s">
        <v>498</v>
      </c>
      <c r="M158" s="96" t="s">
        <v>413</v>
      </c>
      <c r="N158" s="95">
        <v>17438.951569600002</v>
      </c>
    </row>
    <row r="159" spans="1:14" ht="15" thickBot="1" x14ac:dyDescent="0.4">
      <c r="L159" s="96" t="s">
        <v>499</v>
      </c>
      <c r="M159" s="96" t="s">
        <v>413</v>
      </c>
      <c r="N159" s="95" t="s">
        <v>473</v>
      </c>
    </row>
    <row r="160" spans="1:14" ht="15" thickBot="1" x14ac:dyDescent="0.4">
      <c r="L160" s="96" t="s">
        <v>500</v>
      </c>
      <c r="M160" s="96" t="s">
        <v>413</v>
      </c>
      <c r="N160" s="95" t="s">
        <v>473</v>
      </c>
    </row>
    <row r="161" spans="12:14" ht="15" thickBot="1" x14ac:dyDescent="0.4">
      <c r="L161" s="17"/>
      <c r="M161" s="17"/>
      <c r="N161" s="17"/>
    </row>
    <row r="162" spans="12:14" ht="15" thickBot="1" x14ac:dyDescent="0.4">
      <c r="L162" s="67" t="s">
        <v>411</v>
      </c>
      <c r="M162" s="17"/>
      <c r="N162" s="70">
        <f>N163+N169+N175</f>
        <v>26133.070581335236</v>
      </c>
    </row>
    <row r="163" spans="12:14" ht="15" thickBot="1" x14ac:dyDescent="0.4">
      <c r="L163" s="93" t="s">
        <v>501</v>
      </c>
      <c r="M163" s="93" t="s">
        <v>413</v>
      </c>
      <c r="N163" s="94">
        <f>SUM(N164:N168)</f>
        <v>25223.695581335236</v>
      </c>
    </row>
    <row r="164" spans="12:14" ht="15" thickBot="1" x14ac:dyDescent="0.4">
      <c r="L164" s="96" t="s">
        <v>502</v>
      </c>
      <c r="M164" s="96" t="s">
        <v>413</v>
      </c>
      <c r="N164" s="95">
        <v>6333.3963701549801</v>
      </c>
    </row>
    <row r="165" spans="12:14" ht="15" thickBot="1" x14ac:dyDescent="0.4">
      <c r="L165" s="96" t="s">
        <v>415</v>
      </c>
      <c r="M165" s="96" t="s">
        <v>413</v>
      </c>
      <c r="N165" s="95">
        <v>1447.14</v>
      </c>
    </row>
    <row r="166" spans="12:14" ht="15" thickBot="1" x14ac:dyDescent="0.4">
      <c r="L166" s="96" t="s">
        <v>503</v>
      </c>
      <c r="M166" s="96" t="s">
        <v>413</v>
      </c>
      <c r="N166" s="95">
        <v>17438.951569600002</v>
      </c>
    </row>
    <row r="167" spans="12:14" ht="15" thickBot="1" x14ac:dyDescent="0.4">
      <c r="L167" s="96" t="s">
        <v>504</v>
      </c>
      <c r="M167" s="96" t="s">
        <v>413</v>
      </c>
      <c r="N167" s="95">
        <v>3.9376415802553</v>
      </c>
    </row>
    <row r="168" spans="12:14" ht="15" thickBot="1" x14ac:dyDescent="0.4">
      <c r="L168" s="96" t="s">
        <v>505</v>
      </c>
      <c r="M168" s="96" t="s">
        <v>413</v>
      </c>
      <c r="N168" s="95">
        <v>0.27</v>
      </c>
    </row>
    <row r="169" spans="12:14" ht="15" thickBot="1" x14ac:dyDescent="0.4">
      <c r="L169" s="93" t="s">
        <v>506</v>
      </c>
      <c r="M169" s="93" t="s">
        <v>413</v>
      </c>
      <c r="N169" s="94">
        <v>0</v>
      </c>
    </row>
    <row r="170" spans="12:14" ht="15" thickBot="1" x14ac:dyDescent="0.4">
      <c r="L170" s="96" t="s">
        <v>502</v>
      </c>
      <c r="M170" s="96" t="s">
        <v>413</v>
      </c>
      <c r="N170" s="95">
        <v>0</v>
      </c>
    </row>
    <row r="171" spans="12:14" ht="15" thickBot="1" x14ac:dyDescent="0.4">
      <c r="L171" s="96" t="s">
        <v>415</v>
      </c>
      <c r="M171" s="96" t="s">
        <v>413</v>
      </c>
      <c r="N171" s="95">
        <v>0</v>
      </c>
    </row>
    <row r="172" spans="12:14" ht="15" thickBot="1" x14ac:dyDescent="0.4">
      <c r="L172" s="96" t="s">
        <v>503</v>
      </c>
      <c r="M172" s="96" t="s">
        <v>413</v>
      </c>
      <c r="N172" s="95">
        <v>0</v>
      </c>
    </row>
    <row r="173" spans="12:14" ht="15" thickBot="1" x14ac:dyDescent="0.4">
      <c r="L173" s="96" t="s">
        <v>504</v>
      </c>
      <c r="M173" s="96" t="s">
        <v>413</v>
      </c>
      <c r="N173" s="95">
        <v>0</v>
      </c>
    </row>
    <row r="174" spans="12:14" ht="15" thickBot="1" x14ac:dyDescent="0.4">
      <c r="L174" s="96"/>
      <c r="M174" s="96"/>
      <c r="N174" s="17"/>
    </row>
    <row r="175" spans="12:14" ht="15" thickBot="1" x14ac:dyDescent="0.4">
      <c r="L175" s="93" t="s">
        <v>507</v>
      </c>
      <c r="M175" s="96" t="s">
        <v>413</v>
      </c>
      <c r="N175" s="95">
        <f>N105</f>
        <v>909.375</v>
      </c>
    </row>
  </sheetData>
  <hyperlinks>
    <hyperlink ref="A15" r:id="rId1" location="rangeid=1683197145" display="https://docs.google.com/spreadsheets/d/1m0lR_lQfkmeN9bK33kXO5TYEvZGSXG9z7Usf_a0I6Xk/edit - rangeid=1683197145" xr:uid="{BECFE15A-B3C5-4285-BEA6-038381830C8B}"/>
    <hyperlink ref="A83" r:id="rId2" location="rangeid=1966810199" display="https://docs.google.com/spreadsheets/d/1m0lR_lQfkmeN9bK33kXO5TYEvZGSXG9z7Usf_a0I6Xk/edit - rangeid=1966810199" xr:uid="{59C9F158-0A58-4090-9C69-860AE6585189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59E1D-1631-4ABD-BBF1-380319595193}">
  <dimension ref="A2:S88"/>
  <sheetViews>
    <sheetView topLeftCell="A4" workbookViewId="0">
      <selection activeCell="S58" sqref="S58"/>
    </sheetView>
  </sheetViews>
  <sheetFormatPr defaultRowHeight="14.5" x14ac:dyDescent="0.35"/>
  <cols>
    <col min="1" max="1" width="27.7265625" customWidth="1"/>
    <col min="3" max="3" width="11.08984375" customWidth="1"/>
    <col min="4" max="4" width="11.6328125" bestFit="1" customWidth="1"/>
    <col min="7" max="7" width="19.54296875" customWidth="1"/>
    <col min="11" max="11" width="33.36328125" customWidth="1"/>
    <col min="12" max="12" width="18" customWidth="1"/>
    <col min="17" max="17" width="15.7265625" customWidth="1"/>
    <col min="18" max="18" width="15.08984375" customWidth="1"/>
  </cols>
  <sheetData>
    <row r="2" spans="1:19" x14ac:dyDescent="0.35">
      <c r="A2" t="s">
        <v>508</v>
      </c>
    </row>
    <row r="3" spans="1:19" x14ac:dyDescent="0.35">
      <c r="L3" t="s">
        <v>509</v>
      </c>
    </row>
    <row r="4" spans="1:19" x14ac:dyDescent="0.35">
      <c r="A4" t="s">
        <v>510</v>
      </c>
      <c r="B4">
        <v>0</v>
      </c>
      <c r="K4" t="s">
        <v>511</v>
      </c>
      <c r="P4" t="s">
        <v>512</v>
      </c>
      <c r="Q4" t="s">
        <v>513</v>
      </c>
      <c r="R4" t="s">
        <v>514</v>
      </c>
      <c r="S4" t="s">
        <v>515</v>
      </c>
    </row>
    <row r="5" spans="1:19" x14ac:dyDescent="0.35">
      <c r="A5" t="s">
        <v>516</v>
      </c>
      <c r="B5">
        <v>8.6382678300000002</v>
      </c>
      <c r="C5" t="s">
        <v>517</v>
      </c>
      <c r="K5" s="115">
        <f>P5/$P$47</f>
        <v>0.29564076827483793</v>
      </c>
      <c r="L5" t="s">
        <v>518</v>
      </c>
      <c r="M5" t="s">
        <v>519</v>
      </c>
      <c r="N5">
        <v>100.234387797651</v>
      </c>
      <c r="P5">
        <f>N5+O5</f>
        <v>100.234387797651</v>
      </c>
      <c r="Q5">
        <v>2</v>
      </c>
      <c r="R5">
        <v>141.80000000000001</v>
      </c>
      <c r="S5">
        <f>R5*P5</f>
        <v>14213.236189706913</v>
      </c>
    </row>
    <row r="6" spans="1:19" x14ac:dyDescent="0.35">
      <c r="B6">
        <v>99.8859432</v>
      </c>
      <c r="K6" s="115">
        <f t="shared" ref="K6:K46" si="0">P6/$P$47</f>
        <v>0</v>
      </c>
      <c r="L6" t="s">
        <v>453</v>
      </c>
      <c r="M6" t="s">
        <v>519</v>
      </c>
      <c r="N6">
        <v>0</v>
      </c>
      <c r="P6">
        <f t="shared" ref="P6:P46" si="1">N6+O6</f>
        <v>0</v>
      </c>
      <c r="Q6">
        <v>18</v>
      </c>
      <c r="R6">
        <v>0</v>
      </c>
      <c r="S6">
        <f t="shared" ref="S6:S46" si="2">R6*P6</f>
        <v>0</v>
      </c>
    </row>
    <row r="7" spans="1:19" x14ac:dyDescent="0.35">
      <c r="B7">
        <v>102.301069</v>
      </c>
      <c r="K7" s="115">
        <f t="shared" si="0"/>
        <v>0</v>
      </c>
      <c r="L7" t="s">
        <v>520</v>
      </c>
      <c r="M7" t="s">
        <v>519</v>
      </c>
      <c r="N7">
        <v>0</v>
      </c>
      <c r="P7">
        <f t="shared" si="1"/>
        <v>0</v>
      </c>
      <c r="Q7">
        <v>0</v>
      </c>
      <c r="R7" s="116">
        <v>0</v>
      </c>
      <c r="S7">
        <f t="shared" si="2"/>
        <v>0</v>
      </c>
    </row>
    <row r="8" spans="1:19" x14ac:dyDescent="0.35">
      <c r="B8">
        <f>136.600001+922</f>
        <v>1058.600001</v>
      </c>
      <c r="K8" s="115">
        <f t="shared" si="0"/>
        <v>0.14711221564031779</v>
      </c>
      <c r="L8" t="s">
        <v>454</v>
      </c>
      <c r="M8" t="s">
        <v>519</v>
      </c>
      <c r="N8">
        <v>49.877095633018897</v>
      </c>
      <c r="P8">
        <f t="shared" si="1"/>
        <v>49.877095633018897</v>
      </c>
      <c r="Q8">
        <v>16.04</v>
      </c>
      <c r="R8" s="116">
        <v>55.5</v>
      </c>
      <c r="S8">
        <f t="shared" si="2"/>
        <v>2768.1788076325488</v>
      </c>
    </row>
    <row r="9" spans="1:19" x14ac:dyDescent="0.35">
      <c r="B9">
        <f>SUM(B4:B8)</f>
        <v>1269.42528103</v>
      </c>
      <c r="C9" t="s">
        <v>517</v>
      </c>
      <c r="K9" s="115">
        <f t="shared" si="0"/>
        <v>0</v>
      </c>
      <c r="L9" t="s">
        <v>455</v>
      </c>
      <c r="M9" t="s">
        <v>519</v>
      </c>
      <c r="N9">
        <v>0</v>
      </c>
      <c r="P9">
        <f t="shared" si="1"/>
        <v>0</v>
      </c>
      <c r="Q9">
        <v>84.12</v>
      </c>
      <c r="R9" s="116"/>
      <c r="S9">
        <f t="shared" si="2"/>
        <v>0</v>
      </c>
    </row>
    <row r="10" spans="1:19" x14ac:dyDescent="0.35">
      <c r="B10">
        <f>B9/'Mass balances '!D6</f>
        <v>0.14461234956553934</v>
      </c>
      <c r="C10" t="s">
        <v>521</v>
      </c>
      <c r="K10" s="115">
        <f t="shared" si="0"/>
        <v>0</v>
      </c>
      <c r="L10" t="s">
        <v>94</v>
      </c>
      <c r="M10" t="s">
        <v>519</v>
      </c>
      <c r="N10">
        <v>0</v>
      </c>
      <c r="P10">
        <f t="shared" si="1"/>
        <v>0</v>
      </c>
      <c r="Q10">
        <v>82.04</v>
      </c>
      <c r="R10" s="116"/>
      <c r="S10">
        <f t="shared" si="2"/>
        <v>0</v>
      </c>
    </row>
    <row r="11" spans="1:19" x14ac:dyDescent="0.35">
      <c r="A11" t="s">
        <v>522</v>
      </c>
      <c r="K11" s="115">
        <f t="shared" si="0"/>
        <v>0</v>
      </c>
      <c r="L11" t="s">
        <v>101</v>
      </c>
      <c r="M11" t="s">
        <v>519</v>
      </c>
      <c r="N11">
        <v>0</v>
      </c>
      <c r="P11">
        <f t="shared" si="1"/>
        <v>0</v>
      </c>
      <c r="Q11">
        <v>96.12</v>
      </c>
      <c r="R11" s="116"/>
      <c r="S11">
        <f t="shared" si="2"/>
        <v>0</v>
      </c>
    </row>
    <row r="12" spans="1:19" x14ac:dyDescent="0.35">
      <c r="B12" s="99"/>
      <c r="K12" s="115">
        <f t="shared" si="0"/>
        <v>0</v>
      </c>
      <c r="L12" t="s">
        <v>457</v>
      </c>
      <c r="M12" t="s">
        <v>519</v>
      </c>
      <c r="N12">
        <v>0</v>
      </c>
      <c r="P12">
        <f t="shared" si="1"/>
        <v>0</v>
      </c>
      <c r="Q12">
        <v>110.11</v>
      </c>
      <c r="R12" s="116"/>
      <c r="S12">
        <f t="shared" si="2"/>
        <v>0</v>
      </c>
    </row>
    <row r="13" spans="1:19" x14ac:dyDescent="0.35">
      <c r="K13" s="115">
        <f t="shared" si="0"/>
        <v>0</v>
      </c>
      <c r="L13" t="s">
        <v>458</v>
      </c>
      <c r="M13" t="s">
        <v>519</v>
      </c>
      <c r="N13">
        <v>0</v>
      </c>
      <c r="P13">
        <f t="shared" si="1"/>
        <v>0</v>
      </c>
      <c r="Q13">
        <v>86.09</v>
      </c>
      <c r="R13" s="116"/>
      <c r="S13">
        <f t="shared" si="2"/>
        <v>0</v>
      </c>
    </row>
    <row r="14" spans="1:19" x14ac:dyDescent="0.35">
      <c r="A14" t="s">
        <v>523</v>
      </c>
      <c r="K14" s="115">
        <f t="shared" si="0"/>
        <v>0</v>
      </c>
      <c r="L14" t="s">
        <v>459</v>
      </c>
      <c r="M14" t="s">
        <v>519</v>
      </c>
      <c r="N14">
        <v>0</v>
      </c>
      <c r="P14">
        <f t="shared" si="1"/>
        <v>0</v>
      </c>
      <c r="Q14">
        <v>114.14</v>
      </c>
      <c r="R14" s="116"/>
      <c r="S14">
        <f t="shared" si="2"/>
        <v>0</v>
      </c>
    </row>
    <row r="15" spans="1:19" x14ac:dyDescent="0.35">
      <c r="A15" t="s">
        <v>524</v>
      </c>
      <c r="K15" s="115">
        <f t="shared" si="0"/>
        <v>0</v>
      </c>
      <c r="L15" t="s">
        <v>102</v>
      </c>
      <c r="M15" t="s">
        <v>519</v>
      </c>
      <c r="N15">
        <v>0</v>
      </c>
      <c r="P15">
        <f t="shared" si="1"/>
        <v>0</v>
      </c>
      <c r="Q15">
        <v>96.13</v>
      </c>
      <c r="R15" s="116"/>
      <c r="S15">
        <f t="shared" si="2"/>
        <v>0</v>
      </c>
    </row>
    <row r="16" spans="1:19" x14ac:dyDescent="0.35">
      <c r="A16" s="117" t="s">
        <v>525</v>
      </c>
      <c r="B16">
        <v>-20738.139469588801</v>
      </c>
      <c r="C16" t="s">
        <v>526</v>
      </c>
      <c r="D16">
        <v>0</v>
      </c>
      <c r="E16">
        <v>235792.315611072</v>
      </c>
      <c r="F16">
        <v>-2945.5844405702401</v>
      </c>
      <c r="K16" s="115">
        <f t="shared" si="0"/>
        <v>0</v>
      </c>
      <c r="L16" t="s">
        <v>103</v>
      </c>
      <c r="M16" t="s">
        <v>519</v>
      </c>
      <c r="N16">
        <v>0</v>
      </c>
      <c r="P16">
        <f t="shared" si="1"/>
        <v>0</v>
      </c>
      <c r="Q16">
        <v>110.15</v>
      </c>
      <c r="R16" s="116"/>
      <c r="S16">
        <f t="shared" si="2"/>
        <v>0</v>
      </c>
    </row>
    <row r="17" spans="1:19" x14ac:dyDescent="0.35">
      <c r="A17" t="s">
        <v>527</v>
      </c>
      <c r="B17">
        <v>59637.645767116803</v>
      </c>
      <c r="C17" t="s">
        <v>526</v>
      </c>
      <c r="D17">
        <v>73.332056758406296</v>
      </c>
      <c r="E17">
        <v>0</v>
      </c>
      <c r="F17">
        <v>0</v>
      </c>
      <c r="K17" s="115">
        <f t="shared" si="0"/>
        <v>0</v>
      </c>
      <c r="L17" t="s">
        <v>105</v>
      </c>
      <c r="M17" t="s">
        <v>519</v>
      </c>
      <c r="N17">
        <v>0</v>
      </c>
      <c r="P17">
        <f t="shared" si="1"/>
        <v>0</v>
      </c>
      <c r="Q17">
        <v>110.15</v>
      </c>
      <c r="R17" s="116"/>
      <c r="S17">
        <f t="shared" si="2"/>
        <v>0</v>
      </c>
    </row>
    <row r="18" spans="1:19" x14ac:dyDescent="0.35">
      <c r="A18" s="116"/>
      <c r="B18">
        <f>B16+B17+D16+D17+E16+E17+F16+F17</f>
        <v>271819.56952478812</v>
      </c>
      <c r="C18" t="s">
        <v>526</v>
      </c>
      <c r="K18" s="115">
        <f t="shared" si="0"/>
        <v>0</v>
      </c>
      <c r="L18" t="s">
        <v>121</v>
      </c>
      <c r="M18" t="s">
        <v>519</v>
      </c>
      <c r="N18">
        <v>0</v>
      </c>
      <c r="P18">
        <f t="shared" si="1"/>
        <v>0</v>
      </c>
      <c r="Q18">
        <v>112.13</v>
      </c>
      <c r="R18" s="116"/>
      <c r="S18">
        <f t="shared" si="2"/>
        <v>0</v>
      </c>
    </row>
    <row r="19" spans="1:19" x14ac:dyDescent="0.35">
      <c r="B19">
        <f>B18/'Mass balances '!D27</f>
        <v>1.2495723098874911</v>
      </c>
      <c r="C19" t="s">
        <v>528</v>
      </c>
      <c r="K19" s="115">
        <f t="shared" si="0"/>
        <v>0</v>
      </c>
      <c r="L19" t="s">
        <v>463</v>
      </c>
      <c r="M19" t="s">
        <v>519</v>
      </c>
      <c r="N19">
        <v>0</v>
      </c>
      <c r="P19">
        <f t="shared" si="1"/>
        <v>0</v>
      </c>
      <c r="Q19">
        <v>126.15300000000001</v>
      </c>
      <c r="R19" s="116"/>
      <c r="S19">
        <f t="shared" si="2"/>
        <v>0</v>
      </c>
    </row>
    <row r="20" spans="1:19" x14ac:dyDescent="0.35">
      <c r="K20" s="115">
        <f t="shared" si="0"/>
        <v>0</v>
      </c>
      <c r="L20" t="s">
        <v>465</v>
      </c>
      <c r="M20" t="s">
        <v>519</v>
      </c>
      <c r="N20">
        <v>0</v>
      </c>
      <c r="P20">
        <f t="shared" si="1"/>
        <v>0</v>
      </c>
      <c r="Q20">
        <v>166.17599999999999</v>
      </c>
      <c r="R20" s="116"/>
      <c r="S20">
        <f t="shared" si="2"/>
        <v>0</v>
      </c>
    </row>
    <row r="21" spans="1:19" x14ac:dyDescent="0.35">
      <c r="A21" t="s">
        <v>529</v>
      </c>
      <c r="K21" s="115">
        <f t="shared" si="0"/>
        <v>0</v>
      </c>
      <c r="L21" t="s">
        <v>466</v>
      </c>
      <c r="M21" t="s">
        <v>519</v>
      </c>
      <c r="N21">
        <v>0</v>
      </c>
      <c r="P21">
        <f t="shared" si="1"/>
        <v>0</v>
      </c>
      <c r="Q21">
        <v>210.227</v>
      </c>
      <c r="R21" s="116"/>
      <c r="S21">
        <f t="shared" si="2"/>
        <v>0</v>
      </c>
    </row>
    <row r="22" spans="1:19" x14ac:dyDescent="0.35">
      <c r="A22" s="117" t="s">
        <v>510</v>
      </c>
      <c r="E22" t="s">
        <v>530</v>
      </c>
      <c r="G22" t="s">
        <v>531</v>
      </c>
      <c r="K22" s="115">
        <f t="shared" si="0"/>
        <v>0</v>
      </c>
      <c r="L22" t="s">
        <v>100</v>
      </c>
      <c r="M22" t="s">
        <v>519</v>
      </c>
      <c r="N22">
        <v>0</v>
      </c>
      <c r="P22">
        <f t="shared" si="1"/>
        <v>0</v>
      </c>
      <c r="Q22">
        <v>282.45999999999998</v>
      </c>
      <c r="R22" s="116"/>
      <c r="S22">
        <f t="shared" si="2"/>
        <v>0</v>
      </c>
    </row>
    <row r="23" spans="1:19" x14ac:dyDescent="0.35">
      <c r="A23" s="118" t="s">
        <v>532</v>
      </c>
      <c r="B23">
        <v>265</v>
      </c>
      <c r="C23" t="s">
        <v>517</v>
      </c>
      <c r="E23">
        <f>B23+B24</f>
        <v>288</v>
      </c>
      <c r="G23">
        <v>7.0000000000000007E-2</v>
      </c>
      <c r="H23" t="s">
        <v>533</v>
      </c>
      <c r="K23" s="115">
        <f t="shared" si="0"/>
        <v>0</v>
      </c>
      <c r="L23" t="s">
        <v>113</v>
      </c>
      <c r="M23" t="s">
        <v>519</v>
      </c>
      <c r="N23">
        <v>0</v>
      </c>
      <c r="P23">
        <f t="shared" si="1"/>
        <v>0</v>
      </c>
      <c r="Q23">
        <v>94</v>
      </c>
      <c r="R23" s="116"/>
      <c r="S23">
        <f t="shared" si="2"/>
        <v>0</v>
      </c>
    </row>
    <row r="24" spans="1:19" x14ac:dyDescent="0.35">
      <c r="A24" s="118" t="s">
        <v>534</v>
      </c>
      <c r="B24">
        <v>23</v>
      </c>
      <c r="C24" t="s">
        <v>517</v>
      </c>
      <c r="E24">
        <f>E23/'Mass balances '!D95</f>
        <v>0.11518642057166542</v>
      </c>
      <c r="K24" s="115">
        <f t="shared" si="0"/>
        <v>0</v>
      </c>
      <c r="L24" t="s">
        <v>115</v>
      </c>
      <c r="M24" t="s">
        <v>519</v>
      </c>
      <c r="N24">
        <v>0</v>
      </c>
      <c r="P24">
        <f t="shared" si="1"/>
        <v>0</v>
      </c>
      <c r="Q24">
        <v>108.14</v>
      </c>
      <c r="R24" s="116"/>
      <c r="S24">
        <f t="shared" si="2"/>
        <v>0</v>
      </c>
    </row>
    <row r="25" spans="1:19" x14ac:dyDescent="0.35">
      <c r="A25" s="117" t="s">
        <v>535</v>
      </c>
      <c r="B25">
        <f>SUM(B26:F26)</f>
        <v>-4113.4163725737553</v>
      </c>
      <c r="C25" t="s">
        <v>526</v>
      </c>
      <c r="K25" s="115">
        <f t="shared" si="0"/>
        <v>0</v>
      </c>
      <c r="L25" t="s">
        <v>468</v>
      </c>
      <c r="M25" t="s">
        <v>519</v>
      </c>
      <c r="N25">
        <v>0</v>
      </c>
      <c r="P25">
        <f t="shared" si="1"/>
        <v>0</v>
      </c>
      <c r="Q25">
        <v>124.14</v>
      </c>
      <c r="R25" s="116"/>
      <c r="S25">
        <f t="shared" si="2"/>
        <v>0</v>
      </c>
    </row>
    <row r="26" spans="1:19" x14ac:dyDescent="0.35">
      <c r="B26">
        <v>1124.5446860613099</v>
      </c>
      <c r="C26">
        <v>-5076.3247027473599</v>
      </c>
      <c r="D26">
        <v>-167.253690032208</v>
      </c>
      <c r="E26">
        <v>5.6173341445027196</v>
      </c>
      <c r="K26" s="115">
        <f t="shared" si="0"/>
        <v>0</v>
      </c>
      <c r="L26" t="s">
        <v>119</v>
      </c>
      <c r="M26" t="s">
        <v>519</v>
      </c>
      <c r="N26">
        <v>0</v>
      </c>
      <c r="P26">
        <f t="shared" si="1"/>
        <v>0</v>
      </c>
      <c r="Q26">
        <v>122.16</v>
      </c>
      <c r="R26" s="116"/>
      <c r="S26">
        <f t="shared" si="2"/>
        <v>0</v>
      </c>
    </row>
    <row r="27" spans="1:19" x14ac:dyDescent="0.35">
      <c r="K27" s="115">
        <f t="shared" si="0"/>
        <v>0</v>
      </c>
      <c r="L27" t="s">
        <v>120</v>
      </c>
      <c r="M27" t="s">
        <v>519</v>
      </c>
      <c r="N27">
        <v>0</v>
      </c>
      <c r="P27">
        <f t="shared" si="1"/>
        <v>0</v>
      </c>
      <c r="Q27">
        <v>138.16</v>
      </c>
      <c r="R27" s="116"/>
      <c r="S27">
        <f t="shared" si="2"/>
        <v>0</v>
      </c>
    </row>
    <row r="28" spans="1:19" x14ac:dyDescent="0.35">
      <c r="K28" s="115">
        <f t="shared" si="0"/>
        <v>0</v>
      </c>
      <c r="L28" t="s">
        <v>123</v>
      </c>
      <c r="M28" t="s">
        <v>519</v>
      </c>
      <c r="N28">
        <v>0</v>
      </c>
      <c r="P28">
        <f t="shared" si="1"/>
        <v>0</v>
      </c>
      <c r="Q28">
        <v>110.1</v>
      </c>
      <c r="R28" s="116"/>
      <c r="S28">
        <f t="shared" si="2"/>
        <v>0</v>
      </c>
    </row>
    <row r="29" spans="1:19" x14ac:dyDescent="0.35">
      <c r="K29" s="115">
        <f t="shared" si="0"/>
        <v>0</v>
      </c>
      <c r="L29" t="s">
        <v>138</v>
      </c>
      <c r="M29" t="s">
        <v>519</v>
      </c>
      <c r="N29">
        <v>0</v>
      </c>
      <c r="P29">
        <f t="shared" si="1"/>
        <v>0</v>
      </c>
      <c r="Q29">
        <v>140.13659999999999</v>
      </c>
      <c r="R29" s="116"/>
      <c r="S29">
        <f t="shared" si="2"/>
        <v>0</v>
      </c>
    </row>
    <row r="30" spans="1:19" x14ac:dyDescent="0.35">
      <c r="K30" s="115">
        <f t="shared" si="0"/>
        <v>0</v>
      </c>
      <c r="L30" t="s">
        <v>475</v>
      </c>
      <c r="M30" t="s">
        <v>519</v>
      </c>
      <c r="N30">
        <v>0</v>
      </c>
      <c r="P30">
        <f t="shared" si="1"/>
        <v>0</v>
      </c>
      <c r="Q30">
        <v>124.13720000000001</v>
      </c>
      <c r="R30" s="116"/>
      <c r="S30">
        <f t="shared" si="2"/>
        <v>0</v>
      </c>
    </row>
    <row r="31" spans="1:19" x14ac:dyDescent="0.35">
      <c r="K31" s="115">
        <f t="shared" si="0"/>
        <v>0</v>
      </c>
      <c r="L31" t="s">
        <v>477</v>
      </c>
      <c r="M31" t="s">
        <v>519</v>
      </c>
      <c r="N31">
        <v>0</v>
      </c>
      <c r="P31">
        <f t="shared" si="1"/>
        <v>0</v>
      </c>
      <c r="Q31">
        <v>152.19</v>
      </c>
      <c r="R31" s="116"/>
      <c r="S31">
        <f t="shared" si="2"/>
        <v>0</v>
      </c>
    </row>
    <row r="32" spans="1:19" x14ac:dyDescent="0.35">
      <c r="A32" t="s">
        <v>536</v>
      </c>
      <c r="B32">
        <f>B9+F17</f>
        <v>1269.42528103</v>
      </c>
      <c r="C32" t="s">
        <v>537</v>
      </c>
      <c r="K32" s="115">
        <f t="shared" si="0"/>
        <v>0</v>
      </c>
      <c r="L32" t="s">
        <v>140</v>
      </c>
      <c r="M32" t="s">
        <v>519</v>
      </c>
      <c r="N32">
        <v>0</v>
      </c>
      <c r="P32">
        <f t="shared" si="1"/>
        <v>0</v>
      </c>
      <c r="Q32">
        <v>124.13720000000001</v>
      </c>
      <c r="R32" s="116"/>
      <c r="S32">
        <f t="shared" si="2"/>
        <v>0</v>
      </c>
    </row>
    <row r="33" spans="1:19" x14ac:dyDescent="0.35">
      <c r="A33" t="s">
        <v>538</v>
      </c>
      <c r="B33" s="99">
        <f>B12+B18</f>
        <v>271819.56952478812</v>
      </c>
      <c r="C33" t="s">
        <v>526</v>
      </c>
      <c r="K33" s="115">
        <f t="shared" si="0"/>
        <v>0</v>
      </c>
      <c r="L33" t="s">
        <v>116</v>
      </c>
      <c r="M33" t="s">
        <v>519</v>
      </c>
      <c r="N33">
        <v>0</v>
      </c>
      <c r="P33">
        <f t="shared" si="1"/>
        <v>0</v>
      </c>
      <c r="Q33">
        <v>154.16</v>
      </c>
      <c r="R33" s="116"/>
      <c r="S33">
        <f t="shared" si="2"/>
        <v>0</v>
      </c>
    </row>
    <row r="34" spans="1:19" x14ac:dyDescent="0.35">
      <c r="J34" s="119"/>
      <c r="K34" s="115">
        <f t="shared" si="0"/>
        <v>0</v>
      </c>
      <c r="L34" t="s">
        <v>480</v>
      </c>
      <c r="M34" t="s">
        <v>519</v>
      </c>
      <c r="N34">
        <v>0</v>
      </c>
      <c r="P34">
        <f t="shared" si="1"/>
        <v>0</v>
      </c>
      <c r="Q34">
        <v>164.2</v>
      </c>
      <c r="R34" s="116"/>
      <c r="S34">
        <f t="shared" si="2"/>
        <v>0</v>
      </c>
    </row>
    <row r="35" spans="1:19" x14ac:dyDescent="0.35">
      <c r="K35" s="115">
        <f t="shared" si="0"/>
        <v>0</v>
      </c>
      <c r="L35" t="s">
        <v>122</v>
      </c>
      <c r="M35" t="s">
        <v>519</v>
      </c>
      <c r="N35">
        <v>0</v>
      </c>
      <c r="P35">
        <f t="shared" si="1"/>
        <v>0</v>
      </c>
      <c r="Q35">
        <v>166.21700000000001</v>
      </c>
      <c r="R35" s="116"/>
      <c r="S35">
        <f t="shared" si="2"/>
        <v>0</v>
      </c>
    </row>
    <row r="36" spans="1:19" x14ac:dyDescent="0.35">
      <c r="K36" s="115">
        <f t="shared" si="0"/>
        <v>0</v>
      </c>
      <c r="L36" t="s">
        <v>97</v>
      </c>
      <c r="M36" t="s">
        <v>519</v>
      </c>
      <c r="N36">
        <v>0</v>
      </c>
      <c r="P36">
        <f t="shared" si="1"/>
        <v>0</v>
      </c>
      <c r="Q36">
        <v>256.39999999999998</v>
      </c>
      <c r="R36" s="116"/>
      <c r="S36">
        <f t="shared" si="2"/>
        <v>0</v>
      </c>
    </row>
    <row r="37" spans="1:19" x14ac:dyDescent="0.35">
      <c r="K37" s="115">
        <f t="shared" si="0"/>
        <v>0</v>
      </c>
      <c r="L37" t="s">
        <v>484</v>
      </c>
      <c r="M37" t="s">
        <v>519</v>
      </c>
      <c r="N37">
        <v>0</v>
      </c>
      <c r="P37">
        <f t="shared" si="1"/>
        <v>0</v>
      </c>
      <c r="Q37">
        <v>282.45999999999998</v>
      </c>
      <c r="R37" s="116"/>
      <c r="S37">
        <f t="shared" si="2"/>
        <v>0</v>
      </c>
    </row>
    <row r="38" spans="1:19" x14ac:dyDescent="0.35">
      <c r="A38" t="s">
        <v>322</v>
      </c>
      <c r="K38" s="115">
        <f t="shared" si="0"/>
        <v>0</v>
      </c>
      <c r="L38" t="s">
        <v>486</v>
      </c>
      <c r="M38" t="s">
        <v>519</v>
      </c>
      <c r="N38">
        <v>0</v>
      </c>
      <c r="P38">
        <f t="shared" si="1"/>
        <v>0</v>
      </c>
      <c r="Q38">
        <v>270.45</v>
      </c>
      <c r="S38">
        <f t="shared" si="2"/>
        <v>0</v>
      </c>
    </row>
    <row r="39" spans="1:19" x14ac:dyDescent="0.35">
      <c r="A39" t="s">
        <v>539</v>
      </c>
      <c r="B39" t="s">
        <v>526</v>
      </c>
      <c r="C39">
        <f>S47</f>
        <v>86261.429027340666</v>
      </c>
      <c r="K39" s="115">
        <f t="shared" si="0"/>
        <v>0</v>
      </c>
      <c r="L39" t="s">
        <v>488</v>
      </c>
      <c r="M39" t="s">
        <v>519</v>
      </c>
      <c r="N39">
        <v>0</v>
      </c>
      <c r="P39">
        <f t="shared" si="1"/>
        <v>0</v>
      </c>
      <c r="Q39">
        <v>294.5</v>
      </c>
      <c r="S39">
        <f t="shared" si="2"/>
        <v>0</v>
      </c>
    </row>
    <row r="40" spans="1:19" x14ac:dyDescent="0.35">
      <c r="A40" t="s">
        <v>540</v>
      </c>
      <c r="B40" t="s">
        <v>526</v>
      </c>
      <c r="C40">
        <f>C39*'[1]Process variables '!G19</f>
        <v>69009.143221872539</v>
      </c>
      <c r="K40" s="115">
        <f t="shared" si="0"/>
        <v>0</v>
      </c>
      <c r="L40" t="s">
        <v>490</v>
      </c>
      <c r="M40" t="s">
        <v>519</v>
      </c>
      <c r="N40">
        <v>0</v>
      </c>
      <c r="P40">
        <f t="shared" si="1"/>
        <v>0</v>
      </c>
      <c r="Q40">
        <v>296.5</v>
      </c>
      <c r="S40">
        <f t="shared" si="2"/>
        <v>0</v>
      </c>
    </row>
    <row r="41" spans="1:19" x14ac:dyDescent="0.35">
      <c r="A41" t="s">
        <v>541</v>
      </c>
      <c r="B41" t="s">
        <v>542</v>
      </c>
      <c r="C41">
        <f>(C40*'[1]Process variables '!G21/3.6)</f>
        <v>15335.36516041612</v>
      </c>
      <c r="K41" s="115">
        <f t="shared" si="0"/>
        <v>0</v>
      </c>
      <c r="L41" t="s">
        <v>491</v>
      </c>
      <c r="M41" t="s">
        <v>519</v>
      </c>
      <c r="N41">
        <v>0</v>
      </c>
      <c r="P41">
        <f t="shared" si="1"/>
        <v>0</v>
      </c>
      <c r="Q41">
        <v>296.5</v>
      </c>
      <c r="S41">
        <f t="shared" si="2"/>
        <v>0</v>
      </c>
    </row>
    <row r="42" spans="1:19" x14ac:dyDescent="0.35">
      <c r="A42" t="s">
        <v>543</v>
      </c>
      <c r="K42" s="115">
        <f t="shared" si="0"/>
        <v>0</v>
      </c>
      <c r="L42" t="s">
        <v>544</v>
      </c>
      <c r="M42" t="s">
        <v>519</v>
      </c>
      <c r="N42">
        <v>0</v>
      </c>
      <c r="P42">
        <f t="shared" si="1"/>
        <v>0</v>
      </c>
      <c r="S42">
        <f t="shared" si="2"/>
        <v>0</v>
      </c>
    </row>
    <row r="43" spans="1:19" x14ac:dyDescent="0.35">
      <c r="A43" t="s">
        <v>545</v>
      </c>
      <c r="B43" t="s">
        <v>542</v>
      </c>
      <c r="C43">
        <f>B32</f>
        <v>1269.42528103</v>
      </c>
      <c r="K43" s="115">
        <f t="shared" si="0"/>
        <v>0</v>
      </c>
      <c r="L43" t="s">
        <v>492</v>
      </c>
      <c r="M43" t="s">
        <v>519</v>
      </c>
      <c r="N43">
        <v>0</v>
      </c>
      <c r="P43">
        <f t="shared" si="1"/>
        <v>0</v>
      </c>
      <c r="Q43">
        <v>44.01</v>
      </c>
      <c r="S43">
        <f t="shared" si="2"/>
        <v>0</v>
      </c>
    </row>
    <row r="44" spans="1:19" x14ac:dyDescent="0.35">
      <c r="A44" t="s">
        <v>545</v>
      </c>
      <c r="B44" t="s">
        <v>526</v>
      </c>
      <c r="C44">
        <f>C43*3.6</f>
        <v>4569.9310117080004</v>
      </c>
      <c r="K44" s="115">
        <f t="shared" si="0"/>
        <v>0</v>
      </c>
      <c r="L44" t="s">
        <v>494</v>
      </c>
      <c r="M44" t="s">
        <v>519</v>
      </c>
      <c r="N44">
        <v>0</v>
      </c>
      <c r="P44">
        <f t="shared" si="1"/>
        <v>0</v>
      </c>
      <c r="Q44">
        <v>30.07</v>
      </c>
      <c r="R44">
        <v>51.9</v>
      </c>
      <c r="S44">
        <f t="shared" si="2"/>
        <v>0</v>
      </c>
    </row>
    <row r="45" spans="1:19" x14ac:dyDescent="0.35">
      <c r="A45" t="s">
        <v>546</v>
      </c>
      <c r="B45" t="s">
        <v>526</v>
      </c>
      <c r="C45">
        <f>C44/'[1]Process variables '!G21</f>
        <v>5712.413764635</v>
      </c>
      <c r="K45" s="115">
        <f t="shared" si="0"/>
        <v>0</v>
      </c>
      <c r="L45" t="s">
        <v>495</v>
      </c>
      <c r="M45" t="s">
        <v>519</v>
      </c>
      <c r="N45">
        <v>0</v>
      </c>
      <c r="P45">
        <f t="shared" si="1"/>
        <v>0</v>
      </c>
      <c r="Q45">
        <v>58.12</v>
      </c>
      <c r="R45">
        <v>49.5</v>
      </c>
      <c r="S45">
        <f t="shared" si="2"/>
        <v>0</v>
      </c>
    </row>
    <row r="46" spans="1:19" x14ac:dyDescent="0.35">
      <c r="A46" t="s">
        <v>547</v>
      </c>
      <c r="B46" t="s">
        <v>526</v>
      </c>
      <c r="C46">
        <v>0</v>
      </c>
      <c r="K46" s="115">
        <f t="shared" si="0"/>
        <v>0.55724701608484417</v>
      </c>
      <c r="L46" t="s">
        <v>632</v>
      </c>
      <c r="M46" t="s">
        <v>519</v>
      </c>
      <c r="N46">
        <v>188.929672437487</v>
      </c>
      <c r="P46">
        <f t="shared" si="1"/>
        <v>188.929672437487</v>
      </c>
      <c r="Q46">
        <v>44.1</v>
      </c>
      <c r="R46">
        <v>44.24</v>
      </c>
      <c r="S46">
        <f t="shared" si="2"/>
        <v>8358.2487086344245</v>
      </c>
    </row>
    <row r="47" spans="1:19" x14ac:dyDescent="0.35">
      <c r="A47" t="s">
        <v>548</v>
      </c>
      <c r="B47" t="s">
        <v>526</v>
      </c>
      <c r="C47">
        <f>C40-C45</f>
        <v>63296.729457237539</v>
      </c>
      <c r="O47" t="s">
        <v>90</v>
      </c>
      <c r="P47">
        <f>SUM(P5:P46)</f>
        <v>339.04115586815692</v>
      </c>
      <c r="S47">
        <f>SUM(S5:S46)+S51</f>
        <v>86261.429027340666</v>
      </c>
    </row>
    <row r="48" spans="1:19" x14ac:dyDescent="0.35">
      <c r="A48" t="s">
        <v>549</v>
      </c>
      <c r="B48" t="s">
        <v>526</v>
      </c>
      <c r="C48" s="99">
        <f>B33</f>
        <v>271819.56952478812</v>
      </c>
      <c r="L48" t="s">
        <v>482</v>
      </c>
      <c r="Q48">
        <v>50</v>
      </c>
      <c r="R48" t="s">
        <v>347</v>
      </c>
    </row>
    <row r="49" spans="1:19" x14ac:dyDescent="0.35">
      <c r="A49" t="s">
        <v>550</v>
      </c>
      <c r="C49">
        <f>C48*'[1]Process variables '!C4</f>
        <v>217455.6556198305</v>
      </c>
      <c r="L49" s="120" t="s">
        <v>551</v>
      </c>
      <c r="M49" s="121">
        <v>2.8</v>
      </c>
      <c r="N49" s="122" t="s">
        <v>347</v>
      </c>
    </row>
    <row r="50" spans="1:19" x14ac:dyDescent="0.35">
      <c r="A50" t="s">
        <v>552</v>
      </c>
      <c r="B50" t="s">
        <v>526</v>
      </c>
      <c r="C50" s="99">
        <f>C48-C49</f>
        <v>54363.913904957619</v>
      </c>
    </row>
    <row r="51" spans="1:19" x14ac:dyDescent="0.35">
      <c r="A51" t="s">
        <v>553</v>
      </c>
      <c r="B51" t="s">
        <v>526</v>
      </c>
      <c r="C51">
        <f>C47</f>
        <v>63296.729457237539</v>
      </c>
      <c r="L51" t="s">
        <v>554</v>
      </c>
      <c r="M51" t="s">
        <v>555</v>
      </c>
      <c r="N51">
        <f>'Mass balances '!N103</f>
        <v>2256.3616785691402</v>
      </c>
      <c r="P51">
        <f>N51</f>
        <v>2256.3616785691402</v>
      </c>
      <c r="Q51">
        <v>12</v>
      </c>
      <c r="R51" s="123">
        <v>27</v>
      </c>
      <c r="S51">
        <f>R51*P51</f>
        <v>60921.765321366787</v>
      </c>
    </row>
    <row r="52" spans="1:19" x14ac:dyDescent="0.35">
      <c r="A52" t="s">
        <v>556</v>
      </c>
      <c r="B52" t="s">
        <v>526</v>
      </c>
      <c r="C52" s="99">
        <v>0</v>
      </c>
    </row>
    <row r="53" spans="1:19" x14ac:dyDescent="0.35">
      <c r="A53" t="s">
        <v>557</v>
      </c>
      <c r="B53" t="s">
        <v>413</v>
      </c>
      <c r="C53">
        <v>0</v>
      </c>
    </row>
    <row r="54" spans="1:19" x14ac:dyDescent="0.35">
      <c r="A54" t="s">
        <v>558</v>
      </c>
      <c r="B54" t="s">
        <v>526</v>
      </c>
      <c r="C54" s="99">
        <f>C47-C50</f>
        <v>8932.8155522799207</v>
      </c>
    </row>
    <row r="55" spans="1:19" x14ac:dyDescent="0.35">
      <c r="A55" t="s">
        <v>559</v>
      </c>
      <c r="B55" t="s">
        <v>542</v>
      </c>
      <c r="C55">
        <f>C54*'[1]Process variables '!G21/3.6</f>
        <v>1985.0701227288714</v>
      </c>
    </row>
    <row r="57" spans="1:19" x14ac:dyDescent="0.35">
      <c r="A57" t="s">
        <v>560</v>
      </c>
      <c r="B57" t="s">
        <v>413</v>
      </c>
      <c r="C57" s="99">
        <f>SUM(C58:C60)</f>
        <v>24269.604421856086</v>
      </c>
    </row>
    <row r="58" spans="1:19" x14ac:dyDescent="0.35">
      <c r="A58" t="s">
        <v>305</v>
      </c>
      <c r="B58" t="s">
        <v>413</v>
      </c>
      <c r="C58" s="99">
        <f>C48/M49*'[1]Process variables '!C5</f>
        <v>21357.251891233354</v>
      </c>
    </row>
    <row r="59" spans="1:19" x14ac:dyDescent="0.35">
      <c r="A59" t="s">
        <v>561</v>
      </c>
      <c r="B59" t="s">
        <v>413</v>
      </c>
      <c r="C59" s="99">
        <f>C48/M49*0.03</f>
        <v>2912.3525306227302</v>
      </c>
    </row>
    <row r="60" spans="1:19" x14ac:dyDescent="0.35">
      <c r="A60" t="s">
        <v>562</v>
      </c>
      <c r="B60" t="s">
        <v>413</v>
      </c>
      <c r="C60">
        <f>H40</f>
        <v>0</v>
      </c>
    </row>
    <row r="88" spans="4:4" x14ac:dyDescent="0.35">
      <c r="D88" s="124"/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BE398-FD4C-45E6-9EAB-AF7FFBDA48F6}">
  <dimension ref="A1:E54"/>
  <sheetViews>
    <sheetView topLeftCell="A35" workbookViewId="0">
      <selection activeCell="D12" sqref="D12"/>
    </sheetView>
  </sheetViews>
  <sheetFormatPr defaultRowHeight="14.5" x14ac:dyDescent="0.35"/>
  <cols>
    <col min="1" max="1" width="31.1796875" customWidth="1"/>
    <col min="2" max="2" width="5.36328125" customWidth="1"/>
    <col min="3" max="3" width="26.90625" customWidth="1"/>
    <col min="4" max="4" width="31.26953125" customWidth="1"/>
  </cols>
  <sheetData>
    <row r="1" spans="1:4" x14ac:dyDescent="0.35">
      <c r="A1" s="125" t="s">
        <v>563</v>
      </c>
      <c r="B1" s="126"/>
      <c r="C1" s="126"/>
      <c r="D1" s="126"/>
    </row>
    <row r="2" spans="1:4" x14ac:dyDescent="0.35">
      <c r="A2" s="127" t="s">
        <v>564</v>
      </c>
      <c r="B2" s="128"/>
      <c r="C2" s="129"/>
      <c r="D2" s="130">
        <f t="shared" ref="D2" si="0">SUM(D3:D5)</f>
        <v>136699.70508000001</v>
      </c>
    </row>
    <row r="3" spans="1:4" x14ac:dyDescent="0.35">
      <c r="A3" s="128" t="s">
        <v>565</v>
      </c>
      <c r="B3" s="128" t="s">
        <v>526</v>
      </c>
      <c r="C3" s="128" t="str">
        <f t="shared" ref="C3:C6" si="1">A3</f>
        <v>Biomass</v>
      </c>
      <c r="D3" s="131">
        <f>'Mass balances '!D6*'Modified_experimental Backgroun'!B19</f>
        <v>135095.34375</v>
      </c>
    </row>
    <row r="4" spans="1:4" x14ac:dyDescent="0.35">
      <c r="A4" s="128" t="s">
        <v>496</v>
      </c>
      <c r="B4" s="128" t="s">
        <v>526</v>
      </c>
      <c r="C4" s="128" t="str">
        <f t="shared" si="1"/>
        <v>Natural Gas</v>
      </c>
      <c r="D4">
        <v>0</v>
      </c>
    </row>
    <row r="5" spans="1:4" x14ac:dyDescent="0.35">
      <c r="A5" s="132" t="s">
        <v>566</v>
      </c>
      <c r="B5" s="132" t="s">
        <v>526</v>
      </c>
      <c r="C5" s="128" t="str">
        <f t="shared" si="1"/>
        <v>Biomass in Recycled Aqueous, est.</v>
      </c>
      <c r="D5" s="131">
        <f>'Modified_experimental Backgroun'!B19*'Mass balances '!D16</f>
        <v>1604.36133</v>
      </c>
    </row>
    <row r="6" spans="1:4" x14ac:dyDescent="0.35">
      <c r="A6" s="133" t="s">
        <v>567</v>
      </c>
      <c r="B6" s="133" t="s">
        <v>526</v>
      </c>
      <c r="C6" s="133" t="str">
        <f t="shared" si="1"/>
        <v>Biomass in Recycled Aqueous, alt est.</v>
      </c>
      <c r="D6" s="130" t="e">
        <f>D13*'[2]2.2 Mass'!C24</f>
        <v>#VALUE!</v>
      </c>
    </row>
    <row r="7" spans="1:4" x14ac:dyDescent="0.35">
      <c r="A7" s="132"/>
      <c r="B7" s="132"/>
      <c r="C7" s="132"/>
      <c r="D7" s="131"/>
    </row>
    <row r="8" spans="1:4" x14ac:dyDescent="0.35">
      <c r="A8" s="134" t="s">
        <v>568</v>
      </c>
      <c r="B8" s="132"/>
      <c r="C8" s="133"/>
      <c r="D8" s="130">
        <f t="shared" ref="D8" si="2">SUM(D9:D12)</f>
        <v>136699.70508000001</v>
      </c>
    </row>
    <row r="9" spans="1:4" x14ac:dyDescent="0.35">
      <c r="A9" s="132" t="s">
        <v>21</v>
      </c>
      <c r="B9" s="132" t="s">
        <v>526</v>
      </c>
      <c r="C9" s="128" t="str">
        <f t="shared" ref="C9:C43" si="3">A9</f>
        <v>Biocrude</v>
      </c>
      <c r="D9" s="131">
        <f>'Mass balances '!D30*'Modified_experimental Backgroun'!B31</f>
        <v>70852.801053723597</v>
      </c>
    </row>
    <row r="10" spans="1:4" x14ac:dyDescent="0.35">
      <c r="A10" s="135" t="s">
        <v>348</v>
      </c>
      <c r="B10" s="135" t="s">
        <v>526</v>
      </c>
      <c r="C10" s="128" t="str">
        <f t="shared" si="3"/>
        <v>Char</v>
      </c>
      <c r="D10" s="131">
        <f>'Mass balances '!D36*'Modified_experimental Backgroun'!C31</f>
        <v>36368.64032136678</v>
      </c>
    </row>
    <row r="11" spans="1:4" x14ac:dyDescent="0.35">
      <c r="A11" s="132" t="s">
        <v>349</v>
      </c>
      <c r="B11" s="132" t="s">
        <v>526</v>
      </c>
      <c r="C11" s="128" t="str">
        <f t="shared" si="3"/>
        <v>Gas</v>
      </c>
      <c r="D11" s="131">
        <f>'Mass balances '!D40*1.8</f>
        <v>2056.6726532556477</v>
      </c>
    </row>
    <row r="12" spans="1:4" x14ac:dyDescent="0.35">
      <c r="A12" s="136" t="s">
        <v>569</v>
      </c>
      <c r="B12" s="136" t="s">
        <v>526</v>
      </c>
      <c r="C12" s="128" t="str">
        <f t="shared" si="3"/>
        <v>Aqueous&amp; Losses</v>
      </c>
      <c r="D12" s="137">
        <f>(D3+D4+D5)-SUM(D9:D11)</f>
        <v>27421.591051653988</v>
      </c>
    </row>
    <row r="13" spans="1:4" x14ac:dyDescent="0.35">
      <c r="A13" s="138" t="s">
        <v>570</v>
      </c>
      <c r="B13" s="138" t="s">
        <v>571</v>
      </c>
      <c r="C13" s="128" t="str">
        <f t="shared" si="3"/>
        <v>Aqueous energy content [calculated]</v>
      </c>
      <c r="D13" s="139">
        <f>D12/'[3]Mass balances '!D115</f>
        <v>0.14725687081611086</v>
      </c>
    </row>
    <row r="14" spans="1:4" x14ac:dyDescent="0.35">
      <c r="A14" s="132"/>
      <c r="B14" s="132"/>
      <c r="C14" s="128">
        <f t="shared" si="3"/>
        <v>0</v>
      </c>
      <c r="D14" s="128"/>
    </row>
    <row r="15" spans="1:4" x14ac:dyDescent="0.35">
      <c r="A15" s="134" t="s">
        <v>568</v>
      </c>
      <c r="B15" s="132"/>
      <c r="C15" s="128" t="str">
        <f t="shared" si="3"/>
        <v>Energy Out, Reactor</v>
      </c>
      <c r="D15" s="140">
        <f t="shared" ref="D15" si="4">SUM(D16:D19)</f>
        <v>1</v>
      </c>
    </row>
    <row r="16" spans="1:4" x14ac:dyDescent="0.35">
      <c r="A16" s="132" t="s">
        <v>21</v>
      </c>
      <c r="B16" s="132" t="s">
        <v>324</v>
      </c>
      <c r="C16" s="128" t="str">
        <f t="shared" si="3"/>
        <v>Biocrude</v>
      </c>
      <c r="D16" s="141">
        <f>D9/D8</f>
        <v>0.51830983111674456</v>
      </c>
    </row>
    <row r="17" spans="1:5" x14ac:dyDescent="0.35">
      <c r="A17" s="135" t="s">
        <v>572</v>
      </c>
      <c r="B17" s="132" t="s">
        <v>324</v>
      </c>
      <c r="C17" s="128" t="str">
        <f t="shared" si="3"/>
        <v>Char (Combustible)</v>
      </c>
      <c r="D17" s="141">
        <f>D10/D8</f>
        <v>0.2660476867896896</v>
      </c>
    </row>
    <row r="18" spans="1:5" x14ac:dyDescent="0.35">
      <c r="A18" s="132" t="s">
        <v>573</v>
      </c>
      <c r="B18" s="132" t="s">
        <v>324</v>
      </c>
      <c r="C18" s="128" t="str">
        <f t="shared" si="3"/>
        <v>Gas (Combustible)</v>
      </c>
      <c r="D18" s="141">
        <f>D11/D8</f>
        <v>1.5045187201040649E-2</v>
      </c>
    </row>
    <row r="19" spans="1:5" x14ac:dyDescent="0.35">
      <c r="A19" s="136" t="s">
        <v>569</v>
      </c>
      <c r="B19" s="132" t="s">
        <v>324</v>
      </c>
      <c r="C19" s="128" t="str">
        <f t="shared" si="3"/>
        <v>Aqueous&amp; Losses</v>
      </c>
      <c r="D19" s="141">
        <f>D12/D8</f>
        <v>0.2005972948925252</v>
      </c>
    </row>
    <row r="20" spans="1:5" x14ac:dyDescent="0.35">
      <c r="A20" s="132"/>
      <c r="B20" s="132"/>
      <c r="C20" s="128">
        <f t="shared" si="3"/>
        <v>0</v>
      </c>
      <c r="D20" s="141"/>
    </row>
    <row r="21" spans="1:5" x14ac:dyDescent="0.35">
      <c r="A21" s="142" t="s">
        <v>574</v>
      </c>
      <c r="B21" s="143"/>
      <c r="C21" s="128" t="str">
        <f t="shared" si="3"/>
        <v>Orangnics Mass Out, Reactor</v>
      </c>
      <c r="D21" s="144">
        <f>SUM(D22:D26)</f>
        <v>1.0112625460750642</v>
      </c>
    </row>
    <row r="22" spans="1:5" x14ac:dyDescent="0.35">
      <c r="A22" s="143" t="s">
        <v>21</v>
      </c>
      <c r="B22" s="143" t="s">
        <v>324</v>
      </c>
      <c r="C22" s="128" t="str">
        <f t="shared" si="3"/>
        <v>Biocrude</v>
      </c>
      <c r="D22" s="145">
        <f>'Mass balances '!D30/(SUM('Mass balances '!D6,'Mass balances '!D22,'Mass balances '!D23))</f>
        <v>0.23928476786228547</v>
      </c>
      <c r="E22" s="28"/>
    </row>
    <row r="23" spans="1:5" x14ac:dyDescent="0.35">
      <c r="A23" s="146" t="s">
        <v>348</v>
      </c>
      <c r="B23" s="143" t="s">
        <v>324</v>
      </c>
      <c r="C23" s="128" t="str">
        <f t="shared" si="3"/>
        <v>Char</v>
      </c>
      <c r="D23" s="145">
        <f>'Mass balances '!D36/(SUM('Mass balances '!D6,'Mass balances '!D22,'Mass balances '!D23))</f>
        <v>0.13756346835443564</v>
      </c>
    </row>
    <row r="24" spans="1:5" x14ac:dyDescent="0.35">
      <c r="A24" s="143" t="s">
        <v>349</v>
      </c>
      <c r="B24" s="143" t="s">
        <v>324</v>
      </c>
      <c r="C24" s="128" t="str">
        <f t="shared" si="3"/>
        <v>Gas</v>
      </c>
      <c r="D24" s="145">
        <f>'Mass balances '!D40/(SUM('Mass balances '!D6,'Mass balances '!D22,'Mass balances '!D23))</f>
        <v>0.11668968964122133</v>
      </c>
    </row>
    <row r="25" spans="1:5" x14ac:dyDescent="0.35">
      <c r="A25" s="143" t="s">
        <v>441</v>
      </c>
      <c r="B25" s="143" t="s">
        <v>324</v>
      </c>
      <c r="C25" s="128" t="str">
        <f t="shared" si="3"/>
        <v>Aqueous</v>
      </c>
      <c r="D25" s="145">
        <f>'Mass balances '!D33/(SUM('Mass balances '!D6,'Mass balances '!D22,'Mass balances '!D23))</f>
        <v>0.51772462021712173</v>
      </c>
    </row>
    <row r="26" spans="1:5" x14ac:dyDescent="0.35">
      <c r="B26" s="143"/>
      <c r="C26" s="128"/>
      <c r="D26" s="145"/>
      <c r="E26" s="143"/>
    </row>
    <row r="27" spans="1:5" x14ac:dyDescent="0.35">
      <c r="A27" s="132"/>
      <c r="B27" s="132"/>
      <c r="C27" s="128">
        <f t="shared" si="3"/>
        <v>0</v>
      </c>
      <c r="D27" s="131"/>
    </row>
    <row r="28" spans="1:5" x14ac:dyDescent="0.35">
      <c r="A28" s="134" t="s">
        <v>575</v>
      </c>
      <c r="B28" s="132"/>
      <c r="C28" s="128" t="str">
        <f t="shared" si="3"/>
        <v>Energy Out, System</v>
      </c>
      <c r="D28" s="131">
        <f>D29+D30+D36+D41+D42</f>
        <v>145825.25939542739</v>
      </c>
    </row>
    <row r="29" spans="1:5" x14ac:dyDescent="0.35">
      <c r="A29" s="132" t="s">
        <v>485</v>
      </c>
      <c r="B29" s="132" t="s">
        <v>526</v>
      </c>
      <c r="C29" s="128" t="str">
        <f t="shared" si="3"/>
        <v>Biofuel</v>
      </c>
      <c r="D29" s="131">
        <f>E29*'Mass balances '!D116</f>
        <v>57481.903022406601</v>
      </c>
      <c r="E29">
        <v>30.24</v>
      </c>
    </row>
    <row r="30" spans="1:5" x14ac:dyDescent="0.35">
      <c r="A30" s="132" t="s">
        <v>576</v>
      </c>
      <c r="B30" s="132" t="s">
        <v>526</v>
      </c>
      <c r="C30" s="128" t="str">
        <f t="shared" si="3"/>
        <v>Biomass Combustion</v>
      </c>
      <c r="D30" s="131">
        <f>'Utilities from Aspen '!S51</f>
        <v>60921.765321366787</v>
      </c>
    </row>
    <row r="31" spans="1:5" x14ac:dyDescent="0.35">
      <c r="A31" s="147" t="s">
        <v>577</v>
      </c>
      <c r="B31" s="133" t="s">
        <v>526</v>
      </c>
      <c r="C31" s="128" t="str">
        <f t="shared" si="3"/>
        <v>of which, internal heat</v>
      </c>
      <c r="D31" s="130">
        <f>'Utilities from Aspen '!C45</f>
        <v>5712.413764635</v>
      </c>
    </row>
    <row r="32" spans="1:5" x14ac:dyDescent="0.35">
      <c r="A32" s="147" t="s">
        <v>578</v>
      </c>
      <c r="B32" s="133" t="s">
        <v>526</v>
      </c>
      <c r="C32" s="128" t="str">
        <f t="shared" si="3"/>
        <v>of which, internal electricity</v>
      </c>
      <c r="D32" s="130">
        <f>'Utilities from Aspen '!C44-'Utilities from Aspen '!C46</f>
        <v>4569.9310117080004</v>
      </c>
    </row>
    <row r="33" spans="1:5" x14ac:dyDescent="0.35">
      <c r="A33" s="147" t="s">
        <v>579</v>
      </c>
      <c r="B33" s="133" t="s">
        <v>526</v>
      </c>
      <c r="C33" s="128" t="str">
        <f t="shared" si="3"/>
        <v>of which, salable electricity</v>
      </c>
      <c r="D33" s="130">
        <f>'Utilities from Aspen '!C55*3.6</f>
        <v>7146.2524418239373</v>
      </c>
    </row>
    <row r="34" spans="1:5" x14ac:dyDescent="0.35">
      <c r="A34" s="147" t="s">
        <v>580</v>
      </c>
      <c r="B34" s="133" t="s">
        <v>526</v>
      </c>
      <c r="C34" s="128" t="str">
        <f t="shared" si="3"/>
        <v>of which, known losses</v>
      </c>
      <c r="D34" s="130">
        <f>D30-D31-D32-D33</f>
        <v>43493.168103199845</v>
      </c>
    </row>
    <row r="35" spans="1:5" x14ac:dyDescent="0.35">
      <c r="A35" s="148" t="s">
        <v>581</v>
      </c>
      <c r="B35" s="138" t="s">
        <v>526</v>
      </c>
      <c r="C35" s="128" t="str">
        <f t="shared" si="3"/>
        <v xml:space="preserve">sum </v>
      </c>
      <c r="D35" s="149">
        <f t="shared" ref="D35" si="5">SUM(D31:D34)</f>
        <v>60921.76532136678</v>
      </c>
    </row>
    <row r="36" spans="1:5" x14ac:dyDescent="0.35">
      <c r="A36" s="128" t="s">
        <v>582</v>
      </c>
      <c r="B36" s="128" t="s">
        <v>526</v>
      </c>
      <c r="C36" s="128" t="str">
        <f t="shared" si="3"/>
        <v>Natural Gas Combustion</v>
      </c>
      <c r="D36" s="131">
        <f>'[3]utilities demand from Aspen plu'!C53*'[3]utilities demand from Aspen plu'!Q48</f>
        <v>0</v>
      </c>
    </row>
    <row r="37" spans="1:5" x14ac:dyDescent="0.35">
      <c r="A37" s="147" t="s">
        <v>577</v>
      </c>
      <c r="B37" s="133" t="s">
        <v>526</v>
      </c>
      <c r="C37" s="128" t="str">
        <f t="shared" si="3"/>
        <v>of which, internal heat</v>
      </c>
      <c r="D37" s="130">
        <f>'[3]utilities demand from Aspen plu'!C52</f>
        <v>0</v>
      </c>
    </row>
    <row r="38" spans="1:5" x14ac:dyDescent="0.35">
      <c r="A38" s="147" t="s">
        <v>578</v>
      </c>
      <c r="B38" s="133" t="s">
        <v>526</v>
      </c>
      <c r="C38" s="128" t="str">
        <f t="shared" si="3"/>
        <v>of which, internal electricity</v>
      </c>
      <c r="D38" s="130">
        <f>'[3]utilities demand from Aspen plu'!C46</f>
        <v>0</v>
      </c>
    </row>
    <row r="39" spans="1:5" x14ac:dyDescent="0.35">
      <c r="A39" s="147" t="s">
        <v>580</v>
      </c>
      <c r="B39" s="133" t="s">
        <v>526</v>
      </c>
      <c r="C39" s="128" t="str">
        <f t="shared" si="3"/>
        <v>of which, known losses</v>
      </c>
      <c r="D39" s="130">
        <f>D36-D37-D38</f>
        <v>0</v>
      </c>
    </row>
    <row r="40" spans="1:5" x14ac:dyDescent="0.35">
      <c r="A40" s="148" t="s">
        <v>581</v>
      </c>
      <c r="B40" s="138"/>
      <c r="C40" s="128" t="str">
        <f t="shared" si="3"/>
        <v xml:space="preserve">sum </v>
      </c>
      <c r="D40" s="149">
        <f t="shared" ref="D40" si="6">SUM(D37:D39)</f>
        <v>0</v>
      </c>
    </row>
    <row r="41" spans="1:5" x14ac:dyDescent="0.35">
      <c r="A41" s="136" t="s">
        <v>583</v>
      </c>
      <c r="B41" s="136" t="s">
        <v>526</v>
      </c>
      <c r="C41" s="128" t="str">
        <f t="shared" si="3"/>
        <v>Aqueous Waste Purge</v>
      </c>
      <c r="D41" s="137">
        <f>D12*'Process variables '!C87</f>
        <v>6855.397762913497</v>
      </c>
    </row>
    <row r="42" spans="1:5" x14ac:dyDescent="0.35">
      <c r="A42" s="136" t="s">
        <v>584</v>
      </c>
      <c r="B42" s="136" t="s">
        <v>526</v>
      </c>
      <c r="C42" s="128" t="str">
        <f t="shared" si="3"/>
        <v>Aqueous &amp; Other Losses</v>
      </c>
      <c r="D42" s="137">
        <f t="shared" ref="D42" si="7">D12-D41</f>
        <v>20566.193288740491</v>
      </c>
    </row>
    <row r="43" spans="1:5" x14ac:dyDescent="0.35">
      <c r="A43" s="132"/>
      <c r="B43" s="132"/>
      <c r="C43" s="128">
        <f t="shared" si="3"/>
        <v>0</v>
      </c>
      <c r="D43" s="131"/>
    </row>
    <row r="44" spans="1:5" x14ac:dyDescent="0.35">
      <c r="A44" s="136" t="s">
        <v>585</v>
      </c>
      <c r="B44" s="136" t="s">
        <v>526</v>
      </c>
      <c r="C44" s="128" t="s">
        <v>586</v>
      </c>
      <c r="D44" s="150">
        <f t="shared" ref="D44" si="8">D2-D28</f>
        <v>-9125.5543154273764</v>
      </c>
    </row>
    <row r="45" spans="1:5" x14ac:dyDescent="0.35">
      <c r="A45" s="136"/>
      <c r="B45" s="136"/>
      <c r="C45" s="128"/>
      <c r="D45" s="137"/>
    </row>
    <row r="46" spans="1:5" x14ac:dyDescent="0.35">
      <c r="A46" s="151" t="s">
        <v>587</v>
      </c>
      <c r="B46" s="136"/>
      <c r="C46" s="128"/>
      <c r="D46" s="152"/>
    </row>
    <row r="47" spans="1:5" x14ac:dyDescent="0.35">
      <c r="A47" s="136" t="s">
        <v>485</v>
      </c>
      <c r="B47" s="136"/>
      <c r="C47" s="128" t="str">
        <f t="shared" ref="C47:C53" si="9">A47</f>
        <v>Biofuel</v>
      </c>
      <c r="D47" s="153">
        <f>D29/D$2</f>
        <v>0.42049763742187141</v>
      </c>
      <c r="E47" s="28">
        <v>0.4</v>
      </c>
    </row>
    <row r="48" spans="1:5" x14ac:dyDescent="0.35">
      <c r="A48" s="136" t="s">
        <v>588</v>
      </c>
      <c r="B48" s="136"/>
      <c r="C48" s="128" t="str">
        <f t="shared" si="9"/>
        <v>Salable Electricity</v>
      </c>
      <c r="D48" s="153">
        <f t="shared" ref="D48" si="10">D33/D2</f>
        <v>5.2277014333291905E-2</v>
      </c>
      <c r="E48" s="28">
        <v>0.08</v>
      </c>
    </row>
    <row r="49" spans="1:5" x14ac:dyDescent="0.35">
      <c r="A49" s="136" t="s">
        <v>589</v>
      </c>
      <c r="B49" s="136"/>
      <c r="C49" s="128" t="str">
        <f t="shared" si="9"/>
        <v>Process Energy, from Biogas and Char</v>
      </c>
      <c r="D49" s="153">
        <f t="shared" ref="D49" si="11">SUM(D31:D32)/D2</f>
        <v>7.5218485440956301E-2</v>
      </c>
      <c r="E49" s="28">
        <v>0.02</v>
      </c>
    </row>
    <row r="50" spans="1:5" x14ac:dyDescent="0.35">
      <c r="A50" s="136" t="s">
        <v>590</v>
      </c>
      <c r="B50" s="136"/>
      <c r="C50" s="128" t="str">
        <f t="shared" si="9"/>
        <v>Process Energy, from Natural Gas</v>
      </c>
      <c r="D50" s="153">
        <f t="shared" ref="D50" si="12">SUM(D37:D38)/D2</f>
        <v>0</v>
      </c>
      <c r="E50" s="28">
        <v>0</v>
      </c>
    </row>
    <row r="51" spans="1:5" x14ac:dyDescent="0.35">
      <c r="A51" s="136" t="s">
        <v>591</v>
      </c>
      <c r="B51" s="136"/>
      <c r="C51" s="128" t="str">
        <f t="shared" si="9"/>
        <v>Aqueous Recyclate</v>
      </c>
      <c r="D51" s="153">
        <f t="shared" ref="D51" si="13">D42/D2</f>
        <v>0.1504479711693939</v>
      </c>
      <c r="E51" s="28">
        <v>0.15</v>
      </c>
    </row>
    <row r="52" spans="1:5" x14ac:dyDescent="0.35">
      <c r="A52" s="136" t="s">
        <v>592</v>
      </c>
      <c r="B52" s="136"/>
      <c r="C52" s="128" t="str">
        <f t="shared" si="9"/>
        <v>Combustion Losses</v>
      </c>
      <c r="D52" s="153">
        <f t="shared" ref="D52" si="14">SUM(D34,D39)/D2</f>
        <v>0.31816577861485934</v>
      </c>
      <c r="E52" s="28">
        <v>0.35</v>
      </c>
    </row>
    <row r="53" spans="1:5" x14ac:dyDescent="0.35">
      <c r="A53" s="136" t="s">
        <v>593</v>
      </c>
      <c r="B53" s="136"/>
      <c r="C53" s="128" t="str">
        <f t="shared" si="9"/>
        <v>Waste Aqueous &amp; Unknown Losses</v>
      </c>
      <c r="D53" s="153">
        <f t="shared" ref="D53" si="15">(D41+D44)/D2</f>
        <v>-1.6606886980372989E-2</v>
      </c>
      <c r="E53" s="28">
        <v>0</v>
      </c>
    </row>
    <row r="54" spans="1:5" x14ac:dyDescent="0.35">
      <c r="D54" s="28">
        <f>SUM(D47:D52)</f>
        <v>1.0166068869803728</v>
      </c>
      <c r="E54" s="28">
        <f>SUM(E47:E53)</f>
        <v>1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A279F-CAB6-4902-8353-572704D4DCF4}">
  <dimension ref="A1:C48"/>
  <sheetViews>
    <sheetView topLeftCell="A16" workbookViewId="0">
      <selection activeCell="C8" sqref="C8"/>
    </sheetView>
  </sheetViews>
  <sheetFormatPr defaultRowHeight="14.5" x14ac:dyDescent="0.35"/>
  <cols>
    <col min="1" max="1" width="20.7265625" customWidth="1"/>
    <col min="2" max="2" width="21" customWidth="1"/>
    <col min="3" max="3" width="33.26953125" customWidth="1"/>
  </cols>
  <sheetData>
    <row r="1" spans="1:3" x14ac:dyDescent="0.35">
      <c r="A1" s="154" t="s">
        <v>594</v>
      </c>
      <c r="B1" s="155"/>
      <c r="C1" s="156"/>
    </row>
    <row r="2" spans="1:3" x14ac:dyDescent="0.35">
      <c r="A2" s="157" t="s">
        <v>595</v>
      </c>
      <c r="B2" s="38" t="s">
        <v>413</v>
      </c>
      <c r="C2" s="158">
        <f>'Mass balances '!D5</f>
        <v>10416.666666666666</v>
      </c>
    </row>
    <row r="3" spans="1:3" x14ac:dyDescent="0.35">
      <c r="A3" s="157" t="s">
        <v>596</v>
      </c>
      <c r="B3" s="38" t="s">
        <v>597</v>
      </c>
      <c r="C3" s="159">
        <f>'Mass balances '!D6</f>
        <v>8778.125</v>
      </c>
    </row>
    <row r="4" spans="1:3" x14ac:dyDescent="0.35">
      <c r="A4" s="157" t="s">
        <v>598</v>
      </c>
      <c r="B4" s="38" t="s">
        <v>324</v>
      </c>
      <c r="C4" s="160">
        <f>'Modified_experimental Backgroun'!B5/100</f>
        <v>7.0000000000000007E-2</v>
      </c>
    </row>
    <row r="5" spans="1:3" x14ac:dyDescent="0.35">
      <c r="A5" s="161"/>
      <c r="B5" s="162"/>
      <c r="C5" s="163"/>
    </row>
    <row r="6" spans="1:3" x14ac:dyDescent="0.35">
      <c r="A6" s="164"/>
      <c r="B6" s="38"/>
      <c r="C6" s="37"/>
    </row>
    <row r="7" spans="1:3" x14ac:dyDescent="0.35">
      <c r="A7" s="165" t="s">
        <v>599</v>
      </c>
      <c r="B7" s="166"/>
      <c r="C7" s="165"/>
    </row>
    <row r="8" spans="1:3" x14ac:dyDescent="0.35">
      <c r="A8" s="167" t="s">
        <v>600</v>
      </c>
      <c r="B8" s="168" t="s">
        <v>601</v>
      </c>
      <c r="C8" s="169">
        <f>'Mass balances '!D138/'Mass balances '!D6</f>
        <v>0.21654471557750543</v>
      </c>
    </row>
    <row r="9" spans="1:3" x14ac:dyDescent="0.35">
      <c r="A9" s="170" t="s">
        <v>602</v>
      </c>
      <c r="B9" s="38" t="s">
        <v>603</v>
      </c>
      <c r="C9" s="171">
        <f>'Mass balances '!D138/'Mass balances '!D5</f>
        <v>0.18248223181716383</v>
      </c>
    </row>
    <row r="10" spans="1:3" x14ac:dyDescent="0.35">
      <c r="A10" s="170" t="s">
        <v>604</v>
      </c>
      <c r="B10" s="38" t="s">
        <v>347</v>
      </c>
      <c r="C10" s="171">
        <f>'Energy balance '!E29</f>
        <v>30.24</v>
      </c>
    </row>
    <row r="11" spans="1:3" x14ac:dyDescent="0.35">
      <c r="A11" s="37" t="s">
        <v>605</v>
      </c>
      <c r="B11" s="37" t="s">
        <v>606</v>
      </c>
      <c r="C11" s="172">
        <f>C8*'Energy balance '!E29</f>
        <v>6.5483121990637638</v>
      </c>
    </row>
    <row r="12" spans="1:3" x14ac:dyDescent="0.35">
      <c r="A12" s="37"/>
      <c r="B12" s="38" t="s">
        <v>607</v>
      </c>
      <c r="C12" s="135">
        <f>C11/'Modified_experimental Backgroun'!B31</f>
        <v>0.21654471557750543</v>
      </c>
    </row>
    <row r="13" spans="1:3" x14ac:dyDescent="0.35">
      <c r="A13" s="37"/>
      <c r="B13" s="38"/>
      <c r="C13" s="132"/>
    </row>
    <row r="14" spans="1:3" x14ac:dyDescent="0.35">
      <c r="A14" s="173" t="s">
        <v>594</v>
      </c>
      <c r="B14" s="38"/>
      <c r="C14" s="37"/>
    </row>
    <row r="15" spans="1:3" x14ac:dyDescent="0.35">
      <c r="A15" s="37" t="s">
        <v>479</v>
      </c>
      <c r="B15" s="38" t="s">
        <v>601</v>
      </c>
      <c r="C15" s="172">
        <f>('Mass balances '!D133+'Utilities from Aspen '!C57)/'Mass balances '!D6</f>
        <v>8.2898801762171512</v>
      </c>
    </row>
    <row r="16" spans="1:3" x14ac:dyDescent="0.35">
      <c r="A16" s="37" t="s">
        <v>496</v>
      </c>
      <c r="B16" s="38" t="s">
        <v>608</v>
      </c>
      <c r="C16" s="172">
        <v>0</v>
      </c>
    </row>
    <row r="17" spans="1:3" x14ac:dyDescent="0.35">
      <c r="A17" s="37"/>
      <c r="B17" s="38"/>
      <c r="C17" s="37"/>
    </row>
    <row r="18" spans="1:3" x14ac:dyDescent="0.35">
      <c r="A18" s="173" t="s">
        <v>609</v>
      </c>
      <c r="B18" s="38"/>
      <c r="C18" s="37"/>
    </row>
    <row r="19" spans="1:3" x14ac:dyDescent="0.35">
      <c r="A19" s="37" t="s">
        <v>610</v>
      </c>
      <c r="B19" s="38" t="s">
        <v>608</v>
      </c>
      <c r="C19" s="174">
        <f>'Utilities from Aspen '!C55/'Mass balances '!D6</f>
        <v>0.22613828382813772</v>
      </c>
    </row>
    <row r="20" spans="1:3" x14ac:dyDescent="0.35">
      <c r="A20" s="37"/>
      <c r="B20" s="38"/>
      <c r="C20" s="37"/>
    </row>
    <row r="21" spans="1:3" x14ac:dyDescent="0.35">
      <c r="A21" s="173" t="s">
        <v>611</v>
      </c>
      <c r="B21" s="38"/>
      <c r="C21" s="37"/>
    </row>
    <row r="22" spans="1:3" x14ac:dyDescent="0.35">
      <c r="A22" s="37" t="s">
        <v>612</v>
      </c>
      <c r="B22" s="38" t="s">
        <v>601</v>
      </c>
      <c r="C22" s="172">
        <f>'Mass balances '!N163/'Mass balances '!D6</f>
        <v>2.8734719067380832</v>
      </c>
    </row>
    <row r="23" spans="1:3" x14ac:dyDescent="0.35">
      <c r="A23" s="37" t="s">
        <v>613</v>
      </c>
      <c r="B23" s="38" t="s">
        <v>601</v>
      </c>
      <c r="C23" s="172">
        <f>'Mass balances '!D140/'Mass balances '!D6</f>
        <v>6.1082350051293171</v>
      </c>
    </row>
    <row r="24" spans="1:3" x14ac:dyDescent="0.35">
      <c r="A24" s="37" t="s">
        <v>449</v>
      </c>
      <c r="B24" s="38" t="s">
        <v>601</v>
      </c>
      <c r="C24" s="172">
        <f>'Mass balances '!D141/'Mass balances '!D6</f>
        <v>0.10359558561765753</v>
      </c>
    </row>
    <row r="25" spans="1:3" x14ac:dyDescent="0.35">
      <c r="A25" s="37"/>
      <c r="B25" s="38"/>
      <c r="C25" s="172"/>
    </row>
    <row r="26" spans="1:3" x14ac:dyDescent="0.35">
      <c r="A26" s="173" t="s">
        <v>614</v>
      </c>
      <c r="B26" s="38"/>
      <c r="C26" s="172"/>
    </row>
    <row r="27" spans="1:3" x14ac:dyDescent="0.35">
      <c r="A27" s="37" t="s">
        <v>615</v>
      </c>
      <c r="B27" s="38" t="s">
        <v>608</v>
      </c>
      <c r="C27" s="172">
        <f>'Mass balances '!D5/'Mass balances '!D6</f>
        <v>1.1866619200189865</v>
      </c>
    </row>
    <row r="28" spans="1:3" x14ac:dyDescent="0.35">
      <c r="A28" s="37" t="s">
        <v>616</v>
      </c>
      <c r="B28" s="38" t="s">
        <v>601</v>
      </c>
      <c r="C28" s="172">
        <f>'Mass balances '!D27/'Mass balances '!D6</f>
        <v>24.780928044737117</v>
      </c>
    </row>
    <row r="29" spans="1:3" x14ac:dyDescent="0.35">
      <c r="A29" s="37" t="s">
        <v>617</v>
      </c>
      <c r="B29" s="38" t="s">
        <v>608</v>
      </c>
      <c r="C29" s="172">
        <f>'Mass balances '!D53/'Mass balances '!D6</f>
        <v>24.780928044737117</v>
      </c>
    </row>
    <row r="30" spans="1:3" x14ac:dyDescent="0.35">
      <c r="A30" s="16" t="s">
        <v>618</v>
      </c>
      <c r="B30" s="38" t="s">
        <v>608</v>
      </c>
      <c r="C30" s="172">
        <f>('Mass balances '!D71*24*4*1)/(1000*'Mass balances '!D6)</f>
        <v>2.5623826500533999E-2</v>
      </c>
    </row>
    <row r="31" spans="1:3" x14ac:dyDescent="0.35">
      <c r="A31" s="37" t="s">
        <v>619</v>
      </c>
      <c r="B31" s="38" t="s">
        <v>601</v>
      </c>
      <c r="C31" s="172">
        <f>'Mass balances '!D95/'Mass balances '!D6</f>
        <v>0.28483243599250752</v>
      </c>
    </row>
    <row r="32" spans="1:3" x14ac:dyDescent="0.35">
      <c r="A32" s="37" t="s">
        <v>620</v>
      </c>
      <c r="B32" s="38" t="s">
        <v>601</v>
      </c>
      <c r="C32" s="172">
        <f>'Mass balances '!D91/'Mass balances '!D6</f>
        <v>1.3319591598433607E-2</v>
      </c>
    </row>
    <row r="33" spans="1:3" x14ac:dyDescent="0.35">
      <c r="A33" s="16" t="s">
        <v>621</v>
      </c>
      <c r="B33" s="38" t="s">
        <v>622</v>
      </c>
      <c r="C33" s="172">
        <f>'Utilities from Aspen '!C41/'Mass balances '!D6</f>
        <v>1.7469978110833602</v>
      </c>
    </row>
    <row r="34" spans="1:3" x14ac:dyDescent="0.35">
      <c r="A34" s="37"/>
      <c r="B34" s="38"/>
      <c r="C34" s="175"/>
    </row>
    <row r="35" spans="1:3" x14ac:dyDescent="0.35">
      <c r="A35" s="173" t="s">
        <v>623</v>
      </c>
      <c r="B35" s="38"/>
      <c r="C35" s="172"/>
    </row>
    <row r="36" spans="1:3" x14ac:dyDescent="0.35">
      <c r="A36" s="37" t="s">
        <v>496</v>
      </c>
      <c r="B36" s="38" t="s">
        <v>606</v>
      </c>
      <c r="C36" s="172">
        <v>0</v>
      </c>
    </row>
    <row r="37" spans="1:3" x14ac:dyDescent="0.35">
      <c r="A37" s="37" t="s">
        <v>624</v>
      </c>
      <c r="B37" s="38" t="s">
        <v>607</v>
      </c>
      <c r="C37" s="172">
        <v>0</v>
      </c>
    </row>
    <row r="38" spans="1:3" x14ac:dyDescent="0.35">
      <c r="A38" s="37" t="s">
        <v>625</v>
      </c>
      <c r="B38" s="38" t="s">
        <v>607</v>
      </c>
      <c r="C38" s="172">
        <v>0</v>
      </c>
    </row>
    <row r="39" spans="1:3" x14ac:dyDescent="0.35">
      <c r="A39" s="173"/>
      <c r="B39" s="38"/>
      <c r="C39" s="172"/>
    </row>
    <row r="40" spans="1:3" x14ac:dyDescent="0.35">
      <c r="A40" s="176" t="s">
        <v>626</v>
      </c>
      <c r="B40" s="38" t="s">
        <v>627</v>
      </c>
      <c r="C40" s="172">
        <f>('Utilities from Aspen '!C45+'Utilities from Aspen '!C50)/('Yields '!C3*'Yields '!C11)</f>
        <v>1.0451346338720675</v>
      </c>
    </row>
    <row r="41" spans="1:3" x14ac:dyDescent="0.35">
      <c r="A41" s="173"/>
      <c r="B41" s="38"/>
      <c r="C41" s="172"/>
    </row>
    <row r="42" spans="1:3" x14ac:dyDescent="0.35">
      <c r="A42" s="173" t="s">
        <v>628</v>
      </c>
      <c r="B42" s="38"/>
      <c r="C42" s="172"/>
    </row>
    <row r="43" spans="1:3" x14ac:dyDescent="0.35">
      <c r="A43" s="16" t="s">
        <v>27</v>
      </c>
      <c r="B43" s="37" t="s">
        <v>601</v>
      </c>
      <c r="C43" s="172">
        <f>'Mass balances '!N170/'Mass balances '!D6</f>
        <v>0</v>
      </c>
    </row>
    <row r="44" spans="1:3" x14ac:dyDescent="0.35">
      <c r="A44" s="37"/>
      <c r="B44" s="37"/>
      <c r="C44" s="159"/>
    </row>
    <row r="45" spans="1:3" x14ac:dyDescent="0.35">
      <c r="A45" s="173"/>
      <c r="B45" s="38"/>
      <c r="C45" s="172"/>
    </row>
    <row r="46" spans="1:3" x14ac:dyDescent="0.35">
      <c r="A46" s="37"/>
      <c r="B46" s="38"/>
      <c r="C46" s="172"/>
    </row>
    <row r="47" spans="1:3" x14ac:dyDescent="0.35">
      <c r="A47" s="37"/>
      <c r="B47" s="38"/>
      <c r="C47" s="172"/>
    </row>
    <row r="48" spans="1:3" x14ac:dyDescent="0.35">
      <c r="A48" s="37"/>
      <c r="B48" s="38"/>
      <c r="C48" s="172"/>
    </row>
  </sheetData>
  <conditionalFormatting sqref="A43">
    <cfRule type="cellIs" dxfId="0" priority="1" operator="lessThan">
      <formula>-0.00001</formula>
    </cfRule>
  </conditionalFormatting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58713-A557-4B48-B149-57653A02D094}">
  <dimension ref="A1:E11"/>
  <sheetViews>
    <sheetView workbookViewId="0">
      <selection activeCell="B9" sqref="B9"/>
    </sheetView>
  </sheetViews>
  <sheetFormatPr defaultRowHeight="14.5" x14ac:dyDescent="0.35"/>
  <cols>
    <col min="1" max="1" width="50.90625" customWidth="1"/>
  </cols>
  <sheetData>
    <row r="1" spans="1:5" x14ac:dyDescent="0.35">
      <c r="A1" t="s">
        <v>937</v>
      </c>
      <c r="B1">
        <f>'Mass balances '!D6*24/1000</f>
        <v>210.67500000000001</v>
      </c>
      <c r="C1" t="s">
        <v>938</v>
      </c>
    </row>
    <row r="2" spans="1:5" x14ac:dyDescent="0.35">
      <c r="A2" t="s">
        <v>292</v>
      </c>
      <c r="B2">
        <v>8000</v>
      </c>
    </row>
    <row r="3" spans="1:5" x14ac:dyDescent="0.35">
      <c r="A3" t="s">
        <v>939</v>
      </c>
    </row>
    <row r="4" spans="1:5" x14ac:dyDescent="0.35">
      <c r="A4" t="s">
        <v>950</v>
      </c>
      <c r="B4" t="s">
        <v>940</v>
      </c>
      <c r="C4">
        <f>B1/24*8000</f>
        <v>70225.000000000015</v>
      </c>
    </row>
    <row r="5" spans="1:5" x14ac:dyDescent="0.35">
      <c r="A5" t="s">
        <v>941</v>
      </c>
      <c r="B5" t="s">
        <v>940</v>
      </c>
      <c r="C5" s="99">
        <f>(B1/(1-('Modified_experimental Backgroun'!B5/100))/24*8000)</f>
        <v>75510.752688172041</v>
      </c>
      <c r="E5" s="60"/>
    </row>
    <row r="7" spans="1:5" x14ac:dyDescent="0.35">
      <c r="A7" t="s">
        <v>942</v>
      </c>
      <c r="B7">
        <f>'Expenses variable '!C45</f>
        <v>30</v>
      </c>
      <c r="C7" t="s">
        <v>943</v>
      </c>
    </row>
    <row r="8" spans="1:5" x14ac:dyDescent="0.35">
      <c r="A8" t="s">
        <v>947</v>
      </c>
    </row>
    <row r="9" spans="1:5" x14ac:dyDescent="0.35">
      <c r="A9" t="s">
        <v>948</v>
      </c>
      <c r="B9">
        <v>75</v>
      </c>
      <c r="C9" t="s">
        <v>944</v>
      </c>
    </row>
    <row r="10" spans="1:5" x14ac:dyDescent="0.35">
      <c r="A10" t="s">
        <v>945</v>
      </c>
      <c r="B10">
        <v>380</v>
      </c>
      <c r="C10" t="s">
        <v>944</v>
      </c>
    </row>
    <row r="11" spans="1:5" x14ac:dyDescent="0.35">
      <c r="A11" t="s">
        <v>946</v>
      </c>
      <c r="B11" t="s">
        <v>949</v>
      </c>
      <c r="C11" t="s">
        <v>944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7B40B-F647-439E-86E8-D0288A835562}">
  <dimension ref="A1:L84"/>
  <sheetViews>
    <sheetView topLeftCell="A61" workbookViewId="0">
      <selection activeCell="C54" sqref="C54"/>
    </sheetView>
  </sheetViews>
  <sheetFormatPr defaultRowHeight="14.5" x14ac:dyDescent="0.35"/>
  <cols>
    <col min="1" max="1" width="36.26953125" customWidth="1"/>
    <col min="2" max="2" width="15.08984375" customWidth="1"/>
    <col min="3" max="3" width="27.81640625" customWidth="1"/>
    <col min="7" max="7" width="18.54296875" customWidth="1"/>
  </cols>
  <sheetData>
    <row r="1" spans="1:3" x14ac:dyDescent="0.35">
      <c r="A1" s="177" t="s">
        <v>633</v>
      </c>
      <c r="B1" s="177"/>
      <c r="C1" s="177"/>
    </row>
    <row r="2" spans="1:3" x14ac:dyDescent="0.35">
      <c r="A2" s="178" t="s">
        <v>634</v>
      </c>
      <c r="B2" s="179"/>
      <c r="C2" s="180"/>
    </row>
    <row r="3" spans="1:3" x14ac:dyDescent="0.35">
      <c r="A3" s="132" t="s">
        <v>635</v>
      </c>
      <c r="B3" s="181" t="s">
        <v>636</v>
      </c>
      <c r="C3" s="182">
        <v>1.5</v>
      </c>
    </row>
    <row r="4" spans="1:3" x14ac:dyDescent="0.35">
      <c r="A4" s="183" t="s">
        <v>637</v>
      </c>
      <c r="B4" s="181" t="s">
        <v>638</v>
      </c>
      <c r="C4" s="183">
        <v>0.34</v>
      </c>
    </row>
    <row r="5" spans="1:3" x14ac:dyDescent="0.35">
      <c r="A5" s="183" t="s">
        <v>639</v>
      </c>
      <c r="B5" s="181" t="s">
        <v>636</v>
      </c>
      <c r="C5" s="183">
        <v>0.23</v>
      </c>
    </row>
    <row r="6" spans="1:3" x14ac:dyDescent="0.35">
      <c r="A6" s="183" t="s">
        <v>640</v>
      </c>
      <c r="B6" s="181" t="s">
        <v>636</v>
      </c>
      <c r="C6" s="183">
        <v>0.5</v>
      </c>
    </row>
    <row r="7" spans="1:3" x14ac:dyDescent="0.35">
      <c r="A7" s="183" t="s">
        <v>641</v>
      </c>
      <c r="B7" s="181" t="s">
        <v>642</v>
      </c>
      <c r="C7" s="183">
        <v>0.2</v>
      </c>
    </row>
    <row r="8" spans="1:3" x14ac:dyDescent="0.35">
      <c r="A8" s="183" t="s">
        <v>643</v>
      </c>
      <c r="B8" s="181" t="s">
        <v>644</v>
      </c>
      <c r="C8" s="183">
        <v>0.1</v>
      </c>
    </row>
    <row r="9" spans="1:3" x14ac:dyDescent="0.35">
      <c r="A9" s="183" t="s">
        <v>645</v>
      </c>
      <c r="B9" s="184" t="s">
        <v>646</v>
      </c>
      <c r="C9" s="183">
        <v>0.8</v>
      </c>
    </row>
    <row r="10" spans="1:3" x14ac:dyDescent="0.35">
      <c r="A10" s="183"/>
      <c r="B10" s="185"/>
      <c r="C10" s="183"/>
    </row>
    <row r="11" spans="1:3" x14ac:dyDescent="0.35">
      <c r="A11" s="178" t="s">
        <v>647</v>
      </c>
      <c r="B11" s="179"/>
      <c r="C11" s="180"/>
    </row>
    <row r="12" spans="1:3" x14ac:dyDescent="0.35">
      <c r="A12" s="186" t="s">
        <v>648</v>
      </c>
      <c r="B12" s="185"/>
      <c r="C12" s="187"/>
    </row>
    <row r="13" spans="1:3" x14ac:dyDescent="0.35">
      <c r="A13" s="183" t="s">
        <v>649</v>
      </c>
      <c r="B13" s="185" t="s">
        <v>650</v>
      </c>
      <c r="C13" s="188">
        <v>0.75</v>
      </c>
    </row>
    <row r="14" spans="1:3" x14ac:dyDescent="0.35">
      <c r="A14" s="183" t="s">
        <v>651</v>
      </c>
      <c r="B14" s="185" t="s">
        <v>650</v>
      </c>
      <c r="C14" s="189">
        <v>0.75</v>
      </c>
    </row>
    <row r="15" spans="1:3" x14ac:dyDescent="0.35">
      <c r="A15" s="183" t="s">
        <v>652</v>
      </c>
      <c r="B15" s="185" t="s">
        <v>650</v>
      </c>
      <c r="C15" s="189">
        <v>0.65</v>
      </c>
    </row>
    <row r="16" spans="1:3" x14ac:dyDescent="0.35">
      <c r="A16" s="183" t="s">
        <v>653</v>
      </c>
      <c r="B16" s="185" t="s">
        <v>650</v>
      </c>
      <c r="C16" s="189">
        <v>0.7</v>
      </c>
    </row>
    <row r="17" spans="1:3" x14ac:dyDescent="0.35">
      <c r="A17" s="183" t="s">
        <v>654</v>
      </c>
      <c r="B17" s="185" t="s">
        <v>650</v>
      </c>
      <c r="C17" s="189">
        <v>0.7</v>
      </c>
    </row>
    <row r="20" spans="1:3" x14ac:dyDescent="0.35">
      <c r="A20" s="190" t="s">
        <v>655</v>
      </c>
      <c r="B20" s="190"/>
      <c r="C20" s="190"/>
    </row>
    <row r="21" spans="1:3" x14ac:dyDescent="0.35">
      <c r="A21" s="37" t="s">
        <v>656</v>
      </c>
      <c r="B21" s="38" t="s">
        <v>324</v>
      </c>
      <c r="C21" s="191">
        <f>SUM(C22:C24)</f>
        <v>0.27400000000000002</v>
      </c>
    </row>
    <row r="22" spans="1:3" x14ac:dyDescent="0.35">
      <c r="A22" s="192" t="s">
        <v>657</v>
      </c>
      <c r="B22" s="193" t="s">
        <v>324</v>
      </c>
      <c r="C22" s="194">
        <v>0.1</v>
      </c>
    </row>
    <row r="23" spans="1:3" x14ac:dyDescent="0.35">
      <c r="A23" s="192" t="s">
        <v>658</v>
      </c>
      <c r="B23" s="193" t="s">
        <v>324</v>
      </c>
      <c r="C23" s="194">
        <v>0.1</v>
      </c>
    </row>
    <row r="24" spans="1:3" x14ac:dyDescent="0.35">
      <c r="A24" s="192" t="s">
        <v>659</v>
      </c>
      <c r="B24" s="193" t="s">
        <v>324</v>
      </c>
      <c r="C24" s="194">
        <v>7.3999999999999996E-2</v>
      </c>
    </row>
    <row r="25" spans="1:3" x14ac:dyDescent="0.35">
      <c r="A25" s="173"/>
      <c r="B25" s="38"/>
      <c r="C25" s="37"/>
    </row>
    <row r="26" spans="1:3" x14ac:dyDescent="0.35">
      <c r="A26" s="195" t="s">
        <v>660</v>
      </c>
      <c r="B26" s="196"/>
      <c r="C26" s="196"/>
    </row>
    <row r="27" spans="1:3" x14ac:dyDescent="0.35">
      <c r="A27" s="183" t="s">
        <v>661</v>
      </c>
      <c r="B27" s="181" t="s">
        <v>321</v>
      </c>
      <c r="C27" s="183">
        <v>6</v>
      </c>
    </row>
    <row r="28" spans="1:3" x14ac:dyDescent="0.35">
      <c r="A28" s="183" t="s">
        <v>662</v>
      </c>
      <c r="B28" s="181" t="s">
        <v>321</v>
      </c>
      <c r="C28" s="183">
        <v>3</v>
      </c>
    </row>
    <row r="29" spans="1:3" x14ac:dyDescent="0.35">
      <c r="A29" s="183" t="s">
        <v>663</v>
      </c>
      <c r="B29" s="181" t="s">
        <v>321</v>
      </c>
      <c r="C29" s="183">
        <v>8</v>
      </c>
    </row>
    <row r="30" spans="1:3" x14ac:dyDescent="0.35">
      <c r="A30" s="183" t="s">
        <v>664</v>
      </c>
      <c r="B30" s="181"/>
      <c r="C30" s="197">
        <v>0.5</v>
      </c>
    </row>
    <row r="31" spans="1:3" x14ac:dyDescent="0.35">
      <c r="A31" s="195" t="s">
        <v>665</v>
      </c>
      <c r="B31" s="196"/>
      <c r="C31" s="196"/>
    </row>
    <row r="32" spans="1:3" x14ac:dyDescent="0.35">
      <c r="A32" s="183" t="s">
        <v>666</v>
      </c>
      <c r="B32" s="181" t="s">
        <v>667</v>
      </c>
      <c r="C32" s="183">
        <v>0.1</v>
      </c>
    </row>
    <row r="33" spans="1:4" x14ac:dyDescent="0.35">
      <c r="A33" s="183" t="s">
        <v>668</v>
      </c>
      <c r="B33" s="181" t="s">
        <v>669</v>
      </c>
      <c r="C33" s="183">
        <v>0.7</v>
      </c>
    </row>
    <row r="34" spans="1:4" x14ac:dyDescent="0.35">
      <c r="A34" s="183" t="s">
        <v>670</v>
      </c>
      <c r="B34" s="181" t="s">
        <v>671</v>
      </c>
      <c r="C34" s="159">
        <f>C21/(1-POWER((1+C21),-'Process variables '!F16))</f>
        <v>0.27617669948840201</v>
      </c>
    </row>
    <row r="35" spans="1:4" x14ac:dyDescent="0.35">
      <c r="A35" s="183" t="s">
        <v>672</v>
      </c>
      <c r="B35" s="181" t="s">
        <v>667</v>
      </c>
      <c r="C35" s="183">
        <v>1.4999999999999999E-2</v>
      </c>
    </row>
    <row r="36" spans="1:4" x14ac:dyDescent="0.35">
      <c r="A36" s="183" t="s">
        <v>673</v>
      </c>
      <c r="B36" s="181" t="s">
        <v>674</v>
      </c>
      <c r="C36" s="183">
        <v>0.25</v>
      </c>
    </row>
    <row r="37" spans="1:4" x14ac:dyDescent="0.35">
      <c r="A37" s="183" t="s">
        <v>675</v>
      </c>
      <c r="B37" s="181" t="s">
        <v>667</v>
      </c>
      <c r="C37" s="183">
        <v>0.01</v>
      </c>
    </row>
    <row r="38" spans="1:4" x14ac:dyDescent="0.35">
      <c r="A38" s="183" t="s">
        <v>676</v>
      </c>
      <c r="B38" s="181" t="s">
        <v>677</v>
      </c>
      <c r="C38" s="183">
        <v>0.1</v>
      </c>
    </row>
    <row r="39" spans="1:4" x14ac:dyDescent="0.35">
      <c r="A39" s="183" t="s">
        <v>640</v>
      </c>
      <c r="B39" s="181" t="s">
        <v>678</v>
      </c>
      <c r="C39" s="183">
        <v>0.2</v>
      </c>
    </row>
    <row r="43" spans="1:4" x14ac:dyDescent="0.35">
      <c r="A43" s="198" t="s">
        <v>679</v>
      </c>
      <c r="B43" s="198"/>
      <c r="C43" s="198"/>
      <c r="D43" s="198"/>
    </row>
    <row r="44" spans="1:4" x14ac:dyDescent="0.35">
      <c r="A44" s="199" t="s">
        <v>680</v>
      </c>
      <c r="B44" s="200" t="s">
        <v>681</v>
      </c>
      <c r="C44" s="201"/>
      <c r="D44" s="201"/>
    </row>
    <row r="45" spans="1:4" x14ac:dyDescent="0.35">
      <c r="A45" s="37" t="s">
        <v>733</v>
      </c>
      <c r="B45" s="38" t="s">
        <v>682</v>
      </c>
      <c r="C45" s="37">
        <v>30</v>
      </c>
      <c r="D45" s="37"/>
    </row>
    <row r="46" spans="1:4" x14ac:dyDescent="0.35">
      <c r="A46" s="189" t="s">
        <v>936</v>
      </c>
      <c r="B46" s="188">
        <v>75</v>
      </c>
      <c r="C46" s="202"/>
      <c r="D46" s="189"/>
    </row>
    <row r="47" spans="1:4" x14ac:dyDescent="0.35">
      <c r="A47" s="199" t="s">
        <v>683</v>
      </c>
      <c r="B47" s="200" t="s">
        <v>681</v>
      </c>
      <c r="C47" s="201"/>
      <c r="D47" s="201"/>
    </row>
    <row r="48" spans="1:4" x14ac:dyDescent="0.35">
      <c r="A48" s="189" t="s">
        <v>733</v>
      </c>
      <c r="B48" s="38" t="s">
        <v>682</v>
      </c>
      <c r="C48" s="197">
        <f>C45+C59+C60*B46</f>
        <v>48</v>
      </c>
      <c r="D48" s="37"/>
    </row>
    <row r="49" spans="1:12" x14ac:dyDescent="0.35">
      <c r="A49" s="199" t="s">
        <v>684</v>
      </c>
      <c r="B49" s="200"/>
      <c r="C49" s="201"/>
      <c r="D49" s="201"/>
    </row>
    <row r="50" spans="1:12" x14ac:dyDescent="0.35">
      <c r="A50" s="37" t="s">
        <v>685</v>
      </c>
      <c r="B50" s="38" t="s">
        <v>734</v>
      </c>
      <c r="C50" s="203">
        <f>852/H56</f>
        <v>802.84198524353826</v>
      </c>
      <c r="D50" s="203"/>
    </row>
    <row r="51" spans="1:12" x14ac:dyDescent="0.35">
      <c r="A51" s="204" t="s">
        <v>686</v>
      </c>
      <c r="B51" s="205" t="s">
        <v>687</v>
      </c>
      <c r="C51" s="206">
        <f>C50/G52</f>
        <v>19.299086183738901</v>
      </c>
      <c r="D51" s="206"/>
      <c r="F51" t="s">
        <v>688</v>
      </c>
      <c r="G51" t="s">
        <v>689</v>
      </c>
    </row>
    <row r="52" spans="1:12" x14ac:dyDescent="0.35">
      <c r="A52" s="183" t="s">
        <v>690</v>
      </c>
      <c r="B52" s="181" t="s">
        <v>691</v>
      </c>
      <c r="C52" s="207">
        <v>130</v>
      </c>
      <c r="D52" s="207"/>
      <c r="F52" t="s">
        <v>692</v>
      </c>
      <c r="G52">
        <v>41.6</v>
      </c>
      <c r="J52" t="s">
        <v>693</v>
      </c>
      <c r="K52">
        <v>3.6</v>
      </c>
      <c r="L52" t="s">
        <v>694</v>
      </c>
    </row>
    <row r="53" spans="1:12" x14ac:dyDescent="0.35">
      <c r="A53" s="204" t="s">
        <v>695</v>
      </c>
      <c r="B53" s="205" t="s">
        <v>687</v>
      </c>
      <c r="C53" s="206">
        <f>C52/K52</f>
        <v>36.111111111111107</v>
      </c>
      <c r="D53" s="206"/>
      <c r="F53" t="s">
        <v>696</v>
      </c>
      <c r="G53">
        <v>50</v>
      </c>
      <c r="H53" t="s">
        <v>347</v>
      </c>
      <c r="J53" t="s">
        <v>697</v>
      </c>
      <c r="K53">
        <v>3.6</v>
      </c>
      <c r="L53" t="s">
        <v>698</v>
      </c>
    </row>
    <row r="54" spans="1:12" x14ac:dyDescent="0.35">
      <c r="A54" s="132"/>
      <c r="B54" s="185"/>
      <c r="C54" s="132"/>
      <c r="D54" s="132"/>
    </row>
    <row r="55" spans="1:12" x14ac:dyDescent="0.35">
      <c r="A55" s="199" t="s">
        <v>699</v>
      </c>
      <c r="B55" s="208"/>
      <c r="C55" s="209"/>
      <c r="D55" s="209"/>
    </row>
    <row r="56" spans="1:12" x14ac:dyDescent="0.35">
      <c r="A56" s="210" t="s">
        <v>700</v>
      </c>
      <c r="B56" s="211" t="s">
        <v>701</v>
      </c>
      <c r="C56" s="212">
        <f>73.4/H56</f>
        <v>69.165025489290741</v>
      </c>
      <c r="D56" s="212"/>
      <c r="G56" t="s">
        <v>702</v>
      </c>
      <c r="H56" s="213">
        <v>1.0612299999999999</v>
      </c>
    </row>
    <row r="57" spans="1:12" x14ac:dyDescent="0.35">
      <c r="G57" t="s">
        <v>935</v>
      </c>
      <c r="H57">
        <v>4500</v>
      </c>
    </row>
    <row r="58" spans="1:12" x14ac:dyDescent="0.35">
      <c r="A58" s="199" t="s">
        <v>703</v>
      </c>
      <c r="B58" s="208"/>
      <c r="C58" s="209"/>
      <c r="D58" s="209"/>
    </row>
    <row r="59" spans="1:12" x14ac:dyDescent="0.35">
      <c r="A59" s="37" t="s">
        <v>704</v>
      </c>
      <c r="B59" s="38" t="s">
        <v>705</v>
      </c>
      <c r="C59" s="214">
        <v>6</v>
      </c>
      <c r="D59" s="215"/>
    </row>
    <row r="60" spans="1:12" x14ac:dyDescent="0.35">
      <c r="A60" s="37" t="s">
        <v>706</v>
      </c>
      <c r="B60" s="38" t="s">
        <v>707</v>
      </c>
      <c r="C60" s="214">
        <v>0.16</v>
      </c>
      <c r="D60" s="214"/>
    </row>
    <row r="62" spans="1:12" x14ac:dyDescent="0.35">
      <c r="A62" s="178"/>
      <c r="B62" s="179"/>
      <c r="C62" s="180"/>
      <c r="D62" s="180"/>
    </row>
    <row r="63" spans="1:12" x14ac:dyDescent="0.35">
      <c r="A63" s="216" t="s">
        <v>708</v>
      </c>
      <c r="B63" s="217" t="s">
        <v>709</v>
      </c>
      <c r="C63" s="218"/>
      <c r="D63" s="218"/>
    </row>
    <row r="64" spans="1:12" x14ac:dyDescent="0.35">
      <c r="A64" s="183" t="s">
        <v>710</v>
      </c>
      <c r="B64" s="181" t="s">
        <v>705</v>
      </c>
      <c r="C64" s="159">
        <v>6</v>
      </c>
      <c r="D64" s="159"/>
    </row>
    <row r="65" spans="1:11" x14ac:dyDescent="0.35">
      <c r="A65" s="183" t="s">
        <v>711</v>
      </c>
      <c r="B65" s="181" t="s">
        <v>705</v>
      </c>
      <c r="C65" s="159">
        <v>0.6</v>
      </c>
      <c r="D65" s="159"/>
    </row>
    <row r="66" spans="1:11" x14ac:dyDescent="0.35">
      <c r="A66" s="37" t="s">
        <v>712</v>
      </c>
      <c r="B66" s="38" t="s">
        <v>705</v>
      </c>
      <c r="C66" s="219">
        <v>135</v>
      </c>
      <c r="D66" s="220"/>
    </row>
    <row r="67" spans="1:11" x14ac:dyDescent="0.35">
      <c r="A67" s="37" t="s">
        <v>479</v>
      </c>
      <c r="B67" s="38" t="s">
        <v>705</v>
      </c>
      <c r="C67" s="37">
        <v>0.08</v>
      </c>
      <c r="D67" s="183"/>
    </row>
    <row r="68" spans="1:11" x14ac:dyDescent="0.35">
      <c r="A68" s="37" t="s">
        <v>496</v>
      </c>
      <c r="B68" s="38" t="s">
        <v>705</v>
      </c>
      <c r="C68" s="219">
        <f>0.049*G53*1000/(K53*H56)</f>
        <v>641.28940527082307</v>
      </c>
      <c r="D68" s="220"/>
      <c r="F68">
        <v>0.1</v>
      </c>
      <c r="G68" t="s">
        <v>713</v>
      </c>
      <c r="H68">
        <f>F68/K53</f>
        <v>2.777777777777778E-2</v>
      </c>
      <c r="I68" t="s">
        <v>714</v>
      </c>
      <c r="J68">
        <f>H68*G53</f>
        <v>1.3888888888888891</v>
      </c>
      <c r="K68" t="s">
        <v>715</v>
      </c>
    </row>
    <row r="69" spans="1:11" x14ac:dyDescent="0.35">
      <c r="A69" s="221" t="s">
        <v>716</v>
      </c>
      <c r="B69" s="222" t="s">
        <v>687</v>
      </c>
      <c r="C69" s="221">
        <f>C68/'[4]Utilities demand'!Q48</f>
        <v>12.825788105416461</v>
      </c>
      <c r="D69" s="221"/>
    </row>
    <row r="70" spans="1:11" x14ac:dyDescent="0.35">
      <c r="A70" s="37" t="s">
        <v>717</v>
      </c>
      <c r="B70" s="38" t="s">
        <v>718</v>
      </c>
      <c r="C70" s="219">
        <f>25059/H57</f>
        <v>5.5686666666666671</v>
      </c>
      <c r="D70" s="219"/>
    </row>
    <row r="71" spans="1:11" x14ac:dyDescent="0.35">
      <c r="A71" s="223" t="s">
        <v>719</v>
      </c>
      <c r="B71" s="224" t="s">
        <v>705</v>
      </c>
      <c r="C71" s="223">
        <f>Sheet4!B42*1000/H56</f>
        <v>91657.793315303948</v>
      </c>
      <c r="D71" s="223"/>
      <c r="G71" t="s">
        <v>720</v>
      </c>
      <c r="H71" s="225" t="s">
        <v>721</v>
      </c>
    </row>
    <row r="72" spans="1:11" x14ac:dyDescent="0.35">
      <c r="A72" s="37"/>
      <c r="B72" s="38"/>
      <c r="C72" s="132"/>
      <c r="D72" s="132"/>
    </row>
    <row r="73" spans="1:11" x14ac:dyDescent="0.35">
      <c r="A73" s="226" t="s">
        <v>722</v>
      </c>
      <c r="B73" s="227" t="s">
        <v>723</v>
      </c>
      <c r="C73" s="228" t="s">
        <v>724</v>
      </c>
      <c r="D73" s="228"/>
    </row>
    <row r="74" spans="1:11" x14ac:dyDescent="0.35">
      <c r="A74" s="165" t="s">
        <v>649</v>
      </c>
      <c r="B74" s="229" t="s">
        <v>725</v>
      </c>
      <c r="C74" s="230" t="s">
        <v>726</v>
      </c>
      <c r="D74" s="230"/>
    </row>
    <row r="75" spans="1:11" x14ac:dyDescent="0.35">
      <c r="A75" s="183" t="s">
        <v>727</v>
      </c>
      <c r="B75" s="220">
        <f>46.3*60*60*24/1000</f>
        <v>4000.32</v>
      </c>
      <c r="C75" s="197">
        <f>[4]Sheet4!E96*9.3/H56</f>
        <v>12.558719104788516</v>
      </c>
      <c r="D75" s="197"/>
    </row>
    <row r="76" spans="1:11" x14ac:dyDescent="0.35">
      <c r="A76" s="183" t="s">
        <v>728</v>
      </c>
      <c r="B76" s="220">
        <f>281.6*60*60*24/1000</f>
        <v>24330.240000000002</v>
      </c>
      <c r="C76" s="197">
        <v>124.7</v>
      </c>
      <c r="D76" s="197"/>
    </row>
    <row r="77" spans="1:11" ht="16.5" x14ac:dyDescent="0.55000000000000004">
      <c r="A77" s="183" t="s">
        <v>729</v>
      </c>
      <c r="B77" s="220">
        <v>734.4</v>
      </c>
      <c r="C77" s="231">
        <v>23.6</v>
      </c>
      <c r="D77" s="231"/>
    </row>
    <row r="78" spans="1:11" x14ac:dyDescent="0.35">
      <c r="A78" s="165"/>
      <c r="B78" s="166"/>
      <c r="C78" s="165"/>
      <c r="D78" s="165"/>
    </row>
    <row r="79" spans="1:11" x14ac:dyDescent="0.35">
      <c r="A79" s="37"/>
      <c r="B79" s="38"/>
      <c r="C79" s="37"/>
      <c r="D79" s="37"/>
    </row>
    <row r="80" spans="1:11" x14ac:dyDescent="0.35">
      <c r="A80" s="37"/>
      <c r="B80" s="38"/>
      <c r="C80" s="37"/>
      <c r="D80" s="37"/>
    </row>
    <row r="81" spans="1:4" x14ac:dyDescent="0.35">
      <c r="A81" s="37" t="s">
        <v>730</v>
      </c>
      <c r="B81" s="38">
        <v>50</v>
      </c>
      <c r="C81" s="37">
        <f>15.9*1.433/H56</f>
        <v>21.470086597627283</v>
      </c>
      <c r="D81" s="37"/>
    </row>
    <row r="82" spans="1:4" x14ac:dyDescent="0.35">
      <c r="A82" s="37" t="s">
        <v>731</v>
      </c>
      <c r="B82" s="38">
        <v>500</v>
      </c>
      <c r="C82" s="37">
        <f>29.17641*[4]Sheet4!E99/H56</f>
        <v>36.796075939386043</v>
      </c>
      <c r="D82" s="37"/>
    </row>
    <row r="83" spans="1:4" x14ac:dyDescent="0.35">
      <c r="A83" s="37"/>
      <c r="B83" s="38"/>
      <c r="C83" s="37"/>
      <c r="D83" s="37"/>
    </row>
    <row r="84" spans="1:4" x14ac:dyDescent="0.35">
      <c r="A84" s="232"/>
      <c r="B84" s="232"/>
      <c r="C84" s="232"/>
      <c r="D84" s="232"/>
    </row>
  </sheetData>
  <hyperlinks>
    <hyperlink ref="H71" r:id="rId1" xr:uid="{58676660-9888-49F9-988D-1DD00132B8A2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Experimental_Backgorund</vt:lpstr>
      <vt:lpstr>Modified_experimental Backgroun</vt:lpstr>
      <vt:lpstr>Process variables </vt:lpstr>
      <vt:lpstr>Mass balances </vt:lpstr>
      <vt:lpstr>Utilities from Aspen </vt:lpstr>
      <vt:lpstr>Energy balance </vt:lpstr>
      <vt:lpstr>Yields </vt:lpstr>
      <vt:lpstr>Refinery </vt:lpstr>
      <vt:lpstr>Expenses variable </vt:lpstr>
      <vt:lpstr>Expenses_HTL</vt:lpstr>
      <vt:lpstr>Expenses_HTL_CoUp_fra</vt:lpstr>
      <vt:lpstr>emission variables </vt:lpstr>
      <vt:lpstr>Sheet4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Sivaramakrishnan Chandrasekaran</dc:creator>
  <cp:lastModifiedBy>Sivaramakrishnan Chandrasekaran</cp:lastModifiedBy>
  <dcterms:created xsi:type="dcterms:W3CDTF">2023-05-04T11:28:05Z</dcterms:created>
  <dcterms:modified xsi:type="dcterms:W3CDTF">2025-06-03T22:53:38Z</dcterms:modified>
</cp:coreProperties>
</file>