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threadedComments/threadedComment1.xml" ContentType="application/vnd.ms-excel.threaded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threadedComments/threadedComment2.xml" ContentType="application/vnd.ms-excel.threadedcomments+xml"/>
  <Override PartName="/xl/comments5.xml" ContentType="application/vnd.openxmlformats-officedocument.spreadsheetml.comments+xml"/>
  <Override PartName="/xl/threadedComments/threadedComment3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O:\TU DELFT\Siva Papers\Chapter 3 - Biohubs TEE and LCA\Excel sheets for Chapter 3_ Data\Mass balances, energy Balances, TEE\Namibia\"/>
    </mc:Choice>
  </mc:AlternateContent>
  <xr:revisionPtr revIDLastSave="0" documentId="13_ncr:1_{B41AB126-3BF7-4C9E-A8C6-FF3B91530365}" xr6:coauthVersionLast="47" xr6:coauthVersionMax="47" xr10:uidLastSave="{00000000-0000-0000-0000-000000000000}"/>
  <bookViews>
    <workbookView xWindow="-110" yWindow="-110" windowWidth="19420" windowHeight="10420" firstSheet="3" activeTab="7" xr2:uid="{00000000-000D-0000-FFFF-FFFF00000000}"/>
  </bookViews>
  <sheets>
    <sheet name="Experimental_Bckground data" sheetId="1" r:id="rId1"/>
    <sheet name="Process variables " sheetId="2" r:id="rId2"/>
    <sheet name="mass balances " sheetId="4" r:id="rId3"/>
    <sheet name="Utilities from Aspen " sheetId="5" r:id="rId4"/>
    <sheet name="Energy balance" sheetId="6" r:id="rId5"/>
    <sheet name="Yields" sheetId="7" r:id="rId6"/>
    <sheet name="Refinery " sheetId="8" r:id="rId7"/>
    <sheet name="Expenses variable" sheetId="9" r:id="rId8"/>
    <sheet name="expenses_full_fue_HTL" sheetId="12" r:id="rId9"/>
    <sheet name="expenses_full_fue_HTL_CoUp_fra" sheetId="11" r:id="rId10"/>
    <sheet name="Sheet4" sheetId="10" r:id="rId11"/>
    <sheet name="Emission" sheetId="13" r:id="rId12"/>
  </sheets>
  <externalReferences>
    <externalReference r:id="rId13"/>
    <externalReference r:id="rId14"/>
    <externalReference r:id="rId15"/>
    <externalReference r:id="rId16"/>
    <externalReference r:id="rId1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93" i="4" l="1"/>
  <c r="F53" i="13"/>
  <c r="F54" i="13"/>
  <c r="F55" i="13"/>
  <c r="F57" i="13"/>
  <c r="F58" i="13"/>
  <c r="F59" i="13"/>
  <c r="F61" i="13"/>
  <c r="F62" i="13"/>
  <c r="F63" i="13"/>
  <c r="F65" i="13"/>
  <c r="F66" i="13"/>
  <c r="F67" i="13"/>
  <c r="F69" i="13"/>
  <c r="D33" i="13"/>
  <c r="D37" i="13" s="1"/>
  <c r="D41" i="13" s="1"/>
  <c r="D45" i="13" s="1"/>
  <c r="D49" i="13" s="1"/>
  <c r="D34" i="13"/>
  <c r="D35" i="13"/>
  <c r="D39" i="13" s="1"/>
  <c r="D43" i="13" s="1"/>
  <c r="D47" i="13" s="1"/>
  <c r="D38" i="13"/>
  <c r="D42" i="13" s="1"/>
  <c r="D46" i="13" s="1"/>
  <c r="F28" i="13"/>
  <c r="E28" i="13"/>
  <c r="H28" i="13"/>
  <c r="D28" i="13"/>
  <c r="E8" i="13"/>
  <c r="D7" i="13"/>
  <c r="D8" i="13" s="1"/>
  <c r="G28" i="13"/>
  <c r="D32" i="13" l="1"/>
  <c r="N50" i="13"/>
  <c r="I71" i="13"/>
  <c r="H71" i="13"/>
  <c r="G71" i="13"/>
  <c r="F52" i="13" l="1"/>
  <c r="D36" i="13"/>
  <c r="Q28" i="13"/>
  <c r="Q38" i="13" s="1"/>
  <c r="O58" i="13" s="1"/>
  <c r="P28" i="13"/>
  <c r="O28" i="13"/>
  <c r="O42" i="13" s="1"/>
  <c r="N28" i="13"/>
  <c r="N39" i="13" s="1"/>
  <c r="J28" i="13"/>
  <c r="J41" i="13" s="1"/>
  <c r="I87" i="13"/>
  <c r="H82" i="13"/>
  <c r="H76" i="13"/>
  <c r="I86" i="13"/>
  <c r="H89" i="13"/>
  <c r="G88" i="13"/>
  <c r="M49" i="13"/>
  <c r="M41" i="13"/>
  <c r="M38" i="13"/>
  <c r="J38" i="13"/>
  <c r="M47" i="13"/>
  <c r="J44" i="13"/>
  <c r="H46" i="13"/>
  <c r="G42" i="13"/>
  <c r="F44" i="13"/>
  <c r="E47" i="13"/>
  <c r="F56" i="13" l="1"/>
  <c r="D40" i="13"/>
  <c r="J32" i="13"/>
  <c r="J35" i="13"/>
  <c r="J48" i="13"/>
  <c r="J37" i="13"/>
  <c r="H45" i="13"/>
  <c r="F36" i="13"/>
  <c r="J45" i="13"/>
  <c r="J46" i="13"/>
  <c r="H42" i="13"/>
  <c r="J43" i="13"/>
  <c r="F33" i="13"/>
  <c r="E39" i="13"/>
  <c r="N42" i="13"/>
  <c r="I76" i="13"/>
  <c r="I82" i="13"/>
  <c r="I89" i="13"/>
  <c r="E34" i="13"/>
  <c r="N36" i="13"/>
  <c r="F39" i="13"/>
  <c r="H43" i="13"/>
  <c r="H77" i="13"/>
  <c r="H84" i="13"/>
  <c r="G90" i="13"/>
  <c r="F34" i="13"/>
  <c r="F37" i="13"/>
  <c r="H39" i="13"/>
  <c r="F47" i="13"/>
  <c r="I77" i="13"/>
  <c r="I84" i="13"/>
  <c r="H90" i="13"/>
  <c r="E33" i="13"/>
  <c r="E35" i="13"/>
  <c r="H34" i="13"/>
  <c r="H37" i="13"/>
  <c r="H40" i="13"/>
  <c r="H47" i="13"/>
  <c r="H79" i="13"/>
  <c r="G85" i="13"/>
  <c r="I90" i="13"/>
  <c r="E40" i="13"/>
  <c r="E48" i="13"/>
  <c r="H35" i="13"/>
  <c r="E44" i="13"/>
  <c r="N47" i="13"/>
  <c r="I73" i="13"/>
  <c r="I79" i="13"/>
  <c r="H85" i="13"/>
  <c r="E43" i="13"/>
  <c r="E32" i="13"/>
  <c r="H32" i="13"/>
  <c r="E38" i="13"/>
  <c r="E42" i="13"/>
  <c r="N44" i="13"/>
  <c r="H48" i="13"/>
  <c r="H74" i="13"/>
  <c r="G80" i="13"/>
  <c r="I85" i="13"/>
  <c r="E37" i="13"/>
  <c r="E41" i="13"/>
  <c r="E45" i="13"/>
  <c r="E49" i="13"/>
  <c r="E36" i="13"/>
  <c r="F42" i="13"/>
  <c r="F45" i="13"/>
  <c r="I74" i="13"/>
  <c r="I81" i="13"/>
  <c r="H87" i="13"/>
  <c r="Q34" i="13"/>
  <c r="O54" i="13" s="1"/>
  <c r="Q32" i="13"/>
  <c r="O52" i="13" s="1"/>
  <c r="Q42" i="13"/>
  <c r="O62" i="13" s="1"/>
  <c r="Q35" i="13"/>
  <c r="O55" i="13" s="1"/>
  <c r="Q37" i="13"/>
  <c r="O57" i="13" s="1"/>
  <c r="Q48" i="13"/>
  <c r="O68" i="13" s="1"/>
  <c r="Q40" i="13"/>
  <c r="O60" i="13" s="1"/>
  <c r="Q45" i="13"/>
  <c r="O65" i="13" s="1"/>
  <c r="Q43" i="13"/>
  <c r="O63" i="13" s="1"/>
  <c r="Q46" i="13"/>
  <c r="O66" i="13" s="1"/>
  <c r="Q49" i="13"/>
  <c r="O69" i="13" s="1"/>
  <c r="O48" i="13"/>
  <c r="O36" i="13"/>
  <c r="O39" i="13"/>
  <c r="L59" i="13" s="1"/>
  <c r="O34" i="13"/>
  <c r="O40" i="13"/>
  <c r="O47" i="13"/>
  <c r="O37" i="13"/>
  <c r="L62" i="13"/>
  <c r="N33" i="13"/>
  <c r="N41" i="13"/>
  <c r="J40" i="13"/>
  <c r="J33" i="13"/>
  <c r="J49" i="13"/>
  <c r="P46" i="13"/>
  <c r="N66" i="13" s="1"/>
  <c r="P38" i="13"/>
  <c r="N58" i="13" s="1"/>
  <c r="P47" i="13"/>
  <c r="N67" i="13" s="1"/>
  <c r="P49" i="13"/>
  <c r="N69" i="13" s="1"/>
  <c r="P41" i="13"/>
  <c r="N61" i="13" s="1"/>
  <c r="P33" i="13"/>
  <c r="N53" i="13" s="1"/>
  <c r="P44" i="13"/>
  <c r="N64" i="13" s="1"/>
  <c r="P36" i="13"/>
  <c r="N56" i="13" s="1"/>
  <c r="P35" i="13"/>
  <c r="N55" i="13" s="1"/>
  <c r="P34" i="13"/>
  <c r="N54" i="13" s="1"/>
  <c r="G34" i="13"/>
  <c r="G37" i="13"/>
  <c r="G40" i="13"/>
  <c r="G77" i="13"/>
  <c r="G82" i="13"/>
  <c r="G87" i="13"/>
  <c r="G36" i="13"/>
  <c r="G39" i="13"/>
  <c r="F41" i="13"/>
  <c r="P48" i="13"/>
  <c r="N68" i="13" s="1"/>
  <c r="P39" i="13"/>
  <c r="N59" i="13" s="1"/>
  <c r="G43" i="13"/>
  <c r="G35" i="13"/>
  <c r="G46" i="13"/>
  <c r="G38" i="13"/>
  <c r="G44" i="13"/>
  <c r="G49" i="13"/>
  <c r="G41" i="13"/>
  <c r="G33" i="13"/>
  <c r="P37" i="13"/>
  <c r="N57" i="13" s="1"/>
  <c r="G32" i="13"/>
  <c r="M45" i="13"/>
  <c r="M37" i="13"/>
  <c r="M48" i="13"/>
  <c r="M40" i="13"/>
  <c r="M32" i="13"/>
  <c r="M46" i="13"/>
  <c r="M43" i="13"/>
  <c r="M35" i="13"/>
  <c r="N48" i="13"/>
  <c r="N40" i="13"/>
  <c r="N32" i="13"/>
  <c r="N43" i="13"/>
  <c r="N35" i="13"/>
  <c r="N49" i="13"/>
  <c r="N46" i="13"/>
  <c r="N38" i="13"/>
  <c r="M34" i="13"/>
  <c r="N45" i="13"/>
  <c r="G74" i="13"/>
  <c r="G79" i="13"/>
  <c r="P45" i="13"/>
  <c r="N65" i="13" s="1"/>
  <c r="P43" i="13"/>
  <c r="N63" i="13" s="1"/>
  <c r="G47" i="13"/>
  <c r="P42" i="13"/>
  <c r="N62" i="13" s="1"/>
  <c r="G45" i="13"/>
  <c r="G84" i="13"/>
  <c r="G76" i="13"/>
  <c r="G89" i="13"/>
  <c r="G81" i="13"/>
  <c r="G73" i="13"/>
  <c r="G86" i="13"/>
  <c r="G78" i="13"/>
  <c r="G83" i="13"/>
  <c r="G75" i="13"/>
  <c r="E46" i="13"/>
  <c r="F48" i="13"/>
  <c r="F40" i="13"/>
  <c r="F32" i="13"/>
  <c r="F49" i="13"/>
  <c r="F43" i="13"/>
  <c r="F35" i="13"/>
  <c r="F46" i="13"/>
  <c r="F38" i="13"/>
  <c r="O43" i="13"/>
  <c r="O35" i="13"/>
  <c r="O44" i="13"/>
  <c r="L64" i="13" s="1"/>
  <c r="O46" i="13"/>
  <c r="O38" i="13"/>
  <c r="O49" i="13"/>
  <c r="O41" i="13"/>
  <c r="O33" i="13"/>
  <c r="O32" i="13"/>
  <c r="M33" i="13"/>
  <c r="N34" i="13"/>
  <c r="M36" i="13"/>
  <c r="N37" i="13"/>
  <c r="M39" i="13"/>
  <c r="M42" i="13"/>
  <c r="M44" i="13"/>
  <c r="O45" i="13"/>
  <c r="G48" i="13"/>
  <c r="P32" i="13"/>
  <c r="N52" i="13" s="1"/>
  <c r="P40" i="13"/>
  <c r="N60" i="13" s="1"/>
  <c r="H80" i="13"/>
  <c r="J34" i="13"/>
  <c r="H36" i="13"/>
  <c r="Q39" i="13"/>
  <c r="O59" i="13" s="1"/>
  <c r="J42" i="13"/>
  <c r="H44" i="13"/>
  <c r="Q47" i="13"/>
  <c r="O67" i="13" s="1"/>
  <c r="H75" i="13"/>
  <c r="I80" i="13"/>
  <c r="H83" i="13"/>
  <c r="I88" i="13"/>
  <c r="H88" i="13"/>
  <c r="H33" i="13"/>
  <c r="Q36" i="13"/>
  <c r="O56" i="13" s="1"/>
  <c r="J39" i="13"/>
  <c r="H41" i="13"/>
  <c r="Q44" i="13"/>
  <c r="O64" i="13" s="1"/>
  <c r="J47" i="13"/>
  <c r="H49" i="13"/>
  <c r="I75" i="13"/>
  <c r="H78" i="13"/>
  <c r="I83" i="13"/>
  <c r="H86" i="13"/>
  <c r="Q33" i="13"/>
  <c r="O53" i="13" s="1"/>
  <c r="J36" i="13"/>
  <c r="H38" i="13"/>
  <c r="Q41" i="13"/>
  <c r="O61" i="13" s="1"/>
  <c r="H73" i="13"/>
  <c r="I78" i="13"/>
  <c r="H81" i="13"/>
  <c r="C42" i="12"/>
  <c r="C25" i="12"/>
  <c r="C29" i="12"/>
  <c r="C30" i="12" s="1"/>
  <c r="C26" i="12"/>
  <c r="C24" i="12"/>
  <c r="C23" i="12"/>
  <c r="C22" i="12"/>
  <c r="E12" i="12"/>
  <c r="C20" i="12" s="1"/>
  <c r="C6" i="12"/>
  <c r="C5" i="12"/>
  <c r="G188" i="4"/>
  <c r="G187" i="4"/>
  <c r="G186" i="4"/>
  <c r="E12" i="11"/>
  <c r="C42" i="11"/>
  <c r="C51" i="11"/>
  <c r="C50" i="11"/>
  <c r="D189" i="4"/>
  <c r="D190" i="4"/>
  <c r="D188" i="4"/>
  <c r="C186" i="4"/>
  <c r="C185" i="4"/>
  <c r="C32" i="11"/>
  <c r="C30" i="11"/>
  <c r="C29" i="11"/>
  <c r="C26" i="11"/>
  <c r="H113" i="4"/>
  <c r="C24" i="11"/>
  <c r="C23" i="11"/>
  <c r="C22" i="11"/>
  <c r="C21" i="11"/>
  <c r="D44" i="13" l="1"/>
  <c r="F60" i="13"/>
  <c r="L53" i="13"/>
  <c r="L68" i="13"/>
  <c r="L56" i="13"/>
  <c r="L61" i="13"/>
  <c r="L52" i="13"/>
  <c r="L54" i="13"/>
  <c r="L67" i="13"/>
  <c r="L63" i="13"/>
  <c r="L60" i="13"/>
  <c r="L57" i="13"/>
  <c r="L58" i="13"/>
  <c r="L66" i="13"/>
  <c r="L69" i="13"/>
  <c r="L55" i="13"/>
  <c r="L65" i="13"/>
  <c r="C28" i="12"/>
  <c r="C32" i="12" s="1"/>
  <c r="C5" i="11"/>
  <c r="D48" i="13" l="1"/>
  <c r="F68" i="13" s="1"/>
  <c r="F64" i="13"/>
  <c r="C6" i="11"/>
  <c r="C82" i="9" l="1"/>
  <c r="C81" i="9"/>
  <c r="D90" i="10"/>
  <c r="E96" i="10" s="1"/>
  <c r="M63" i="10"/>
  <c r="M64" i="10" s="1"/>
  <c r="K61" i="10" s="1"/>
  <c r="K60" i="10"/>
  <c r="J46" i="10"/>
  <c r="J45" i="10"/>
  <c r="J44" i="10"/>
  <c r="J43" i="10"/>
  <c r="J42" i="10"/>
  <c r="J31" i="10"/>
  <c r="J30" i="10"/>
  <c r="J32" i="10" s="1"/>
  <c r="J29" i="10"/>
  <c r="J28" i="10"/>
  <c r="J27" i="10"/>
  <c r="F26" i="10"/>
  <c r="N22" i="10"/>
  <c r="N21" i="10"/>
  <c r="N20" i="10"/>
  <c r="R19" i="10"/>
  <c r="N19" i="10"/>
  <c r="R18" i="10"/>
  <c r="N18" i="10"/>
  <c r="N17" i="10"/>
  <c r="F17" i="10"/>
  <c r="N16" i="10"/>
  <c r="F16" i="10"/>
  <c r="N15" i="10"/>
  <c r="F15" i="10"/>
  <c r="N14" i="10"/>
  <c r="F14" i="10"/>
  <c r="N13" i="10"/>
  <c r="N12" i="10"/>
  <c r="N11" i="10"/>
  <c r="J11" i="10"/>
  <c r="F11" i="10"/>
  <c r="N10" i="10"/>
  <c r="R9" i="10"/>
  <c r="F9" i="10"/>
  <c r="B9" i="10"/>
  <c r="R8" i="10"/>
  <c r="F8" i="10"/>
  <c r="R7" i="10"/>
  <c r="F7" i="10"/>
  <c r="R6" i="10"/>
  <c r="F6" i="10"/>
  <c r="R5" i="10"/>
  <c r="R4" i="10"/>
  <c r="F4" i="10"/>
  <c r="B4" i="10"/>
  <c r="C54" i="9"/>
  <c r="C28" i="11" l="1"/>
  <c r="E99" i="10"/>
  <c r="C56" i="9" l="1"/>
  <c r="C51" i="9"/>
  <c r="C52" i="9"/>
  <c r="C53" i="9" s="1"/>
  <c r="B76" i="9"/>
  <c r="B75" i="9"/>
  <c r="C71" i="9"/>
  <c r="H68" i="9"/>
  <c r="J68" i="9" s="1"/>
  <c r="C68" i="9" s="1"/>
  <c r="C69" i="9" s="1"/>
  <c r="C60" i="9"/>
  <c r="C21" i="9"/>
  <c r="C34" i="9" s="1"/>
  <c r="C5" i="8"/>
  <c r="B1" i="8"/>
  <c r="C25" i="11" l="1"/>
  <c r="D25" i="11"/>
  <c r="C48" i="9"/>
  <c r="C4" i="8"/>
  <c r="C20" i="11" l="1"/>
  <c r="C30" i="7"/>
  <c r="C43" i="7"/>
  <c r="D32" i="6"/>
  <c r="D25" i="6"/>
  <c r="D24" i="6"/>
  <c r="D23" i="6"/>
  <c r="D22" i="6"/>
  <c r="C32" i="7"/>
  <c r="C31" i="7"/>
  <c r="C29" i="7"/>
  <c r="C28" i="7"/>
  <c r="C27" i="7"/>
  <c r="C24" i="7"/>
  <c r="C23" i="7"/>
  <c r="C22" i="7"/>
  <c r="D171" i="4"/>
  <c r="D179" i="4"/>
  <c r="C16" i="7" l="1"/>
  <c r="C11" i="7"/>
  <c r="C12" i="7" s="1"/>
  <c r="C10" i="7"/>
  <c r="C9" i="7"/>
  <c r="C8" i="7"/>
  <c r="C4" i="7"/>
  <c r="C3" i="7"/>
  <c r="C2" i="7"/>
  <c r="D30" i="6"/>
  <c r="R51" i="5"/>
  <c r="N51" i="5"/>
  <c r="D29" i="6"/>
  <c r="D9" i="6"/>
  <c r="D10" i="6"/>
  <c r="D5" i="6"/>
  <c r="D4" i="6"/>
  <c r="D3" i="6"/>
  <c r="C53" i="6"/>
  <c r="C52" i="6"/>
  <c r="C51" i="6"/>
  <c r="C50" i="6"/>
  <c r="C49" i="6"/>
  <c r="C48" i="6"/>
  <c r="C47" i="6"/>
  <c r="C42" i="6"/>
  <c r="C41" i="6"/>
  <c r="C40" i="6"/>
  <c r="C39" i="6"/>
  <c r="D38" i="6"/>
  <c r="C38" i="6"/>
  <c r="D37" i="6"/>
  <c r="C37" i="6"/>
  <c r="D36" i="6"/>
  <c r="C36" i="6"/>
  <c r="C35" i="6"/>
  <c r="C34" i="6"/>
  <c r="C33" i="6"/>
  <c r="C32" i="6"/>
  <c r="C31" i="6"/>
  <c r="C30" i="6"/>
  <c r="C29" i="6"/>
  <c r="C28" i="6"/>
  <c r="C25" i="6"/>
  <c r="C24" i="6"/>
  <c r="C23" i="6"/>
  <c r="C22" i="6"/>
  <c r="C21" i="6"/>
  <c r="C19" i="6"/>
  <c r="C18" i="6"/>
  <c r="C17" i="6"/>
  <c r="C16" i="6"/>
  <c r="C15" i="6"/>
  <c r="C13" i="6"/>
  <c r="C12" i="6"/>
  <c r="D11" i="6"/>
  <c r="C11" i="6"/>
  <c r="C10" i="6"/>
  <c r="C9" i="6"/>
  <c r="C6" i="6"/>
  <c r="C5" i="6"/>
  <c r="C4" i="6"/>
  <c r="C3" i="6"/>
  <c r="E24" i="5"/>
  <c r="D39" i="6" l="1"/>
  <c r="D40" i="6" s="1"/>
  <c r="D21" i="6"/>
  <c r="D12" i="6"/>
  <c r="D2" i="6"/>
  <c r="D8" i="6" l="1"/>
  <c r="D18" i="6" s="1"/>
  <c r="D41" i="6"/>
  <c r="D42" i="6" s="1"/>
  <c r="D51" i="6" s="1"/>
  <c r="D13" i="6"/>
  <c r="D6" i="6" s="1"/>
  <c r="D50" i="6"/>
  <c r="D19" i="6" l="1"/>
  <c r="D16" i="6"/>
  <c r="D17" i="6"/>
  <c r="D15" i="6" l="1"/>
  <c r="B9" i="5"/>
  <c r="B10" i="5" s="1"/>
  <c r="B18" i="5"/>
  <c r="B33" i="5" s="1"/>
  <c r="C48" i="5" s="1"/>
  <c r="B87" i="5"/>
  <c r="B88" i="5" s="1"/>
  <c r="C60" i="5"/>
  <c r="P51" i="5"/>
  <c r="S51" i="5" s="1"/>
  <c r="P46" i="5"/>
  <c r="S46" i="5" s="1"/>
  <c r="P45" i="5"/>
  <c r="S45" i="5" s="1"/>
  <c r="S44" i="5"/>
  <c r="P44" i="5"/>
  <c r="P43" i="5"/>
  <c r="S43" i="5" s="1"/>
  <c r="S42" i="5"/>
  <c r="P42" i="5"/>
  <c r="P41" i="5"/>
  <c r="S41" i="5" s="1"/>
  <c r="P40" i="5"/>
  <c r="P39" i="5"/>
  <c r="S39" i="5" s="1"/>
  <c r="P38" i="5"/>
  <c r="P37" i="5"/>
  <c r="S37" i="5" s="1"/>
  <c r="S36" i="5"/>
  <c r="P36" i="5"/>
  <c r="S35" i="5"/>
  <c r="P35" i="5"/>
  <c r="P34" i="5"/>
  <c r="S34" i="5" s="1"/>
  <c r="P33" i="5"/>
  <c r="S33" i="5" s="1"/>
  <c r="P32" i="5"/>
  <c r="S32" i="5" s="1"/>
  <c r="P31" i="5"/>
  <c r="S31" i="5" s="1"/>
  <c r="P30" i="5"/>
  <c r="S30" i="5" s="1"/>
  <c r="P29" i="5"/>
  <c r="S29" i="5" s="1"/>
  <c r="P28" i="5"/>
  <c r="P27" i="5"/>
  <c r="S27" i="5" s="1"/>
  <c r="S26" i="5"/>
  <c r="P26" i="5"/>
  <c r="S25" i="5"/>
  <c r="P25" i="5"/>
  <c r="B25" i="5"/>
  <c r="P24" i="5"/>
  <c r="S24" i="5" s="1"/>
  <c r="S23" i="5"/>
  <c r="P23" i="5"/>
  <c r="E23" i="5"/>
  <c r="P22" i="5"/>
  <c r="S22" i="5" s="1"/>
  <c r="P21" i="5"/>
  <c r="P20" i="5"/>
  <c r="S20" i="5" s="1"/>
  <c r="S19" i="5"/>
  <c r="P19" i="5"/>
  <c r="P18" i="5"/>
  <c r="S18" i="5" s="1"/>
  <c r="S17" i="5"/>
  <c r="P17" i="5"/>
  <c r="S16" i="5"/>
  <c r="P16" i="5"/>
  <c r="S15" i="5"/>
  <c r="P15" i="5"/>
  <c r="P14" i="5"/>
  <c r="S14" i="5" s="1"/>
  <c r="P13" i="5"/>
  <c r="S13" i="5" s="1"/>
  <c r="P12" i="5"/>
  <c r="S12" i="5" s="1"/>
  <c r="P11" i="5"/>
  <c r="P10" i="5"/>
  <c r="S10" i="5" s="1"/>
  <c r="P9" i="5"/>
  <c r="S9" i="5" s="1"/>
  <c r="P8" i="5"/>
  <c r="S8" i="5" s="1"/>
  <c r="S7" i="5"/>
  <c r="P7" i="5"/>
  <c r="S6" i="5"/>
  <c r="P6" i="5"/>
  <c r="S5" i="5"/>
  <c r="P5" i="5"/>
  <c r="B32" i="5" l="1"/>
  <c r="C43" i="5" s="1"/>
  <c r="C44" i="5" s="1"/>
  <c r="C45" i="5" s="1"/>
  <c r="B19" i="5"/>
  <c r="C59" i="5"/>
  <c r="C58" i="5"/>
  <c r="C49" i="5"/>
  <c r="C50" i="5" s="1"/>
  <c r="S28" i="5"/>
  <c r="S38" i="5"/>
  <c r="S40" i="5"/>
  <c r="P47" i="5"/>
  <c r="K21" i="5" s="1"/>
  <c r="S11" i="5"/>
  <c r="S47" i="5" s="1"/>
  <c r="C39" i="5" s="1"/>
  <c r="C40" i="5" s="1"/>
  <c r="S21" i="5"/>
  <c r="D31" i="6" l="1"/>
  <c r="C40" i="7"/>
  <c r="D49" i="6"/>
  <c r="C57" i="5"/>
  <c r="C15" i="7" s="1"/>
  <c r="I28" i="13" s="1"/>
  <c r="C47" i="5"/>
  <c r="C41" i="5"/>
  <c r="C33" i="7" s="1"/>
  <c r="K8" i="5"/>
  <c r="K40" i="5"/>
  <c r="K10" i="5"/>
  <c r="K43" i="5"/>
  <c r="K38" i="5"/>
  <c r="K28" i="5"/>
  <c r="K45" i="5"/>
  <c r="K41" i="5"/>
  <c r="K15" i="5"/>
  <c r="K5" i="5"/>
  <c r="K36" i="5"/>
  <c r="K17" i="5"/>
  <c r="K44" i="5"/>
  <c r="K42" i="5"/>
  <c r="K35" i="5"/>
  <c r="K25" i="5"/>
  <c r="K16" i="5"/>
  <c r="K19" i="5"/>
  <c r="K14" i="5"/>
  <c r="K18" i="5"/>
  <c r="K13" i="5"/>
  <c r="K39" i="5"/>
  <c r="K34" i="5"/>
  <c r="K7" i="5"/>
  <c r="K33" i="5"/>
  <c r="K37" i="5"/>
  <c r="K32" i="5"/>
  <c r="K27" i="5"/>
  <c r="K26" i="5"/>
  <c r="K31" i="5"/>
  <c r="K9" i="5"/>
  <c r="K11" i="5"/>
  <c r="K46" i="5"/>
  <c r="K30" i="5"/>
  <c r="K22" i="5"/>
  <c r="K23" i="5"/>
  <c r="K29" i="5"/>
  <c r="K24" i="5"/>
  <c r="K20" i="5"/>
  <c r="K12" i="5"/>
  <c r="K6" i="5"/>
  <c r="I45" i="13" l="1"/>
  <c r="I37" i="13"/>
  <c r="I32" i="13"/>
  <c r="I47" i="13"/>
  <c r="I36" i="13"/>
  <c r="I41" i="13"/>
  <c r="I42" i="13"/>
  <c r="I40" i="13"/>
  <c r="I46" i="13"/>
  <c r="I49" i="13"/>
  <c r="I35" i="13"/>
  <c r="I39" i="13"/>
  <c r="I44" i="13"/>
  <c r="I33" i="13"/>
  <c r="I43" i="13"/>
  <c r="I48" i="13"/>
  <c r="I34" i="13"/>
  <c r="I38" i="13"/>
  <c r="C27" i="11"/>
  <c r="C19" i="11" s="1"/>
  <c r="C27" i="12"/>
  <c r="C19" i="12" s="1"/>
  <c r="C8" i="11"/>
  <c r="C4" i="11" s="1"/>
  <c r="C11" i="11" s="1"/>
  <c r="C8" i="12"/>
  <c r="C4" i="12" s="1"/>
  <c r="C51" i="5"/>
  <c r="C54" i="5"/>
  <c r="C55" i="5" s="1"/>
  <c r="C12" i="11" l="1"/>
  <c r="C11" i="12"/>
  <c r="C12" i="12"/>
  <c r="C9" i="12"/>
  <c r="C3" i="12" s="1"/>
  <c r="C10" i="12" s="1"/>
  <c r="C9" i="11"/>
  <c r="C3" i="11" s="1"/>
  <c r="C10" i="11" s="1"/>
  <c r="D33" i="6"/>
  <c r="C19" i="7"/>
  <c r="K28" i="13" s="1"/>
  <c r="D174" i="4"/>
  <c r="D172" i="4"/>
  <c r="N207" i="4"/>
  <c r="D181" i="4" s="1"/>
  <c r="E167" i="1"/>
  <c r="E166" i="1"/>
  <c r="E161" i="1"/>
  <c r="E162" i="1"/>
  <c r="E163" i="1"/>
  <c r="E164" i="1"/>
  <c r="E165" i="1"/>
  <c r="E160" i="1"/>
  <c r="N146" i="4"/>
  <c r="N145" i="4"/>
  <c r="N144" i="4"/>
  <c r="N143" i="4"/>
  <c r="D140" i="4"/>
  <c r="D147" i="4" s="1"/>
  <c r="F153" i="1"/>
  <c r="F152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28" i="1"/>
  <c r="D110" i="4"/>
  <c r="D108" i="4"/>
  <c r="D65" i="4"/>
  <c r="D63" i="4" s="1"/>
  <c r="D115" i="4"/>
  <c r="D120" i="4" s="1"/>
  <c r="D61" i="4"/>
  <c r="D49" i="4"/>
  <c r="D53" i="4" s="1"/>
  <c r="D46" i="4"/>
  <c r="D23" i="4"/>
  <c r="D15" i="4"/>
  <c r="D14" i="4"/>
  <c r="D13" i="4"/>
  <c r="D12" i="4" s="1"/>
  <c r="D8" i="4"/>
  <c r="D22" i="4" s="1"/>
  <c r="D7" i="4"/>
  <c r="D6" i="4" s="1"/>
  <c r="N195" i="4"/>
  <c r="N188" i="4"/>
  <c r="D175" i="4" s="1"/>
  <c r="D180" i="4"/>
  <c r="D178" i="4"/>
  <c r="D176" i="4"/>
  <c r="D164" i="4"/>
  <c r="D155" i="4"/>
  <c r="D136" i="4"/>
  <c r="D130" i="4"/>
  <c r="D137" i="4" s="1"/>
  <c r="D123" i="4"/>
  <c r="D122" i="4" s="1"/>
  <c r="F10" i="1"/>
  <c r="F6" i="1"/>
  <c r="F8" i="1"/>
  <c r="C33" i="2"/>
  <c r="K33" i="13" l="1"/>
  <c r="G53" i="13" s="1"/>
  <c r="L43" i="13"/>
  <c r="H63" i="13" s="1"/>
  <c r="K36" i="13"/>
  <c r="G56" i="13" s="1"/>
  <c r="K49" i="13"/>
  <c r="G69" i="13" s="1"/>
  <c r="K39" i="13"/>
  <c r="G59" i="13" s="1"/>
  <c r="L40" i="13"/>
  <c r="H60" i="13" s="1"/>
  <c r="K35" i="13"/>
  <c r="G55" i="13" s="1"/>
  <c r="K40" i="13"/>
  <c r="G60" i="13" s="1"/>
  <c r="K46" i="13"/>
  <c r="G66" i="13" s="1"/>
  <c r="L49" i="13"/>
  <c r="H69" i="13" s="1"/>
  <c r="L34" i="13"/>
  <c r="H54" i="13" s="1"/>
  <c r="K37" i="13"/>
  <c r="G57" i="13" s="1"/>
  <c r="I57" i="13" s="1"/>
  <c r="L36" i="13"/>
  <c r="H56" i="13" s="1"/>
  <c r="L41" i="13"/>
  <c r="H61" i="13" s="1"/>
  <c r="K45" i="13"/>
  <c r="G65" i="13" s="1"/>
  <c r="L46" i="13"/>
  <c r="H66" i="13" s="1"/>
  <c r="L45" i="13"/>
  <c r="H65" i="13" s="1"/>
  <c r="L32" i="13"/>
  <c r="H52" i="13" s="1"/>
  <c r="K38" i="13"/>
  <c r="G58" i="13" s="1"/>
  <c r="L35" i="13"/>
  <c r="H55" i="13" s="1"/>
  <c r="L47" i="13"/>
  <c r="H67" i="13" s="1"/>
  <c r="K42" i="13"/>
  <c r="G62" i="13" s="1"/>
  <c r="K48" i="13"/>
  <c r="G68" i="13" s="1"/>
  <c r="I68" i="13" s="1"/>
  <c r="L39" i="13"/>
  <c r="H59" i="13" s="1"/>
  <c r="K43" i="13"/>
  <c r="G63" i="13" s="1"/>
  <c r="I63" i="13" s="1"/>
  <c r="L42" i="13"/>
  <c r="H62" i="13" s="1"/>
  <c r="L37" i="13"/>
  <c r="H57" i="13" s="1"/>
  <c r="K41" i="13"/>
  <c r="G61" i="13" s="1"/>
  <c r="I61" i="13" s="1"/>
  <c r="K44" i="13"/>
  <c r="G64" i="13" s="1"/>
  <c r="K34" i="13"/>
  <c r="G54" i="13" s="1"/>
  <c r="K32" i="13"/>
  <c r="G52" i="13" s="1"/>
  <c r="I52" i="13" s="1"/>
  <c r="L44" i="13"/>
  <c r="H64" i="13" s="1"/>
  <c r="L38" i="13"/>
  <c r="H58" i="13" s="1"/>
  <c r="K47" i="13"/>
  <c r="G67" i="13" s="1"/>
  <c r="L48" i="13"/>
  <c r="H68" i="13" s="1"/>
  <c r="L33" i="13"/>
  <c r="H53" i="13" s="1"/>
  <c r="C2" i="12"/>
  <c r="C31" i="12" s="1"/>
  <c r="C18" i="12" s="1"/>
  <c r="C33" i="12" s="1"/>
  <c r="C2" i="11"/>
  <c r="C36" i="11" s="1"/>
  <c r="C36" i="12"/>
  <c r="C35" i="12"/>
  <c r="C44" i="11"/>
  <c r="C41" i="11" s="1"/>
  <c r="C38" i="11" s="1"/>
  <c r="C44" i="12"/>
  <c r="C41" i="12" s="1"/>
  <c r="D48" i="6"/>
  <c r="D34" i="6"/>
  <c r="N194" i="4"/>
  <c r="N142" i="4"/>
  <c r="D150" i="4"/>
  <c r="D153" i="4" s="1"/>
  <c r="D177" i="4"/>
  <c r="E40" i="4"/>
  <c r="E34" i="4"/>
  <c r="E33" i="4"/>
  <c r="D21" i="4"/>
  <c r="E32" i="4"/>
  <c r="E38" i="4"/>
  <c r="E31" i="4"/>
  <c r="E37" i="4"/>
  <c r="E30" i="4"/>
  <c r="E35" i="4"/>
  <c r="D24" i="4"/>
  <c r="D36" i="4"/>
  <c r="D27" i="4"/>
  <c r="D135" i="4"/>
  <c r="I60" i="13" l="1"/>
  <c r="J60" i="13" s="1"/>
  <c r="K60" i="13" s="1"/>
  <c r="I65" i="13"/>
  <c r="J65" i="13" s="1"/>
  <c r="K65" i="13" s="1"/>
  <c r="I55" i="13"/>
  <c r="I54" i="13"/>
  <c r="J54" i="13" s="1"/>
  <c r="K54" i="13" s="1"/>
  <c r="I62" i="13"/>
  <c r="M62" i="13" s="1"/>
  <c r="P62" i="13" s="1"/>
  <c r="Q62" i="13" s="1"/>
  <c r="R62" i="13" s="1"/>
  <c r="I64" i="13"/>
  <c r="I59" i="13"/>
  <c r="J59" i="13" s="1"/>
  <c r="K59" i="13" s="1"/>
  <c r="I69" i="13"/>
  <c r="J69" i="13" s="1"/>
  <c r="K69" i="13" s="1"/>
  <c r="I58" i="13"/>
  <c r="J58" i="13" s="1"/>
  <c r="K58" i="13" s="1"/>
  <c r="I56" i="13"/>
  <c r="I67" i="13"/>
  <c r="J67" i="13" s="1"/>
  <c r="K67" i="13" s="1"/>
  <c r="I66" i="13"/>
  <c r="I53" i="13"/>
  <c r="J68" i="13"/>
  <c r="K68" i="13" s="1"/>
  <c r="J55" i="13"/>
  <c r="K55" i="13" s="1"/>
  <c r="C35" i="11"/>
  <c r="C14" i="11"/>
  <c r="J52" i="13"/>
  <c r="K52" i="13" s="1"/>
  <c r="C31" i="11"/>
  <c r="C18" i="11" s="1"/>
  <c r="C33" i="11" s="1"/>
  <c r="J61" i="13"/>
  <c r="K61" i="13" s="1"/>
  <c r="J63" i="13"/>
  <c r="K63" i="13" s="1"/>
  <c r="M68" i="13"/>
  <c r="P68" i="13" s="1"/>
  <c r="Q68" i="13" s="1"/>
  <c r="R68" i="13" s="1"/>
  <c r="M55" i="13"/>
  <c r="P55" i="13" s="1"/>
  <c r="Q55" i="13" s="1"/>
  <c r="R55" i="13" s="1"/>
  <c r="M65" i="13"/>
  <c r="P65" i="13" s="1"/>
  <c r="Q65" i="13" s="1"/>
  <c r="R65" i="13" s="1"/>
  <c r="M54" i="13"/>
  <c r="P54" i="13" s="1"/>
  <c r="Q54" i="13" s="1"/>
  <c r="R54" i="13" s="1"/>
  <c r="M60" i="13"/>
  <c r="P60" i="13" s="1"/>
  <c r="Q60" i="13" s="1"/>
  <c r="R60" i="13" s="1"/>
  <c r="J64" i="13"/>
  <c r="K64" i="13" s="1"/>
  <c r="J57" i="13"/>
  <c r="K57" i="13" s="1"/>
  <c r="M69" i="13"/>
  <c r="P69" i="13" s="1"/>
  <c r="Q69" i="13" s="1"/>
  <c r="R69" i="13" s="1"/>
  <c r="M58" i="13"/>
  <c r="P58" i="13" s="1"/>
  <c r="Q58" i="13" s="1"/>
  <c r="R58" i="13" s="1"/>
  <c r="J56" i="13"/>
  <c r="K56" i="13" s="1"/>
  <c r="C14" i="12"/>
  <c r="J66" i="13"/>
  <c r="K66" i="13" s="1"/>
  <c r="J53" i="13"/>
  <c r="K53" i="13" s="1"/>
  <c r="C13" i="11"/>
  <c r="C15" i="11" s="1"/>
  <c r="C16" i="11" s="1"/>
  <c r="C38" i="12"/>
  <c r="C13" i="12"/>
  <c r="C45" i="12"/>
  <c r="C45" i="11"/>
  <c r="D35" i="6"/>
  <c r="D52" i="6"/>
  <c r="D183" i="4"/>
  <c r="D20" i="4"/>
  <c r="D57" i="4"/>
  <c r="D55" i="4" s="1"/>
  <c r="D39" i="4"/>
  <c r="E39" i="4" s="1"/>
  <c r="E36" i="4"/>
  <c r="J62" i="13" l="1"/>
  <c r="K62" i="13" s="1"/>
  <c r="M52" i="13"/>
  <c r="P52" i="13" s="1"/>
  <c r="Q52" i="13" s="1"/>
  <c r="R52" i="13" s="1"/>
  <c r="M63" i="13"/>
  <c r="P63" i="13" s="1"/>
  <c r="Q63" i="13" s="1"/>
  <c r="R63" i="13" s="1"/>
  <c r="M61" i="13"/>
  <c r="P61" i="13" s="1"/>
  <c r="Q61" i="13" s="1"/>
  <c r="R61" i="13" s="1"/>
  <c r="C15" i="12"/>
  <c r="C16" i="12" s="1"/>
  <c r="C37" i="12" s="1"/>
  <c r="C34" i="12" s="1"/>
  <c r="C39" i="12" s="1"/>
  <c r="C47" i="12" s="1"/>
  <c r="C48" i="12" s="1"/>
  <c r="M67" i="13"/>
  <c r="P67" i="13" s="1"/>
  <c r="Q67" i="13" s="1"/>
  <c r="R67" i="13" s="1"/>
  <c r="M56" i="13"/>
  <c r="P56" i="13" s="1"/>
  <c r="Q56" i="13" s="1"/>
  <c r="R56" i="13" s="1"/>
  <c r="M59" i="13"/>
  <c r="P59" i="13" s="1"/>
  <c r="Q59" i="13" s="1"/>
  <c r="R59" i="13" s="1"/>
  <c r="M53" i="13"/>
  <c r="P53" i="13" s="1"/>
  <c r="Q53" i="13" s="1"/>
  <c r="R53" i="13" s="1"/>
  <c r="M66" i="13"/>
  <c r="P66" i="13" s="1"/>
  <c r="Q66" i="13" s="1"/>
  <c r="R66" i="13" s="1"/>
  <c r="M64" i="13"/>
  <c r="P64" i="13" s="1"/>
  <c r="Q64" i="13" s="1"/>
  <c r="R64" i="13" s="1"/>
  <c r="M57" i="13"/>
  <c r="P57" i="13" s="1"/>
  <c r="Q57" i="13" s="1"/>
  <c r="R57" i="13" s="1"/>
  <c r="C37" i="11"/>
  <c r="C34" i="11" s="1"/>
  <c r="C39" i="11" s="1"/>
  <c r="C47" i="11" s="1"/>
  <c r="E43" i="4"/>
  <c r="F54" i="1"/>
  <c r="G27" i="1"/>
  <c r="I27" i="1"/>
  <c r="F5" i="1"/>
  <c r="D33" i="1"/>
  <c r="D6" i="1"/>
  <c r="D7" i="1"/>
  <c r="D8" i="1"/>
  <c r="D5" i="1"/>
  <c r="E8" i="1" s="1"/>
  <c r="C43" i="1"/>
  <c r="C46" i="12" l="1"/>
  <c r="D39" i="12"/>
  <c r="D39" i="11"/>
  <c r="C48" i="11"/>
  <c r="C46" i="11"/>
  <c r="G30" i="1"/>
  <c r="G28" i="1"/>
  <c r="G29" i="1"/>
  <c r="D43" i="1"/>
  <c r="D45" i="1"/>
  <c r="D46" i="1"/>
  <c r="D47" i="1"/>
  <c r="D48" i="1"/>
  <c r="D49" i="1"/>
  <c r="D51" i="1"/>
  <c r="D52" i="1"/>
  <c r="D53" i="1"/>
  <c r="D54" i="1"/>
  <c r="D55" i="1"/>
  <c r="D56" i="1"/>
  <c r="D58" i="1"/>
  <c r="D59" i="1"/>
  <c r="D61" i="1"/>
  <c r="D62" i="1"/>
  <c r="D63" i="1"/>
  <c r="D64" i="1"/>
  <c r="D66" i="1"/>
  <c r="D67" i="1"/>
  <c r="D68" i="1"/>
  <c r="D69" i="1"/>
  <c r="D71" i="1"/>
  <c r="D72" i="1"/>
  <c r="D73" i="1"/>
  <c r="D74" i="1"/>
  <c r="D76" i="1"/>
  <c r="D77" i="1"/>
  <c r="D78" i="1"/>
  <c r="D80" i="1"/>
  <c r="D81" i="1"/>
  <c r="D82" i="1"/>
  <c r="D42" i="1"/>
  <c r="C59" i="1"/>
  <c r="D34" i="1"/>
  <c r="D35" i="1"/>
  <c r="D36" i="1"/>
  <c r="D37" i="1"/>
  <c r="D38" i="1"/>
  <c r="C82" i="1"/>
  <c r="C78" i="1"/>
  <c r="C74" i="1"/>
  <c r="C69" i="1"/>
  <c r="C64" i="1"/>
  <c r="C56" i="1"/>
  <c r="C49" i="1"/>
  <c r="C83" i="1" s="1"/>
  <c r="C38" i="1" l="1"/>
  <c r="D29" i="1" l="1"/>
  <c r="D28" i="1"/>
  <c r="C8" i="1"/>
  <c r="C16" i="1"/>
  <c r="C30" i="1"/>
  <c r="D83" i="1" l="1"/>
  <c r="F7" i="1" l="1"/>
  <c r="F9" i="1" s="1"/>
  <c r="D47" i="6" l="1"/>
  <c r="D28" i="6"/>
  <c r="D44" i="6" s="1"/>
  <c r="D53" i="6" s="1"/>
  <c r="D54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E18" authorId="0" shapeId="0" xr:uid="{6C06624A-EB6E-46E2-8844-B133C36A7253}">
      <text>
        <r>
          <rPr>
            <sz val="10"/>
            <color rgb="FF000000"/>
            <rFont val="Arial"/>
          </rPr>
          <t>Black box based on Da Silva</t>
        </r>
      </text>
    </comment>
    <comment ref="F30" authorId="0" shapeId="0" xr:uid="{4D1A6C5A-3451-49BA-9D5C-35E87264E1C6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Master thesis (Appendix)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tc={6E43D6A2-1FEE-44FE-8AE8-07CCD7C9D021}</author>
    <author>tc={C741914F-2B67-4D8B-B4BF-F8BB2EDE457F}</author>
    <author>tc={542B0642-144E-414E-9DEB-72287AE1FA7B}</author>
    <author>tc={4DFB27BE-80BD-45D9-9898-F57F0FD36AB6}</author>
    <author>Author</author>
    <author>tc={C5971D1D-93E6-4048-865C-E8152349E7B1}</author>
    <author>tc={17DF9436-F167-4495-8984-E335C8FA9086}</author>
    <author>tc={9FA71137-E597-441C-98BB-D945A5FB778A}</author>
    <author>tc={1A74F706-8384-4331-86EC-7D8BF6540383}</author>
    <author>tc={3690D279-1136-4F6B-A805-48C98D517B87}</author>
  </authors>
  <commentList>
    <comment ref="B16" authorId="0" shapeId="0" xr:uid="{6E43D6A2-1FEE-44FE-8AE8-07CCD7C9D021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Reactor </t>
      </text>
    </comment>
    <comment ref="D16" authorId="1" shapeId="0" xr:uid="{C741914F-2B67-4D8B-B4BF-F8BB2EDE457F}">
      <text>
        <t>[Threaded comment]
Your version of Excel allows you to read this threaded comment; however, any edits to it will get removed if the file is opened in a newer version of Excel. Learn more: https://go.microsoft.com/fwlink/?linkid=870924
Comment:
    B11</t>
      </text>
    </comment>
    <comment ref="E16" authorId="2" shapeId="0" xr:uid="{542B0642-144E-414E-9DEB-72287AE1FA7B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B38
</t>
      </text>
    </comment>
    <comment ref="F16" authorId="3" shapeId="0" xr:uid="{4DFB27BE-80BD-45D9-9898-F57F0FD36AB6}">
      <text>
        <t>[Threaded comment]
Your version of Excel allows you to read this threaded comment; however, any edits to it will get removed if the file is opened in a newer version of Excel. Learn more: https://go.microsoft.com/fwlink/?linkid=870924
Comment:
    B38</t>
      </text>
    </comment>
    <comment ref="R16" authorId="4" shapeId="0" xr:uid="{97F4AF1B-1BA9-4F03-9FCE-3050DCC709CA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Due to steric hinderence, hydrogenation might be difficult </t>
        </r>
      </text>
    </comment>
    <comment ref="B17" authorId="5" shapeId="0" xr:uid="{C5971D1D-93E6-4048-865C-E8152349E7B1}">
      <text>
        <t>[Threaded comment]
Your version of Excel allows you to read this threaded comment; however, any edits to it will get removed if the file is opened in a newer version of Excel. Learn more: https://go.microsoft.com/fwlink/?linkid=870924
Comment:
    B41</t>
      </text>
    </comment>
    <comment ref="D17" authorId="6" shapeId="0" xr:uid="{17DF9436-F167-4495-8984-E335C8FA9086}">
      <text>
        <t>[Threaded comment]
Your version of Excel allows you to read this threaded comment; however, any edits to it will get removed if the file is opened in a newer version of Excel. Learn more: https://go.microsoft.com/fwlink/?linkid=870924
Comment:
    B13</t>
      </text>
    </comment>
    <comment ref="E17" authorId="7" shapeId="0" xr:uid="{9FA71137-E597-441C-98BB-D945A5FB778A}">
      <text>
        <t>[Threaded comment]
Your version of Excel allows you to read this threaded comment; however, any edits to it will get removed if the file is opened in a newer version of Excel. Learn more: https://go.microsoft.com/fwlink/?linkid=870924
Comment:
    B37</t>
      </text>
    </comment>
    <comment ref="F17" authorId="8" shapeId="0" xr:uid="{1A74F706-8384-4331-86EC-7D8BF6540383}">
      <text>
        <t>[Threaded comment]
Your version of Excel allows you to read this threaded comment; however, any edits to it will get removed if the file is opened in a newer version of Excel. Learn more: https://go.microsoft.com/fwlink/?linkid=870924
Comment:
    B34</t>
      </text>
    </comment>
    <comment ref="G17" authorId="9" shapeId="0" xr:uid="{3690D279-1136-4F6B-A805-48C98D517B87}">
      <text>
        <t>[Threaded comment]
Your version of Excel allows you to read this threaded comment; however, any edits to it will get removed if the file is opened in a newer version of Excel. Learn more: https://go.microsoft.com/fwlink/?linkid=870924
Comment:
    B35</t>
      </text>
    </comment>
    <comment ref="K20" authorId="4" shapeId="0" xr:uid="{3A70DD9D-1C10-4FE3-8985-439218CAAB9D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Due to steric hinderence, hydrogenation might be difficult </t>
        </r>
      </text>
    </comment>
    <comment ref="R25" authorId="4" shapeId="0" xr:uid="{38B19666-3801-41A1-89B4-6417F2E6C982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Assumed present in residual fraction as methyl compund is residual is residual</t>
        </r>
      </text>
    </comment>
    <comment ref="K29" authorId="4" shapeId="0" xr:uid="{C1B622B7-0B40-4A4A-8222-8552D9B601D2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Assumed present in residual fraction as methyl compund is residual is residual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27" authorId="0" shapeId="0" xr:uid="{74F19B01-63B2-4AD9-B126-28B58C39AF34}">
      <text>
        <r>
          <rPr>
            <sz val="10"/>
            <color rgb="FF000000"/>
            <rFont val="Arial"/>
          </rPr>
          <t>wet biomass</t>
        </r>
      </text>
    </comment>
    <comment ref="A28" authorId="0" shapeId="0" xr:uid="{855D2117-037F-4925-8F02-9F118025654B}">
      <text>
        <r>
          <rPr>
            <sz val="10"/>
            <color rgb="FF000000"/>
            <rFont val="Arial"/>
          </rPr>
          <t>wet biomass + water</t>
        </r>
      </text>
    </comment>
    <comment ref="A29" authorId="0" shapeId="0" xr:uid="{CC8433D8-0B67-4BD8-8EE6-49827D4A648F}">
      <text>
        <r>
          <rPr>
            <sz val="10"/>
            <color rgb="FF000000"/>
            <rFont val="Arial"/>
          </rPr>
          <t>reactor output</t>
        </r>
      </text>
    </comment>
    <comment ref="A30" authorId="0" shapeId="0" xr:uid="{7958A5A7-8444-41D8-8EE6-3C1FEB6A774A}">
      <text>
        <r>
          <rPr>
            <sz val="10"/>
            <color rgb="FF000000"/>
            <rFont val="Arial"/>
          </rPr>
          <t>4 days of storage</t>
        </r>
      </text>
    </comment>
    <comment ref="C30" authorId="0" shapeId="0" xr:uid="{4DB147C0-A27E-42A4-BD59-DA611A4C7B04}">
      <text>
        <r>
          <rPr>
            <sz val="10"/>
            <color rgb="FF000000"/>
            <rFont val="Arial"/>
          </rPr>
          <t xml:space="preserve">24 hours * 4 days * kg/l * 1000 (liters in cu. meter) 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tc={6F94A1E4-F89C-4365-B74B-7061F7759F41}</author>
    <author>tc={C0E809C3-42A8-4114-89E7-8AB444369A48}</author>
    <author>tc={FF90A8F8-0D4B-45B0-8A06-C5537CB05410}</author>
    <author>tc={08053C72-ABB3-439D-AE7B-73CFAA52109B}</author>
    <author>tc={612C94C3-19A0-4EA5-9AFE-A51FD80C4124}</author>
    <author>tc={7E7EEADB-38A1-499C-9DCF-D5000440D85B}</author>
    <author>tc={D1FC8D6D-78EA-4986-8294-B3F3609110D4}</author>
    <author>tc={0366A261-4897-4D99-9CEC-E7E6A8FA086A}</author>
    <author>Author</author>
    <author>tc={8A224DEA-C74E-4C4F-A067-BDCBA6CD5681}</author>
    <author>tc={79574EDF-E2CD-48A8-8FAA-778AF1ADE356}</author>
    <author>tc={D4AAFE58-A211-4DBC-80D8-FD4F9FDDE98E}</author>
    <author>tc={3A3BFF20-02C3-454D-ADC1-1EB6C1B9D77B}</author>
    <author>tc={1EEE5DA9-E04E-4452-AF91-0D38E8BA3E74}</author>
    <author>tc={258237D1-40A4-4957-81E1-F403EAD6FDFA}</author>
    <author>tc={53E96B30-DC02-4A99-AE4E-E45EA107D945}</author>
    <author>tc={C8E9CA84-7A67-4C9F-BB18-249229982F60}</author>
    <author>tc={4007E311-1373-41E8-9263-531916946665}</author>
    <author>tc={DBD050A3-41E2-4DFB-9345-7E49BC1717D7}</author>
    <author>tc={3BFF9DFD-A1BD-43EC-BC05-204598262690}</author>
    <author>Sivaramakrishnan Chandrasekaran</author>
    <author>tc={9FF59125-4C83-42CB-8267-2A4AF3CE7101}</author>
    <author>tc={17662AD2-802C-4D6D-99EA-C9E9C01746C7}</author>
    <author>tc={F036FF43-ECCD-4742-B3DC-44D1DA221062}</author>
  </authors>
  <commentList>
    <comment ref="C3" authorId="0" shapeId="0" xr:uid="{6F94A1E4-F89C-4365-B74B-7061F7759F41}">
      <text>
        <t>[Threaded comment]
Your version of Excel allows you to read this threaded comment; however, any edits to it will get removed if the file is opened in a newer version of Excel. Learn more: https://go.microsoft.com/fwlink/?linkid=870924
Comment:
    Tanzer</t>
      </text>
    </comment>
    <comment ref="C9" authorId="1" shapeId="0" xr:uid="{C0E809C3-42A8-4114-89E7-8AB444369A48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https://www.intratec.us/products/industry-economics-worldwide/plant-location-factor/south-africa-plant-location-factor</t>
      </text>
    </comment>
    <comment ref="D9" authorId="2" shapeId="0" xr:uid="{FF90A8F8-0D4B-45B0-8A06-C5537CB05410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For South Africa </t>
      </text>
    </comment>
    <comment ref="E9" authorId="3" shapeId="0" xr:uid="{08053C72-ABB3-439D-AE7B-73CFAA52109B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Brazil </t>
      </text>
    </comment>
    <comment ref="C22" authorId="4" shapeId="0" xr:uid="{612C94C3-19A0-4EA5-9AFE-A51FD80C4124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https://tradingeconomics.com/namibia/interest-rate</t>
      </text>
    </comment>
    <comment ref="C23" authorId="5" shapeId="0" xr:uid="{7E7EEADB-38A1-499C-9DCF-D5000440D85B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https://tradingeconomics.com/namibia/inflation-cpi#:~:text=Namibia%20Inflation%20Rate%20Picks%20Up,4.7%25%20in%20the%20prior%20month.</t>
      </text>
    </comment>
    <comment ref="C24" authorId="6" shapeId="0" xr:uid="{D1FC8D6D-78EA-4986-8294-B3F3609110D4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https://pages.stern.nyu.edu/~adamodar/New_Home_Page/datafile/ctryprem.html</t>
      </text>
    </comment>
    <comment ref="A26" authorId="7" shapeId="0" xr:uid="{0366A261-4897-4D99-9CEC-E7E6A8FA086A}">
      <text>
        <t>[Threaded comment]
Your version of Excel allows you to read this threaded comment; however, any edits to it will get removed if the file is opened in a newer version of Excel. Learn more: https://go.microsoft.com/fwlink/?linkid=870924
Comment:
    Same as Tanzer</t>
      </text>
    </comment>
    <comment ref="A27" authorId="8" shapeId="0" xr:uid="{494D1BF6-162E-47C8-BFF1-97A9F2811547}">
      <text>
        <r>
          <rPr>
            <sz val="10"/>
            <color rgb="FF000000"/>
            <rFont val="Arial"/>
          </rPr>
          <t>Feedstock preparation: 1
Reactors: 1
Product Preparation: 1
Cogen: 2
+1
Based off of recommendations in W. D. Seider, J. D. Seader, D. R. Lewin, and S. Widagdo, Product and process design principles: synthesis, analysis, and evaluation. 2010.</t>
        </r>
      </text>
    </comment>
    <comment ref="A28" authorId="8" shapeId="0" xr:uid="{785443CD-E3CF-44E4-8A18-CAFE35B03496}">
      <text>
        <r>
          <rPr>
            <sz val="10"/>
            <color rgb="FF000000"/>
            <rFont val="Arial"/>
          </rPr>
          <t>W. D. Seider, J. D. Seader, D. R. Lewin, and S. Widagdo, Product and process design principles: synthesis, analysis, and evaluation. 2010.</t>
        </r>
      </text>
    </comment>
    <comment ref="A32" authorId="8" shapeId="0" xr:uid="{F8135D98-701C-440D-AA24-AEBF20B6A298}">
      <text>
        <r>
          <rPr>
            <sz val="10"/>
            <color rgb="FF000000"/>
            <rFont val="Arial"/>
          </rPr>
          <t>W. D. Seider, J. D. Seader, D. R. Lewin, and S. Widagdo, Product and process design principles: synthesis, analysis, and evaluation. 2010.</t>
        </r>
      </text>
    </comment>
    <comment ref="A38" authorId="8" shapeId="0" xr:uid="{86FFF9C7-32C8-46F2-9F4E-7EFBC9389C11}">
      <text>
        <r>
          <rPr>
            <sz val="10"/>
            <color rgb="FF000000"/>
            <rFont val="Arial"/>
          </rPr>
          <t>W. D. Seider, J. D. Seader, D. R. Lewin, and S. Widagdo, Product and process design principles: synthesis, analysis, and evaluation. 2010.</t>
        </r>
      </text>
    </comment>
    <comment ref="A44" authorId="9" shapeId="0" xr:uid="{8A224DEA-C74E-4C4F-A067-BDCBA6CD5681}">
      <text>
        <t>[Threaded comment]
Your version of Excel allows you to read this threaded comment; however, any edits to it will get removed if the file is opened in a newer version of Excel. Learn more: https://go.microsoft.com/fwlink/?linkid=870924
Comment:
    Prices 2023</t>
      </text>
    </comment>
    <comment ref="A47" authorId="10" shapeId="0" xr:uid="{79574EDF-E2CD-48A8-8FAA-778AF1ADE356}">
      <text>
        <t>[Threaded comment]
Your version of Excel allows you to read this threaded comment; however, any edits to it will get removed if the file is opened in a newer version of Excel. Learn more: https://go.microsoft.com/fwlink/?linkid=870924
Comment:
    Prices 2023</t>
      </text>
    </comment>
    <comment ref="A50" authorId="11" shapeId="0" xr:uid="{D4AAFE58-A211-4DBC-80D8-FD4F9FDDE98E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https://www.oilmonster.com/bunker-fuel-prices/walvis-bay-mgo-price/7/112</t>
      </text>
    </comment>
    <comment ref="A51" authorId="8" shapeId="0" xr:uid="{5ED4E3A1-68EC-4968-A303-C25DA1690442}">
      <text>
        <r>
          <rPr>
            <sz val="10"/>
            <color rgb="FF000000"/>
            <rFont val="Arial"/>
          </rPr>
          <t>for use in LCA economic allocation</t>
        </r>
      </text>
    </comment>
    <comment ref="C52" authorId="12" shapeId="0" xr:uid="{3A3BFF20-02C3-454D-ADC1-1EB6C1B9D77B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https://www.globalpetrolprices.com/Namibia/</t>
      </text>
    </comment>
    <comment ref="G52" authorId="13" shapeId="0" xr:uid="{1EEE5DA9-E04E-4452-AF91-0D38E8BA3E74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https://shipandbunker.com/news/world/662089-integr8-vlsfo-calorific-value-pour-point-and-competitiveness-with-lsmgo</t>
      </text>
    </comment>
    <comment ref="A53" authorId="8" shapeId="0" xr:uid="{45EB504A-D405-4EAD-A02E-89967D1CFC75}">
      <text>
        <r>
          <rPr>
            <sz val="10"/>
            <color rgb="FF000000"/>
            <rFont val="Arial"/>
          </rPr>
          <t>for use in LCA economic allocation</t>
        </r>
      </text>
    </comment>
    <comment ref="A54" authorId="14" shapeId="0" xr:uid="{258237D1-40A4-4957-81E1-F403EAD6FDFA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https://www.oilmonster.com/bunker-fuel-prices/walvis-bay-mgo-price/7/112</t>
      </text>
    </comment>
    <comment ref="H55" authorId="15" shapeId="0" xr:uid="{53E96B30-DC02-4A99-AE4E-E45EA107D945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https://www.xe.com/currencycharts/?from=EUR&amp;to=USD</t>
      </text>
    </comment>
    <comment ref="A56" authorId="8" shapeId="0" xr:uid="{66995CC2-8E37-4E08-A84B-AC8A6DF22AFA}">
      <text>
        <r>
          <rPr>
            <sz val="10"/>
            <color rgb="FF000000"/>
            <rFont val="Arial"/>
          </rPr>
          <t>changing this changes the rest of oil based prices, including transport, which are assumed to be linearly linked to the crude oil price</t>
        </r>
      </text>
    </comment>
    <comment ref="C56" authorId="16" shapeId="0" xr:uid="{C8E9CA84-7A67-4C9F-BB18-249229982F60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https://oilprice.com/</t>
      </text>
    </comment>
    <comment ref="H56" authorId="17" shapeId="0" xr:uid="{4007E311-1373-41E8-9263-531916946665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</t>
      </text>
    </comment>
    <comment ref="H57" authorId="18" shapeId="0" xr:uid="{DBD050A3-41E2-4DFB-9345-7E49BC1717D7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https://www.xe.com/currencycharts/?from=USD&amp;to=NAD</t>
      </text>
    </comment>
    <comment ref="A59" authorId="8" shapeId="0" xr:uid="{DD29D473-9673-4BDA-BED8-5DFB673060CC}">
      <text>
        <r>
          <rPr>
            <sz val="10"/>
            <color rgb="FF000000"/>
            <rFont val="Arial"/>
          </rPr>
          <t>insurance, loading, unloading, &amp;c</t>
        </r>
      </text>
    </comment>
    <comment ref="C59" authorId="19" shapeId="0" xr:uid="{3BFF9DFD-A1BD-43EC-BC05-204598262690}">
      <text>
        <t>[Threaded comment]
Your version of Excel allows you to read this threaded comment; however, any edits to it will get removed if the file is opened in a newer version of Excel. Learn more: https://go.microsoft.com/fwlink/?linkid=870924
Comment:
    Assumed</t>
      </text>
    </comment>
    <comment ref="C60" authorId="8" shapeId="0" xr:uid="{D93C3BA9-A986-478D-8A40-242636DE105D}">
      <text>
        <r>
          <rPr>
            <sz val="10"/>
            <color rgb="FF000000"/>
            <rFont val="Arial"/>
          </rPr>
          <t>Alves</t>
        </r>
      </text>
    </comment>
    <comment ref="A64" authorId="8" shapeId="0" xr:uid="{E8471F4B-DF72-4E0E-9B1F-CCF58764FAF3}">
      <text>
        <r>
          <rPr>
            <sz val="10"/>
            <color rgb="FF000000"/>
            <rFont val="Arial"/>
          </rPr>
          <t>https://terpconnect.umd.edu/~nsw/chbe446/HowToEstimateUtilityCosts-UlrichVasudevan2006.pdf
Using natural gas as fuel source</t>
        </r>
      </text>
    </comment>
    <comment ref="A65" authorId="8" shapeId="0" xr:uid="{F27DD3E6-2A12-487D-9C37-EFE93DFCBACD}">
      <text>
        <r>
          <rPr>
            <sz val="10"/>
            <color rgb="FF000000"/>
            <rFont val="Arial"/>
          </rPr>
          <t>https://terpconnect.umd.edu/~nsw/chbe446/HowToEstimateUtilityCosts-UlrichVasudevan2006.pdf
Using natural gas as fuel source</t>
        </r>
      </text>
    </comment>
    <comment ref="C65" authorId="20" shapeId="0" xr:uid="{CAA240E0-8F3D-40DA-A66C-CA27BA3BC673}">
      <text>
        <r>
          <rPr>
            <b/>
            <sz val="9"/>
            <color indexed="81"/>
            <rFont val="Tahoma"/>
            <charset val="1"/>
          </rPr>
          <t>Sivaramakrishnan Chandrasekaran:</t>
        </r>
        <r>
          <rPr>
            <sz val="9"/>
            <color indexed="81"/>
            <rFont val="Tahoma"/>
            <charset val="1"/>
          </rPr>
          <t xml:space="preserve">
THE RISING COSTS OF BOTH SEWAGE TREATMENT AND THE
PRODUCTION OF POTABLE WATER ASSOCIATED WITH
INCREASING LEVELS OF POLLUTION IN A PORTION OF THE
CROCODILE-WEST MARICO WATER MANAGEMENT AREA (A
CASE STUDY)</t>
        </r>
      </text>
    </comment>
    <comment ref="C67" authorId="8" shapeId="0" xr:uid="{69D680FF-CC5B-4B84-9E1A-1DAAE0E0E858}">
      <text>
        <r>
          <rPr>
            <sz val="10"/>
            <color rgb="FF000000"/>
            <rFont val="Arial"/>
          </rPr>
          <t>https://www.worlddata.info/africa/namibia/inflation-rates.php
https://www.lac.org.na/laws/2012/5025.pdf</t>
        </r>
      </text>
    </comment>
    <comment ref="C68" authorId="8" shapeId="0" xr:uid="{53005DA6-F2FE-4CCF-94AC-F6BFAA13E8CF}">
      <text>
        <r>
          <rPr>
            <sz val="10"/>
            <color rgb="FF000000"/>
            <rFont val="Arial"/>
          </rPr>
          <t>Da Silva. LHV: 40.7MJl
lg
Confirmed as reasonable by Index Mundi/other sources</t>
        </r>
      </text>
    </comment>
    <comment ref="F68" authorId="21" shapeId="0" xr:uid="{9FF59125-4C83-42CB-8267-2A4AF3CE7101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https://ec.europa.eu/eurostat/statistics-explained/index.php?title=Natural_gas_price_statistics#Natural_gas_prices_for_non-household_consumers</t>
      </text>
    </comment>
    <comment ref="C70" authorId="22" shapeId="0" xr:uid="{17662AD2-802C-4D6D-99EA-C9E9C01746C7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https://www.salaryexplorer.com/average-salary-wage-comparison-spain-chemical-plant-operator-c203j12174</t>
      </text>
    </comment>
    <comment ref="A75" authorId="8" shapeId="0" xr:uid="{D1E34EFE-F4DB-4557-BEFA-1C7A118F1200}">
      <text>
        <r>
          <rPr>
            <sz val="10"/>
            <color rgb="FF000000"/>
            <rFont val="Arial"/>
          </rPr>
          <t>Tews et al 2014
Previously based on Da Silva 9.6M$ for 2000 dry tons</t>
        </r>
      </text>
    </comment>
    <comment ref="A76" authorId="8" shapeId="0" xr:uid="{FED62BF8-E2C4-4081-8758-C13889AEC4BF}">
      <text>
        <r>
          <rPr>
            <sz val="10"/>
            <color rgb="FF000000"/>
            <rFont val="Arial"/>
          </rPr>
          <t>Tews et al 2014
Previously based on Da Silva: 18.45M$ for 500 dry tons</t>
        </r>
      </text>
    </comment>
    <comment ref="B82" authorId="23" shapeId="0" xr:uid="{F036FF43-ECCD-4742-B3DC-44D1DA221062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https://www.power-technology.com/marketdata/ence-huelva-biomass-power-plant-spain/</t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  <author>tc={9F378293-B8DF-4E7A-B7C3-1DCB308A2D32}</author>
    <author>tc={FE22E8F8-C1B1-4A85-82C2-2958B72023E3}</author>
    <author>tc={ABDAEB81-D724-4100-A249-4BF76F5D8C3B}</author>
    <author>tc={E3A3B050-97F1-4E78-9921-A4F3CB3F67A5}</author>
  </authors>
  <commentList>
    <comment ref="I3" authorId="0" shapeId="0" xr:uid="{B20C8CFE-BEE4-4C26-BE1C-33D23483685E}">
      <text>
        <r>
          <rPr>
            <sz val="10"/>
            <color rgb="FF000000"/>
            <rFont val="Arial"/>
          </rPr>
          <t>https://people.hofstra.edu/geotrans/eng/ch8en/conc8en/energycontent.html</t>
        </r>
      </text>
    </comment>
    <comment ref="Q3" authorId="0" shapeId="0" xr:uid="{66090A21-4FAE-4966-BCE6-D511697ABF76}">
      <text>
        <r>
          <rPr>
            <sz val="10"/>
            <color rgb="FF000000"/>
            <rFont val="Arial"/>
          </rPr>
          <t>Engineering toolbox</t>
        </r>
      </text>
    </comment>
    <comment ref="U3" authorId="0" shapeId="0" xr:uid="{6DEF07C1-1984-4379-8A52-04613E87C300}">
      <text>
        <r>
          <rPr>
            <sz val="10"/>
            <color rgb="FF000000"/>
            <rFont val="Arial"/>
          </rPr>
          <t>Engineering toolbox</t>
        </r>
      </text>
    </comment>
    <comment ref="U6" authorId="0" shapeId="0" xr:uid="{C8353007-28CE-4EDA-85F1-27B9978DF27B}">
      <text>
        <r>
          <rPr>
            <sz val="10"/>
            <color rgb="FF000000"/>
            <rFont val="Arial"/>
          </rPr>
          <t>used in base model</t>
        </r>
      </text>
    </comment>
    <comment ref="A8" authorId="0" shapeId="0" xr:uid="{0EFB6DD6-D8F3-479B-B8CF-FF416541AE70}">
      <text>
        <r>
          <rPr>
            <sz val="10"/>
            <color rgb="FF000000"/>
            <rFont val="Arial"/>
          </rPr>
          <t>http://www.eea.europa.eu/publications/ENVISSUENo12/page027.html</t>
        </r>
      </text>
    </comment>
    <comment ref="U8" authorId="0" shapeId="0" xr:uid="{BB283484-3455-48DB-ACFC-7DDEAEAF1496}">
      <text>
        <r>
          <rPr>
            <sz val="10"/>
            <color rgb="FF000000"/>
            <rFont val="Arial"/>
          </rPr>
          <t>Following cherbubini et al 10.1111/j.1757-1707.2011.01102.x</t>
        </r>
      </text>
    </comment>
    <comment ref="J9" authorId="0" shapeId="0" xr:uid="{C4EDE456-0DC9-4A0E-AA6D-F0928E045EA5}">
      <text>
        <r>
          <rPr>
            <sz val="10"/>
            <color rgb="FF000000"/>
            <rFont val="Arial"/>
          </rPr>
          <t>Licella</t>
        </r>
      </text>
    </comment>
    <comment ref="F10" authorId="0" shapeId="0" xr:uid="{85DD4114-FB0E-49E1-87F9-D66340F5E894}">
      <text>
        <r>
          <rPr>
            <sz val="10"/>
            <color rgb="FF000000"/>
            <rFont val="Arial"/>
          </rPr>
          <t>xe.com</t>
        </r>
      </text>
    </comment>
    <comment ref="J10" authorId="0" shapeId="0" xr:uid="{3F3D6202-9EA0-4FF2-AC1A-E65B381F6FBC}">
      <text>
        <r>
          <rPr>
            <sz val="10"/>
            <color rgb="FF000000"/>
            <rFont val="Arial"/>
          </rPr>
          <t>Wildschut</t>
        </r>
      </text>
    </comment>
    <comment ref="A11" authorId="1" shapeId="0" xr:uid="{9F378293-B8DF-4E7A-B7C3-1DCB308A2D32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https://personalpages.manchester.ac.uk/staff/tom.rodgers/Interactive_graphs/CEPCI.html?reactors/CEPCI/index.html</t>
      </text>
    </comment>
    <comment ref="J11" authorId="0" shapeId="0" xr:uid="{8E1E69E2-B95B-45F7-9AE8-0FEA107F1C82}">
      <text>
        <r>
          <rPr>
            <sz val="10"/>
            <color rgb="FF000000"/>
            <rFont val="Arial"/>
          </rPr>
          <t>Nabi</t>
        </r>
      </text>
    </comment>
    <comment ref="J14" authorId="0" shapeId="0" xr:uid="{3916B0A7-8AED-40A8-82B9-F0C585BBD62E}">
      <text>
        <r>
          <rPr>
            <sz val="10"/>
            <color rgb="FF000000"/>
            <rFont val="Arial"/>
          </rPr>
          <t>DOI: 10.1177/1475090211402136</t>
        </r>
      </text>
    </comment>
    <comment ref="F17" authorId="0" shapeId="0" xr:uid="{2AB6E9EE-7C71-4415-9FE5-477A6E1210FD}">
      <text>
        <r>
          <rPr>
            <sz val="10"/>
            <color rgb="FF000000"/>
            <rFont val="Arial"/>
          </rPr>
          <t>XE.com</t>
        </r>
      </text>
    </comment>
    <comment ref="J17" authorId="0" shapeId="0" xr:uid="{31C294BF-1385-4895-B114-6BB74CBC0171}">
      <text>
        <r>
          <rPr>
            <sz val="10"/>
            <color rgb="FF000000"/>
            <rFont val="Arial"/>
          </rPr>
          <t xml:space="preserve">Petzold, 2011
</t>
        </r>
      </text>
    </comment>
    <comment ref="J20" authorId="0" shapeId="0" xr:uid="{DCDA3334-5E20-4DC1-B854-24CFB96E59EB}">
      <text>
        <r>
          <rPr>
            <sz val="10"/>
            <color rgb="FF000000"/>
            <rFont val="Arial"/>
          </rPr>
          <t>https://inside.mines.edu/~jjechura/Refining/02_Feedstocks_&amp;_Products.pdf (light naptha)</t>
        </r>
      </text>
    </comment>
    <comment ref="J21" authorId="0" shapeId="0" xr:uid="{B6EAF5D8-DA5C-4EA0-9FFA-097A4F6812FC}">
      <text>
        <r>
          <rPr>
            <sz val="10"/>
            <color rgb="FF000000"/>
            <rFont val="Arial"/>
          </rPr>
          <t>https://inside.mines.edu/~jjechura/Refining/02_Feedstocks_&amp;_Products.pdf kerosene</t>
        </r>
      </text>
    </comment>
    <comment ref="J22" authorId="0" shapeId="0" xr:uid="{455834EB-8252-454F-96C6-CD5B49B4DFAF}">
      <text>
        <r>
          <rPr>
            <sz val="10"/>
            <color rgb="FF000000"/>
            <rFont val="Arial"/>
          </rPr>
          <t>Diesel https://inside.mines.edu/~jjechura/Refining/02_Feedstocks_&amp;_Products.pdf</t>
        </r>
      </text>
    </comment>
    <comment ref="J23" authorId="0" shapeId="0" xr:uid="{A817720E-1BCE-4EB7-BB34-AD8F05671051}">
      <text>
        <r>
          <rPr>
            <sz val="10"/>
            <color rgb="FF000000"/>
            <rFont val="Arial"/>
          </rPr>
          <t>Assumed the same as Fuel Oil #6</t>
        </r>
      </text>
    </comment>
    <comment ref="I26" authorId="0" shapeId="0" xr:uid="{F4BA3EF3-0949-4D70-BBB9-EEF1CD5357CE}">
      <text>
        <r>
          <rPr>
            <sz val="10"/>
            <color rgb="FF000000"/>
            <rFont val="Arial"/>
          </rPr>
          <t>VBN=14.534×ln(ln(ν​i​​+0.8))+10.975
where vi = viscosity</t>
        </r>
      </text>
    </comment>
    <comment ref="I32" authorId="0" shapeId="0" xr:uid="{55FC5B82-515F-453B-AA7B-7DE08BDE9437}">
      <text>
        <r>
          <rPr>
            <sz val="10"/>
            <color rgb="FF000000"/>
            <rFont val="Arial"/>
          </rPr>
          <t>Average of vacuum gas oil and vacuum residue in the proportion generated from https://inside.mines.edu/~jjechura/Refining/02_Feedstocks_&amp;_Products.pdf</t>
        </r>
      </text>
    </comment>
    <comment ref="I34" authorId="0" shapeId="0" xr:uid="{8DC64698-7DB3-49D5-9D07-E2A195265112}">
      <text>
        <r>
          <rPr>
            <sz val="10"/>
            <color rgb="FF000000"/>
            <rFont val="Arial"/>
          </rPr>
          <t>VBN=14.534×ln(ln(ν​i​​+0.8))+10.975
where vi = viscosity</t>
        </r>
      </text>
    </comment>
    <comment ref="B42" authorId="2" shapeId="0" xr:uid="{FE22E8F8-C1B1-4A85-82C2-2958B72023E3}">
      <text>
        <t>[Threaded comment]
Your version of Excel allows you to read this threaded comment; however, any edits to it will get removed if the file is opened in a newer version of Excel. Learn more: https://go.microsoft.com/fwlink/?linkid=870924
Comment:
    Price from PNNL Tews in 2023</t>
      </text>
    </comment>
    <comment ref="K42" authorId="0" shapeId="0" xr:uid="{7EDC5EF3-FF45-4361-BC48-B194919A1C8C}">
      <text>
        <r>
          <rPr>
            <sz val="10"/>
            <color rgb="FF000000"/>
            <rFont val="Arial"/>
          </rPr>
          <t>http://www.aqua-calc.com/calculate/volume-to-weight</t>
        </r>
      </text>
    </comment>
    <comment ref="B43" authorId="3" shapeId="0" xr:uid="{ABDAEB81-D724-4100-A249-4BF76F5D8C3B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https://www.globaltrademag.com/june-2023-sees-a-slight-decrease-in-u-s-sodium-carbonate-exports-to-180m/</t>
      </text>
    </comment>
    <comment ref="I48" authorId="0" shapeId="0" xr:uid="{9CBC8722-332E-4CAA-98D7-F09210371CE0}">
      <text>
        <r>
          <rPr>
            <sz val="10"/>
            <color rgb="FF000000"/>
            <rFont val="Arial"/>
          </rPr>
          <t>VBN=14.534×ln(ln(ν​i​​+0.8))+10.975
where vi = viscosity</t>
        </r>
      </text>
    </comment>
    <comment ref="J60" authorId="0" shapeId="0" xr:uid="{A094E44A-675D-4CA1-8DD8-9E51A8F32D73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Assumed</t>
        </r>
      </text>
    </comment>
    <comment ref="J61" authorId="4" shapeId="0" xr:uid="{E3A3B050-97F1-4E78-9921-A4F3CB3F67A5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https://jet-a1-fuel.com/jp-54-price/namibia#:~:text=JP54%20price%20in%20Namibia%2083.7%24%20per%20bbl&amp;text=JET%2DA1%2DFUEL.com,per%20liter%20today%20in%20Namibia.</t>
      </text>
    </comment>
    <comment ref="M62" authorId="0" shapeId="0" xr:uid="{E816F44C-B491-4FE3-A51D-474C9C50FF37}">
      <text>
        <r>
          <rPr>
            <b/>
            <sz val="9"/>
            <color indexed="81"/>
            <rFont val="Tahoma"/>
            <family val="2"/>
          </rPr>
          <t xml:space="preserve">https://task39.ieabioenergy.com/wp-content/uploads/sites/37/2024/05/IEA-Bioenergy-Task-39-SAF-report.pdf
</t>
        </r>
      </text>
    </comment>
  </commentList>
</comments>
</file>

<file path=xl/sharedStrings.xml><?xml version="1.0" encoding="utf-8"?>
<sst xmlns="http://schemas.openxmlformats.org/spreadsheetml/2006/main" count="2050" uniqueCount="1044">
  <si>
    <t xml:space="preserve">proximate analysis </t>
  </si>
  <si>
    <t>Moisture (%)</t>
  </si>
  <si>
    <t>Volatile matter (%)</t>
  </si>
  <si>
    <t>FC(%)</t>
  </si>
  <si>
    <t>Ash (%)</t>
  </si>
  <si>
    <t xml:space="preserve">Ultimate analysis </t>
  </si>
  <si>
    <t>C</t>
  </si>
  <si>
    <t>H</t>
  </si>
  <si>
    <t>N</t>
  </si>
  <si>
    <t>S</t>
  </si>
  <si>
    <t>O</t>
  </si>
  <si>
    <t>H/C</t>
  </si>
  <si>
    <t>O/C</t>
  </si>
  <si>
    <t>HHV (Mj/kg)</t>
  </si>
  <si>
    <t xml:space="preserve">HTL </t>
  </si>
  <si>
    <t>Biomass slurry ratio</t>
  </si>
  <si>
    <t>Temperature ©</t>
  </si>
  <si>
    <t>Time (min)</t>
  </si>
  <si>
    <t xml:space="preserve">catalyst </t>
  </si>
  <si>
    <t>Product yield</t>
  </si>
  <si>
    <t>Biocrude</t>
  </si>
  <si>
    <t>biochar</t>
  </si>
  <si>
    <t xml:space="preserve">aqueous phase </t>
  </si>
  <si>
    <t xml:space="preserve">gas </t>
  </si>
  <si>
    <t xml:space="preserve">HHV </t>
  </si>
  <si>
    <t xml:space="preserve">Biogas composition </t>
  </si>
  <si>
    <t>CO2</t>
  </si>
  <si>
    <t>H2</t>
  </si>
  <si>
    <t>CH4</t>
  </si>
  <si>
    <t xml:space="preserve">Biocrude composition </t>
  </si>
  <si>
    <t>Decane</t>
  </si>
  <si>
    <t>Octadecane</t>
  </si>
  <si>
    <t>Cyclohexadecane</t>
  </si>
  <si>
    <t>5-Octadecene</t>
  </si>
  <si>
    <t>Acids</t>
  </si>
  <si>
    <t>n-Hexadecanoic acid</t>
  </si>
  <si>
    <t xml:space="preserve">Octadecanoic acid </t>
  </si>
  <si>
    <t>9,12-Octadecadienoic acid (Z,Z)-</t>
  </si>
  <si>
    <t>Oleic Acid</t>
  </si>
  <si>
    <t>Ketones</t>
  </si>
  <si>
    <t>2-Cyclopenten-1-one, 2-methyl-</t>
  </si>
  <si>
    <t>2-Cyclopenten-1-one, 3-methyl-</t>
  </si>
  <si>
    <t>2-Cyclopenten-1-one, 2,3-dimethyl-</t>
  </si>
  <si>
    <t>2-Cyclopenten-1-one, 2,3,4-trimethyl</t>
  </si>
  <si>
    <t>Phenol</t>
  </si>
  <si>
    <t>Phenol, 2-methyl-</t>
  </si>
  <si>
    <t>Phenol, 4-ethyl-2-methoxy-</t>
  </si>
  <si>
    <t>Phenol, 2-methoxy-</t>
  </si>
  <si>
    <t>Hydroquinone</t>
  </si>
  <si>
    <t>2,5-Cyclohexadien-1-one, 3,5-dihyd</t>
  </si>
  <si>
    <t>1,2-Cyclopentanedione, 3,3,5,5-tetramethyl-</t>
  </si>
  <si>
    <t>4-Pyridinol</t>
  </si>
  <si>
    <t>3-Pyridinol</t>
  </si>
  <si>
    <t>Phenol, 4-amino-</t>
  </si>
  <si>
    <t>1,2-Benzenediol, 3-methoxy-</t>
  </si>
  <si>
    <t>1,3-Benzenediol, 2-methyl-</t>
  </si>
  <si>
    <t>1,4-Benzenediol, 2-methyl-</t>
  </si>
  <si>
    <t>3,5-Dihydroxytoluene</t>
  </si>
  <si>
    <t>N-DEC-01</t>
  </si>
  <si>
    <t>N-OCT-01</t>
  </si>
  <si>
    <t>CYCLO-01</t>
  </si>
  <si>
    <t>CIS-5-01</t>
  </si>
  <si>
    <t>N-HEX-01</t>
  </si>
  <si>
    <t>STEAR-01</t>
  </si>
  <si>
    <t>LINOL-01</t>
  </si>
  <si>
    <t>OLEIC-01</t>
  </si>
  <si>
    <t>2-MET-01</t>
  </si>
  <si>
    <t>3-MET-01</t>
  </si>
  <si>
    <t>2:4-D-01</t>
  </si>
  <si>
    <t>C8H12-01</t>
  </si>
  <si>
    <t>2:4-D-02</t>
  </si>
  <si>
    <t>1-CYC-01</t>
  </si>
  <si>
    <t>PHENO-01</t>
  </si>
  <si>
    <t>O-CRE-01</t>
  </si>
  <si>
    <t>4-ETH-01</t>
  </si>
  <si>
    <t>3-MET-02</t>
  </si>
  <si>
    <t>1:2-B-01</t>
  </si>
  <si>
    <t>CYCLO-02</t>
  </si>
  <si>
    <t>1-CYC-02</t>
  </si>
  <si>
    <t>4-PYR-01</t>
  </si>
  <si>
    <t>3-HYD-01</t>
  </si>
  <si>
    <t>P-HYD-01</t>
  </si>
  <si>
    <t>3-MET-03</t>
  </si>
  <si>
    <t>HYDRO-02</t>
  </si>
  <si>
    <t>1:3-D-01</t>
  </si>
  <si>
    <t>C10H22</t>
  </si>
  <si>
    <t>C18H38</t>
  </si>
  <si>
    <t>C16H32</t>
  </si>
  <si>
    <t>C18H36</t>
  </si>
  <si>
    <t>C16H32O2</t>
  </si>
  <si>
    <t>C18H36O2</t>
  </si>
  <si>
    <t>C18H32O2</t>
  </si>
  <si>
    <t>C6H8O</t>
  </si>
  <si>
    <t>C7H10O</t>
  </si>
  <si>
    <t>C9H12O2</t>
  </si>
  <si>
    <t>C7H8O2</t>
  </si>
  <si>
    <t>C6H6O2</t>
  </si>
  <si>
    <t>C5H5NO</t>
  </si>
  <si>
    <t>C6H7NO</t>
  </si>
  <si>
    <t>C7H8O3</t>
  </si>
  <si>
    <t>octadecane</t>
  </si>
  <si>
    <t>C16H34</t>
  </si>
  <si>
    <t>C6H12</t>
  </si>
  <si>
    <t>C7H14</t>
  </si>
  <si>
    <t>C8H16</t>
  </si>
  <si>
    <t xml:space="preserve">phenol </t>
  </si>
  <si>
    <t xml:space="preserve">methanol </t>
  </si>
  <si>
    <t>methanol</t>
  </si>
  <si>
    <t>C9H18</t>
  </si>
  <si>
    <t>NH3</t>
  </si>
  <si>
    <t>C5H10</t>
  </si>
  <si>
    <t>hexadecane(N-HEX-02)</t>
  </si>
  <si>
    <t>cyclohexane (CYCLO-03)</t>
  </si>
  <si>
    <t>Cyclohexane (CYCLO-03)</t>
  </si>
  <si>
    <t>cyclopentane (CYCLO-04)</t>
  </si>
  <si>
    <t>Acacia mellifera</t>
  </si>
  <si>
    <t>pressure</t>
  </si>
  <si>
    <t>10Mpa</t>
  </si>
  <si>
    <t>0,5g Na2CO3/10gbiomass</t>
  </si>
  <si>
    <t>C2H6</t>
  </si>
  <si>
    <t>C3H8</t>
  </si>
  <si>
    <t>C4H10</t>
  </si>
  <si>
    <t xml:space="preserve">Esters </t>
  </si>
  <si>
    <t xml:space="preserve">Phenolic </t>
  </si>
  <si>
    <t xml:space="preserve">Aromatics and heterocyclic </t>
  </si>
  <si>
    <t>Aldehydes</t>
  </si>
  <si>
    <t xml:space="preserve">Alkanes and alkenes </t>
  </si>
  <si>
    <t xml:space="preserve">Alcohols </t>
  </si>
  <si>
    <t xml:space="preserve">Nitrogenates </t>
  </si>
  <si>
    <t>Propionaldehyde</t>
  </si>
  <si>
    <t>Furfural</t>
  </si>
  <si>
    <t xml:space="preserve">butanol </t>
  </si>
  <si>
    <t xml:space="preserve">hexanol </t>
  </si>
  <si>
    <t xml:space="preserve">octanol </t>
  </si>
  <si>
    <t>Hexadecanoic acid methyl ester</t>
  </si>
  <si>
    <t xml:space="preserve">Hydrotreatment </t>
  </si>
  <si>
    <t>2-BUT-01</t>
  </si>
  <si>
    <t>1-HEX-01</t>
  </si>
  <si>
    <t>1-OCT-01</t>
  </si>
  <si>
    <t>N-PRO-01</t>
  </si>
  <si>
    <t>FURFU-01</t>
  </si>
  <si>
    <t>3-MET-04</t>
  </si>
  <si>
    <t>Octadecenoic acid methyl ester</t>
  </si>
  <si>
    <t>METHY-01</t>
  </si>
  <si>
    <t>METHY-02</t>
  </si>
  <si>
    <t>C19H36O2</t>
  </si>
  <si>
    <t>C17H34O2</t>
  </si>
  <si>
    <t>C6H6O</t>
  </si>
  <si>
    <t>C7H8O</t>
  </si>
  <si>
    <t>C9H14O2</t>
  </si>
  <si>
    <t>C5H4O2</t>
  </si>
  <si>
    <t>C3H6O</t>
  </si>
  <si>
    <t>C18H34O2</t>
  </si>
  <si>
    <t>C8H12O</t>
  </si>
  <si>
    <t>C4H10O</t>
  </si>
  <si>
    <t>C6H14O</t>
  </si>
  <si>
    <t>C8H18O</t>
  </si>
  <si>
    <t>Hydrogen</t>
  </si>
  <si>
    <t>product</t>
  </si>
  <si>
    <t xml:space="preserve">water </t>
  </si>
  <si>
    <t>others</t>
  </si>
  <si>
    <t xml:space="preserve">formula </t>
  </si>
  <si>
    <t xml:space="preserve">methane </t>
  </si>
  <si>
    <t>C5H60</t>
  </si>
  <si>
    <t>C3H80</t>
  </si>
  <si>
    <t xml:space="preserve">butane </t>
  </si>
  <si>
    <t>hexane</t>
  </si>
  <si>
    <t xml:space="preserve">octane </t>
  </si>
  <si>
    <t>Octadecane (N-OCT-02)</t>
  </si>
  <si>
    <t>hexadecane(Hexadeca)</t>
  </si>
  <si>
    <t>methylethylcyclohexane (ISOPR-01)</t>
  </si>
  <si>
    <t>propanol (1-PRO-01)</t>
  </si>
  <si>
    <t>2-methylfuran (3-MET-05)</t>
  </si>
  <si>
    <t>2 methylcyclopentane (METHY-03)</t>
  </si>
  <si>
    <t>3 methyl cyclopentane (METHY-03)</t>
  </si>
  <si>
    <t>2,3 - di methyl cyclopentane (CIS-1-01)</t>
  </si>
  <si>
    <t>2,3,4 - trimethyl cyclopentane (1:1:2-01)</t>
  </si>
  <si>
    <t>P-ETHYLPHENOL(P-ETH-01)</t>
  </si>
  <si>
    <t>catechol (1:2-B-02)</t>
  </si>
  <si>
    <t xml:space="preserve">Refinery details </t>
  </si>
  <si>
    <t>tons biomass (wet basis)/day</t>
  </si>
  <si>
    <t>PROANAL</t>
  </si>
  <si>
    <t>MOISTURE</t>
  </si>
  <si>
    <t>FC</t>
  </si>
  <si>
    <t>VM</t>
  </si>
  <si>
    <t>ASH</t>
  </si>
  <si>
    <t xml:space="preserve">hours per year </t>
  </si>
  <si>
    <t>tons biomass (wet basis)/hour</t>
  </si>
  <si>
    <t>kg water/hr needed in total</t>
  </si>
  <si>
    <t>kg water/hr entering with biomass</t>
  </si>
  <si>
    <t>kg water/hr to be supplied</t>
  </si>
  <si>
    <t xml:space="preserve">aspen </t>
  </si>
  <si>
    <t>2.1.2. Hydrothermal Liquefaction</t>
  </si>
  <si>
    <t>0. Refinery Details</t>
  </si>
  <si>
    <t>Heat Recovery</t>
  </si>
  <si>
    <t>%TotalHeat</t>
  </si>
  <si>
    <t>Make up water</t>
  </si>
  <si>
    <t>%w Steam</t>
  </si>
  <si>
    <t>Blowdown</t>
  </si>
  <si>
    <t>3a. Hot Water Injection</t>
  </si>
  <si>
    <t>Electricity Consumption</t>
  </si>
  <si>
    <t>kWh/kgDB</t>
  </si>
  <si>
    <t>Temperature, biomass inlet</t>
  </si>
  <si>
    <t>Temperature, water inlet</t>
  </si>
  <si>
    <t>Temperature, outlet</t>
  </si>
  <si>
    <t>Pressure, biomass inlet</t>
  </si>
  <si>
    <t>bar</t>
  </si>
  <si>
    <t>Pressure, aqueous linet</t>
  </si>
  <si>
    <t>Pressure, outlet</t>
  </si>
  <si>
    <t>Solids: Water Ratio</t>
  </si>
  <si>
    <t>%w</t>
  </si>
  <si>
    <t>cycles run for aqueous qty</t>
  </si>
  <si>
    <t>#</t>
  </si>
  <si>
    <t>C1. Cogeneration Plant</t>
  </si>
  <si>
    <t>Boiler Efficiency</t>
  </si>
  <si>
    <t>%</t>
  </si>
  <si>
    <t>3b. Hydrothermal Liquefaction Reactor</t>
  </si>
  <si>
    <t>Air Excess</t>
  </si>
  <si>
    <t>Temperature, reaction</t>
  </si>
  <si>
    <t>Steam Turbine Efficinecy</t>
  </si>
  <si>
    <t>Residence Time</t>
  </si>
  <si>
    <t>Pressure, reaction</t>
  </si>
  <si>
    <t>Fuel Gas to Burner</t>
  </si>
  <si>
    <t>MJ/kgFeed</t>
  </si>
  <si>
    <t>TBC</t>
  </si>
  <si>
    <t>Electricity Demand</t>
  </si>
  <si>
    <t>kwh/kgFeed</t>
  </si>
  <si>
    <t>Steam Demand, Medium Pressure</t>
  </si>
  <si>
    <t>kg/kgDB</t>
  </si>
  <si>
    <t>Yields (% of dry matter)</t>
  </si>
  <si>
    <t>%dw</t>
  </si>
  <si>
    <t>total yield</t>
  </si>
  <si>
    <t>Recyclate Yields (% of dry matter)</t>
  </si>
  <si>
    <t>org to biocrude</t>
  </si>
  <si>
    <t>org to solids</t>
  </si>
  <si>
    <t>org to gas</t>
  </si>
  <si>
    <t>org to aqueous</t>
  </si>
  <si>
    <t>Energy Contents</t>
  </si>
  <si>
    <t>MJ/kg</t>
  </si>
  <si>
    <t>Char</t>
  </si>
  <si>
    <t>Gas</t>
  </si>
  <si>
    <t>3c. Cooling/Depressurization</t>
  </si>
  <si>
    <t>4. Filter Solid Liquid Seperation</t>
  </si>
  <si>
    <t>Solids recovery efficiency</t>
  </si>
  <si>
    <t>5a. Three Phase Seperator: Gas &amp; Liquid</t>
  </si>
  <si>
    <t>Liquid recovery Efficiency</t>
  </si>
  <si>
    <t>Offgasses to H Plant</t>
  </si>
  <si>
    <t>Gas Composition - Molar</t>
  </si>
  <si>
    <t>%v</t>
  </si>
  <si>
    <t>90.2%</t>
  </si>
  <si>
    <t>CO</t>
  </si>
  <si>
    <t>0.0%</t>
  </si>
  <si>
    <t>3.0%</t>
  </si>
  <si>
    <t>0.9%</t>
  </si>
  <si>
    <t>Ethelyne</t>
  </si>
  <si>
    <t>2.5%</t>
  </si>
  <si>
    <t>Propane</t>
  </si>
  <si>
    <t>1.9%</t>
  </si>
  <si>
    <t>Butane</t>
  </si>
  <si>
    <t>1.5%</t>
  </si>
  <si>
    <t>total gas</t>
  </si>
  <si>
    <t>100.0%</t>
  </si>
  <si>
    <t>Gas Composition - Mass</t>
  </si>
  <si>
    <t>93.3%</t>
  </si>
  <si>
    <t>1.1%</t>
  </si>
  <si>
    <t>1.6%</t>
  </si>
  <si>
    <t>2.0%</t>
  </si>
  <si>
    <t>Biooil Ratio</t>
  </si>
  <si>
    <t>3.03%</t>
  </si>
  <si>
    <t>5b. Three Phase Seperator: Aqueous &amp; Organic</t>
  </si>
  <si>
    <t>Biocrude Compostion</t>
  </si>
  <si>
    <t>w% of liquid</t>
  </si>
  <si>
    <t>Organics</t>
  </si>
  <si>
    <t>H2O</t>
  </si>
  <si>
    <t>ash</t>
  </si>
  <si>
    <t>total biocrude</t>
  </si>
  <si>
    <t>5c. Three Phase Seperator: Aqueous</t>
  </si>
  <si>
    <t>Aqueous fraction purged</t>
  </si>
  <si>
    <t>6a. Hydrogen Pressurization</t>
  </si>
  <si>
    <t>T</t>
  </si>
  <si>
    <t>P, outlet</t>
  </si>
  <si>
    <t>H2 Mix Ratio (% of biocrude)</t>
  </si>
  <si>
    <t>3.30%</t>
  </si>
  <si>
    <t>6b. Hydrotreating</t>
  </si>
  <si>
    <t>T, operating</t>
  </si>
  <si>
    <t>P, operating</t>
  </si>
  <si>
    <t>0.07</t>
  </si>
  <si>
    <t>max O2 content, output</t>
  </si>
  <si>
    <t>unreacted H2</t>
  </si>
  <si>
    <t>6c. Cooling and Depressurization</t>
  </si>
  <si>
    <t>7. Flash Seperation</t>
  </si>
  <si>
    <t>Water removal efficiency</t>
  </si>
  <si>
    <t>Fractions to PSA</t>
  </si>
  <si>
    <t>Fraction of H2</t>
  </si>
  <si>
    <t>Fraction of organics</t>
  </si>
  <si>
    <t>Organics to aqueous</t>
  </si>
  <si>
    <t>H1. Pressure Swing Adsorption</t>
  </si>
  <si>
    <t>H2 Recovery effiiciency</t>
  </si>
  <si>
    <t>% to H Plant</t>
  </si>
  <si>
    <t>100.00%</t>
  </si>
  <si>
    <t>2.2.1. HYDROTHERMAL LIQUEFACTION</t>
  </si>
  <si>
    <t xml:space="preserve">per hour </t>
  </si>
  <si>
    <t>1. Feedstock Acquistion</t>
  </si>
  <si>
    <t>OUT</t>
  </si>
  <si>
    <t>Wet Feedstock</t>
  </si>
  <si>
    <t>kg</t>
  </si>
  <si>
    <t>of which, dry biomass</t>
  </si>
  <si>
    <t>of which, H2O</t>
  </si>
  <si>
    <t>of which, ash</t>
  </si>
  <si>
    <t>Aqueous Recycling Iteration Count</t>
  </si>
  <si>
    <t>IN</t>
  </si>
  <si>
    <t>Ground Feedstock</t>
  </si>
  <si>
    <t>Recycled Aqueous [from 5c]</t>
  </si>
  <si>
    <t>of which, organics</t>
  </si>
  <si>
    <t>Impregnated Feed</t>
  </si>
  <si>
    <t>of which, organics in feedstock</t>
  </si>
  <si>
    <t>of which, ash in feedstock</t>
  </si>
  <si>
    <t>of which, organics in recyclate</t>
  </si>
  <si>
    <t>Hot HTL Slurry</t>
  </si>
  <si>
    <t>of which, total org. in biocrude</t>
  </si>
  <si>
    <t>of which, from fresh feedstock</t>
  </si>
  <si>
    <t>of which, from aqueous recyclate</t>
  </si>
  <si>
    <t>of which, org. in aqueous</t>
  </si>
  <si>
    <t>of which, solids</t>
  </si>
  <si>
    <t>of which, gas</t>
  </si>
  <si>
    <t>4. Cooling/Depressurization</t>
  </si>
  <si>
    <t>Cooled HTL Slurry</t>
  </si>
  <si>
    <t>3c. Filter Solid Liquid Seperation</t>
  </si>
  <si>
    <t>hot HTL Slurry</t>
  </si>
  <si>
    <t>HTL Slurry, solid-free</t>
  </si>
  <si>
    <t>Solids [to Cogeneration]</t>
  </si>
  <si>
    <t>HTL Liquid</t>
  </si>
  <si>
    <t>Offgases [to Cogeneration &amp; H2]</t>
  </si>
  <si>
    <t>Aqueous</t>
  </si>
  <si>
    <t>Aqueous to recycle [to 3]</t>
  </si>
  <si>
    <t>Waste Aqueous [to WWT]</t>
  </si>
  <si>
    <t>Pressurized H2</t>
  </si>
  <si>
    <t>of which, from Hydrogen plant [H.1]</t>
  </si>
  <si>
    <t>of which, recovered from PSA [H.2]</t>
  </si>
  <si>
    <t>Biocrude [equilibrium yield]</t>
  </si>
  <si>
    <t>Hot hydrotreated biocrude</t>
  </si>
  <si>
    <t>Solids</t>
  </si>
  <si>
    <t>of which, H2</t>
  </si>
  <si>
    <t>of which, char</t>
  </si>
  <si>
    <t>Offgassess, from processes</t>
  </si>
  <si>
    <t>WATER</t>
  </si>
  <si>
    <t>METHANE</t>
  </si>
  <si>
    <t>CYCLOPEN</t>
  </si>
  <si>
    <t>Cool hydrotreated biocrude</t>
  </si>
  <si>
    <t>2-ACE-01</t>
  </si>
  <si>
    <t>GAMMA-01</t>
  </si>
  <si>
    <t>2:5-H-01</t>
  </si>
  <si>
    <t>Flashed biocrude</t>
  </si>
  <si>
    <t>H2O [to WWT]</t>
  </si>
  <si>
    <t>Gas [to H2]</t>
  </si>
  <si>
    <t>5-MET-01</t>
  </si>
  <si>
    <t>H.2 Pressure Swing Absorption</t>
  </si>
  <si>
    <t>ACETO-01</t>
  </si>
  <si>
    <t>C11H1-01</t>
  </si>
  <si>
    <t>M-CRE-01</t>
  </si>
  <si>
    <t>H2 [to Hydrotreatment]</t>
  </si>
  <si>
    <t>GUAIA-01</t>
  </si>
  <si>
    <t>H2 [to h plant]</t>
  </si>
  <si>
    <t>P-ETH-01</t>
  </si>
  <si>
    <t>h2 to cogen</t>
  </si>
  <si>
    <t>4-MET-01</t>
  </si>
  <si>
    <t>Offgasses [to H Plant]</t>
  </si>
  <si>
    <t>Offgasses [to cogen]</t>
  </si>
  <si>
    <t>0.0</t>
  </si>
  <si>
    <t>HTL Balance</t>
  </si>
  <si>
    <t>In</t>
  </si>
  <si>
    <t>1-PHE-01</t>
  </si>
  <si>
    <t>dry Feedstock</t>
  </si>
  <si>
    <t>Water</t>
  </si>
  <si>
    <t>SYRIN-01</t>
  </si>
  <si>
    <t xml:space="preserve">hydrogen </t>
  </si>
  <si>
    <t>4-ALL-01</t>
  </si>
  <si>
    <t>Air</t>
  </si>
  <si>
    <t>4-PRO-01</t>
  </si>
  <si>
    <t xml:space="preserve">Natural gas </t>
  </si>
  <si>
    <t>Out</t>
  </si>
  <si>
    <t>OLEIC-02</t>
  </si>
  <si>
    <t>Biofuel</t>
  </si>
  <si>
    <t>gases</t>
  </si>
  <si>
    <t>Waste Water [to WWT]</t>
  </si>
  <si>
    <t>METHY-03</t>
  </si>
  <si>
    <t>METHY-04</t>
  </si>
  <si>
    <t>CARBO-02</t>
  </si>
  <si>
    <t>Mass Imbalance</t>
  </si>
  <si>
    <t>ETHAN-01</t>
  </si>
  <si>
    <t>N-BUT-01</t>
  </si>
  <si>
    <t>PROPA-01</t>
  </si>
  <si>
    <t>Natural Gas</t>
  </si>
  <si>
    <t>of which O2 for offgas combustion</t>
  </si>
  <si>
    <t>of which N2 for offgas combustion</t>
  </si>
  <si>
    <t>of which, O2 for natural gas combustion</t>
  </si>
  <si>
    <t>of which, N2 for natural gas combustion</t>
  </si>
  <si>
    <t>Flue Gas, from Production Inputs</t>
  </si>
  <si>
    <t>of which CO2</t>
  </si>
  <si>
    <t>of which, N2</t>
  </si>
  <si>
    <t>of which, O2</t>
  </si>
  <si>
    <t>of which, unrecovered liquids</t>
  </si>
  <si>
    <t>Flue Gas, from Natural Gas</t>
  </si>
  <si>
    <t>Ash [to Waste Treatment]</t>
  </si>
  <si>
    <t>kg dry biomass/hr</t>
  </si>
  <si>
    <t>METHA-01</t>
  </si>
  <si>
    <t>CARBO-01</t>
  </si>
  <si>
    <t>ETHANE</t>
  </si>
  <si>
    <t>PROPANE</t>
  </si>
  <si>
    <t>BUTANE</t>
  </si>
  <si>
    <t>WATER-02</t>
  </si>
  <si>
    <t xml:space="preserve">Reactants </t>
  </si>
  <si>
    <t xml:space="preserve">moles of reactant </t>
  </si>
  <si>
    <t xml:space="preserve">moles of hydrogen </t>
  </si>
  <si>
    <t xml:space="preserve">moles of reac in aspen </t>
  </si>
  <si>
    <t xml:space="preserve">moles of hydrogen needed </t>
  </si>
  <si>
    <t>Cogeneration reaction</t>
  </si>
  <si>
    <t>decane</t>
  </si>
  <si>
    <t xml:space="preserve">ethane </t>
  </si>
  <si>
    <t xml:space="preserve">propane </t>
  </si>
  <si>
    <t>butane</t>
  </si>
  <si>
    <t xml:space="preserve">char </t>
  </si>
  <si>
    <t>stoichiometric oxygen</t>
  </si>
  <si>
    <t xml:space="preserve">reactant mols in aspen </t>
  </si>
  <si>
    <t xml:space="preserve">oxygen moles needed in aspen </t>
  </si>
  <si>
    <t>stoichiometric ractant moles</t>
  </si>
  <si>
    <t>reactant</t>
  </si>
  <si>
    <t xml:space="preserve">Hot water injection </t>
  </si>
  <si>
    <t xml:space="preserve">Cogenration </t>
  </si>
  <si>
    <t xml:space="preserve">electricity </t>
  </si>
  <si>
    <t xml:space="preserve">Mass fraction </t>
  </si>
  <si>
    <t xml:space="preserve">Total </t>
  </si>
  <si>
    <t xml:space="preserve">Molecular weight </t>
  </si>
  <si>
    <t>heat of combsution (MJ/kg)</t>
  </si>
  <si>
    <t xml:space="preserve">heat produced </t>
  </si>
  <si>
    <t xml:space="preserve">pumps </t>
  </si>
  <si>
    <t>kW</t>
  </si>
  <si>
    <t>B39</t>
  </si>
  <si>
    <t>HYDROGEN</t>
  </si>
  <si>
    <t>kg/hr</t>
  </si>
  <si>
    <t>B2</t>
  </si>
  <si>
    <t>B3</t>
  </si>
  <si>
    <t>STEAM</t>
  </si>
  <si>
    <t>B4</t>
  </si>
  <si>
    <t>kW/kgdryfeed</t>
  </si>
  <si>
    <t xml:space="preserve">Heat </t>
  </si>
  <si>
    <t xml:space="preserve">Hydrothermal reactor </t>
  </si>
  <si>
    <t xml:space="preserve">heat </t>
  </si>
  <si>
    <t>reactor</t>
  </si>
  <si>
    <t>MJ</t>
  </si>
  <si>
    <t xml:space="preserve">heat excahnger </t>
  </si>
  <si>
    <t>MJ/kgfeed</t>
  </si>
  <si>
    <t xml:space="preserve">Hydrotreating </t>
  </si>
  <si>
    <t>Aspen value</t>
  </si>
  <si>
    <t>Tanzer</t>
  </si>
  <si>
    <t>H2 compressor</t>
  </si>
  <si>
    <t>kWh/kg feed</t>
  </si>
  <si>
    <t xml:space="preserve">feed pump </t>
  </si>
  <si>
    <t>heat</t>
  </si>
  <si>
    <t xml:space="preserve">Total electricity demand </t>
  </si>
  <si>
    <t>kWh</t>
  </si>
  <si>
    <t xml:space="preserve">Total heat demand </t>
  </si>
  <si>
    <t>Total Heat of Reaction</t>
  </si>
  <si>
    <t>Energy Generated, Boiler</t>
  </si>
  <si>
    <t>Max Electric Potential</t>
  </si>
  <si>
    <t>kwh</t>
  </si>
  <si>
    <t>HTL UTILITY DEMAND TOTALS</t>
  </si>
  <si>
    <t>Total Electricity Demand</t>
  </si>
  <si>
    <t>Boiler Energy Used for Electricity Demand</t>
  </si>
  <si>
    <t>Unfulfilled Electricity Demand</t>
  </si>
  <si>
    <t>Boiler Energy Remaining</t>
  </si>
  <si>
    <t>Total</t>
  </si>
  <si>
    <t>Total Heat Demand</t>
  </si>
  <si>
    <t>Process Heat Recovered</t>
  </si>
  <si>
    <t>High Pressure Steam</t>
  </si>
  <si>
    <t>Utility Heat Demand</t>
  </si>
  <si>
    <t>Boiler Energy Used for Heat Demand</t>
  </si>
  <si>
    <t xml:space="preserve">Char </t>
  </si>
  <si>
    <t>kg/h</t>
  </si>
  <si>
    <t>Unfufilled Heat Demand</t>
  </si>
  <si>
    <t>Natural Gas Demand</t>
  </si>
  <si>
    <t>Excess Boiler Energy</t>
  </si>
  <si>
    <t>Excess Electricity</t>
  </si>
  <si>
    <t>Total Utility Water Demand</t>
  </si>
  <si>
    <t>Blow down water</t>
  </si>
  <si>
    <t>Cooling Water</t>
  </si>
  <si>
    <t>MW</t>
  </si>
  <si>
    <t>MJ/hr</t>
  </si>
  <si>
    <t>2.4.1 Hydrothermal Liquefaction</t>
  </si>
  <si>
    <t>Energy In</t>
  </si>
  <si>
    <t>Biomass</t>
  </si>
  <si>
    <t>Biomass in Recycled Aqueous, est.</t>
  </si>
  <si>
    <t>Biomass in Recycled Aqueous, alt est.</t>
  </si>
  <si>
    <t>Energy Out, Reactor</t>
  </si>
  <si>
    <t>Aqueous&amp; Losses</t>
  </si>
  <si>
    <t>Aqueous energy content [calculated]</t>
  </si>
  <si>
    <t>mj/kg</t>
  </si>
  <si>
    <t>Char (Combustible)</t>
  </si>
  <si>
    <t>Gas (Combustible)</t>
  </si>
  <si>
    <t>Orangnics Mass Out, Reactor</t>
  </si>
  <si>
    <t>Energy Out, System</t>
  </si>
  <si>
    <t>Biomass Combustion</t>
  </si>
  <si>
    <t>of which, internal heat</t>
  </si>
  <si>
    <t>of which, internal electricity</t>
  </si>
  <si>
    <t>of which, salable electricity</t>
  </si>
  <si>
    <t>of which, known losses</t>
  </si>
  <si>
    <t xml:space="preserve">sum </t>
  </si>
  <si>
    <t>Natural Gas Combustion</t>
  </si>
  <si>
    <t>Aqueous Waste Purge</t>
  </si>
  <si>
    <t>Aqueous &amp; Other Losses</t>
  </si>
  <si>
    <t>IN – OUT [System Losses]</t>
  </si>
  <si>
    <t>Unknown Losses</t>
  </si>
  <si>
    <t>For Chart</t>
  </si>
  <si>
    <t>Salable Electricity</t>
  </si>
  <si>
    <t>Process Energy, from Biogas and Char</t>
  </si>
  <si>
    <t>Process Energy, from Natural Gas</t>
  </si>
  <si>
    <t>Aqueous Recyclate</t>
  </si>
  <si>
    <t>Combustion Losses</t>
  </si>
  <si>
    <t>Waste Aqueous &amp; Unknown Losses</t>
  </si>
  <si>
    <t>Inputs</t>
  </si>
  <si>
    <t>Wet 
Feedstock</t>
  </si>
  <si>
    <t>Dry Ash Free Feedstock</t>
  </si>
  <si>
    <t>kg daf</t>
  </si>
  <si>
    <t>Feedstock  H2O</t>
  </si>
  <si>
    <t>2.5.1. Hydrothermal Liquefaction</t>
  </si>
  <si>
    <t>Biofuel Yield</t>
  </si>
  <si>
    <t>kg/kgDM</t>
  </si>
  <si>
    <t>Wet Yield</t>
  </si>
  <si>
    <t>kg/kg wet</t>
  </si>
  <si>
    <t>HHV   — assumed</t>
  </si>
  <si>
    <t>Biofuel Energy Yield</t>
  </si>
  <si>
    <t>MJ/kgDM</t>
  </si>
  <si>
    <t>MJ/MJ</t>
  </si>
  <si>
    <t>kwh/kgDM</t>
  </si>
  <si>
    <t>Coproducts</t>
  </si>
  <si>
    <t>Electricity</t>
  </si>
  <si>
    <t>Wastes</t>
  </si>
  <si>
    <t>Offgas</t>
  </si>
  <si>
    <t>Liquids</t>
  </si>
  <si>
    <t>Needed Capacity</t>
  </si>
  <si>
    <t>Pretreatment [wet tons]</t>
  </si>
  <si>
    <t>HTL Reactor(s) [feed]</t>
  </si>
  <si>
    <t>Filter</t>
  </si>
  <si>
    <t>Biofuel Storage</t>
  </si>
  <si>
    <t>Hydrotreatment [biocrude]</t>
  </si>
  <si>
    <t>H2 Production [h2]</t>
  </si>
  <si>
    <t>Cogeneration</t>
  </si>
  <si>
    <t>kw/kgDM/h</t>
  </si>
  <si>
    <t xml:space="preserve">Non Renewable Energy Use </t>
  </si>
  <si>
    <t>per MJ of biofuel</t>
  </si>
  <si>
    <t>per MG of product</t>
  </si>
  <si>
    <t>Internal Energy Use</t>
  </si>
  <si>
    <t>MJ/MJ biofuel</t>
  </si>
  <si>
    <t>Cogen Emissions</t>
  </si>
  <si>
    <t xml:space="preserve">Processing Capacity </t>
  </si>
  <si>
    <t>dry biomass tonnes/day</t>
  </si>
  <si>
    <t>Biorefinery Feedstock Demand</t>
  </si>
  <si>
    <t>dry tons of feedstock per yeaar</t>
  </si>
  <si>
    <t>t/year</t>
  </si>
  <si>
    <t>wet tons of feedstock per year</t>
  </si>
  <si>
    <t xml:space="preserve">Feedstock price </t>
  </si>
  <si>
    <t>Eur/ton</t>
  </si>
  <si>
    <t>km</t>
  </si>
  <si>
    <t>Transport distance from HTL plant to Upgrading facility</t>
  </si>
  <si>
    <t xml:space="preserve">Transport distance from Upgrading facility to port </t>
  </si>
  <si>
    <t xml:space="preserve">Transport distance from land to HTL plant </t>
  </si>
  <si>
    <t>4.1.1. Capital Expense Parameters</t>
  </si>
  <si>
    <t>Investment Factors</t>
  </si>
  <si>
    <t>Installation Costs (Install Factor - 1)</t>
  </si>
  <si>
    <t>% of TPEC</t>
  </si>
  <si>
    <t>Indirect</t>
  </si>
  <si>
    <t>% of Direct</t>
  </si>
  <si>
    <t>Contractor's Fee</t>
  </si>
  <si>
    <t>Base Contingency</t>
  </si>
  <si>
    <t>Working Capital</t>
  </si>
  <si>
    <t>% Sales Rev</t>
  </si>
  <si>
    <t>Start Up Costs</t>
  </si>
  <si>
    <t>% of Fixed Cap</t>
  </si>
  <si>
    <t>Location Factor</t>
  </si>
  <si>
    <t>% of CapEx</t>
  </si>
  <si>
    <t>Equipment Scaling Factors</t>
  </si>
  <si>
    <t>Scaling power factors</t>
  </si>
  <si>
    <t>Hydrothermal Liquefaction</t>
  </si>
  <si>
    <t>-</t>
  </si>
  <si>
    <t>Hydrotreating</t>
  </si>
  <si>
    <t>Hydrogen Production</t>
  </si>
  <si>
    <t>Cogeneration &amp; Utilities</t>
  </si>
  <si>
    <t>Storage</t>
  </si>
  <si>
    <t>4.1.2. Operating Expense Parameters</t>
  </si>
  <si>
    <t>Interest Rate</t>
  </si>
  <si>
    <t>of which, ROI</t>
  </si>
  <si>
    <t>of which, inflation</t>
  </si>
  <si>
    <t>of which, risk premium</t>
  </si>
  <si>
    <t>Labor Expense Parameters</t>
  </si>
  <si>
    <t>Operators per Shift, HTL</t>
  </si>
  <si>
    <t>Shifts per Day</t>
  </si>
  <si>
    <t>Hours per Shift</t>
  </si>
  <si>
    <t>Supervision &amp; Operating Supplies</t>
  </si>
  <si>
    <t>Manufacturing Expense Parameters</t>
  </si>
  <si>
    <t>Maintenance</t>
  </si>
  <si>
    <t>% Fixed Cap</t>
  </si>
  <si>
    <t>Plant Overhead</t>
  </si>
  <si>
    <t>% Total labor</t>
  </si>
  <si>
    <t>Depreciation</t>
  </si>
  <si>
    <t>% Total cap</t>
  </si>
  <si>
    <t>Local Taxes</t>
  </si>
  <si>
    <t>Income Taxes</t>
  </si>
  <si>
    <t>% Revenue</t>
  </si>
  <si>
    <t>Insurance</t>
  </si>
  <si>
    <t>General Expenses</t>
  </si>
  <si>
    <t>% Sales</t>
  </si>
  <si>
    <t>% of Direct Prod</t>
  </si>
  <si>
    <t>4.1.3. Feedstock Variables and Related</t>
  </si>
  <si>
    <t>Feedstocks Prices, Field</t>
  </si>
  <si>
    <t>EUR per...</t>
  </si>
  <si>
    <t>wet ton</t>
  </si>
  <si>
    <t>Feedstocks Prices,  Delivered</t>
  </si>
  <si>
    <t>Product Prices</t>
  </si>
  <si>
    <t>MGO (fossil)</t>
  </si>
  <si>
    <t>Eur per ton (2023) (in Gibraltor)</t>
  </si>
  <si>
    <t>MGO, per GJ</t>
  </si>
  <si>
    <t>GJ</t>
  </si>
  <si>
    <t>HHV</t>
  </si>
  <si>
    <t>MJ/Kg</t>
  </si>
  <si>
    <t>electricity, wholesale</t>
  </si>
  <si>
    <t>Eur/MWh (in 2023)</t>
  </si>
  <si>
    <t>VLSFO</t>
  </si>
  <si>
    <t>MWh to GJ</t>
  </si>
  <si>
    <t>GJ/MWh</t>
  </si>
  <si>
    <t>electricity, wholesale, per GJ</t>
  </si>
  <si>
    <t>Natural gas</t>
  </si>
  <si>
    <t>kWh to MJ</t>
  </si>
  <si>
    <t>MJ/kWh</t>
  </si>
  <si>
    <t>VLSFO (fossil)</t>
  </si>
  <si>
    <t>Comparison Product Prices</t>
  </si>
  <si>
    <t>Crude Price</t>
  </si>
  <si>
    <t>EUR for Brent Crude/Barrel</t>
  </si>
  <si>
    <t>EUR to USD (2023)</t>
  </si>
  <si>
    <t>Logistics Prices</t>
  </si>
  <si>
    <t>Truck transport, fixed</t>
  </si>
  <si>
    <t>ton</t>
  </si>
  <si>
    <t>Truck transport, variable</t>
  </si>
  <si>
    <t>ton km</t>
  </si>
  <si>
    <t>Operating Expenses</t>
  </si>
  <si>
    <t>EUR (2023) per …</t>
  </si>
  <si>
    <t>waste processing: gas [estimated]</t>
  </si>
  <si>
    <t>waste processing: water, black [estimated]</t>
  </si>
  <si>
    <t>waste processing: solids</t>
  </si>
  <si>
    <t>Eur/kWh</t>
  </si>
  <si>
    <t>Eur/MJ</t>
  </si>
  <si>
    <t>Eur/kg</t>
  </si>
  <si>
    <t>Natural gas, per GJ</t>
  </si>
  <si>
    <t>Base Salary</t>
  </si>
  <si>
    <t>hour</t>
  </si>
  <si>
    <t>Hydrotreating Catalyst</t>
  </si>
  <si>
    <t xml:space="preserve">US inflation </t>
  </si>
  <si>
    <t>https://www.usinflationcalculator.com/</t>
  </si>
  <si>
    <t>4.1.4. Equipment Prices</t>
  </si>
  <si>
    <t>USD per n...</t>
  </si>
  <si>
    <t>All equipment prices are in Millions USD per unit, corresponding to the reference capacity in the unit column</t>
  </si>
  <si>
    <t>units/day</t>
  </si>
  <si>
    <t>2023 M EUR</t>
  </si>
  <si>
    <t>Feedstock Handling and Prep [wet tons feedstock]</t>
  </si>
  <si>
    <t>Oil Production [reactor wet feed tons]</t>
  </si>
  <si>
    <t>Hydrotreating [tons biocrude]</t>
  </si>
  <si>
    <t>Hydrogen Plant [t H2]</t>
  </si>
  <si>
    <t>Cogeneration [MW]</t>
  </si>
  <si>
    <t>Bush price</t>
  </si>
  <si>
    <t>EUR to NAD (2023)</t>
  </si>
  <si>
    <t>USD to NAD (2023)</t>
  </si>
  <si>
    <t xml:space="preserve">Bush price </t>
  </si>
  <si>
    <t>Max: 1500, Minimum: 780 USD</t>
  </si>
  <si>
    <t>Feedstock Factors</t>
  </si>
  <si>
    <t>Economic Factors</t>
  </si>
  <si>
    <t>Fuel Factors</t>
  </si>
  <si>
    <t>Mass Model Factors</t>
  </si>
  <si>
    <t>Energy Model Factors</t>
  </si>
  <si>
    <t>Emission Model Factors</t>
  </si>
  <si>
    <t>Item</t>
  </si>
  <si>
    <t>Value</t>
  </si>
  <si>
    <t>Units</t>
  </si>
  <si>
    <t>Energy Conversion</t>
  </si>
  <si>
    <t>Currency Conversion</t>
  </si>
  <si>
    <t>Energy content of fuels (HHV)</t>
  </si>
  <si>
    <t>Molar Weights</t>
  </si>
  <si>
    <t>Specific Heats (cP)</t>
  </si>
  <si>
    <t>Characterization Factors</t>
  </si>
  <si>
    <t xml:space="preserve">*Wh to *J </t>
  </si>
  <si>
    <t>J/Wh</t>
  </si>
  <si>
    <t>DKK (2013) to USD (2015)</t>
  </si>
  <si>
    <t>USD/DDK</t>
  </si>
  <si>
    <t>Light Naptha</t>
  </si>
  <si>
    <t>g/mol</t>
  </si>
  <si>
    <t>MJ/kg/k</t>
  </si>
  <si>
    <t>CH4 to CO2-equiv</t>
  </si>
  <si>
    <t>kg CO2-eq/kg CH4</t>
  </si>
  <si>
    <t>EUR (2010) to EUR (2015)</t>
  </si>
  <si>
    <t>EUR/EUR</t>
  </si>
  <si>
    <t>Jet fuel</t>
  </si>
  <si>
    <t>N2O to CO2-equiv</t>
  </si>
  <si>
    <t>kg CO2-eq/kg N2O</t>
  </si>
  <si>
    <t>Short ton to metric ton</t>
  </si>
  <si>
    <t>ston/mton</t>
  </si>
  <si>
    <t>EUR (2001) to USD (2015)</t>
  </si>
  <si>
    <t>USD/EUR</t>
  </si>
  <si>
    <t>Diesel</t>
  </si>
  <si>
    <t>Oxygen</t>
  </si>
  <si>
    <t>Bio CO2 to CO2-equiv</t>
  </si>
  <si>
    <t>kg CO2-eq/kg biogenic CO2</t>
  </si>
  <si>
    <t>Efficiencies</t>
  </si>
  <si>
    <t>EUR (2003) to USD (2015)</t>
  </si>
  <si>
    <t>HFO</t>
  </si>
  <si>
    <t>truck freight</t>
  </si>
  <si>
    <t>mj/ton-km</t>
  </si>
  <si>
    <t>EUR (2010) to USD (2015)</t>
  </si>
  <si>
    <t>MGO</t>
  </si>
  <si>
    <t>Steam</t>
  </si>
  <si>
    <t>oceanic freight</t>
  </si>
  <si>
    <t>EUR (2013) to USD (2015)</t>
  </si>
  <si>
    <t>HTL biocrude</t>
  </si>
  <si>
    <t>Sand</t>
  </si>
  <si>
    <t>EUR (2015) to USD (2015)</t>
  </si>
  <si>
    <t>FP+HT biocrude</t>
  </si>
  <si>
    <t>Carbon Dixoide</t>
  </si>
  <si>
    <t>CEPCI</t>
  </si>
  <si>
    <t>EUR (2016) to USD (2015)</t>
  </si>
  <si>
    <t>GFT biocrude</t>
  </si>
  <si>
    <t>Methane</t>
  </si>
  <si>
    <t>index</t>
  </si>
  <si>
    <t>GBP (2015) to USD (2015)</t>
  </si>
  <si>
    <t>USD/GBP</t>
  </si>
  <si>
    <t>Green wood</t>
  </si>
  <si>
    <t>Carbon Monoxide</t>
  </si>
  <si>
    <t>NOK (2015) to USD (2015)</t>
  </si>
  <si>
    <t>USD/NOK</t>
  </si>
  <si>
    <t>Wax</t>
  </si>
  <si>
    <t>C2-C4</t>
  </si>
  <si>
    <t>NOK (2016) to USD (2015)</t>
  </si>
  <si>
    <t>Liquid Natural Gas</t>
  </si>
  <si>
    <t>SEK (2003) to USD (2015)</t>
  </si>
  <si>
    <t>USD/SEK</t>
  </si>
  <si>
    <t>H2S</t>
  </si>
  <si>
    <t>SEK  (2014) to USD (2015)</t>
  </si>
  <si>
    <t>Wood chips</t>
  </si>
  <si>
    <t>SEK  (2015) to USD (2015)</t>
  </si>
  <si>
    <t>Soy Biodiesel</t>
  </si>
  <si>
    <t>MJ/KG</t>
  </si>
  <si>
    <t>O2</t>
  </si>
  <si>
    <t>Steam energy contents</t>
  </si>
  <si>
    <t>USD (2003) to USD (2015)</t>
  </si>
  <si>
    <t>USD/USD</t>
  </si>
  <si>
    <t>SO2</t>
  </si>
  <si>
    <t>Low Pressure Steam</t>
  </si>
  <si>
    <t>USD (2005) to USD (2015)</t>
  </si>
  <si>
    <t>Viscosity at 50C</t>
  </si>
  <si>
    <t>C2H4 [Ethelyne]</t>
  </si>
  <si>
    <t>Medium Pressure Steam</t>
  </si>
  <si>
    <t>USD (2010) to USD (2015)</t>
  </si>
  <si>
    <t>mm2/s</t>
  </si>
  <si>
    <t>C3H6 [Propane]</t>
  </si>
  <si>
    <t>USD (2013) to USD (2015)</t>
  </si>
  <si>
    <t>Kerosene/Jet fuel</t>
  </si>
  <si>
    <t>C4H10 [Butane]</t>
  </si>
  <si>
    <t>USD (2014) to USD (2015)</t>
  </si>
  <si>
    <t>C2H6 [Ethane]</t>
  </si>
  <si>
    <t>USD (2016) to USD (2015)</t>
  </si>
  <si>
    <t>Vacuum Gas Oil</t>
  </si>
  <si>
    <t>Pressure Conversion</t>
  </si>
  <si>
    <t>USD (2017) to USD (2015)</t>
  </si>
  <si>
    <t>Vacuum Residue</t>
  </si>
  <si>
    <t>MPa to bar</t>
  </si>
  <si>
    <t>bar/MPA</t>
  </si>
  <si>
    <t>DKK (2015) to USD (2015)</t>
  </si>
  <si>
    <t>USD/DKK</t>
  </si>
  <si>
    <t>psi to bar</t>
  </si>
  <si>
    <t>bar/psi</t>
  </si>
  <si>
    <t>BRL (2016) to USD (2015)</t>
  </si>
  <si>
    <t>USD/BRL</t>
  </si>
  <si>
    <t>Viscosity Blending Numbers</t>
  </si>
  <si>
    <t>Air Composition (cP)</t>
  </si>
  <si>
    <t>VBN</t>
  </si>
  <si>
    <t>Nitrogen</t>
  </si>
  <si>
    <t>kg/kg Air</t>
  </si>
  <si>
    <t>"Wax"/Residue</t>
  </si>
  <si>
    <t>Mixed vacuum</t>
  </si>
  <si>
    <t>Densities</t>
  </si>
  <si>
    <t>Marine Gas Oil</t>
  </si>
  <si>
    <t>kg/L</t>
  </si>
  <si>
    <t>Heavy Fuel Oil</t>
  </si>
  <si>
    <t>Pyrolysis Oil</t>
  </si>
  <si>
    <t>Gasoline</t>
  </si>
  <si>
    <t>Jet Fuel</t>
  </si>
  <si>
    <t>Gas Oil</t>
  </si>
  <si>
    <t>bbl/ton</t>
  </si>
  <si>
    <t xml:space="preserve">Catalyst cost </t>
  </si>
  <si>
    <t>bb/ton</t>
  </si>
  <si>
    <t>Ni Mo</t>
  </si>
  <si>
    <t>$/kg</t>
  </si>
  <si>
    <t>gal/ton</t>
  </si>
  <si>
    <t>Conversions</t>
  </si>
  <si>
    <t>Liters per gallon</t>
  </si>
  <si>
    <t>L/gal</t>
  </si>
  <si>
    <t>Month</t>
  </si>
  <si>
    <t>2024 Mar</t>
  </si>
  <si>
    <t>800.7</t>
  </si>
  <si>
    <t>2024 Feb</t>
  </si>
  <si>
    <t>800.0</t>
  </si>
  <si>
    <t>2024 Jan</t>
  </si>
  <si>
    <t>795.4</t>
  </si>
  <si>
    <t>2023 Dec</t>
  </si>
  <si>
    <t>2023 Nov</t>
  </si>
  <si>
    <t>Prices in 2023</t>
  </si>
  <si>
    <t>USD/ton</t>
  </si>
  <si>
    <t>EUR/ton</t>
  </si>
  <si>
    <t>2023 Oct</t>
  </si>
  <si>
    <t xml:space="preserve">Light Naphtha </t>
  </si>
  <si>
    <t>2023 Sep</t>
  </si>
  <si>
    <t xml:space="preserve">Biojet </t>
  </si>
  <si>
    <t>denisty from aspen</t>
  </si>
  <si>
    <t>2023 Aug</t>
  </si>
  <si>
    <t>USD/L</t>
  </si>
  <si>
    <t>assumed HEFA biojet rate</t>
  </si>
  <si>
    <t>2023 Jul</t>
  </si>
  <si>
    <t>USD/kg</t>
  </si>
  <si>
    <t>2023 Jun</t>
  </si>
  <si>
    <t>2023 May</t>
  </si>
  <si>
    <t>2023 Apr</t>
  </si>
  <si>
    <t>2023 Mar</t>
  </si>
  <si>
    <t>2023 Feb</t>
  </si>
  <si>
    <t>2023 Jan</t>
  </si>
  <si>
    <t>2022 Dec</t>
  </si>
  <si>
    <t>2022 Nov</t>
  </si>
  <si>
    <t>2022 Oct</t>
  </si>
  <si>
    <t>2022 Sep</t>
  </si>
  <si>
    <t>2022 Aug</t>
  </si>
  <si>
    <t>2022 Jul</t>
  </si>
  <si>
    <t>2022 Jun</t>
  </si>
  <si>
    <t>2022 May</t>
  </si>
  <si>
    <t>2022 Apr</t>
  </si>
  <si>
    <t>2022 Mar</t>
  </si>
  <si>
    <t>2022 Feb</t>
  </si>
  <si>
    <t>2022 Jan</t>
  </si>
  <si>
    <t>2021 Dec</t>
  </si>
  <si>
    <t>2021 Nov</t>
  </si>
  <si>
    <t>2021 Oct</t>
  </si>
  <si>
    <t>2021 Sep</t>
  </si>
  <si>
    <t>2021 Aug</t>
  </si>
  <si>
    <t>2021 Jul</t>
  </si>
  <si>
    <t>2021 Jun</t>
  </si>
  <si>
    <t>2021 May</t>
  </si>
  <si>
    <t>2021 Apr</t>
  </si>
  <si>
    <t>677.1</t>
  </si>
  <si>
    <t>816.0</t>
  </si>
  <si>
    <t>607.5</t>
  </si>
  <si>
    <t>603.1</t>
  </si>
  <si>
    <t>cost factor conversion 2015 to 2023</t>
  </si>
  <si>
    <t>567.5</t>
  </si>
  <si>
    <t>541.7</t>
  </si>
  <si>
    <t>cost factor conversion 2020 to 2023</t>
  </si>
  <si>
    <t>576.1</t>
  </si>
  <si>
    <t>567.3</t>
  </si>
  <si>
    <t>584.6</t>
  </si>
  <si>
    <t>585.7</t>
  </si>
  <si>
    <t>550.8</t>
  </si>
  <si>
    <t>521.9</t>
  </si>
  <si>
    <t>575.4</t>
  </si>
  <si>
    <t>525.4</t>
  </si>
  <si>
    <t>499.6</t>
  </si>
  <si>
    <t>468.2</t>
  </si>
  <si>
    <t>444.2</t>
  </si>
  <si>
    <t>402.0</t>
  </si>
  <si>
    <t>395.6</t>
  </si>
  <si>
    <t>394.3</t>
  </si>
  <si>
    <t>1957-1959</t>
  </si>
  <si>
    <t>100.0</t>
  </si>
  <si>
    <t>Fixed Capital Investments, including</t>
  </si>
  <si>
    <t>M EUR</t>
  </si>
  <si>
    <t>Direct Capital Costs, including</t>
  </si>
  <si>
    <t>Total Purchased Equipment Cost</t>
  </si>
  <si>
    <t>of which, Feedstock Handling &amp; Prep</t>
  </si>
  <si>
    <t>of which, Oil Production</t>
  </si>
  <si>
    <t>of which, hydrotreatment</t>
  </si>
  <si>
    <t>of which, Cogeneration</t>
  </si>
  <si>
    <t>Installation Costs</t>
  </si>
  <si>
    <t>Indirect Costs</t>
  </si>
  <si>
    <t>Contingency</t>
  </si>
  <si>
    <t>Start-up Costs</t>
  </si>
  <si>
    <t>TOTAL CAPITAL INVESTMENT</t>
  </si>
  <si>
    <t>LOCATION ADJUSTED CAPEX</t>
  </si>
  <si>
    <t>Direct Production Costs, including</t>
  </si>
  <si>
    <t>Variable costs</t>
  </si>
  <si>
    <t>M EUR/year</t>
  </si>
  <si>
    <t>of which, feedstock</t>
  </si>
  <si>
    <t>of which, hydrogen</t>
  </si>
  <si>
    <t>of which, wastewater treatment</t>
  </si>
  <si>
    <t>of which, gas cleaning</t>
  </si>
  <si>
    <t>of which, ash disposal</t>
  </si>
  <si>
    <t>of which, catalysts</t>
  </si>
  <si>
    <t>of which, natural gas</t>
  </si>
  <si>
    <t>of which, water</t>
  </si>
  <si>
    <t>Labor Related Costs</t>
  </si>
  <si>
    <t>of which, direct wage and benefits</t>
  </si>
  <si>
    <t>of which, supervision, supplies, assistance</t>
  </si>
  <si>
    <t>Fixed Charges, including</t>
  </si>
  <si>
    <t>Total  General Expenses</t>
  </si>
  <si>
    <t>TOTAL OPERATING COSTS (Annual)</t>
  </si>
  <si>
    <t>M EUR/YEAR</t>
  </si>
  <si>
    <t>Annual Salues Revenue</t>
  </si>
  <si>
    <t>of which Biocrude</t>
  </si>
  <si>
    <t xml:space="preserve">of which biochar </t>
  </si>
  <si>
    <t xml:space="preserve">M EUR/year </t>
  </si>
  <si>
    <t>of which Electricity</t>
  </si>
  <si>
    <t>Gross Profit</t>
  </si>
  <si>
    <t>Earninngs Before Tax</t>
  </si>
  <si>
    <t>Minimum Fuel Selling Price</t>
  </si>
  <si>
    <t>MFSP: MGO Price Ratio</t>
  </si>
  <si>
    <t xml:space="preserve">bionaphtha </t>
  </si>
  <si>
    <t xml:space="preserve">biojet </t>
  </si>
  <si>
    <t>Biocrude/biofuel to be transported (in ktpa)</t>
  </si>
  <si>
    <t>tkm</t>
  </si>
  <si>
    <t>Transport fixed costs (based on tonnes, MEUR per year)</t>
  </si>
  <si>
    <t>Transport variable costs (based on tkm, in MEUR per year)</t>
  </si>
  <si>
    <t>Total transportation costs in MEUR per year</t>
  </si>
  <si>
    <t>acacia</t>
  </si>
  <si>
    <t>Spain model</t>
  </si>
  <si>
    <t>reference</t>
  </si>
  <si>
    <t>Catalyst needed per hour in kg</t>
  </si>
  <si>
    <t>kg/tonne biooil</t>
  </si>
  <si>
    <t>biocrude output</t>
  </si>
  <si>
    <t xml:space="preserve">biofuel output </t>
  </si>
  <si>
    <t>light naphtha</t>
  </si>
  <si>
    <t>biojet</t>
  </si>
  <si>
    <t>diesel</t>
  </si>
  <si>
    <t>ktpa</t>
  </si>
  <si>
    <t xml:space="preserve">Transport cost for 450 km per ton </t>
  </si>
  <si>
    <t>Biomass to biocrude yield (kg/kg DM)</t>
  </si>
  <si>
    <t>Biocrude to upgraded bio-oil yield</t>
  </si>
  <si>
    <t>upgraded bio-oil to “Drop-in” marine biofuel  yield</t>
  </si>
  <si>
    <t>Na2CO3</t>
  </si>
  <si>
    <t>Feedstock</t>
  </si>
  <si>
    <t>HTL</t>
  </si>
  <si>
    <t xml:space="preserve">Energy </t>
  </si>
  <si>
    <t xml:space="preserve">Upgrading </t>
  </si>
  <si>
    <t>Waste</t>
  </si>
  <si>
    <t xml:space="preserve">wood chipping </t>
  </si>
  <si>
    <t>Chips transport</t>
  </si>
  <si>
    <t xml:space="preserve">tap water </t>
  </si>
  <si>
    <t>electricity mix for spain</t>
  </si>
  <si>
    <t>electricity from CHP</t>
  </si>
  <si>
    <t>Green hydrogen</t>
  </si>
  <si>
    <t xml:space="preserve">Catalyst </t>
  </si>
  <si>
    <t xml:space="preserve">Pipeline to bunker </t>
  </si>
  <si>
    <t>Combustion HTL fuel</t>
  </si>
  <si>
    <t>liquid</t>
  </si>
  <si>
    <t>solid</t>
  </si>
  <si>
    <t>gas</t>
  </si>
  <si>
    <t>FU</t>
  </si>
  <si>
    <t xml:space="preserve">1 kg </t>
  </si>
  <si>
    <t>1tkm</t>
  </si>
  <si>
    <t>1kg woodchips</t>
  </si>
  <si>
    <t>1 tkm</t>
  </si>
  <si>
    <t>1 kg</t>
  </si>
  <si>
    <t>1 kWh</t>
  </si>
  <si>
    <t>1 MJ</t>
  </si>
  <si>
    <t>1 m3</t>
  </si>
  <si>
    <t>1MJ</t>
  </si>
  <si>
    <t xml:space="preserve">allocation </t>
  </si>
  <si>
    <t>Impact category</t>
  </si>
  <si>
    <t>Unit</t>
  </si>
  <si>
    <t>Wood chipping, industrial residual wood, stationary electric chipper {RER}| processing | Cut-off, S</t>
  </si>
  <si>
    <t>Assessing the environmental impacts of wind-based hydrogen production in the Netherlands using ex-ante LCA and scenarios analysis</t>
  </si>
  <si>
    <t>Nickel, 99.5% {GLO}| market for | Cut-off, S</t>
  </si>
  <si>
    <t>Waste refinery gas {GLO}| treatment of, burned in flare | Cut-off, S</t>
  </si>
  <si>
    <t>Global warming</t>
  </si>
  <si>
    <t>kg CO2 eq</t>
  </si>
  <si>
    <t>Stratospheric ozone depletion</t>
  </si>
  <si>
    <t>kg CFC11 eq</t>
  </si>
  <si>
    <t>Ionizing radiation</t>
  </si>
  <si>
    <t>kBq Co-60 eq</t>
  </si>
  <si>
    <t>Ozone formation, Human health</t>
  </si>
  <si>
    <t>kg NOx eq</t>
  </si>
  <si>
    <t>Fine particulate matter formation</t>
  </si>
  <si>
    <t>kg PM2.5 eq</t>
  </si>
  <si>
    <t>Ozone formation, Terrestrial ecosystems</t>
  </si>
  <si>
    <t>Terrestrial acidification</t>
  </si>
  <si>
    <t>kg SO2 eq</t>
  </si>
  <si>
    <t>Freshwater eutrophication</t>
  </si>
  <si>
    <t>kg P eq</t>
  </si>
  <si>
    <t>Marine eutrophication</t>
  </si>
  <si>
    <t>kg N eq</t>
  </si>
  <si>
    <t>Terrestrial ecotoxicity</t>
  </si>
  <si>
    <t>kg 1,4-DCB</t>
  </si>
  <si>
    <t>Freshwater ecotoxicity</t>
  </si>
  <si>
    <t>Marine ecotoxicity</t>
  </si>
  <si>
    <t>Human carcinogenic toxicity</t>
  </si>
  <si>
    <t>Human non-carcinogenic toxicity</t>
  </si>
  <si>
    <t>Land use</t>
  </si>
  <si>
    <t>m2a crop eq</t>
  </si>
  <si>
    <t>Mineral resource scarcity</t>
  </si>
  <si>
    <t>kg Cu eq</t>
  </si>
  <si>
    <t>Fossil resource scarcity</t>
  </si>
  <si>
    <t>kg oil eq</t>
  </si>
  <si>
    <t>Water consumption</t>
  </si>
  <si>
    <t>m3</t>
  </si>
  <si>
    <t xml:space="preserve">Total tkm </t>
  </si>
  <si>
    <t xml:space="preserve">total wood chips chipped </t>
  </si>
  <si>
    <t xml:space="preserve">total </t>
  </si>
  <si>
    <t>total water consumed</t>
  </si>
  <si>
    <t>electricity produced</t>
  </si>
  <si>
    <t>electricity avoided</t>
  </si>
  <si>
    <t>total green hydrogen required</t>
  </si>
  <si>
    <t>total Ni catalyst needed</t>
  </si>
  <si>
    <t>total tkm pipeline</t>
  </si>
  <si>
    <t xml:space="preserve">total HTL biofuel burned </t>
  </si>
  <si>
    <t xml:space="preserve">Allocated marine fraction </t>
  </si>
  <si>
    <t>Feedstock stage</t>
  </si>
  <si>
    <t xml:space="preserve">HTL stage </t>
  </si>
  <si>
    <t>per kg</t>
  </si>
  <si>
    <t>per MJ</t>
  </si>
  <si>
    <t xml:space="preserve">Upgrading stage </t>
  </si>
  <si>
    <t xml:space="preserve">Pipeline transport </t>
  </si>
  <si>
    <t xml:space="preserve">Combustion </t>
  </si>
  <si>
    <t>Final HTL biofuel</t>
  </si>
  <si>
    <t>total solid waste in kg</t>
  </si>
  <si>
    <t>total waste liquid in m3</t>
  </si>
  <si>
    <t>total gas in MJ</t>
  </si>
  <si>
    <t xml:space="preserve">Waste handling </t>
  </si>
  <si>
    <t>Solid</t>
  </si>
  <si>
    <t xml:space="preserve">Liquid </t>
  </si>
  <si>
    <t>Tap water {ZA}| market for tap water | Cut-off, S</t>
  </si>
  <si>
    <t>Sodium bicarbonate {GLO}| market for sodium bicarbonate | Cut-off, S</t>
  </si>
  <si>
    <t>Electricity, high voltage {ZA}| market for | Cut-off, S</t>
  </si>
  <si>
    <t>Electricity, high voltage {ZA}| heat and power co-generation, wood chips, 6667 kW | Cut-off, S</t>
  </si>
  <si>
    <t>total sodium carbonate consumed</t>
  </si>
  <si>
    <t>Transport, pipeline, onshore, petroleum {RoW}| market for transport, pipeline, onshore, petroleum | Cut-off, S</t>
  </si>
  <si>
    <t>Wastewater, average {RoW}| market for wastewater, average | Cut-off, S</t>
  </si>
  <si>
    <t>Inert waste, for final disposal {RoW}| market for inert waste, for final disposal | Cut-off, S</t>
  </si>
  <si>
    <t>Transport, freight train {ZA}| market for transport, freight train | Cut-off, S</t>
  </si>
  <si>
    <t>harvest</t>
  </si>
  <si>
    <t xml:space="preserve">total feedtock </t>
  </si>
  <si>
    <t xml:space="preserve">wood transport </t>
  </si>
  <si>
    <t>Transport, freight, lorry 16-32 metric ton, EURO2 {ZA}| market for transport, freight, lorry 16-32 metric ton, EURO2 | Cut-off, S</t>
  </si>
  <si>
    <t>total biomass to be harvested</t>
  </si>
  <si>
    <t>biomass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</si>
</sst>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0.000"/>
    <numFmt numFmtId="166" formatCode="0.0000"/>
    <numFmt numFmtId="167" formatCode="0.00000"/>
    <numFmt numFmtId="168" formatCode="0.0%"/>
    <numFmt numFmtId="169" formatCode="0.000000"/>
  </numFmts>
  <fonts count="10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sz val="10"/>
      <color rgb="FF202124"/>
      <name val="Arial"/>
      <family val="2"/>
    </font>
    <font>
      <sz val="8"/>
      <name val="Calibri"/>
      <family val="2"/>
      <scheme val="minor"/>
    </font>
    <font>
      <sz val="11"/>
      <color rgb="FF20123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8"/>
      <color theme="1"/>
      <name val="Source Sans Pro"/>
      <family val="2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FFFFFF"/>
      <name val="Calibri"/>
      <family val="2"/>
    </font>
    <font>
      <sz val="10"/>
      <color theme="1"/>
      <name val="Arial"/>
      <family val="2"/>
    </font>
    <font>
      <b/>
      <sz val="10"/>
      <color rgb="FFFFFFFF"/>
      <name val="Calibri"/>
    </font>
    <font>
      <b/>
      <sz val="9"/>
      <color rgb="FFFFFFFF"/>
      <name val="Calibri"/>
    </font>
    <font>
      <sz val="10"/>
      <name val="Calibri"/>
    </font>
    <font>
      <sz val="10"/>
      <color rgb="FF000000"/>
      <name val="Calibri"/>
    </font>
    <font>
      <sz val="9"/>
      <color rgb="FF000000"/>
      <name val="Calibri"/>
    </font>
    <font>
      <sz val="10"/>
      <color rgb="FF000000"/>
      <name val="Calibri"/>
      <family val="2"/>
    </font>
    <font>
      <sz val="9"/>
      <color rgb="FF000000"/>
      <name val="Calibri"/>
      <family val="2"/>
    </font>
    <font>
      <sz val="9"/>
      <name val="Calibri"/>
    </font>
    <font>
      <sz val="10"/>
      <color rgb="FF999999"/>
      <name val="Calibri"/>
    </font>
    <font>
      <sz val="9"/>
      <color rgb="FF999999"/>
      <name val="Calibri"/>
    </font>
    <font>
      <sz val="10"/>
      <color rgb="FF6423BA"/>
      <name val="Calibri"/>
      <family val="2"/>
    </font>
    <font>
      <sz val="10"/>
      <color rgb="FF999999"/>
      <name val="Calibri"/>
      <family val="2"/>
    </font>
    <font>
      <b/>
      <i/>
      <sz val="11"/>
      <color rgb="FF7F7F7F"/>
      <name val="Calibri"/>
      <family val="2"/>
      <scheme val="minor"/>
    </font>
    <font>
      <i/>
      <sz val="10"/>
      <color rgb="FF000000"/>
      <name val="Calibri"/>
      <family val="2"/>
    </font>
    <font>
      <i/>
      <sz val="9"/>
      <color rgb="FF000000"/>
      <name val="Calibri"/>
      <family val="2"/>
    </font>
    <font>
      <sz val="10"/>
      <color rgb="FFFF0000"/>
      <name val="Calibri"/>
      <family val="2"/>
    </font>
    <font>
      <sz val="10"/>
      <color rgb="FFFF0000"/>
      <name val="Arial"/>
      <family val="2"/>
    </font>
    <font>
      <i/>
      <sz val="9"/>
      <color rgb="FFFF0000"/>
      <name val="Calibri"/>
      <family val="2"/>
    </font>
    <font>
      <sz val="10"/>
      <color theme="1"/>
      <name val="Calibri"/>
      <family val="2"/>
    </font>
    <font>
      <i/>
      <sz val="10"/>
      <color theme="1"/>
      <name val="Calibri"/>
      <family val="2"/>
    </font>
    <font>
      <sz val="10"/>
      <color rgb="FFB7B7B7"/>
      <name val="Calibri"/>
      <family val="2"/>
    </font>
    <font>
      <sz val="10"/>
      <color rgb="FF000000"/>
      <name val="Arial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u/>
      <sz val="11"/>
      <color theme="10"/>
      <name val="Calibri"/>
      <family val="2"/>
      <scheme val="minor"/>
    </font>
    <font>
      <sz val="8"/>
      <color theme="1"/>
      <name val="Calibri"/>
      <family val="2"/>
    </font>
    <font>
      <b/>
      <sz val="10"/>
      <color rgb="FFFF00FF"/>
      <name val="Calibri"/>
      <family val="2"/>
    </font>
    <font>
      <sz val="10"/>
      <color rgb="FFFF00FF"/>
      <name val="Calibri"/>
      <family val="2"/>
    </font>
    <font>
      <sz val="8"/>
      <color rgb="FFFF00FF"/>
      <name val="Calibri"/>
      <family val="2"/>
    </font>
    <font>
      <sz val="8"/>
      <color rgb="FF000000"/>
      <name val="Calibri"/>
      <family val="2"/>
    </font>
    <font>
      <i/>
      <sz val="8"/>
      <color rgb="FFB7B7B7"/>
      <name val="Calibri"/>
      <family val="2"/>
    </font>
    <font>
      <i/>
      <sz val="10"/>
      <color theme="1"/>
      <name val="Arial"/>
      <family val="2"/>
    </font>
    <font>
      <b/>
      <sz val="10"/>
      <color theme="1"/>
      <name val="Calibri"/>
      <family val="2"/>
    </font>
    <font>
      <sz val="11"/>
      <color rgb="FF000000"/>
      <name val="Calibri"/>
      <family val="2"/>
    </font>
    <font>
      <sz val="11"/>
      <color rgb="FF202124"/>
      <name val="Calibri"/>
      <family val="2"/>
      <scheme val="minor"/>
    </font>
    <font>
      <sz val="8"/>
      <color rgb="FF000000"/>
      <name val="Cambria"/>
      <family val="1"/>
    </font>
    <font>
      <b/>
      <sz val="10"/>
      <color rgb="FFFFFFFF"/>
      <name val="Arial"/>
    </font>
    <font>
      <sz val="10"/>
      <color rgb="FFFFFFFF"/>
      <name val="Arial"/>
    </font>
    <font>
      <b/>
      <sz val="10"/>
      <name val="Arial"/>
    </font>
    <font>
      <sz val="10"/>
      <name val="Arial"/>
    </font>
    <font>
      <sz val="8"/>
      <name val="Arial"/>
    </font>
    <font>
      <i/>
      <sz val="10"/>
      <name val="Arial"/>
    </font>
    <font>
      <i/>
      <sz val="8"/>
      <name val="Arial"/>
    </font>
    <font>
      <b/>
      <sz val="10"/>
      <color rgb="FF999999"/>
      <name val="Arial"/>
    </font>
    <font>
      <sz val="10"/>
      <color rgb="FF999999"/>
      <name val="Arial"/>
    </font>
    <font>
      <sz val="8"/>
      <color rgb="FF999999"/>
      <name val="Arial"/>
    </font>
    <font>
      <b/>
      <i/>
      <sz val="10"/>
      <name val="Arial"/>
    </font>
    <font>
      <b/>
      <sz val="10"/>
      <name val="Calibri"/>
    </font>
    <font>
      <b/>
      <sz val="9"/>
      <name val="Calibri"/>
    </font>
    <font>
      <b/>
      <sz val="10"/>
      <color rgb="FF000000"/>
      <name val="Calibri"/>
    </font>
    <font>
      <b/>
      <sz val="9"/>
      <color rgb="FF000000"/>
      <name val="Calibri"/>
    </font>
    <font>
      <sz val="8"/>
      <name val="Calibri"/>
    </font>
    <font>
      <sz val="8"/>
      <color rgb="FF000000"/>
      <name val="Calibri"/>
    </font>
    <font>
      <sz val="11"/>
      <color rgb="FFF7981D"/>
      <name val="Calibri"/>
    </font>
    <font>
      <b/>
      <sz val="10"/>
      <color theme="0"/>
      <name val="Calibri"/>
      <family val="2"/>
    </font>
    <font>
      <sz val="9"/>
      <color rgb="FFFFFFFF"/>
      <name val="Calibri"/>
    </font>
    <font>
      <sz val="10"/>
      <color rgb="FFFFFFFF"/>
      <name val="Calibri"/>
    </font>
    <font>
      <sz val="10"/>
      <name val="Calibri"/>
      <family val="2"/>
    </font>
    <font>
      <sz val="9"/>
      <color rgb="FF000000"/>
      <name val="Arial"/>
    </font>
    <font>
      <sz val="9"/>
      <name val="Arial"/>
    </font>
    <font>
      <sz val="9"/>
      <color rgb="FFFF0000"/>
      <name val="Calibri"/>
    </font>
    <font>
      <sz val="9"/>
      <name val="Calibri"/>
      <family val="2"/>
    </font>
    <font>
      <sz val="8"/>
      <color rgb="FFB7B7B7"/>
      <name val="Calibri"/>
    </font>
    <font>
      <sz val="9"/>
      <color rgb="FFB7B7B7"/>
      <name val="Calibri"/>
    </font>
    <font>
      <sz val="10"/>
      <color rgb="FFB7B7B7"/>
      <name val="Calibri"/>
    </font>
    <font>
      <i/>
      <sz val="10"/>
      <color rgb="FFFFFFFF"/>
      <name val="Calibri"/>
    </font>
    <font>
      <i/>
      <sz val="10"/>
      <color rgb="FF000000"/>
      <name val="Calibri"/>
    </font>
    <font>
      <i/>
      <sz val="9"/>
      <color rgb="FF000000"/>
      <name val="Calibri"/>
    </font>
    <font>
      <b/>
      <i/>
      <sz val="10"/>
      <color rgb="FF000000"/>
      <name val="Calibri"/>
    </font>
    <font>
      <b/>
      <i/>
      <sz val="9"/>
      <color rgb="FF000000"/>
      <name val="Calibri"/>
      <family val="2"/>
    </font>
    <font>
      <sz val="11"/>
      <name val="Calibri"/>
      <family val="2"/>
      <scheme val="minor"/>
    </font>
    <font>
      <sz val="10"/>
      <color rgb="FFFF0000"/>
      <name val="Calibri"/>
    </font>
    <font>
      <sz val="11"/>
      <color rgb="FF000000"/>
      <name val="Inconsolata"/>
    </font>
    <font>
      <sz val="9"/>
      <color indexed="81"/>
      <name val="Tahoma"/>
      <charset val="1"/>
    </font>
    <font>
      <b/>
      <sz val="10"/>
      <color rgb="FF5B6A79"/>
      <name val="Calibri"/>
    </font>
    <font>
      <b/>
      <i/>
      <sz val="10"/>
      <color rgb="FFFFFFFF"/>
      <name val="Calibri"/>
    </font>
    <font>
      <sz val="8"/>
      <color rgb="FF252525"/>
      <name val="Arial"/>
      <family val="2"/>
    </font>
    <font>
      <b/>
      <sz val="8"/>
      <color rgb="FF252525"/>
      <name val="Arial"/>
      <family val="2"/>
    </font>
    <font>
      <b/>
      <sz val="9"/>
      <color indexed="81"/>
      <name val="Tahoma"/>
      <charset val="1"/>
    </font>
    <font>
      <i/>
      <sz val="10"/>
      <name val="Calibri"/>
    </font>
    <font>
      <b/>
      <i/>
      <sz val="10"/>
      <name val="Calibri"/>
    </font>
    <font>
      <sz val="11"/>
      <color rgb="FF7E3794"/>
      <name val="Calibri"/>
    </font>
    <font>
      <sz val="8"/>
      <name val="Calibri"/>
      <family val="2"/>
    </font>
  </fonts>
  <fills count="2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052C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6A7B8D"/>
        <bgColor rgb="FF6A7B8D"/>
      </patternFill>
    </fill>
    <fill>
      <patternFill patternType="solid">
        <fgColor rgb="FFFFFFFF"/>
        <bgColor rgb="FFFFFFFF"/>
      </patternFill>
    </fill>
    <fill>
      <patternFill patternType="solid">
        <fgColor rgb="FFF3F3F3"/>
        <bgColor indexed="64"/>
      </patternFill>
    </fill>
    <fill>
      <patternFill patternType="solid">
        <fgColor rgb="FF052C50"/>
        <bgColor rgb="FF052C50"/>
      </patternFill>
    </fill>
    <fill>
      <patternFill patternType="solid">
        <fgColor theme="9" tint="-0.249977111117893"/>
        <bgColor rgb="FF6E4A22"/>
      </patternFill>
    </fill>
    <fill>
      <patternFill patternType="solid">
        <fgColor theme="9" tint="-0.249977111117893"/>
        <bgColor rgb="FFBF9000"/>
      </patternFill>
    </fill>
    <fill>
      <patternFill patternType="solid">
        <fgColor theme="8" tint="-0.499984740745262"/>
        <bgColor rgb="FF741B47"/>
      </patternFill>
    </fill>
    <fill>
      <patternFill patternType="solid">
        <fgColor theme="5" tint="-0.499984740745262"/>
        <bgColor rgb="FF45505B"/>
      </patternFill>
    </fill>
    <fill>
      <patternFill patternType="solid">
        <fgColor rgb="FF45505B"/>
        <bgColor rgb="FF45505B"/>
      </patternFill>
    </fill>
    <fill>
      <patternFill patternType="solid">
        <fgColor rgb="FFC27BA0"/>
        <bgColor rgb="FFC27BA0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">
    <xf numFmtId="0" fontId="0" fillId="0" borderId="0"/>
    <xf numFmtId="9" fontId="9" fillId="0" borderId="0" applyFon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2" applyNumberFormat="0" applyAlignment="0" applyProtection="0"/>
    <xf numFmtId="0" fontId="13" fillId="5" borderId="3" applyNumberFormat="0" applyAlignment="0" applyProtection="0"/>
    <xf numFmtId="0" fontId="14" fillId="0" borderId="0" applyNumberFormat="0" applyFill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42" fillId="0" borderId="0" applyNumberFormat="0" applyFill="0" applyBorder="0" applyAlignment="0" applyProtection="0"/>
  </cellStyleXfs>
  <cellXfs count="316">
    <xf numFmtId="0" fontId="0" fillId="0" borderId="0" xfId="0"/>
    <xf numFmtId="0" fontId="1" fillId="0" borderId="0" xfId="0" applyFont="1"/>
    <xf numFmtId="0" fontId="0" fillId="0" borderId="0" xfId="0" applyAlignment="1">
      <alignment horizontal="left" indent="6"/>
    </xf>
    <xf numFmtId="0" fontId="3" fillId="0" borderId="1" xfId="0" applyFont="1" applyBorder="1" applyAlignment="1">
      <alignment vertical="center" wrapText="1"/>
    </xf>
    <xf numFmtId="0" fontId="4" fillId="0" borderId="0" xfId="0" applyFont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horizontal="left" indent="4"/>
    </xf>
    <xf numFmtId="0" fontId="7" fillId="0" borderId="0" xfId="0" applyFont="1" applyAlignment="1">
      <alignment vertical="center" wrapText="1"/>
    </xf>
    <xf numFmtId="0" fontId="8" fillId="0" borderId="0" xfId="0" applyFont="1"/>
    <xf numFmtId="0" fontId="6" fillId="0" borderId="0" xfId="0" applyFont="1" applyAlignment="1">
      <alignment vertical="center" wrapText="1"/>
    </xf>
    <xf numFmtId="0" fontId="16" fillId="8" borderId="4" xfId="0" applyFont="1" applyFill="1" applyBorder="1" applyAlignment="1">
      <alignment vertical="center"/>
    </xf>
    <xf numFmtId="0" fontId="17" fillId="8" borderId="4" xfId="0" applyFont="1" applyFill="1" applyBorder="1" applyAlignment="1">
      <alignment wrapText="1"/>
    </xf>
    <xf numFmtId="0" fontId="18" fillId="0" borderId="0" xfId="0" applyFont="1"/>
    <xf numFmtId="0" fontId="19" fillId="0" borderId="0" xfId="0" applyFont="1"/>
    <xf numFmtId="0" fontId="20" fillId="0" borderId="0" xfId="0" applyFont="1"/>
    <xf numFmtId="0" fontId="17" fillId="9" borderId="4" xfId="0" applyFont="1" applyFill="1" applyBorder="1" applyAlignment="1">
      <alignment wrapText="1"/>
    </xf>
    <xf numFmtId="0" fontId="21" fillId="0" borderId="0" xfId="0" applyFont="1"/>
    <xf numFmtId="0" fontId="22" fillId="0" borderId="0" xfId="0" applyFont="1"/>
    <xf numFmtId="0" fontId="16" fillId="8" borderId="4" xfId="0" applyFont="1" applyFill="1" applyBorder="1" applyAlignment="1">
      <alignment wrapText="1"/>
    </xf>
    <xf numFmtId="0" fontId="23" fillId="9" borderId="4" xfId="0" applyFont="1" applyFill="1" applyBorder="1" applyAlignment="1">
      <alignment wrapText="1"/>
    </xf>
    <xf numFmtId="0" fontId="24" fillId="9" borderId="4" xfId="0" applyFont="1" applyFill="1" applyBorder="1" applyAlignment="1">
      <alignment wrapText="1"/>
    </xf>
    <xf numFmtId="9" fontId="23" fillId="9" borderId="4" xfId="0" applyNumberFormat="1" applyFont="1" applyFill="1" applyBorder="1" applyAlignment="1">
      <alignment horizontal="right" wrapText="1"/>
    </xf>
    <xf numFmtId="0" fontId="25" fillId="0" borderId="0" xfId="0" applyFont="1"/>
    <xf numFmtId="0" fontId="26" fillId="0" borderId="0" xfId="0" applyFont="1"/>
    <xf numFmtId="0" fontId="27" fillId="0" borderId="0" xfId="0" applyFont="1"/>
    <xf numFmtId="0" fontId="28" fillId="9" borderId="4" xfId="0" applyFont="1" applyFill="1" applyBorder="1" applyAlignment="1">
      <alignment horizontal="right" wrapText="1"/>
    </xf>
    <xf numFmtId="9" fontId="0" fillId="0" borderId="0" xfId="0" applyNumberFormat="1"/>
    <xf numFmtId="0" fontId="23" fillId="9" borderId="4" xfId="0" applyFont="1" applyFill="1" applyBorder="1" applyAlignment="1">
      <alignment horizontal="right" wrapText="1"/>
    </xf>
    <xf numFmtId="0" fontId="14" fillId="0" borderId="0" xfId="6" applyFill="1" applyBorder="1"/>
    <xf numFmtId="9" fontId="14" fillId="0" borderId="0" xfId="6" applyNumberFormat="1" applyFill="1" applyBorder="1"/>
    <xf numFmtId="0" fontId="29" fillId="9" borderId="4" xfId="0" applyFont="1" applyFill="1" applyBorder="1" applyAlignment="1">
      <alignment horizontal="right" wrapText="1"/>
    </xf>
    <xf numFmtId="10" fontId="14" fillId="0" borderId="0" xfId="6" applyNumberFormat="1" applyFill="1" applyBorder="1"/>
    <xf numFmtId="0" fontId="18" fillId="10" borderId="0" xfId="0" applyFont="1" applyFill="1"/>
    <xf numFmtId="0" fontId="19" fillId="10" borderId="0" xfId="0" applyFont="1" applyFill="1"/>
    <xf numFmtId="0" fontId="20" fillId="10" borderId="0" xfId="0" applyFont="1" applyFill="1"/>
    <xf numFmtId="0" fontId="20" fillId="11" borderId="0" xfId="0" applyFont="1" applyFill="1"/>
    <xf numFmtId="0" fontId="25" fillId="11" borderId="0" xfId="0" applyFont="1" applyFill="1"/>
    <xf numFmtId="9" fontId="21" fillId="11" borderId="0" xfId="0" applyNumberFormat="1" applyFont="1" applyFill="1"/>
    <xf numFmtId="0" fontId="13" fillId="0" borderId="0" xfId="8" applyFont="1" applyFill="1" applyBorder="1" applyAlignment="1">
      <alignment horizontal="center"/>
    </xf>
    <xf numFmtId="0" fontId="29" fillId="9" borderId="4" xfId="0" applyFont="1" applyFill="1" applyBorder="1" applyAlignment="1">
      <alignment wrapText="1"/>
    </xf>
    <xf numFmtId="164" fontId="21" fillId="11" borderId="0" xfId="0" applyNumberFormat="1" applyFont="1" applyFill="1" applyAlignment="1">
      <alignment horizontal="right"/>
    </xf>
    <xf numFmtId="0" fontId="1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12" fillId="0" borderId="0" xfId="4" applyFill="1" applyBorder="1"/>
    <xf numFmtId="0" fontId="10" fillId="0" borderId="0" xfId="2" applyFill="1" applyBorder="1"/>
    <xf numFmtId="3" fontId="29" fillId="9" borderId="4" xfId="0" applyNumberFormat="1" applyFont="1" applyFill="1" applyBorder="1" applyAlignment="1">
      <alignment horizontal="right" wrapText="1"/>
    </xf>
    <xf numFmtId="0" fontId="30" fillId="0" borderId="0" xfId="6" applyFont="1" applyFill="1" applyBorder="1"/>
    <xf numFmtId="0" fontId="13" fillId="0" borderId="0" xfId="5" applyFill="1" applyBorder="1"/>
    <xf numFmtId="0" fontId="31" fillId="9" borderId="4" xfId="0" applyFont="1" applyFill="1" applyBorder="1" applyAlignment="1">
      <alignment wrapText="1"/>
    </xf>
    <xf numFmtId="0" fontId="32" fillId="9" borderId="4" xfId="0" applyFont="1" applyFill="1" applyBorder="1" applyAlignment="1">
      <alignment wrapText="1"/>
    </xf>
    <xf numFmtId="0" fontId="11" fillId="0" borderId="0" xfId="3" applyFill="1" applyBorder="1"/>
    <xf numFmtId="0" fontId="31" fillId="9" borderId="4" xfId="0" applyFont="1" applyFill="1" applyBorder="1" applyAlignment="1">
      <alignment vertical="center"/>
    </xf>
    <xf numFmtId="166" fontId="0" fillId="0" borderId="0" xfId="0" applyNumberFormat="1"/>
    <xf numFmtId="9" fontId="33" fillId="9" borderId="4" xfId="0" applyNumberFormat="1" applyFont="1" applyFill="1" applyBorder="1" applyAlignment="1">
      <alignment horizontal="right" wrapText="1"/>
    </xf>
    <xf numFmtId="0" fontId="34" fillId="9" borderId="4" xfId="0" applyFont="1" applyFill="1" applyBorder="1" applyAlignment="1">
      <alignment wrapText="1"/>
    </xf>
    <xf numFmtId="0" fontId="35" fillId="9" borderId="4" xfId="0" applyFont="1" applyFill="1" applyBorder="1" applyAlignment="1">
      <alignment wrapText="1"/>
    </xf>
    <xf numFmtId="0" fontId="33" fillId="9" borderId="4" xfId="0" applyFont="1" applyFill="1" applyBorder="1" applyAlignment="1">
      <alignment horizontal="right" wrapText="1"/>
    </xf>
    <xf numFmtId="9" fontId="0" fillId="0" borderId="0" xfId="1" applyFont="1" applyFill="1" applyBorder="1"/>
    <xf numFmtId="10" fontId="0" fillId="0" borderId="0" xfId="0" applyNumberFormat="1"/>
    <xf numFmtId="166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1" fontId="0" fillId="0" borderId="0" xfId="0" applyNumberFormat="1"/>
    <xf numFmtId="167" fontId="0" fillId="0" borderId="0" xfId="0" applyNumberFormat="1"/>
    <xf numFmtId="9" fontId="36" fillId="9" borderId="4" xfId="0" applyNumberFormat="1" applyFont="1" applyFill="1" applyBorder="1" applyAlignment="1">
      <alignment horizontal="right" wrapText="1"/>
    </xf>
    <xf numFmtId="0" fontId="37" fillId="9" borderId="4" xfId="0" applyFont="1" applyFill="1" applyBorder="1" applyAlignment="1">
      <alignment wrapText="1"/>
    </xf>
    <xf numFmtId="0" fontId="17" fillId="0" borderId="4" xfId="0" applyFont="1" applyBorder="1" applyAlignment="1">
      <alignment wrapText="1"/>
    </xf>
    <xf numFmtId="9" fontId="23" fillId="0" borderId="4" xfId="0" applyNumberFormat="1" applyFont="1" applyBorder="1" applyAlignment="1">
      <alignment horizontal="right" wrapText="1"/>
    </xf>
    <xf numFmtId="0" fontId="37" fillId="9" borderId="4" xfId="0" applyFont="1" applyFill="1" applyBorder="1" applyAlignment="1">
      <alignment horizontal="right" wrapText="1"/>
    </xf>
    <xf numFmtId="0" fontId="23" fillId="0" borderId="4" xfId="0" applyFont="1" applyBorder="1" applyAlignment="1">
      <alignment horizontal="right" wrapText="1"/>
    </xf>
    <xf numFmtId="0" fontId="38" fillId="9" borderId="4" xfId="0" applyFont="1" applyFill="1" applyBorder="1" applyAlignment="1">
      <alignment wrapText="1"/>
    </xf>
    <xf numFmtId="0" fontId="38" fillId="9" borderId="4" xfId="0" applyFont="1" applyFill="1" applyBorder="1" applyAlignment="1">
      <alignment horizontal="right" wrapText="1"/>
    </xf>
    <xf numFmtId="0" fontId="28" fillId="0" borderId="4" xfId="0" applyFont="1" applyBorder="1" applyAlignment="1">
      <alignment horizontal="right" wrapText="1"/>
    </xf>
    <xf numFmtId="0" fontId="29" fillId="0" borderId="4" xfId="0" applyFont="1" applyBorder="1" applyAlignment="1">
      <alignment horizontal="right" wrapText="1"/>
    </xf>
    <xf numFmtId="0" fontId="36" fillId="0" borderId="4" xfId="0" applyFont="1" applyBorder="1" applyAlignment="1">
      <alignment horizontal="right" wrapText="1"/>
    </xf>
    <xf numFmtId="0" fontId="17" fillId="9" borderId="4" xfId="0" applyFont="1" applyFill="1" applyBorder="1" applyAlignment="1">
      <alignment horizontal="right" wrapText="1"/>
    </xf>
    <xf numFmtId="3" fontId="29" fillId="0" borderId="4" xfId="0" applyNumberFormat="1" applyFont="1" applyBorder="1" applyAlignment="1">
      <alignment horizontal="right" wrapText="1"/>
    </xf>
    <xf numFmtId="9" fontId="33" fillId="0" borderId="4" xfId="0" applyNumberFormat="1" applyFont="1" applyBorder="1" applyAlignment="1">
      <alignment horizontal="right" wrapText="1"/>
    </xf>
    <xf numFmtId="0" fontId="33" fillId="0" borderId="4" xfId="0" applyFont="1" applyBorder="1" applyAlignment="1">
      <alignment horizontal="right" wrapText="1"/>
    </xf>
    <xf numFmtId="0" fontId="16" fillId="0" borderId="4" xfId="0" applyFont="1" applyBorder="1" applyAlignment="1">
      <alignment vertical="center"/>
    </xf>
    <xf numFmtId="0" fontId="32" fillId="0" borderId="4" xfId="0" applyFont="1" applyBorder="1" applyAlignment="1">
      <alignment wrapText="1"/>
    </xf>
    <xf numFmtId="9" fontId="36" fillId="0" borderId="4" xfId="0" applyNumberFormat="1" applyFont="1" applyBorder="1" applyAlignment="1">
      <alignment horizontal="right" wrapText="1"/>
    </xf>
    <xf numFmtId="0" fontId="23" fillId="0" borderId="4" xfId="0" applyFont="1" applyBorder="1" applyAlignment="1">
      <alignment wrapText="1"/>
    </xf>
    <xf numFmtId="0" fontId="24" fillId="0" borderId="4" xfId="0" applyFont="1" applyBorder="1" applyAlignment="1">
      <alignment wrapText="1"/>
    </xf>
    <xf numFmtId="0" fontId="37" fillId="0" borderId="4" xfId="0" applyFont="1" applyBorder="1" applyAlignment="1">
      <alignment wrapText="1"/>
    </xf>
    <xf numFmtId="0" fontId="37" fillId="0" borderId="4" xfId="0" applyFont="1" applyBorder="1" applyAlignment="1">
      <alignment horizontal="right" wrapText="1"/>
    </xf>
    <xf numFmtId="0" fontId="38" fillId="0" borderId="4" xfId="0" applyFont="1" applyBorder="1" applyAlignment="1">
      <alignment wrapText="1"/>
    </xf>
    <xf numFmtId="0" fontId="38" fillId="0" borderId="4" xfId="0" applyFont="1" applyBorder="1" applyAlignment="1">
      <alignment horizontal="right" wrapText="1"/>
    </xf>
    <xf numFmtId="0" fontId="17" fillId="0" borderId="4" xfId="0" applyFont="1" applyBorder="1" applyAlignment="1">
      <alignment horizontal="right" wrapText="1"/>
    </xf>
    <xf numFmtId="0" fontId="16" fillId="0" borderId="4" xfId="0" applyFont="1" applyBorder="1" applyAlignment="1">
      <alignment wrapText="1"/>
    </xf>
    <xf numFmtId="0" fontId="31" fillId="0" borderId="4" xfId="0" applyFont="1" applyBorder="1" applyAlignment="1">
      <alignment wrapText="1"/>
    </xf>
    <xf numFmtId="0" fontId="36" fillId="9" borderId="4" xfId="0" applyFont="1" applyFill="1" applyBorder="1" applyAlignment="1">
      <alignment wrapText="1"/>
    </xf>
    <xf numFmtId="0" fontId="36" fillId="9" borderId="4" xfId="0" applyFont="1" applyFill="1" applyBorder="1" applyAlignment="1">
      <alignment horizontal="right" wrapText="1"/>
    </xf>
    <xf numFmtId="0" fontId="43" fillId="9" borderId="4" xfId="0" applyFont="1" applyFill="1" applyBorder="1" applyAlignment="1">
      <alignment horizontal="right" wrapText="1"/>
    </xf>
    <xf numFmtId="0" fontId="43" fillId="9" borderId="4" xfId="0" applyFont="1" applyFill="1" applyBorder="1" applyAlignment="1">
      <alignment wrapText="1"/>
    </xf>
    <xf numFmtId="0" fontId="44" fillId="9" borderId="4" xfId="0" applyFont="1" applyFill="1" applyBorder="1" applyAlignment="1">
      <alignment wrapText="1"/>
    </xf>
    <xf numFmtId="0" fontId="45" fillId="9" borderId="4" xfId="0" applyFont="1" applyFill="1" applyBorder="1" applyAlignment="1">
      <alignment horizontal="right" wrapText="1"/>
    </xf>
    <xf numFmtId="1" fontId="0" fillId="0" borderId="0" xfId="0" applyNumberFormat="1"/>
    <xf numFmtId="0" fontId="42" fillId="9" borderId="4" xfId="9" applyFill="1" applyBorder="1" applyAlignment="1">
      <alignment wrapText="1"/>
    </xf>
    <xf numFmtId="0" fontId="46" fillId="9" borderId="4" xfId="0" applyFont="1" applyFill="1" applyBorder="1" applyAlignment="1">
      <alignment horizontal="right" wrapText="1"/>
    </xf>
    <xf numFmtId="0" fontId="46" fillId="9" borderId="4" xfId="0" applyFont="1" applyFill="1" applyBorder="1" applyAlignment="1">
      <alignment wrapText="1"/>
    </xf>
    <xf numFmtId="0" fontId="47" fillId="9" borderId="4" xfId="0" applyFont="1" applyFill="1" applyBorder="1" applyAlignment="1">
      <alignment horizontal="right" wrapText="1"/>
    </xf>
    <xf numFmtId="0" fontId="47" fillId="9" borderId="4" xfId="0" applyFont="1" applyFill="1" applyBorder="1" applyAlignment="1">
      <alignment wrapText="1"/>
    </xf>
    <xf numFmtId="0" fontId="48" fillId="9" borderId="4" xfId="0" applyFont="1" applyFill="1" applyBorder="1" applyAlignment="1">
      <alignment horizontal="right" wrapText="1"/>
    </xf>
    <xf numFmtId="0" fontId="48" fillId="9" borderId="4" xfId="0" applyFont="1" applyFill="1" applyBorder="1" applyAlignment="1">
      <alignment wrapText="1"/>
    </xf>
    <xf numFmtId="0" fontId="17" fillId="12" borderId="4" xfId="0" applyFont="1" applyFill="1" applyBorder="1" applyAlignment="1">
      <alignment wrapText="1"/>
    </xf>
    <xf numFmtId="0" fontId="23" fillId="12" borderId="4" xfId="0" applyFont="1" applyFill="1" applyBorder="1" applyAlignment="1">
      <alignment horizontal="right" wrapText="1"/>
    </xf>
    <xf numFmtId="0" fontId="32" fillId="12" borderId="4" xfId="0" applyFont="1" applyFill="1" applyBorder="1" applyAlignment="1">
      <alignment horizontal="right" wrapText="1"/>
    </xf>
    <xf numFmtId="0" fontId="49" fillId="9" borderId="4" xfId="0" applyFont="1" applyFill="1" applyBorder="1" applyAlignment="1">
      <alignment horizontal="right" wrapText="1"/>
    </xf>
    <xf numFmtId="0" fontId="0" fillId="0" borderId="0" xfId="0" applyAlignment="1">
      <alignment horizontal="left" indent="13"/>
    </xf>
    <xf numFmtId="0" fontId="16" fillId="8" borderId="4" xfId="0" applyFont="1" applyFill="1" applyBorder="1" applyAlignment="1">
      <alignment horizontal="center" wrapText="1"/>
    </xf>
    <xf numFmtId="0" fontId="50" fillId="0" borderId="4" xfId="0" applyFont="1" applyBorder="1" applyAlignment="1">
      <alignment wrapText="1"/>
    </xf>
    <xf numFmtId="0" fontId="50" fillId="9" borderId="4" xfId="0" applyFont="1" applyFill="1" applyBorder="1" applyAlignment="1">
      <alignment wrapText="1"/>
    </xf>
    <xf numFmtId="0" fontId="51" fillId="9" borderId="4" xfId="0" applyFont="1" applyFill="1" applyBorder="1" applyAlignment="1">
      <alignment horizontal="right" wrapText="1"/>
    </xf>
    <xf numFmtId="0" fontId="43" fillId="9" borderId="5" xfId="0" applyFont="1" applyFill="1" applyBorder="1" applyAlignment="1">
      <alignment wrapText="1"/>
    </xf>
    <xf numFmtId="2" fontId="0" fillId="0" borderId="0" xfId="0" applyNumberFormat="1"/>
    <xf numFmtId="0" fontId="0" fillId="0" borderId="0" xfId="0" applyAlignment="1">
      <alignment horizontal="left" indent="5"/>
    </xf>
    <xf numFmtId="0" fontId="0" fillId="0" borderId="0" xfId="0" applyAlignment="1">
      <alignment horizontal="left" indent="8"/>
    </xf>
    <xf numFmtId="0" fontId="0" fillId="0" borderId="0" xfId="0" applyAlignment="1">
      <alignment horizontal="left"/>
    </xf>
    <xf numFmtId="0" fontId="21" fillId="11" borderId="6" xfId="0" applyFont="1" applyFill="1" applyBorder="1"/>
    <xf numFmtId="164" fontId="21" fillId="11" borderId="7" xfId="0" applyNumberFormat="1" applyFont="1" applyFill="1" applyBorder="1"/>
    <xf numFmtId="0" fontId="21" fillId="11" borderId="8" xfId="0" applyFont="1" applyFill="1" applyBorder="1"/>
    <xf numFmtId="0" fontId="52" fillId="0" borderId="0" xfId="0" applyFont="1"/>
    <xf numFmtId="0" fontId="53" fillId="0" borderId="0" xfId="0" applyFont="1"/>
    <xf numFmtId="0" fontId="54" fillId="13" borderId="0" xfId="0" applyFont="1" applyFill="1"/>
    <xf numFmtId="0" fontId="55" fillId="13" borderId="0" xfId="0" applyFont="1" applyFill="1"/>
    <xf numFmtId="164" fontId="56" fillId="11" borderId="0" xfId="0" applyNumberFormat="1" applyFont="1" applyFill="1"/>
    <xf numFmtId="164" fontId="57" fillId="11" borderId="0" xfId="0" applyNumberFormat="1" applyFont="1" applyFill="1"/>
    <xf numFmtId="164" fontId="58" fillId="11" borderId="0" xfId="0" applyNumberFormat="1" applyFont="1" applyFill="1"/>
    <xf numFmtId="1" fontId="58" fillId="11" borderId="0" xfId="0" applyNumberFormat="1" applyFont="1" applyFill="1"/>
    <xf numFmtId="1" fontId="57" fillId="11" borderId="0" xfId="0" applyNumberFormat="1" applyFont="1" applyFill="1"/>
    <xf numFmtId="0" fontId="57" fillId="11" borderId="0" xfId="0" applyFont="1" applyFill="1"/>
    <xf numFmtId="0" fontId="58" fillId="11" borderId="0" xfId="0" applyFont="1" applyFill="1"/>
    <xf numFmtId="0" fontId="56" fillId="11" borderId="0" xfId="0" applyFont="1" applyFill="1"/>
    <xf numFmtId="2" fontId="57" fillId="11" borderId="0" xfId="0" applyNumberFormat="1" applyFont="1" applyFill="1"/>
    <xf numFmtId="0" fontId="59" fillId="11" borderId="0" xfId="0" applyFont="1" applyFill="1"/>
    <xf numFmtId="1" fontId="59" fillId="11" borderId="0" xfId="0" applyNumberFormat="1" applyFont="1" applyFill="1"/>
    <xf numFmtId="0" fontId="60" fillId="11" borderId="0" xfId="0" applyFont="1" applyFill="1"/>
    <xf numFmtId="2" fontId="60" fillId="11" borderId="0" xfId="0" applyNumberFormat="1" applyFont="1" applyFill="1"/>
    <xf numFmtId="9" fontId="58" fillId="11" borderId="0" xfId="0" applyNumberFormat="1" applyFont="1" applyFill="1"/>
    <xf numFmtId="9" fontId="57" fillId="11" borderId="0" xfId="0" applyNumberFormat="1" applyFont="1" applyFill="1"/>
    <xf numFmtId="0" fontId="61" fillId="11" borderId="0" xfId="0" applyFont="1" applyFill="1"/>
    <xf numFmtId="0" fontId="62" fillId="11" borderId="0" xfId="0" applyFont="1" applyFill="1"/>
    <xf numFmtId="168" fontId="63" fillId="11" borderId="0" xfId="0" applyNumberFormat="1" applyFont="1" applyFill="1"/>
    <xf numFmtId="9" fontId="62" fillId="11" borderId="0" xfId="0" applyNumberFormat="1" applyFont="1" applyFill="1"/>
    <xf numFmtId="2" fontId="62" fillId="11" borderId="0" xfId="0" applyNumberFormat="1" applyFont="1" applyFill="1"/>
    <xf numFmtId="0" fontId="58" fillId="11" borderId="0" xfId="0" applyFont="1" applyFill="1" applyAlignment="1">
      <alignment horizontal="right"/>
    </xf>
    <xf numFmtId="0" fontId="60" fillId="11" borderId="0" xfId="0" applyFont="1" applyFill="1" applyAlignment="1">
      <alignment horizontal="right"/>
    </xf>
    <xf numFmtId="1" fontId="60" fillId="11" borderId="0" xfId="0" applyNumberFormat="1" applyFont="1" applyFill="1"/>
    <xf numFmtId="164" fontId="59" fillId="11" borderId="0" xfId="0" applyNumberFormat="1" applyFont="1" applyFill="1"/>
    <xf numFmtId="0" fontId="64" fillId="11" borderId="0" xfId="0" applyFont="1" applyFill="1"/>
    <xf numFmtId="1" fontId="65" fillId="11" borderId="0" xfId="0" applyNumberFormat="1" applyFont="1" applyFill="1"/>
    <xf numFmtId="9" fontId="59" fillId="11" borderId="0" xfId="0" applyNumberFormat="1" applyFont="1" applyFill="1"/>
    <xf numFmtId="4" fontId="18" fillId="10" borderId="0" xfId="0" applyNumberFormat="1" applyFont="1" applyFill="1"/>
    <xf numFmtId="4" fontId="22" fillId="10" borderId="0" xfId="0" applyNumberFormat="1" applyFont="1" applyFill="1"/>
    <xf numFmtId="4" fontId="21" fillId="10" borderId="0" xfId="0" applyNumberFormat="1" applyFont="1" applyFill="1"/>
    <xf numFmtId="0" fontId="66" fillId="11" borderId="0" xfId="0" applyFont="1" applyFill="1"/>
    <xf numFmtId="2" fontId="21" fillId="11" borderId="0" xfId="0" applyNumberFormat="1" applyFont="1" applyFill="1" applyAlignment="1">
      <alignment horizontal="right"/>
    </xf>
    <xf numFmtId="2" fontId="21" fillId="11" borderId="0" xfId="0" applyNumberFormat="1" applyFont="1" applyFill="1"/>
    <xf numFmtId="9" fontId="21" fillId="11" borderId="0" xfId="0" applyNumberFormat="1" applyFont="1" applyFill="1" applyAlignment="1">
      <alignment horizontal="right"/>
    </xf>
    <xf numFmtId="0" fontId="66" fillId="10" borderId="0" xfId="0" applyFont="1" applyFill="1"/>
    <xf numFmtId="0" fontId="25" fillId="10" borderId="0" xfId="0" applyFont="1" applyFill="1"/>
    <xf numFmtId="9" fontId="21" fillId="10" borderId="0" xfId="0" applyNumberFormat="1" applyFont="1" applyFill="1" applyAlignment="1">
      <alignment horizontal="right"/>
    </xf>
    <xf numFmtId="4" fontId="21" fillId="11" borderId="0" xfId="0" applyNumberFormat="1" applyFont="1" applyFill="1"/>
    <xf numFmtId="0" fontId="18" fillId="13" borderId="0" xfId="0" applyFont="1" applyFill="1"/>
    <xf numFmtId="0" fontId="19" fillId="13" borderId="0" xfId="0" applyFont="1" applyFill="1"/>
    <xf numFmtId="4" fontId="67" fillId="11" borderId="0" xfId="0" applyNumberFormat="1" applyFont="1" applyFill="1"/>
    <xf numFmtId="0" fontId="68" fillId="11" borderId="0" xfId="0" applyFont="1" applyFill="1"/>
    <xf numFmtId="165" fontId="67" fillId="11" borderId="0" xfId="0" applyNumberFormat="1" applyFont="1" applyFill="1"/>
    <xf numFmtId="0" fontId="69" fillId="11" borderId="0" xfId="0" applyFont="1" applyFill="1"/>
    <xf numFmtId="2" fontId="70" fillId="11" borderId="0" xfId="0" applyNumberFormat="1" applyFont="1" applyFill="1"/>
    <xf numFmtId="2" fontId="20" fillId="11" borderId="0" xfId="0" applyNumberFormat="1" applyFont="1" applyFill="1"/>
    <xf numFmtId="0" fontId="65" fillId="11" borderId="0" xfId="0" applyFont="1" applyFill="1"/>
    <xf numFmtId="165" fontId="20" fillId="11" borderId="0" xfId="0" applyNumberFormat="1" applyFont="1" applyFill="1"/>
    <xf numFmtId="0" fontId="71" fillId="11" borderId="0" xfId="0" applyFont="1" applyFill="1"/>
    <xf numFmtId="0" fontId="65" fillId="0" borderId="0" xfId="0" applyFont="1"/>
    <xf numFmtId="0" fontId="72" fillId="14" borderId="0" xfId="0" applyFont="1" applyFill="1"/>
    <xf numFmtId="0" fontId="18" fillId="11" borderId="0" xfId="0" applyFont="1" applyFill="1"/>
    <xf numFmtId="0" fontId="73" fillId="11" borderId="0" xfId="0" applyFont="1" applyFill="1"/>
    <xf numFmtId="0" fontId="74" fillId="11" borderId="0" xfId="0" applyFont="1" applyFill="1"/>
    <xf numFmtId="0" fontId="22" fillId="11" borderId="0" xfId="0" applyFont="1" applyFill="1"/>
    <xf numFmtId="0" fontId="75" fillId="0" borderId="0" xfId="0" applyFont="1"/>
    <xf numFmtId="0" fontId="21" fillId="11" borderId="0" xfId="0" applyFont="1" applyFill="1"/>
    <xf numFmtId="0" fontId="76" fillId="11" borderId="0" xfId="0" applyFont="1" applyFill="1"/>
    <xf numFmtId="0" fontId="77" fillId="11" borderId="0" xfId="0" applyFont="1" applyFill="1"/>
    <xf numFmtId="0" fontId="23" fillId="11" borderId="0" xfId="0" applyFont="1" applyFill="1"/>
    <xf numFmtId="0" fontId="78" fillId="11" borderId="0" xfId="0" applyFont="1" applyFill="1"/>
    <xf numFmtId="0" fontId="79" fillId="11" borderId="0" xfId="0" applyFont="1" applyFill="1"/>
    <xf numFmtId="0" fontId="75" fillId="11" borderId="0" xfId="0" applyFont="1" applyFill="1"/>
    <xf numFmtId="0" fontId="18" fillId="15" borderId="0" xfId="0" applyFont="1" applyFill="1"/>
    <xf numFmtId="9" fontId="20" fillId="11" borderId="0" xfId="0" applyNumberFormat="1" applyFont="1" applyFill="1"/>
    <xf numFmtId="0" fontId="80" fillId="11" borderId="0" xfId="0" applyFont="1" applyFill="1"/>
    <xf numFmtId="0" fontId="81" fillId="11" borderId="0" xfId="0" applyFont="1" applyFill="1"/>
    <xf numFmtId="0" fontId="82" fillId="11" borderId="0" xfId="0" applyFont="1" applyFill="1"/>
    <xf numFmtId="0" fontId="83" fillId="15" borderId="0" xfId="0" applyFont="1" applyFill="1"/>
    <xf numFmtId="0" fontId="21" fillId="15" borderId="0" xfId="0" applyFont="1" applyFill="1"/>
    <xf numFmtId="164" fontId="21" fillId="11" borderId="0" xfId="0" applyNumberFormat="1" applyFont="1" applyFill="1"/>
    <xf numFmtId="0" fontId="18" fillId="16" borderId="0" xfId="0" applyFont="1" applyFill="1"/>
    <xf numFmtId="0" fontId="18" fillId="17" borderId="0" xfId="0" applyFont="1" applyFill="1"/>
    <xf numFmtId="0" fontId="73" fillId="17" borderId="0" xfId="0" applyFont="1" applyFill="1"/>
    <xf numFmtId="0" fontId="74" fillId="17" borderId="0" xfId="0" applyFont="1" applyFill="1"/>
    <xf numFmtId="164" fontId="0" fillId="0" borderId="0" xfId="0" applyNumberFormat="1"/>
    <xf numFmtId="1" fontId="20" fillId="11" borderId="0" xfId="0" applyNumberFormat="1" applyFont="1" applyFill="1" applyAlignment="1">
      <alignment horizontal="right"/>
    </xf>
    <xf numFmtId="0" fontId="84" fillId="11" borderId="0" xfId="0" applyFont="1" applyFill="1"/>
    <xf numFmtId="0" fontId="85" fillId="11" borderId="0" xfId="0" applyFont="1" applyFill="1"/>
    <xf numFmtId="164" fontId="84" fillId="11" borderId="0" xfId="0" applyNumberFormat="1" applyFont="1" applyFill="1" applyAlignment="1">
      <alignment horizontal="right"/>
    </xf>
    <xf numFmtId="1" fontId="21" fillId="11" borderId="0" xfId="0" applyNumberFormat="1" applyFont="1" applyFill="1" applyAlignment="1">
      <alignment horizontal="right"/>
    </xf>
    <xf numFmtId="0" fontId="77" fillId="17" borderId="0" xfId="0" applyFont="1" applyFill="1"/>
    <xf numFmtId="0" fontId="57" fillId="17" borderId="0" xfId="0" applyFont="1" applyFill="1"/>
    <xf numFmtId="0" fontId="86" fillId="11" borderId="0" xfId="0" applyFont="1" applyFill="1"/>
    <xf numFmtId="0" fontId="87" fillId="11" borderId="0" xfId="0" applyFont="1" applyFill="1"/>
    <xf numFmtId="164" fontId="86" fillId="11" borderId="0" xfId="0" applyNumberFormat="1" applyFont="1" applyFill="1" applyAlignment="1">
      <alignment horizontal="right"/>
    </xf>
    <xf numFmtId="0" fontId="88" fillId="0" borderId="0" xfId="0" applyFont="1"/>
    <xf numFmtId="2" fontId="20" fillId="11" borderId="0" xfId="0" applyNumberFormat="1" applyFont="1" applyFill="1" applyAlignment="1">
      <alignment horizontal="right"/>
    </xf>
    <xf numFmtId="0" fontId="89" fillId="11" borderId="0" xfId="0" applyFont="1" applyFill="1" applyAlignment="1">
      <alignment horizontal="right"/>
    </xf>
    <xf numFmtId="0" fontId="18" fillId="18" borderId="0" xfId="0" applyFont="1" applyFill="1"/>
    <xf numFmtId="0" fontId="73" fillId="18" borderId="0" xfId="0" applyFont="1" applyFill="1"/>
    <xf numFmtId="0" fontId="74" fillId="18" borderId="0" xfId="0" applyFont="1" applyFill="1"/>
    <xf numFmtId="1" fontId="20" fillId="11" borderId="0" xfId="0" applyNumberFormat="1" applyFont="1" applyFill="1"/>
    <xf numFmtId="1" fontId="21" fillId="11" borderId="0" xfId="0" applyNumberFormat="1" applyFont="1" applyFill="1"/>
    <xf numFmtId="2" fontId="82" fillId="11" borderId="0" xfId="0" applyNumberFormat="1" applyFont="1" applyFill="1"/>
    <xf numFmtId="2" fontId="81" fillId="11" borderId="0" xfId="0" applyNumberFormat="1" applyFont="1" applyFill="1"/>
    <xf numFmtId="0" fontId="26" fillId="11" borderId="0" xfId="0" applyFont="1" applyFill="1"/>
    <xf numFmtId="0" fontId="27" fillId="11" borderId="0" xfId="0" applyFont="1" applyFill="1"/>
    <xf numFmtId="0" fontId="18" fillId="19" borderId="0" xfId="0" applyFont="1" applyFill="1"/>
    <xf numFmtId="0" fontId="73" fillId="19" borderId="0" xfId="0" applyFont="1" applyFill="1"/>
    <xf numFmtId="0" fontId="74" fillId="19" borderId="0" xfId="0" applyFont="1" applyFill="1"/>
    <xf numFmtId="0" fontId="73" fillId="13" borderId="0" xfId="0" applyFont="1" applyFill="1"/>
    <xf numFmtId="0" fontId="74" fillId="13" borderId="0" xfId="0" applyFont="1" applyFill="1"/>
    <xf numFmtId="164" fontId="90" fillId="11" borderId="0" xfId="0" applyNumberFormat="1" applyFont="1" applyFill="1"/>
    <xf numFmtId="0" fontId="20" fillId="19" borderId="0" xfId="0" applyFont="1" applyFill="1"/>
    <xf numFmtId="2" fontId="65" fillId="11" borderId="0" xfId="0" applyNumberFormat="1" applyFont="1" applyFill="1"/>
    <xf numFmtId="0" fontId="93" fillId="18" borderId="9" xfId="0" applyFont="1" applyFill="1" applyBorder="1"/>
    <xf numFmtId="0" fontId="74" fillId="18" borderId="10" xfId="0" applyFont="1" applyFill="1" applyBorder="1"/>
    <xf numFmtId="0" fontId="74" fillId="18" borderId="11" xfId="0" applyFont="1" applyFill="1" applyBorder="1"/>
    <xf numFmtId="0" fontId="93" fillId="18" borderId="0" xfId="0" applyFont="1" applyFill="1"/>
    <xf numFmtId="0" fontId="20" fillId="11" borderId="12" xfId="0" applyFont="1" applyFill="1" applyBorder="1"/>
    <xf numFmtId="4" fontId="20" fillId="11" borderId="0" xfId="0" applyNumberFormat="1" applyFont="1" applyFill="1" applyAlignment="1">
      <alignment horizontal="right"/>
    </xf>
    <xf numFmtId="0" fontId="20" fillId="11" borderId="13" xfId="0" applyFont="1" applyFill="1" applyBorder="1"/>
    <xf numFmtId="0" fontId="20" fillId="11" borderId="9" xfId="0" applyFont="1" applyFill="1" applyBorder="1"/>
    <xf numFmtId="2" fontId="20" fillId="11" borderId="10" xfId="0" applyNumberFormat="1" applyFont="1" applyFill="1" applyBorder="1"/>
    <xf numFmtId="0" fontId="20" fillId="11" borderId="11" xfId="0" applyFont="1" applyFill="1" applyBorder="1"/>
    <xf numFmtId="0" fontId="20" fillId="11" borderId="10" xfId="0" applyFont="1" applyFill="1" applyBorder="1"/>
    <xf numFmtId="0" fontId="21" fillId="11" borderId="10" xfId="0" applyFont="1" applyFill="1" applyBorder="1" applyAlignment="1">
      <alignment horizontal="right"/>
    </xf>
    <xf numFmtId="169" fontId="20" fillId="11" borderId="10" xfId="0" applyNumberFormat="1" applyFont="1" applyFill="1" applyBorder="1"/>
    <xf numFmtId="1" fontId="20" fillId="11" borderId="10" xfId="0" applyNumberFormat="1" applyFont="1" applyFill="1" applyBorder="1"/>
    <xf numFmtId="0" fontId="21" fillId="11" borderId="0" xfId="0" applyFont="1" applyFill="1" applyAlignment="1">
      <alignment horizontal="right"/>
    </xf>
    <xf numFmtId="169" fontId="20" fillId="11" borderId="0" xfId="0" applyNumberFormat="1" applyFont="1" applyFill="1"/>
    <xf numFmtId="0" fontId="20" fillId="11" borderId="6" xfId="0" applyFont="1" applyFill="1" applyBorder="1"/>
    <xf numFmtId="0" fontId="20" fillId="11" borderId="7" xfId="0" applyFont="1" applyFill="1" applyBorder="1"/>
    <xf numFmtId="0" fontId="20" fillId="11" borderId="8" xfId="0" applyFont="1" applyFill="1" applyBorder="1"/>
    <xf numFmtId="1" fontId="20" fillId="11" borderId="7" xfId="0" applyNumberFormat="1" applyFont="1" applyFill="1" applyBorder="1"/>
    <xf numFmtId="2" fontId="20" fillId="11" borderId="7" xfId="0" applyNumberFormat="1" applyFont="1" applyFill="1" applyBorder="1"/>
    <xf numFmtId="164" fontId="20" fillId="11" borderId="0" xfId="0" applyNumberFormat="1" applyFont="1" applyFill="1"/>
    <xf numFmtId="0" fontId="21" fillId="11" borderId="12" xfId="0" applyFont="1" applyFill="1" applyBorder="1"/>
    <xf numFmtId="169" fontId="21" fillId="11" borderId="0" xfId="0" applyNumberFormat="1" applyFont="1" applyFill="1"/>
    <xf numFmtId="0" fontId="21" fillId="11" borderId="13" xfId="0" applyFont="1" applyFill="1" applyBorder="1"/>
    <xf numFmtId="0" fontId="20" fillId="11" borderId="9" xfId="0" applyFont="1" applyFill="1" applyBorder="1" applyAlignment="1">
      <alignment horizontal="left"/>
    </xf>
    <xf numFmtId="0" fontId="20" fillId="11" borderId="12" xfId="0" applyFont="1" applyFill="1" applyBorder="1" applyAlignment="1">
      <alignment horizontal="left"/>
    </xf>
    <xf numFmtId="169" fontId="21" fillId="11" borderId="7" xfId="0" applyNumberFormat="1" applyFont="1" applyFill="1" applyBorder="1"/>
    <xf numFmtId="0" fontId="21" fillId="11" borderId="9" xfId="0" applyFont="1" applyFill="1" applyBorder="1"/>
    <xf numFmtId="164" fontId="21" fillId="11" borderId="10" xfId="0" applyNumberFormat="1" applyFont="1" applyFill="1" applyBorder="1"/>
    <xf numFmtId="0" fontId="21" fillId="11" borderId="11" xfId="0" applyFont="1" applyFill="1" applyBorder="1"/>
    <xf numFmtId="0" fontId="20" fillId="11" borderId="0" xfId="0" applyFont="1" applyFill="1" applyAlignment="1">
      <alignment horizontal="left"/>
    </xf>
    <xf numFmtId="165" fontId="20" fillId="11" borderId="10" xfId="0" applyNumberFormat="1" applyFont="1" applyFill="1" applyBorder="1"/>
    <xf numFmtId="9" fontId="20" fillId="11" borderId="10" xfId="0" applyNumberFormat="1" applyFont="1" applyFill="1" applyBorder="1" applyAlignment="1">
      <alignment horizontal="right"/>
    </xf>
    <xf numFmtId="2" fontId="20" fillId="0" borderId="0" xfId="0" applyNumberFormat="1" applyFont="1"/>
    <xf numFmtId="9" fontId="20" fillId="11" borderId="7" xfId="0" applyNumberFormat="1" applyFont="1" applyFill="1" applyBorder="1" applyAlignment="1">
      <alignment horizontal="right"/>
    </xf>
    <xf numFmtId="0" fontId="20" fillId="0" borderId="9" xfId="0" applyFont="1" applyBorder="1"/>
    <xf numFmtId="2" fontId="20" fillId="0" borderId="10" xfId="0" applyNumberFormat="1" applyFont="1" applyBorder="1"/>
    <xf numFmtId="0" fontId="20" fillId="0" borderId="11" xfId="0" applyFont="1" applyBorder="1"/>
    <xf numFmtId="0" fontId="20" fillId="0" borderId="12" xfId="0" applyFont="1" applyBorder="1"/>
    <xf numFmtId="0" fontId="20" fillId="0" borderId="13" xfId="0" applyFont="1" applyBorder="1"/>
    <xf numFmtId="165" fontId="20" fillId="11" borderId="7" xfId="0" applyNumberFormat="1" applyFont="1" applyFill="1" applyBorder="1"/>
    <xf numFmtId="0" fontId="20" fillId="0" borderId="6" xfId="0" applyFont="1" applyBorder="1"/>
    <xf numFmtId="2" fontId="20" fillId="0" borderId="7" xfId="0" applyNumberFormat="1" applyFont="1" applyBorder="1"/>
    <xf numFmtId="0" fontId="20" fillId="0" borderId="8" xfId="0" applyFont="1" applyBorder="1"/>
    <xf numFmtId="0" fontId="20" fillId="0" borderId="14" xfId="0" applyFont="1" applyBorder="1"/>
    <xf numFmtId="2" fontId="20" fillId="0" borderId="15" xfId="0" applyNumberFormat="1" applyFont="1" applyBorder="1"/>
    <xf numFmtId="0" fontId="20" fillId="0" borderId="16" xfId="0" applyFont="1" applyBorder="1"/>
    <xf numFmtId="0" fontId="20" fillId="11" borderId="14" xfId="0" applyFont="1" applyFill="1" applyBorder="1"/>
    <xf numFmtId="2" fontId="20" fillId="11" borderId="15" xfId="0" applyNumberFormat="1" applyFont="1" applyFill="1" applyBorder="1"/>
    <xf numFmtId="0" fontId="20" fillId="11" borderId="16" xfId="0" applyFont="1" applyFill="1" applyBorder="1"/>
    <xf numFmtId="0" fontId="42" fillId="0" borderId="0" xfId="9"/>
    <xf numFmtId="0" fontId="94" fillId="9" borderId="0" xfId="0" applyFont="1" applyFill="1" applyAlignment="1">
      <alignment horizontal="left" vertical="center" wrapText="1"/>
    </xf>
    <xf numFmtId="0" fontId="95" fillId="9" borderId="0" xfId="0" applyFont="1" applyFill="1" applyAlignment="1">
      <alignment horizontal="left" vertical="center" wrapText="1"/>
    </xf>
    <xf numFmtId="0" fontId="67" fillId="11" borderId="0" xfId="0" applyFont="1" applyFill="1"/>
    <xf numFmtId="164" fontId="67" fillId="11" borderId="0" xfId="0" applyNumberFormat="1" applyFont="1" applyFill="1"/>
    <xf numFmtId="0" fontId="97" fillId="11" borderId="0" xfId="0" applyFont="1" applyFill="1"/>
    <xf numFmtId="164" fontId="84" fillId="11" borderId="0" xfId="0" applyNumberFormat="1" applyFont="1" applyFill="1"/>
    <xf numFmtId="0" fontId="68" fillId="11" borderId="0" xfId="0" applyFont="1" applyFill="1" applyAlignment="1">
      <alignment horizontal="left"/>
    </xf>
    <xf numFmtId="164" fontId="68" fillId="11" borderId="0" xfId="0" applyNumberFormat="1" applyFont="1" applyFill="1"/>
    <xf numFmtId="0" fontId="69" fillId="11" borderId="0" xfId="0" applyFont="1" applyFill="1" applyAlignment="1">
      <alignment horizontal="right"/>
    </xf>
    <xf numFmtId="164" fontId="70" fillId="11" borderId="0" xfId="0" applyNumberFormat="1" applyFont="1" applyFill="1"/>
    <xf numFmtId="164" fontId="66" fillId="11" borderId="0" xfId="0" applyNumberFormat="1" applyFont="1" applyFill="1"/>
    <xf numFmtId="164" fontId="97" fillId="11" borderId="0" xfId="0" applyNumberFormat="1" applyFont="1" applyFill="1"/>
    <xf numFmtId="2" fontId="67" fillId="11" borderId="0" xfId="0" applyNumberFormat="1" applyFont="1" applyFill="1"/>
    <xf numFmtId="0" fontId="98" fillId="11" borderId="0" xfId="0" applyFont="1" applyFill="1"/>
    <xf numFmtId="164" fontId="86" fillId="11" borderId="0" xfId="0" applyNumberFormat="1" applyFont="1" applyFill="1"/>
    <xf numFmtId="0" fontId="99" fillId="11" borderId="0" xfId="0" applyFont="1" applyFill="1"/>
    <xf numFmtId="0" fontId="70" fillId="11" borderId="0" xfId="0" applyFont="1" applyFill="1"/>
    <xf numFmtId="169" fontId="70" fillId="11" borderId="0" xfId="0" applyNumberFormat="1" applyFont="1" applyFill="1"/>
    <xf numFmtId="2" fontId="84" fillId="11" borderId="0" xfId="0" applyNumberFormat="1" applyFont="1" applyFill="1"/>
    <xf numFmtId="1" fontId="98" fillId="11" borderId="0" xfId="0" applyNumberFormat="1" applyFont="1" applyFill="1"/>
    <xf numFmtId="1" fontId="69" fillId="11" borderId="0" xfId="0" applyNumberFormat="1" applyFont="1" applyFill="1" applyAlignment="1">
      <alignment horizontal="right"/>
    </xf>
    <xf numFmtId="1" fontId="100" fillId="11" borderId="0" xfId="0" applyNumberFormat="1" applyFont="1" applyFill="1" applyAlignment="1">
      <alignment horizontal="right"/>
    </xf>
    <xf numFmtId="0" fontId="47" fillId="11" borderId="0" xfId="0" applyFont="1" applyFill="1"/>
    <xf numFmtId="1" fontId="67" fillId="11" borderId="0" xfId="0" applyNumberFormat="1" applyFont="1" applyFill="1"/>
    <xf numFmtId="0" fontId="0" fillId="20" borderId="0" xfId="0" applyFill="1"/>
    <xf numFmtId="0" fontId="0" fillId="21" borderId="0" xfId="0" applyFill="1"/>
    <xf numFmtId="0" fontId="13" fillId="0" borderId="0" xfId="7" applyFont="1" applyFill="1" applyBorder="1" applyAlignment="1">
      <alignment horizontal="center"/>
    </xf>
    <xf numFmtId="0" fontId="18" fillId="0" borderId="0" xfId="0" applyFont="1"/>
    <xf numFmtId="0" fontId="0" fillId="0" borderId="0" xfId="0"/>
    <xf numFmtId="0" fontId="18" fillId="18" borderId="0" xfId="0" applyFont="1" applyFill="1"/>
    <xf numFmtId="0" fontId="92" fillId="11" borderId="0" xfId="0" applyFont="1" applyFill="1"/>
  </cellXfs>
  <cellStyles count="10">
    <cellStyle name="Accent5" xfId="7" builtinId="45"/>
    <cellStyle name="Accent6" xfId="8" builtinId="49"/>
    <cellStyle name="Calculation" xfId="4" builtinId="22"/>
    <cellStyle name="Check Cell" xfId="5" builtinId="23"/>
    <cellStyle name="Explanatory Text" xfId="6" builtinId="53"/>
    <cellStyle name="Good" xfId="2" builtinId="26"/>
    <cellStyle name="Hyperlink" xfId="9" builtinId="8"/>
    <cellStyle name="Neutral" xfId="3" builtinId="28"/>
    <cellStyle name="Normal" xfId="0" builtinId="0"/>
    <cellStyle name="Percent" xfId="1" builtinId="5"/>
  </cellStyles>
  <dxfs count="1">
    <dxf>
      <fill>
        <patternFill patternType="solid">
          <fgColor rgb="FF980000"/>
          <bgColor rgb="FF98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microsoft.com/office/2017/10/relationships/person" Target="persons/perso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Acacia HTL</a:t>
            </a:r>
            <a:r>
              <a:rPr lang="nl-NL" baseline="0"/>
              <a:t> energy distribution</a:t>
            </a:r>
            <a:endParaRPr lang="nl-N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C01D-4042-9F95-84690B6A8C6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D632-48A0-9BAE-9DD5B5C24CF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C01D-4042-9F95-84690B6A8C6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D632-48A0-9BAE-9DD5B5C24CF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C01D-4042-9F95-84690B6A8C6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C01D-4042-9F95-84690B6A8C6F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C01D-4042-9F95-84690B6A8C6F}"/>
              </c:ext>
            </c:extLst>
          </c:dPt>
          <c:dLbls>
            <c:dLbl>
              <c:idx val="1"/>
              <c:layout>
                <c:manualLayout>
                  <c:x val="3.6665354330708659E-2"/>
                  <c:y val="-6.033464566929133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632-48A0-9BAE-9DD5B5C24CF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632-48A0-9BAE-9DD5B5C24CFE}"/>
                </c:ext>
              </c:extLst>
            </c:dLbl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'Energy balance'!$C$47:$C$53</c:f>
              <c:strCache>
                <c:ptCount val="7"/>
                <c:pt idx="0">
                  <c:v>Biofuel</c:v>
                </c:pt>
                <c:pt idx="1">
                  <c:v>Salable Electricity</c:v>
                </c:pt>
                <c:pt idx="2">
                  <c:v>Process Energy, from Biogas and Char</c:v>
                </c:pt>
                <c:pt idx="3">
                  <c:v>Process Energy, from Natural Gas</c:v>
                </c:pt>
                <c:pt idx="4">
                  <c:v>Aqueous Recyclate</c:v>
                </c:pt>
                <c:pt idx="5">
                  <c:v>Combustion Losses</c:v>
                </c:pt>
                <c:pt idx="6">
                  <c:v>Waste Aqueous &amp; Unknown Losses</c:v>
                </c:pt>
              </c:strCache>
            </c:strRef>
          </c:cat>
          <c:val>
            <c:numRef>
              <c:f>'Energy balance'!$D$47:$D$53</c:f>
              <c:numCache>
                <c:formatCode>0%</c:formatCode>
                <c:ptCount val="7"/>
                <c:pt idx="0">
                  <c:v>0.5062607915608146</c:v>
                </c:pt>
                <c:pt idx="1">
                  <c:v>4.0095155814313728E-2</c:v>
                </c:pt>
                <c:pt idx="2">
                  <c:v>2.843580317249058E-2</c:v>
                </c:pt>
                <c:pt idx="3">
                  <c:v>0</c:v>
                </c:pt>
                <c:pt idx="4">
                  <c:v>0.19303743460984574</c:v>
                </c:pt>
                <c:pt idx="5">
                  <c:v>0.16000112889545229</c:v>
                </c:pt>
                <c:pt idx="6">
                  <c:v>7.2169685947082979E-2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32-48A0-9BAE-9DD5B5C24CFE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196850</xdr:colOff>
      <xdr:row>44</xdr:row>
      <xdr:rowOff>73025</xdr:rowOff>
    </xdr:from>
    <xdr:to>
      <xdr:col>14</xdr:col>
      <xdr:colOff>492125</xdr:colOff>
      <xdr:row>59</xdr:row>
      <xdr:rowOff>53975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E990CA7-29E6-B9D1-63E1-6E46260D4F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ivachandrasek\Desktop\TEA_All%20case%20studies.xlsx" TargetMode="External"/><Relationship Id="rId1" Type="http://schemas.openxmlformats.org/officeDocument/2006/relationships/externalLinkPath" Target="file:///C:\Users\sivachandrasek\Desktop\TEA_All%20case%20studies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ivachandrasek\Downloads\Tanzer%20et%20al%202019-%20Supplementary%20Information_2.xlsx" TargetMode="External"/><Relationship Id="rId1" Type="http://schemas.openxmlformats.org/officeDocument/2006/relationships/externalLinkPath" Target="file:///C:\Users\sivachandrasek\Downloads\Tanzer%20et%20al%202019-%20Supplementary%20Information_2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ivachandrasek\Desktop\TEA_Spain%20pruning_final.xlsx" TargetMode="External"/><Relationship Id="rId1" Type="http://schemas.openxmlformats.org/officeDocument/2006/relationships/externalLinkPath" Target="file:///C:\Users\sivachandrasek\Desktop\Delft\TU%20DELFT\CS%20project\Case%20study\Siva%20Final%20excel%20work\TEA_Spain%20pruning_final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U:\SivaCS\TU%20DELFT\CS%20project\Case%20study\Siva%20Final%20excel%20work\TEA_Spain%20pomace%20_final%20-%20Siva.xlsx" TargetMode="External"/><Relationship Id="rId1" Type="http://schemas.openxmlformats.org/officeDocument/2006/relationships/externalLinkPath" Target="file:///U:\SivaCS\TU%20DELFT\CS%20project\Case%20study\Siva%20Final%20excel%20work\TEA_Spain%20pomace%20_final%20-%20Siva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U:\SivaCS\TU%20DELFT\CS%20project\Case%20study\Siva%20Final%20excel%20work\pomace\TEA_Spain%20pomace%20_final%20-%20Siva%20-%20with%20MFSP_corrected%20for%202023_588DTPD.xlsx" TargetMode="External"/><Relationship Id="rId1" Type="http://schemas.openxmlformats.org/officeDocument/2006/relationships/externalLinkPath" Target="file:///U:\SivaCS\TU%20DELFT\CS%20project\Case%20study\Siva%20Final%20excel%20work\pomace\TEA_Spain%20pomace%20_final%20-%20Siva%20-%20with%20MFSP_corrected%20for%202023_588DTP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Demand "/>
      <sheetName val="Feedstocks "/>
      <sheetName val="Process variables "/>
      <sheetName val="Mass balances "/>
      <sheetName val="utilities demand from Aspen plu"/>
      <sheetName val="Energy balance "/>
      <sheetName val="utilities "/>
      <sheetName val="yields "/>
      <sheetName val="CAPEX "/>
      <sheetName val="Expenses variable "/>
      <sheetName val="expenses_full_fuel without frac"/>
      <sheetName val="without hydrotreatment or fcc1 "/>
      <sheetName val="expenses_hydr frac fuel "/>
      <sheetName val="Sources and links "/>
      <sheetName val="Sheet4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4">
          <cell r="C4">
            <v>0.8</v>
          </cell>
        </row>
        <row r="5">
          <cell r="C5">
            <v>0.22</v>
          </cell>
        </row>
        <row r="19">
          <cell r="G19">
            <v>0.8</v>
          </cell>
        </row>
        <row r="21">
          <cell r="G21">
            <v>0.8</v>
          </cell>
        </row>
      </sheetData>
      <sheetData sheetId="5" refreshError="1">
        <row r="115">
          <cell r="D115">
            <v>186216.038</v>
          </cell>
        </row>
      </sheetData>
      <sheetData sheetId="6" refreshError="1">
        <row r="46">
          <cell r="C46">
            <v>0</v>
          </cell>
        </row>
        <row r="48">
          <cell r="Q48">
            <v>50</v>
          </cell>
        </row>
        <row r="52">
          <cell r="C52">
            <v>0</v>
          </cell>
        </row>
        <row r="53">
          <cell r="C53">
            <v>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eta"/>
      <sheetName val="Summary Results"/>
      <sheetName val="1.1 Demand"/>
      <sheetName val="1.2 Feedstocks"/>
      <sheetName val="2.1 Process Var"/>
      <sheetName val="2.2 Mass"/>
      <sheetName val="2.3 Utilities"/>
      <sheetName val="2.4 Energy Balance"/>
      <sheetName val="2.5 Yields"/>
      <sheetName val="Yield Tables"/>
      <sheetName val="2.C Yield Charts"/>
      <sheetName val="3.1 Refinery"/>
      <sheetName val="4.1 Expense Var"/>
      <sheetName val="Expense Tables"/>
      <sheetName val="4.2 Expenses"/>
      <sheetName val="4.C Expense Charts"/>
      <sheetName val="5.1 Emission Var"/>
      <sheetName val="5.2 Emissions"/>
      <sheetName val="Emission Tables"/>
      <sheetName val="5.C Emission Charts"/>
      <sheetName val="Scaling"/>
      <sheetName val="6.C Sensitivty Analysis Charts"/>
      <sheetName val="TEA Lit"/>
      <sheetName val="A.1. Factors"/>
      <sheetName val="A.2. Bibliography"/>
    </sheetNames>
    <sheetDataSet>
      <sheetData sheetId="0"/>
      <sheetData sheetId="1"/>
      <sheetData sheetId="2"/>
      <sheetData sheetId="3"/>
      <sheetData sheetId="4">
        <row r="51">
          <cell r="C51" t="str">
            <v>CO yield</v>
          </cell>
        </row>
      </sheetData>
      <sheetData sheetId="5">
        <row r="24">
          <cell r="C24" t="str">
            <v>Aqueous Recycling Iteration Count</v>
          </cell>
        </row>
      </sheetData>
      <sheetData sheetId="6">
        <row r="47">
          <cell r="C47" t="str">
            <v>Cooling Water Demand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15">
          <cell r="B15">
            <v>3.6</v>
          </cell>
        </row>
      </sheetData>
      <sheetData sheetId="2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Process variables "/>
      <sheetName val="Mass balances "/>
      <sheetName val="Utilities from Aspen "/>
      <sheetName val="Energy balance "/>
      <sheetName val="Yields"/>
    </sheetNames>
    <sheetDataSet>
      <sheetData sheetId="0"/>
      <sheetData sheetId="1"/>
      <sheetData sheetId="2">
        <row r="40">
          <cell r="D40">
            <v>0</v>
          </cell>
        </row>
      </sheetData>
      <sheetData sheetId="3"/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Demand "/>
      <sheetName val="Feedstocks "/>
      <sheetName val="Process variables "/>
      <sheetName val="Mass balances "/>
      <sheetName val="Utilities demand"/>
      <sheetName val="Energy balance "/>
      <sheetName val="yields "/>
      <sheetName val="Refinery"/>
      <sheetName val="Expenses variable "/>
      <sheetName val="utilities "/>
      <sheetName val="CAPEX "/>
      <sheetName val="expenses_full_fuel without frac"/>
      <sheetName val="expenses_full_no upgrading"/>
      <sheetName val="play"/>
      <sheetName val="Sources and links "/>
      <sheetName val="Sheet4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F2">
            <v>20</v>
          </cell>
        </row>
      </sheetData>
      <sheetData sheetId="5" refreshError="1"/>
      <sheetData sheetId="6">
        <row r="48">
          <cell r="Q48">
            <v>50</v>
          </cell>
        </row>
      </sheetData>
      <sheetData sheetId="7" refreshError="1"/>
      <sheetData sheetId="8" refreshError="1"/>
      <sheetData sheetId="9" refreshError="1"/>
      <sheetData sheetId="10">
        <row r="50">
          <cell r="C50">
            <v>895</v>
          </cell>
        </row>
        <row r="56">
          <cell r="H56">
            <v>1.0612299999999999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42">
          <cell r="B42">
            <v>97.27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Demand "/>
      <sheetName val="Feedstocks "/>
      <sheetName val="Process variables "/>
      <sheetName val="Mass balances "/>
      <sheetName val="Utilities demand"/>
      <sheetName val="Utilities demand (2)"/>
      <sheetName val="Energy balance "/>
      <sheetName val="yields "/>
      <sheetName val="Expenses variable "/>
      <sheetName val="expenses_full_HTL"/>
      <sheetName val="expenses_full_fuel_HTL_Up"/>
      <sheetName val="expenses_full_fuel_HTL_CoUp"/>
      <sheetName val="expenses_full_fuel_HTL_UP_frac"/>
      <sheetName val="expenses_full_fuel_HTL_CoUp_fra"/>
      <sheetName val="Refinery"/>
      <sheetName val="utilities "/>
      <sheetName val="CAPEX "/>
      <sheetName val="play"/>
      <sheetName val="Sources and links "/>
      <sheetName val="Sheet4"/>
      <sheetName val="MFSP for different CAPEX"/>
      <sheetName val="MFSP sesnitivity  analysis "/>
      <sheetName val="MFSP play 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56">
          <cell r="H56">
            <v>1.0612299999999999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Sivaramakrishnan Chandrasekaran" id="{21D756F6-8138-4CB1-B3F9-CCF363ACECAB}" userId="S::sivachandrasek@tudelft.nl::34de0326-6289-4453-a615-f131b2a21532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6" dT="2023-09-12T07:32:02.85" personId="{00000000-0000-0000-0000-000000000000}" id="{6E43D6A2-1FEE-44FE-8AE8-07CCD7C9D021}">
    <text xml:space="preserve">Reactor </text>
  </threadedComment>
  <threadedComment ref="D16" dT="2023-09-12T07:32:42.11" personId="{00000000-0000-0000-0000-000000000000}" id="{C741914F-2B67-4D8B-B4BF-F8BB2EDE457F}">
    <text>B11</text>
  </threadedComment>
  <threadedComment ref="E16" dT="2023-09-12T07:34:54.17" personId="{00000000-0000-0000-0000-000000000000}" id="{542B0642-144E-414E-9DEB-72287AE1FA7B}">
    <text xml:space="preserve">B38
</text>
  </threadedComment>
  <threadedComment ref="F16" dT="2023-09-12T07:34:36.25" personId="{00000000-0000-0000-0000-000000000000}" id="{4DFB27BE-80BD-45D9-9898-F57F0FD36AB6}">
    <text>B38</text>
  </threadedComment>
  <threadedComment ref="B17" dT="2023-09-12T07:32:15.60" personId="{00000000-0000-0000-0000-000000000000}" id="{C5971D1D-93E6-4048-865C-E8152349E7B1}">
    <text>B41</text>
  </threadedComment>
  <threadedComment ref="D17" dT="2023-09-12T07:33:15.31" personId="{00000000-0000-0000-0000-000000000000}" id="{17DF9436-F167-4495-8984-E335C8FA9086}">
    <text>B13</text>
  </threadedComment>
  <threadedComment ref="E17" dT="2023-09-12T08:32:36.05" personId="{00000000-0000-0000-0000-000000000000}" id="{9FA71137-E597-441C-98BB-D945A5FB778A}">
    <text>B37</text>
  </threadedComment>
  <threadedComment ref="F17" dT="2023-09-13T12:40:08.62" personId="{21D756F6-8138-4CB1-B3F9-CCF363ACECAB}" id="{1A74F706-8384-4331-86EC-7D8BF6540383}">
    <text>B34</text>
  </threadedComment>
  <threadedComment ref="G17" dT="2023-09-13T12:41:56.87" personId="{21D756F6-8138-4CB1-B3F9-CCF363ACECAB}" id="{3690D279-1136-4F6B-A805-48C98D517B87}">
    <text>B35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C3" dT="2023-10-11T09:07:58.42" personId="{00000000-0000-0000-0000-000000000000}" id="{6F94A1E4-F89C-4365-B74B-7061F7759F41}">
    <text>Tanzer</text>
  </threadedComment>
  <threadedComment ref="C9" dT="2023-10-11T09:17:30.04" personId="{00000000-0000-0000-0000-000000000000}" id="{C0E809C3-42A8-4114-89E7-8AB444369A48}">
    <text>https://www.intratec.us/products/industry-economics-worldwide/plant-location-factor/south-africa-plant-location-factor</text>
    <extLst>
      <x:ext xmlns:xltc2="http://schemas.microsoft.com/office/spreadsheetml/2020/threadedcomments2" uri="{F7C98A9C-CBB3-438F-8F68-D28B6AF4A901}">
        <xltc2:checksum>3168608857</xltc2:checksum>
        <xltc2:hyperlink startIndex="0" length="118" url="https://www.intratec.us/products/industry-economics-worldwide/plant-location-factor/south-africa-plant-location-factor"/>
      </x:ext>
    </extLst>
  </threadedComment>
  <threadedComment ref="D9" dT="2023-10-11T09:18:01.56" personId="{00000000-0000-0000-0000-000000000000}" id="{FF90A8F8-0D4B-45B0-8A06-C5537CB05410}">
    <text xml:space="preserve">For South Africa </text>
  </threadedComment>
  <threadedComment ref="E9" dT="2023-10-11T09:18:24.59" personId="{00000000-0000-0000-0000-000000000000}" id="{08053C72-ABB3-439D-AE7B-73CFAA52109B}">
    <text xml:space="preserve">Brazil </text>
  </threadedComment>
  <threadedComment ref="C22" dT="2023-10-11T07:05:47.74" personId="{00000000-0000-0000-0000-000000000000}" id="{612C94C3-19A0-4EA5-9AFE-A51FD80C4124}">
    <text>https://tradingeconomics.com/namibia/interest-rate</text>
    <extLst>
      <x:ext xmlns:xltc2="http://schemas.microsoft.com/office/spreadsheetml/2020/threadedcomments2" uri="{F7C98A9C-CBB3-438F-8F68-D28B6AF4A901}">
        <xltc2:checksum>96187253</xltc2:checksum>
        <xltc2:hyperlink startIndex="0" length="50" url="https://tradingeconomics.com/namibia/interest-rate"/>
      </x:ext>
    </extLst>
  </threadedComment>
  <threadedComment ref="C23" dT="2023-10-11T07:04:46.65" personId="{00000000-0000-0000-0000-000000000000}" id="{7E7EEADB-38A1-499C-9DCF-D5000440D85B}">
    <text>https://tradingeconomics.com/namibia/inflation-cpi#:~:text=Namibia%20Inflation%20Rate%20Picks%20Up,4.7%25%20in%20the%20prior%20month.</text>
    <extLst>
      <x:ext xmlns:xltc2="http://schemas.microsoft.com/office/spreadsheetml/2020/threadedcomments2" uri="{F7C98A9C-CBB3-438F-8F68-D28B6AF4A901}">
        <xltc2:checksum>2431328008</xltc2:checksum>
        <xltc2:hyperlink startIndex="0" length="132" url="https://tradingeconomics.com/namibia/inflation-cpi#:~:text=Namibia%20Inflation%20Rate%20Picks%20Up,4.7%25%20in%20the%20prior%20month"/>
      </x:ext>
    </extLst>
  </threadedComment>
  <threadedComment ref="C24" dT="2023-10-11T07:07:23.93" personId="{00000000-0000-0000-0000-000000000000}" id="{D1FC8D6D-78EA-4986-8294-B3F3609110D4}">
    <text>https://pages.stern.nyu.edu/~adamodar/New_Home_Page/datafile/ctryprem.html</text>
    <extLst>
      <x:ext xmlns:xltc2="http://schemas.microsoft.com/office/spreadsheetml/2020/threadedcomments2" uri="{F7C98A9C-CBB3-438F-8F68-D28B6AF4A901}">
        <xltc2:checksum>77271508</xltc2:checksum>
        <xltc2:hyperlink startIndex="0" length="74" url="https://pages.stern.nyu.edu/~adamodar/New_Home_Page/datafile/ctryprem.html"/>
      </x:ext>
    </extLst>
  </threadedComment>
  <threadedComment ref="A26" dT="2023-10-11T07:14:30.25" personId="{00000000-0000-0000-0000-000000000000}" id="{0366A261-4897-4D99-9CEC-E7E6A8FA086A}">
    <text>Same as Tanzer</text>
  </threadedComment>
  <threadedComment ref="A44" dT="2023-10-11T07:24:35.70" personId="{00000000-0000-0000-0000-000000000000}" id="{8A224DEA-C74E-4C4F-A067-BDCBA6CD5681}">
    <text>Prices 2023</text>
  </threadedComment>
  <threadedComment ref="A47" dT="2023-10-11T07:24:42.97" personId="{00000000-0000-0000-0000-000000000000}" id="{79574EDF-E2CD-48A8-8FAA-778AF1ADE356}">
    <text>Prices 2023</text>
  </threadedComment>
  <threadedComment ref="A50" dT="2023-10-11T07:32:28.21" personId="{00000000-0000-0000-0000-000000000000}" id="{D4AAFE58-A211-4DBC-80D8-FD4F9FDDE98E}">
    <text>https://www.oilmonster.com/bunker-fuel-prices/walvis-bay-mgo-price/7/112</text>
    <extLst>
      <x:ext xmlns:xltc2="http://schemas.microsoft.com/office/spreadsheetml/2020/threadedcomments2" uri="{F7C98A9C-CBB3-438F-8F68-D28B6AF4A901}">
        <xltc2:checksum>192647916</xltc2:checksum>
        <xltc2:hyperlink startIndex="0" length="72" url="https://www.oilmonster.com/bunker-fuel-prices/walvis-bay-mgo-price/7/112"/>
      </x:ext>
    </extLst>
  </threadedComment>
  <threadedComment ref="C52" dT="2023-10-11T07:40:37.85" personId="{00000000-0000-0000-0000-000000000000}" id="{3A3BFF20-02C3-454D-ADC1-1EB6C1B9D77B}">
    <text>https://www.globalpetrolprices.com/Namibia/</text>
    <extLst>
      <x:ext xmlns:xltc2="http://schemas.microsoft.com/office/spreadsheetml/2020/threadedcomments2" uri="{F7C98A9C-CBB3-438F-8F68-D28B6AF4A901}">
        <xltc2:checksum>3630027057</xltc2:checksum>
        <xltc2:hyperlink startIndex="0" length="43" url="https://www.globalpetrolprices.com/Namibia/"/>
      </x:ext>
    </extLst>
  </threadedComment>
  <threadedComment ref="G52" dT="2023-10-11T07:34:42.72" personId="{00000000-0000-0000-0000-000000000000}" id="{1EEE5DA9-E04E-4452-AF91-0D38E8BA3E74}">
    <text>https://shipandbunker.com/news/world/662089-integr8-vlsfo-calorific-value-pour-point-and-competitiveness-with-lsmgo</text>
    <extLst>
      <x:ext xmlns:xltc2="http://schemas.microsoft.com/office/spreadsheetml/2020/threadedcomments2" uri="{F7C98A9C-CBB3-438F-8F68-D28B6AF4A901}">
        <xltc2:checksum>3515712026</xltc2:checksum>
        <xltc2:hyperlink startIndex="0" length="115" url="https://shipandbunker.com/news/world/662089-integr8-vlsfo-calorific-value-pour-point-and-competitiveness-with-lsmgo"/>
      </x:ext>
    </extLst>
  </threadedComment>
  <threadedComment ref="A54" dT="2023-10-19T10:38:13.34" personId="{21D756F6-8138-4CB1-B3F9-CCF363ACECAB}" id="{258237D1-40A4-4957-81E1-F403EAD6FDFA}">
    <text>https://www.oilmonster.com/bunker-fuel-prices/walvis-bay-mgo-price/7/112</text>
    <extLst>
      <x:ext xmlns:xltc2="http://schemas.microsoft.com/office/spreadsheetml/2020/threadedcomments2" uri="{F7C98A9C-CBB3-438F-8F68-D28B6AF4A901}">
        <xltc2:checksum>192647916</xltc2:checksum>
        <xltc2:hyperlink startIndex="0" length="72" url="https://www.oilmonster.com/bunker-fuel-prices/walvis-bay-mgo-price/7/112"/>
      </x:ext>
    </extLst>
  </threadedComment>
  <threadedComment ref="H55" dT="2023-10-19T10:05:58.27" personId="{00000000-0000-0000-0000-000000000000}" id="{53E96B30-DC02-4A99-AE4E-E45EA107D945}">
    <text>https://www.xe.com/currencycharts/?from=EUR&amp;to=USD</text>
    <extLst>
      <x:ext xmlns:xltc2="http://schemas.microsoft.com/office/spreadsheetml/2020/threadedcomments2" uri="{F7C98A9C-CBB3-438F-8F68-D28B6AF4A901}">
        <xltc2:checksum>3675498726</xltc2:checksum>
        <xltc2:hyperlink startIndex="0" length="50" url="https://www.xe.com/currencycharts/?from=EUR&amp;to=USD"/>
      </x:ext>
    </extLst>
  </threadedComment>
  <threadedComment ref="C56" dT="2023-10-11T09:23:12.50" personId="{00000000-0000-0000-0000-000000000000}" id="{C8E9CA84-7A67-4C9F-BB18-249229982F60}">
    <text>https://oilprice.com/</text>
    <extLst>
      <x:ext xmlns:xltc2="http://schemas.microsoft.com/office/spreadsheetml/2020/threadedcomments2" uri="{F7C98A9C-CBB3-438F-8F68-D28B6AF4A901}">
        <xltc2:checksum>919184345</xltc2:checksum>
        <xltc2:hyperlink startIndex="0" length="21" url="https://oilprice.com/"/>
      </x:ext>
    </extLst>
  </threadedComment>
  <threadedComment ref="H56" dT="2023-10-19T10:03:40.91" personId="{21D756F6-8138-4CB1-B3F9-CCF363ACECAB}" id="{4007E311-1373-41E8-9263-531916946665}">
    <text/>
  </threadedComment>
  <threadedComment ref="H57" dT="2023-10-19T10:06:51.13" personId="{21D756F6-8138-4CB1-B3F9-CCF363ACECAB}" id="{DBD050A3-41E2-4DFB-9345-7E49BC1717D7}">
    <text>https://www.xe.com/currencycharts/?from=USD&amp;to=NAD</text>
    <extLst>
      <x:ext xmlns:xltc2="http://schemas.microsoft.com/office/spreadsheetml/2020/threadedcomments2" uri="{F7C98A9C-CBB3-438F-8F68-D28B6AF4A901}">
        <xltc2:checksum>1761226439</xltc2:checksum>
        <xltc2:hyperlink startIndex="0" length="50" url="https://www.xe.com/currencycharts/?from=USD&amp;to=NAD"/>
      </x:ext>
    </extLst>
  </threadedComment>
  <threadedComment ref="C59" dT="2023-10-11T08:04:25.79" personId="{00000000-0000-0000-0000-000000000000}" id="{3BFF9DFD-A1BD-43EC-BC05-204598262690}">
    <text>Assumed</text>
  </threadedComment>
  <threadedComment ref="F68" dT="2023-10-11T08:21:07.09" personId="{00000000-0000-0000-0000-000000000000}" id="{9FF59125-4C83-42CB-8267-2A4AF3CE7101}">
    <text>https://ec.europa.eu/eurostat/statistics-explained/index.php?title=Natural_gas_price_statistics#Natural_gas_prices_for_non-household_consumers</text>
    <extLst>
      <x:ext xmlns:xltc2="http://schemas.microsoft.com/office/spreadsheetml/2020/threadedcomments2" uri="{F7C98A9C-CBB3-438F-8F68-D28B6AF4A901}">
        <xltc2:checksum>3013214461</xltc2:checksum>
        <xltc2:hyperlink startIndex="0" length="142" url="https://ec.europa.eu/eurostat/statistics-explained/index.php?title=Natural_gas_price_statistics#Natural_gas_prices_for_non-household_consumers"/>
      </x:ext>
    </extLst>
  </threadedComment>
  <threadedComment ref="C70" dT="2023-10-11T12:00:13.72" personId="{00000000-0000-0000-0000-000000000000}" id="{17662AD2-802C-4D6D-99EA-C9E9C01746C7}">
    <text>https://www.salaryexplorer.com/average-salary-wage-comparison-spain-chemical-plant-operator-c203j12174</text>
    <extLst>
      <x:ext xmlns:xltc2="http://schemas.microsoft.com/office/spreadsheetml/2020/threadedcomments2" uri="{F7C98A9C-CBB3-438F-8F68-D28B6AF4A901}">
        <xltc2:checksum>466723829</xltc2:checksum>
        <xltc2:hyperlink startIndex="0" length="102" url="https://www.salaryexplorer.com/average-salary-wage-comparison-spain-chemical-plant-operator-c203j12174"/>
      </x:ext>
    </extLst>
  </threadedComment>
  <threadedComment ref="B82" dT="2023-10-11T12:53:46.08" personId="{00000000-0000-0000-0000-000000000000}" id="{F036FF43-ECCD-4742-B3DC-44D1DA221062}">
    <text>https://www.power-technology.com/marketdata/ence-huelva-biomass-power-plant-spain/</text>
    <extLst>
      <x:ext xmlns:xltc2="http://schemas.microsoft.com/office/spreadsheetml/2020/threadedcomments2" uri="{F7C98A9C-CBB3-438F-8F68-D28B6AF4A901}">
        <xltc2:checksum>3695437788</xltc2:checksum>
        <xltc2:hyperlink startIndex="0" length="82" url="https://www.power-technology.com/marketdata/ence-huelva-biomass-power-plant-spain/"/>
      </x:ext>
    </extLs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A11" dT="2023-10-11T09:04:10.39" personId="{00000000-0000-0000-0000-000000000000}" id="{9F378293-B8DF-4E7A-B7C3-1DCB308A2D32}">
    <text>https://personalpages.manchester.ac.uk/staff/tom.rodgers/Interactive_graphs/CEPCI.html?reactors/CEPCI/index.html</text>
    <extLst>
      <x:ext xmlns:xltc2="http://schemas.microsoft.com/office/spreadsheetml/2020/threadedcomments2" uri="{F7C98A9C-CBB3-438F-8F68-D28B6AF4A901}">
        <xltc2:checksum>4091065134</xltc2:checksum>
        <xltc2:hyperlink startIndex="0" length="112" url="https://personalpages.manchester.ac.uk/staff/tom.rodgers/Interactive_graphs/CEPCI.html?reactors/CEPCI/index.html"/>
      </x:ext>
    </extLst>
  </threadedComment>
  <threadedComment ref="B42" dT="2023-10-11T09:59:59.09" personId="{00000000-0000-0000-0000-000000000000}" id="{FE22E8F8-C1B1-4A85-82C2-2958B72023E3}">
    <text>Price from PNNL Tews in 2023</text>
  </threadedComment>
  <threadedComment ref="B43" dT="2025-01-25T12:09:29.07" personId="{21D756F6-8138-4CB1-B3F9-CCF363ACECAB}" id="{ABDAEB81-D724-4100-A249-4BF76F5D8C3B}">
    <text>https://www.globaltrademag.com/june-2023-sees-a-slight-decrease-in-u-s-sodium-carbonate-exports-to-180m/</text>
    <extLst>
      <x:ext xmlns:xltc2="http://schemas.microsoft.com/office/spreadsheetml/2020/threadedcomments2" uri="{F7C98A9C-CBB3-438F-8F68-D28B6AF4A901}">
        <xltc2:checksum>4228886839</xltc2:checksum>
        <xltc2:hyperlink startIndex="0" length="104" url="https://www.globaltrademag.com/june-2023-sees-a-slight-decrease-in-u-s-sodium-carbonate-exports-to-180m/"/>
      </x:ext>
    </extLst>
  </threadedComment>
  <threadedComment ref="J61" dT="2024-11-22T10:35:11.72" personId="{21D756F6-8138-4CB1-B3F9-CCF363ACECAB}" id="{E3A3B050-97F1-4E78-9921-A4F3CB3F67A5}">
    <text>https://jet-a1-fuel.com/jp-54-price/namibia#:~:text=JP54%20price%20in%20Namibia%2083.7%24%20per%20bbl&amp;text=JET%2DA1%2DFUEL.com,per%20liter%20today%20in%20Namibia.</text>
    <extLst>
      <x:ext xmlns:xltc2="http://schemas.microsoft.com/office/spreadsheetml/2020/threadedcomments2" uri="{F7C98A9C-CBB3-438F-8F68-D28B6AF4A901}">
        <xltc2:checksum>667114368</xltc2:checksum>
        <xltc2:hyperlink startIndex="0" length="161" url="https://jet-a1-fuel.com/jp-54-price/namibia#:~:text=JP54%20price%20in%20Namibia%2083.7%24%20per%20bbl&amp;text=JET%2DA1%2DFUEL.com,per%20liter%20today%20in%20Namibia"/>
      </x:ext>
    </extLs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hyperlink" Target="https://toweringskills.com/financial-analysis/cost-indices/" TargetMode="External"/><Relationship Id="rId4" Type="http://schemas.microsoft.com/office/2017/10/relationships/threadedComment" Target="../threadedComments/threadedComment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docs.google.com/spreadsheets/d/1m0lR_lQfkmeN9bK33kXO5TYEvZGSXG9z7Usf_a0I6Xk/edit" TargetMode="External"/><Relationship Id="rId1" Type="http://schemas.openxmlformats.org/officeDocument/2006/relationships/hyperlink" Target="https://docs.google.com/spreadsheets/d/1m0lR_lQfkmeN9bK33kXO5TYEvZGSXG9z7Usf_a0I6Xk/edi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8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67"/>
  <sheetViews>
    <sheetView topLeftCell="A16" workbookViewId="0">
      <selection activeCell="B12" sqref="B12"/>
    </sheetView>
  </sheetViews>
  <sheetFormatPr defaultRowHeight="14.5" x14ac:dyDescent="0.35"/>
  <cols>
    <col min="1" max="1" width="29.54296875" customWidth="1"/>
    <col min="2" max="2" width="30.453125" customWidth="1"/>
    <col min="3" max="3" width="14.1796875" customWidth="1"/>
    <col min="5" max="5" width="33.453125" customWidth="1"/>
    <col min="6" max="6" width="20.1796875" customWidth="1"/>
    <col min="7" max="7" width="11.90625" customWidth="1"/>
  </cols>
  <sheetData>
    <row r="1" spans="1:12" x14ac:dyDescent="0.35">
      <c r="A1" t="s">
        <v>115</v>
      </c>
      <c r="F1" t="s">
        <v>179</v>
      </c>
    </row>
    <row r="2" spans="1:12" x14ac:dyDescent="0.35">
      <c r="K2" t="s">
        <v>181</v>
      </c>
    </row>
    <row r="3" spans="1:12" x14ac:dyDescent="0.35">
      <c r="A3" t="s">
        <v>0</v>
      </c>
      <c r="F3">
        <v>8000</v>
      </c>
      <c r="G3" t="s">
        <v>186</v>
      </c>
      <c r="K3" t="s">
        <v>182</v>
      </c>
      <c r="L3">
        <v>3.6519560609999999</v>
      </c>
    </row>
    <row r="4" spans="1:12" x14ac:dyDescent="0.35">
      <c r="F4">
        <v>750</v>
      </c>
      <c r="G4" t="s">
        <v>180</v>
      </c>
      <c r="K4" t="s">
        <v>183</v>
      </c>
      <c r="L4">
        <v>18.510310270000002</v>
      </c>
    </row>
    <row r="5" spans="1:12" x14ac:dyDescent="0.35">
      <c r="A5" t="s">
        <v>1</v>
      </c>
      <c r="B5">
        <v>3.79</v>
      </c>
      <c r="D5">
        <f>B5*100/103.78</f>
        <v>3.6519560608980535</v>
      </c>
      <c r="F5">
        <f>F4/24</f>
        <v>31.25</v>
      </c>
      <c r="G5" t="s">
        <v>187</v>
      </c>
      <c r="K5" t="s">
        <v>184</v>
      </c>
      <c r="L5">
        <v>73.973790710000003</v>
      </c>
    </row>
    <row r="6" spans="1:12" x14ac:dyDescent="0.35">
      <c r="A6" t="s">
        <v>2</v>
      </c>
      <c r="B6">
        <v>76.77</v>
      </c>
      <c r="D6">
        <f t="shared" ref="D6:D8" si="0">B6*100/103.78</f>
        <v>73.973790711119676</v>
      </c>
      <c r="F6">
        <f>F5*1000*(1-(B5/100)-(B8/100))</f>
        <v>28812.499999999996</v>
      </c>
      <c r="G6" t="s">
        <v>404</v>
      </c>
      <c r="K6" t="s">
        <v>185</v>
      </c>
      <c r="L6">
        <v>3.8639429559999998</v>
      </c>
    </row>
    <row r="7" spans="1:12" x14ac:dyDescent="0.35">
      <c r="A7" t="s">
        <v>3</v>
      </c>
      <c r="B7">
        <v>19.21</v>
      </c>
      <c r="D7">
        <f t="shared" si="0"/>
        <v>18.510310271728656</v>
      </c>
      <c r="F7">
        <f>F6/B22</f>
        <v>288124.99999999994</v>
      </c>
      <c r="G7" t="s">
        <v>188</v>
      </c>
    </row>
    <row r="8" spans="1:12" x14ac:dyDescent="0.35">
      <c r="A8" t="s">
        <v>4</v>
      </c>
      <c r="B8">
        <v>4.01</v>
      </c>
      <c r="C8">
        <f>SUM(B5:B8)</f>
        <v>103.78000000000002</v>
      </c>
      <c r="D8">
        <f t="shared" si="0"/>
        <v>3.8639429562536134</v>
      </c>
      <c r="E8">
        <f>SUM(D5:D8)</f>
        <v>100</v>
      </c>
      <c r="F8">
        <f>F5*1000*B5/100</f>
        <v>1184.375</v>
      </c>
      <c r="G8" t="s">
        <v>189</v>
      </c>
    </row>
    <row r="9" spans="1:12" x14ac:dyDescent="0.35">
      <c r="F9">
        <f>F7-F8</f>
        <v>286940.62499999994</v>
      </c>
      <c r="G9" t="s">
        <v>190</v>
      </c>
    </row>
    <row r="10" spans="1:12" x14ac:dyDescent="0.35">
      <c r="A10" t="s">
        <v>5</v>
      </c>
      <c r="F10">
        <f>F5*(1-(B5/100))</f>
        <v>30.065624999999997</v>
      </c>
      <c r="G10" t="s">
        <v>404</v>
      </c>
    </row>
    <row r="12" spans="1:12" x14ac:dyDescent="0.35">
      <c r="A12" t="s">
        <v>6</v>
      </c>
      <c r="B12">
        <v>41.47</v>
      </c>
    </row>
    <row r="13" spans="1:12" x14ac:dyDescent="0.35">
      <c r="A13" t="s">
        <v>7</v>
      </c>
      <c r="B13">
        <v>5.15</v>
      </c>
    </row>
    <row r="14" spans="1:12" x14ac:dyDescent="0.35">
      <c r="A14" t="s">
        <v>8</v>
      </c>
      <c r="B14">
        <v>1.23</v>
      </c>
      <c r="F14">
        <v>7.9000000000000001E-2</v>
      </c>
    </row>
    <row r="15" spans="1:12" x14ac:dyDescent="0.35">
      <c r="A15" t="s">
        <v>9</v>
      </c>
      <c r="B15">
        <v>0</v>
      </c>
      <c r="F15">
        <v>0.44400000000000001</v>
      </c>
    </row>
    <row r="16" spans="1:12" x14ac:dyDescent="0.35">
      <c r="A16" t="s">
        <v>10</v>
      </c>
      <c r="B16">
        <v>52.15</v>
      </c>
      <c r="C16">
        <f>SUM(B12:B16)</f>
        <v>100</v>
      </c>
      <c r="F16">
        <v>0.150363363</v>
      </c>
    </row>
    <row r="17" spans="1:9" x14ac:dyDescent="0.35">
      <c r="A17" t="s">
        <v>11</v>
      </c>
      <c r="F17">
        <v>1.7727730000000001E-3</v>
      </c>
    </row>
    <row r="18" spans="1:9" x14ac:dyDescent="0.35">
      <c r="A18" t="s">
        <v>12</v>
      </c>
      <c r="F18">
        <v>2.5785790000000001E-3</v>
      </c>
    </row>
    <row r="19" spans="1:9" x14ac:dyDescent="0.35">
      <c r="A19" t="s">
        <v>13</v>
      </c>
      <c r="B19">
        <v>17.266999999999999</v>
      </c>
      <c r="F19">
        <v>3.0620619999999999E-3</v>
      </c>
    </row>
    <row r="20" spans="1:9" x14ac:dyDescent="0.35">
      <c r="F20">
        <v>3.2232229999999999E-3</v>
      </c>
    </row>
    <row r="21" spans="1:9" x14ac:dyDescent="0.35">
      <c r="A21" t="s">
        <v>14</v>
      </c>
      <c r="F21">
        <v>9.5099999999999994E-3</v>
      </c>
    </row>
    <row r="22" spans="1:9" x14ac:dyDescent="0.35">
      <c r="A22" t="s">
        <v>15</v>
      </c>
      <c r="B22">
        <v>0.1</v>
      </c>
      <c r="E22" t="s">
        <v>116</v>
      </c>
      <c r="F22">
        <v>3.1699999999999999E-2</v>
      </c>
    </row>
    <row r="23" spans="1:9" x14ac:dyDescent="0.35">
      <c r="A23" t="s">
        <v>16</v>
      </c>
      <c r="B23">
        <v>300</v>
      </c>
      <c r="E23" t="s">
        <v>117</v>
      </c>
      <c r="F23">
        <v>3.4869999999999998E-2</v>
      </c>
    </row>
    <row r="24" spans="1:9" x14ac:dyDescent="0.35">
      <c r="A24" t="s">
        <v>17</v>
      </c>
      <c r="B24">
        <v>30</v>
      </c>
      <c r="F24">
        <v>1.268E-2</v>
      </c>
    </row>
    <row r="25" spans="1:9" x14ac:dyDescent="0.35">
      <c r="A25" t="s">
        <v>18</v>
      </c>
      <c r="B25" t="s">
        <v>118</v>
      </c>
      <c r="F25">
        <v>3.1700000000000001E-3</v>
      </c>
    </row>
    <row r="26" spans="1:9" x14ac:dyDescent="0.35">
      <c r="A26" s="1" t="s">
        <v>19</v>
      </c>
      <c r="F26">
        <v>9.5099999999999994E-3</v>
      </c>
      <c r="G26" t="s">
        <v>191</v>
      </c>
      <c r="H26">
        <v>31250</v>
      </c>
    </row>
    <row r="27" spans="1:9" x14ac:dyDescent="0.35">
      <c r="A27" s="2" t="s">
        <v>20</v>
      </c>
      <c r="B27">
        <v>31.7</v>
      </c>
      <c r="F27">
        <v>1.585E-2</v>
      </c>
      <c r="G27">
        <f>100*H27/$H$26</f>
        <v>32.925833538828478</v>
      </c>
      <c r="H27">
        <v>10289.322980883901</v>
      </c>
      <c r="I27">
        <f>0.036*H27</f>
        <v>370.4156273118204</v>
      </c>
    </row>
    <row r="28" spans="1:9" x14ac:dyDescent="0.35">
      <c r="A28" s="2" t="s">
        <v>21</v>
      </c>
      <c r="B28">
        <v>7.9</v>
      </c>
      <c r="D28">
        <f>B28/100</f>
        <v>7.9000000000000001E-2</v>
      </c>
      <c r="F28">
        <v>1.585E-2</v>
      </c>
      <c r="G28">
        <f t="shared" ref="G28:G30" si="1">100*H28/$H$26</f>
        <v>8.0339673244767358</v>
      </c>
      <c r="H28">
        <v>2510.6147888989799</v>
      </c>
    </row>
    <row r="29" spans="1:9" x14ac:dyDescent="0.35">
      <c r="A29" s="2" t="s">
        <v>22</v>
      </c>
      <c r="B29">
        <v>44.4</v>
      </c>
      <c r="D29">
        <f>B29/100</f>
        <v>0.44400000000000001</v>
      </c>
      <c r="F29">
        <v>1.585E-2</v>
      </c>
      <c r="G29">
        <f t="shared" si="1"/>
        <v>45.152930279337603</v>
      </c>
      <c r="H29">
        <v>14110.290712292999</v>
      </c>
    </row>
    <row r="30" spans="1:9" x14ac:dyDescent="0.35">
      <c r="A30" s="2" t="s">
        <v>23</v>
      </c>
      <c r="B30">
        <v>16.100000000000001</v>
      </c>
      <c r="C30">
        <f>SUM(B27:B30)</f>
        <v>100.1</v>
      </c>
      <c r="F30">
        <v>9.5099999999999994E-3</v>
      </c>
      <c r="G30">
        <f t="shared" si="1"/>
        <v>16.436270166146592</v>
      </c>
      <c r="H30">
        <v>5136.3344269208101</v>
      </c>
    </row>
    <row r="31" spans="1:9" x14ac:dyDescent="0.35">
      <c r="A31" s="2" t="s">
        <v>24</v>
      </c>
      <c r="B31">
        <v>29.8</v>
      </c>
      <c r="C31">
        <v>26.3</v>
      </c>
      <c r="F31">
        <v>6.3400000000000001E-3</v>
      </c>
    </row>
    <row r="32" spans="1:9" x14ac:dyDescent="0.35">
      <c r="A32" s="1" t="s">
        <v>25</v>
      </c>
      <c r="F32">
        <v>9.5099999999999994E-3</v>
      </c>
    </row>
    <row r="33" spans="1:6" x14ac:dyDescent="0.35">
      <c r="A33" s="7" t="s">
        <v>26</v>
      </c>
      <c r="B33">
        <v>93.3</v>
      </c>
      <c r="D33">
        <f>B33*$B$30/(10000*0.999)</f>
        <v>0.15036336336336337</v>
      </c>
      <c r="F33">
        <v>2.2190000000000001E-2</v>
      </c>
    </row>
    <row r="34" spans="1:6" x14ac:dyDescent="0.35">
      <c r="A34" s="7" t="s">
        <v>27</v>
      </c>
      <c r="B34">
        <v>0</v>
      </c>
      <c r="D34">
        <f t="shared" ref="D34:D38" si="2">B34*$B$30/(10000*0.999)</f>
        <v>0</v>
      </c>
      <c r="F34">
        <v>4.7549999999999997E-3</v>
      </c>
    </row>
    <row r="35" spans="1:6" x14ac:dyDescent="0.35">
      <c r="A35" s="7" t="s">
        <v>28</v>
      </c>
      <c r="B35">
        <v>1.1000000000000001</v>
      </c>
      <c r="D35">
        <f t="shared" si="2"/>
        <v>1.7727727727727732E-3</v>
      </c>
      <c r="F35">
        <v>4.7549999999999997E-3</v>
      </c>
    </row>
    <row r="36" spans="1:6" x14ac:dyDescent="0.35">
      <c r="A36" s="7" t="s">
        <v>119</v>
      </c>
      <c r="B36">
        <v>1.6</v>
      </c>
      <c r="D36">
        <f t="shared" si="2"/>
        <v>2.5785785785785789E-3</v>
      </c>
      <c r="F36">
        <v>2.2190000000000001E-2</v>
      </c>
    </row>
    <row r="37" spans="1:6" x14ac:dyDescent="0.35">
      <c r="A37" s="7" t="s">
        <v>120</v>
      </c>
      <c r="B37">
        <v>1.9</v>
      </c>
      <c r="D37">
        <f t="shared" si="2"/>
        <v>3.062062062062062E-3</v>
      </c>
      <c r="F37">
        <v>6.3400000000000001E-3</v>
      </c>
    </row>
    <row r="38" spans="1:6" x14ac:dyDescent="0.35">
      <c r="A38" s="7" t="s">
        <v>121</v>
      </c>
      <c r="B38">
        <v>2</v>
      </c>
      <c r="C38">
        <f>SUM(B33:B38)</f>
        <v>99.899999999999991</v>
      </c>
      <c r="D38">
        <f t="shared" si="2"/>
        <v>3.2232232232232236E-3</v>
      </c>
      <c r="F38">
        <v>9.5099999999999994E-3</v>
      </c>
    </row>
    <row r="39" spans="1:6" x14ac:dyDescent="0.35">
      <c r="A39" s="6"/>
      <c r="F39">
        <v>9.5099999999999994E-3</v>
      </c>
    </row>
    <row r="40" spans="1:6" x14ac:dyDescent="0.35">
      <c r="A40" s="8" t="s">
        <v>29</v>
      </c>
      <c r="F40">
        <v>6.3400000000000001E-3</v>
      </c>
    </row>
    <row r="41" spans="1:6" s="1" customFormat="1" x14ac:dyDescent="0.35">
      <c r="A41" s="5" t="s">
        <v>122</v>
      </c>
      <c r="B41" s="1">
        <v>13</v>
      </c>
      <c r="D41"/>
      <c r="F41" s="1">
        <v>3.1700000000000001E-3</v>
      </c>
    </row>
    <row r="42" spans="1:6" x14ac:dyDescent="0.35">
      <c r="A42" s="6" t="s">
        <v>134</v>
      </c>
      <c r="B42">
        <v>3</v>
      </c>
      <c r="D42">
        <f>B42*$B$27/(10000)</f>
        <v>9.5099999999999994E-3</v>
      </c>
      <c r="E42" t="s">
        <v>143</v>
      </c>
      <c r="F42">
        <v>1.268E-2</v>
      </c>
    </row>
    <row r="43" spans="1:6" x14ac:dyDescent="0.35">
      <c r="A43" s="6" t="s">
        <v>142</v>
      </c>
      <c r="B43">
        <v>10</v>
      </c>
      <c r="C43">
        <f>SUM(B42:B43)</f>
        <v>13</v>
      </c>
      <c r="D43">
        <f t="shared" ref="D43:D82" si="3">B43*$B$27/(10000)</f>
        <v>3.1699999999999999E-2</v>
      </c>
      <c r="E43" t="s">
        <v>144</v>
      </c>
      <c r="F43">
        <v>3.1700000000000001E-3</v>
      </c>
    </row>
    <row r="44" spans="1:6" s="1" customFormat="1" x14ac:dyDescent="0.35">
      <c r="A44" s="5" t="s">
        <v>123</v>
      </c>
      <c r="B44" s="1">
        <v>24</v>
      </c>
      <c r="D44"/>
      <c r="F44" s="1">
        <v>6.3400000000000001E-3</v>
      </c>
    </row>
    <row r="45" spans="1:6" x14ac:dyDescent="0.35">
      <c r="A45" s="6" t="s">
        <v>44</v>
      </c>
      <c r="B45">
        <v>11</v>
      </c>
      <c r="D45">
        <f t="shared" si="3"/>
        <v>3.4869999999999998E-2</v>
      </c>
      <c r="E45" t="s">
        <v>72</v>
      </c>
      <c r="F45">
        <v>3.1700000000000001E-3</v>
      </c>
    </row>
    <row r="46" spans="1:6" x14ac:dyDescent="0.35">
      <c r="A46" s="6" t="s">
        <v>45</v>
      </c>
      <c r="B46">
        <v>4</v>
      </c>
      <c r="D46">
        <f t="shared" si="3"/>
        <v>1.268E-2</v>
      </c>
      <c r="E46" t="s">
        <v>73</v>
      </c>
      <c r="F46">
        <v>1.585E-3</v>
      </c>
    </row>
    <row r="47" spans="1:6" x14ac:dyDescent="0.35">
      <c r="A47" s="6" t="s">
        <v>46</v>
      </c>
      <c r="B47">
        <v>1</v>
      </c>
      <c r="D47">
        <f t="shared" si="3"/>
        <v>3.1700000000000001E-3</v>
      </c>
      <c r="E47" t="s">
        <v>74</v>
      </c>
      <c r="F47">
        <v>1.585E-3</v>
      </c>
    </row>
    <row r="48" spans="1:6" x14ac:dyDescent="0.35">
      <c r="A48" s="6" t="s">
        <v>47</v>
      </c>
      <c r="B48">
        <v>3</v>
      </c>
      <c r="D48">
        <f t="shared" si="3"/>
        <v>9.5099999999999994E-3</v>
      </c>
      <c r="E48" t="s">
        <v>75</v>
      </c>
      <c r="F48">
        <v>3.1700000000000001E-3</v>
      </c>
    </row>
    <row r="49" spans="1:7" x14ac:dyDescent="0.35">
      <c r="A49" s="6" t="s">
        <v>48</v>
      </c>
      <c r="B49">
        <v>5</v>
      </c>
      <c r="C49">
        <f>SUM(B45:B49)</f>
        <v>24</v>
      </c>
      <c r="D49">
        <f t="shared" si="3"/>
        <v>1.585E-2</v>
      </c>
      <c r="E49" t="s">
        <v>76</v>
      </c>
      <c r="F49">
        <v>3.1700000000000001E-3</v>
      </c>
    </row>
    <row r="50" spans="1:7" s="1" customFormat="1" x14ac:dyDescent="0.35">
      <c r="A50" s="5" t="s">
        <v>124</v>
      </c>
      <c r="B50" s="1">
        <v>25</v>
      </c>
      <c r="D50"/>
      <c r="F50" s="1">
        <v>3.1700000000000001E-3</v>
      </c>
    </row>
    <row r="51" spans="1:7" x14ac:dyDescent="0.35">
      <c r="A51" s="6" t="s">
        <v>54</v>
      </c>
      <c r="B51">
        <v>5</v>
      </c>
      <c r="D51">
        <f t="shared" si="3"/>
        <v>1.585E-2</v>
      </c>
      <c r="E51" t="s">
        <v>82</v>
      </c>
      <c r="F51">
        <v>1.1095000000000001E-2</v>
      </c>
    </row>
    <row r="52" spans="1:7" x14ac:dyDescent="0.35">
      <c r="A52" s="6" t="s">
        <v>55</v>
      </c>
      <c r="B52">
        <v>5</v>
      </c>
      <c r="D52">
        <f t="shared" si="3"/>
        <v>1.585E-2</v>
      </c>
      <c r="E52" t="s">
        <v>141</v>
      </c>
      <c r="F52">
        <v>3.1700000000000001E-3</v>
      </c>
    </row>
    <row r="53" spans="1:7" x14ac:dyDescent="0.35">
      <c r="A53" s="6" t="s">
        <v>56</v>
      </c>
      <c r="B53">
        <v>3</v>
      </c>
      <c r="D53">
        <f t="shared" si="3"/>
        <v>9.5099999999999994E-3</v>
      </c>
      <c r="E53" t="s">
        <v>83</v>
      </c>
      <c r="F53">
        <v>1.585E-3</v>
      </c>
    </row>
    <row r="54" spans="1:7" x14ac:dyDescent="0.35">
      <c r="A54" s="6" t="s">
        <v>57</v>
      </c>
      <c r="B54">
        <v>2</v>
      </c>
      <c r="D54">
        <f t="shared" si="3"/>
        <v>6.3400000000000001E-3</v>
      </c>
      <c r="E54" t="s">
        <v>84</v>
      </c>
      <c r="F54">
        <f>SUM(F14:F53)</f>
        <v>1.0010000000000001</v>
      </c>
    </row>
    <row r="55" spans="1:7" ht="15" thickBot="1" x14ac:dyDescent="0.4">
      <c r="A55" s="3" t="s">
        <v>49</v>
      </c>
      <c r="B55">
        <v>3</v>
      </c>
      <c r="D55">
        <f t="shared" si="3"/>
        <v>9.5099999999999994E-3</v>
      </c>
      <c r="E55" t="s">
        <v>77</v>
      </c>
    </row>
    <row r="56" spans="1:7" ht="15" thickBot="1" x14ac:dyDescent="0.4">
      <c r="A56" s="3" t="s">
        <v>50</v>
      </c>
      <c r="B56">
        <v>7</v>
      </c>
      <c r="C56">
        <f>SUM(B51:B56)</f>
        <v>25</v>
      </c>
      <c r="D56">
        <f t="shared" si="3"/>
        <v>2.2190000000000001E-2</v>
      </c>
      <c r="E56" t="s">
        <v>78</v>
      </c>
    </row>
    <row r="57" spans="1:7" s="1" customFormat="1" x14ac:dyDescent="0.35">
      <c r="A57" s="5" t="s">
        <v>125</v>
      </c>
      <c r="B57" s="1">
        <v>3</v>
      </c>
      <c r="D57"/>
    </row>
    <row r="58" spans="1:7" x14ac:dyDescent="0.35">
      <c r="A58" s="9" t="s">
        <v>129</v>
      </c>
      <c r="B58">
        <v>1.5</v>
      </c>
      <c r="D58">
        <f t="shared" si="3"/>
        <v>4.7549999999999997E-3</v>
      </c>
      <c r="E58" t="s">
        <v>139</v>
      </c>
    </row>
    <row r="59" spans="1:7" x14ac:dyDescent="0.35">
      <c r="A59" s="9" t="s">
        <v>130</v>
      </c>
      <c r="B59">
        <v>1.5</v>
      </c>
      <c r="C59">
        <f>SUM(B58:B59)</f>
        <v>3</v>
      </c>
      <c r="D59">
        <f t="shared" si="3"/>
        <v>4.7549999999999997E-3</v>
      </c>
      <c r="E59" t="s">
        <v>140</v>
      </c>
    </row>
    <row r="60" spans="1:7" s="1" customFormat="1" x14ac:dyDescent="0.35">
      <c r="A60" s="5" t="s">
        <v>34</v>
      </c>
      <c r="B60" s="1">
        <v>15</v>
      </c>
      <c r="D60"/>
    </row>
    <row r="61" spans="1:7" ht="15" thickBot="1" x14ac:dyDescent="0.4">
      <c r="A61" s="3" t="s">
        <v>35</v>
      </c>
      <c r="B61">
        <v>7</v>
      </c>
      <c r="D61">
        <f t="shared" si="3"/>
        <v>2.2190000000000001E-2</v>
      </c>
      <c r="E61" t="s">
        <v>62</v>
      </c>
    </row>
    <row r="62" spans="1:7" ht="15" thickBot="1" x14ac:dyDescent="0.4">
      <c r="A62" s="3" t="s">
        <v>36</v>
      </c>
      <c r="B62">
        <v>2</v>
      </c>
      <c r="D62">
        <f t="shared" si="3"/>
        <v>6.3400000000000001E-3</v>
      </c>
      <c r="E62" t="s">
        <v>63</v>
      </c>
      <c r="G62" s="4"/>
    </row>
    <row r="63" spans="1:7" ht="15" thickBot="1" x14ac:dyDescent="0.4">
      <c r="A63" s="3" t="s">
        <v>37</v>
      </c>
      <c r="B63">
        <v>3</v>
      </c>
      <c r="D63">
        <f t="shared" si="3"/>
        <v>9.5099999999999994E-3</v>
      </c>
      <c r="E63" t="s">
        <v>64</v>
      </c>
    </row>
    <row r="64" spans="1:7" ht="15" thickBot="1" x14ac:dyDescent="0.4">
      <c r="A64" s="3" t="s">
        <v>38</v>
      </c>
      <c r="B64">
        <v>3</v>
      </c>
      <c r="C64">
        <f>SUM(B61:B64)</f>
        <v>15</v>
      </c>
      <c r="D64">
        <f t="shared" si="3"/>
        <v>9.5099999999999994E-3</v>
      </c>
      <c r="E64" t="s">
        <v>65</v>
      </c>
    </row>
    <row r="65" spans="1:5" s="1" customFormat="1" x14ac:dyDescent="0.35">
      <c r="A65" s="5" t="s">
        <v>39</v>
      </c>
      <c r="B65" s="1">
        <v>8</v>
      </c>
      <c r="D65"/>
    </row>
    <row r="66" spans="1:5" ht="15" thickBot="1" x14ac:dyDescent="0.4">
      <c r="A66" s="3" t="s">
        <v>40</v>
      </c>
      <c r="B66">
        <v>2</v>
      </c>
      <c r="D66">
        <f t="shared" si="3"/>
        <v>6.3400000000000001E-3</v>
      </c>
      <c r="E66" t="s">
        <v>66</v>
      </c>
    </row>
    <row r="67" spans="1:5" ht="15" thickBot="1" x14ac:dyDescent="0.4">
      <c r="A67" s="3" t="s">
        <v>41</v>
      </c>
      <c r="B67">
        <v>1</v>
      </c>
      <c r="D67">
        <f t="shared" si="3"/>
        <v>3.1700000000000001E-3</v>
      </c>
      <c r="E67" t="s">
        <v>67</v>
      </c>
    </row>
    <row r="68" spans="1:5" ht="15" thickBot="1" x14ac:dyDescent="0.4">
      <c r="A68" s="3" t="s">
        <v>42</v>
      </c>
      <c r="B68">
        <v>4</v>
      </c>
      <c r="D68">
        <f t="shared" si="3"/>
        <v>1.268E-2</v>
      </c>
      <c r="E68" t="s">
        <v>70</v>
      </c>
    </row>
    <row r="69" spans="1:5" ht="15" thickBot="1" x14ac:dyDescent="0.4">
      <c r="A69" s="3" t="s">
        <v>43</v>
      </c>
      <c r="B69">
        <v>1</v>
      </c>
      <c r="C69">
        <f>SUM(B66:B69)</f>
        <v>8</v>
      </c>
      <c r="D69">
        <f t="shared" si="3"/>
        <v>3.1700000000000001E-3</v>
      </c>
      <c r="E69" t="s">
        <v>69</v>
      </c>
    </row>
    <row r="70" spans="1:5" s="1" customFormat="1" x14ac:dyDescent="0.35">
      <c r="A70" s="5" t="s">
        <v>126</v>
      </c>
      <c r="B70" s="1">
        <v>4</v>
      </c>
      <c r="D70"/>
    </row>
    <row r="71" spans="1:5" x14ac:dyDescent="0.35">
      <c r="A71" s="6" t="s">
        <v>30</v>
      </c>
      <c r="B71">
        <v>2</v>
      </c>
      <c r="D71">
        <f t="shared" si="3"/>
        <v>6.3400000000000001E-3</v>
      </c>
      <c r="E71" t="s">
        <v>58</v>
      </c>
    </row>
    <row r="72" spans="1:5" x14ac:dyDescent="0.35">
      <c r="A72" s="6" t="s">
        <v>31</v>
      </c>
      <c r="B72">
        <v>1</v>
      </c>
      <c r="D72">
        <f t="shared" si="3"/>
        <v>3.1700000000000001E-3</v>
      </c>
      <c r="E72" t="s">
        <v>59</v>
      </c>
    </row>
    <row r="73" spans="1:5" x14ac:dyDescent="0.35">
      <c r="A73" s="6" t="s">
        <v>32</v>
      </c>
      <c r="B73">
        <v>0.5</v>
      </c>
      <c r="D73">
        <f t="shared" si="3"/>
        <v>1.585E-3</v>
      </c>
      <c r="E73" t="s">
        <v>60</v>
      </c>
    </row>
    <row r="74" spans="1:5" x14ac:dyDescent="0.35">
      <c r="A74" s="6" t="s">
        <v>33</v>
      </c>
      <c r="B74">
        <v>0.5</v>
      </c>
      <c r="C74">
        <f>SUM(B71:B74)</f>
        <v>4</v>
      </c>
      <c r="D74">
        <f t="shared" si="3"/>
        <v>1.585E-3</v>
      </c>
      <c r="E74" t="s">
        <v>61</v>
      </c>
    </row>
    <row r="75" spans="1:5" s="1" customFormat="1" x14ac:dyDescent="0.35">
      <c r="A75" s="5" t="s">
        <v>127</v>
      </c>
      <c r="B75" s="1">
        <v>3</v>
      </c>
      <c r="D75"/>
    </row>
    <row r="76" spans="1:5" x14ac:dyDescent="0.35">
      <c r="A76" s="6" t="s">
        <v>131</v>
      </c>
      <c r="B76">
        <v>1</v>
      </c>
      <c r="D76">
        <f t="shared" si="3"/>
        <v>3.1700000000000001E-3</v>
      </c>
      <c r="E76" t="s">
        <v>136</v>
      </c>
    </row>
    <row r="77" spans="1:5" x14ac:dyDescent="0.35">
      <c r="A77" s="6" t="s">
        <v>132</v>
      </c>
      <c r="B77">
        <v>1</v>
      </c>
      <c r="D77">
        <f t="shared" si="3"/>
        <v>3.1700000000000001E-3</v>
      </c>
      <c r="E77" t="s">
        <v>137</v>
      </c>
    </row>
    <row r="78" spans="1:5" x14ac:dyDescent="0.35">
      <c r="A78" s="6" t="s">
        <v>133</v>
      </c>
      <c r="B78">
        <v>1</v>
      </c>
      <c r="C78">
        <f>SUM(B76:B78)</f>
        <v>3</v>
      </c>
      <c r="D78">
        <f t="shared" si="3"/>
        <v>3.1700000000000001E-3</v>
      </c>
      <c r="E78" t="s">
        <v>138</v>
      </c>
    </row>
    <row r="79" spans="1:5" s="1" customFormat="1" x14ac:dyDescent="0.35">
      <c r="A79" s="5" t="s">
        <v>128</v>
      </c>
      <c r="B79" s="1">
        <v>5</v>
      </c>
      <c r="D79"/>
    </row>
    <row r="80" spans="1:5" x14ac:dyDescent="0.35">
      <c r="A80" s="6" t="s">
        <v>51</v>
      </c>
      <c r="B80">
        <v>3.5</v>
      </c>
      <c r="D80">
        <f t="shared" si="3"/>
        <v>1.1095000000000001E-2</v>
      </c>
      <c r="E80" t="s">
        <v>79</v>
      </c>
    </row>
    <row r="81" spans="1:8" x14ac:dyDescent="0.35">
      <c r="A81" s="6" t="s">
        <v>52</v>
      </c>
      <c r="B81">
        <v>1</v>
      </c>
      <c r="D81">
        <f t="shared" si="3"/>
        <v>3.1700000000000001E-3</v>
      </c>
      <c r="E81" t="s">
        <v>80</v>
      </c>
    </row>
    <row r="82" spans="1:8" x14ac:dyDescent="0.35">
      <c r="A82" s="6" t="s">
        <v>53</v>
      </c>
      <c r="B82">
        <v>0.5</v>
      </c>
      <c r="C82">
        <f>SUM(B80:B82)</f>
        <v>5</v>
      </c>
      <c r="D82">
        <f t="shared" si="3"/>
        <v>1.585E-3</v>
      </c>
      <c r="E82" t="s">
        <v>81</v>
      </c>
    </row>
    <row r="83" spans="1:8" x14ac:dyDescent="0.35">
      <c r="C83">
        <f>SUM(C43:C82)</f>
        <v>100</v>
      </c>
      <c r="D83">
        <f>SUM(D28:D82)</f>
        <v>1.0010000000000001</v>
      </c>
    </row>
    <row r="84" spans="1:8" x14ac:dyDescent="0.35">
      <c r="A84" s="6" t="s">
        <v>135</v>
      </c>
      <c r="D84" t="s">
        <v>157</v>
      </c>
      <c r="E84" t="s">
        <v>158</v>
      </c>
      <c r="F84" t="s">
        <v>159</v>
      </c>
      <c r="G84" t="s">
        <v>160</v>
      </c>
      <c r="H84" t="s">
        <v>161</v>
      </c>
    </row>
    <row r="85" spans="1:8" ht="15" thickBot="1" x14ac:dyDescent="0.4">
      <c r="A85" t="s">
        <v>143</v>
      </c>
      <c r="B85" s="6" t="s">
        <v>134</v>
      </c>
      <c r="C85" t="s">
        <v>146</v>
      </c>
      <c r="D85">
        <v>4</v>
      </c>
      <c r="E85" s="3" t="s">
        <v>169</v>
      </c>
      <c r="F85">
        <v>2</v>
      </c>
      <c r="G85" t="s">
        <v>162</v>
      </c>
    </row>
    <row r="86" spans="1:8" ht="15" thickBot="1" x14ac:dyDescent="0.4">
      <c r="A86" t="s">
        <v>144</v>
      </c>
      <c r="B86" s="6" t="s">
        <v>142</v>
      </c>
      <c r="C86" t="s">
        <v>145</v>
      </c>
      <c r="D86">
        <v>5</v>
      </c>
      <c r="E86" s="3" t="s">
        <v>168</v>
      </c>
      <c r="F86">
        <v>2</v>
      </c>
      <c r="G86" t="s">
        <v>162</v>
      </c>
    </row>
    <row r="87" spans="1:8" x14ac:dyDescent="0.35">
      <c r="A87" s="1"/>
      <c r="B87" s="5" t="s">
        <v>123</v>
      </c>
    </row>
    <row r="88" spans="1:8" x14ac:dyDescent="0.35">
      <c r="A88" t="s">
        <v>72</v>
      </c>
      <c r="B88" s="6" t="s">
        <v>44</v>
      </c>
      <c r="C88" t="s">
        <v>147</v>
      </c>
      <c r="D88">
        <v>0</v>
      </c>
    </row>
    <row r="89" spans="1:8" x14ac:dyDescent="0.35">
      <c r="A89" t="s">
        <v>73</v>
      </c>
      <c r="B89" s="6" t="s">
        <v>45</v>
      </c>
      <c r="C89" t="s">
        <v>148</v>
      </c>
      <c r="D89">
        <v>0</v>
      </c>
    </row>
    <row r="90" spans="1:8" x14ac:dyDescent="0.35">
      <c r="A90" t="s">
        <v>74</v>
      </c>
      <c r="B90" s="6" t="s">
        <v>46</v>
      </c>
      <c r="C90" t="s">
        <v>94</v>
      </c>
      <c r="D90">
        <v>1</v>
      </c>
      <c r="E90" t="s">
        <v>177</v>
      </c>
      <c r="G90" t="s">
        <v>106</v>
      </c>
    </row>
    <row r="91" spans="1:8" x14ac:dyDescent="0.35">
      <c r="A91" t="s">
        <v>75</v>
      </c>
      <c r="B91" s="6" t="s">
        <v>47</v>
      </c>
      <c r="C91" t="s">
        <v>95</v>
      </c>
      <c r="D91">
        <v>1</v>
      </c>
      <c r="E91" t="s">
        <v>105</v>
      </c>
      <c r="G91" t="s">
        <v>106</v>
      </c>
    </row>
    <row r="92" spans="1:8" x14ac:dyDescent="0.35">
      <c r="A92" t="s">
        <v>76</v>
      </c>
      <c r="B92" s="6" t="s">
        <v>48</v>
      </c>
      <c r="C92" t="s">
        <v>96</v>
      </c>
      <c r="D92">
        <v>0</v>
      </c>
    </row>
    <row r="93" spans="1:8" x14ac:dyDescent="0.35">
      <c r="A93" s="1"/>
      <c r="B93" s="5" t="s">
        <v>124</v>
      </c>
    </row>
    <row r="94" spans="1:8" x14ac:dyDescent="0.35">
      <c r="A94" t="s">
        <v>82</v>
      </c>
      <c r="B94" s="6" t="s">
        <v>54</v>
      </c>
      <c r="C94" t="s">
        <v>99</v>
      </c>
      <c r="D94">
        <v>1</v>
      </c>
      <c r="E94" t="s">
        <v>178</v>
      </c>
      <c r="G94" t="s">
        <v>107</v>
      </c>
    </row>
    <row r="95" spans="1:8" x14ac:dyDescent="0.35">
      <c r="A95" t="s">
        <v>141</v>
      </c>
      <c r="B95" s="6" t="s">
        <v>55</v>
      </c>
      <c r="C95" t="s">
        <v>95</v>
      </c>
      <c r="D95">
        <v>0</v>
      </c>
    </row>
    <row r="96" spans="1:8" x14ac:dyDescent="0.35">
      <c r="A96" t="s">
        <v>83</v>
      </c>
      <c r="B96" s="6" t="s">
        <v>56</v>
      </c>
      <c r="C96" t="s">
        <v>95</v>
      </c>
      <c r="D96">
        <v>0</v>
      </c>
    </row>
    <row r="97" spans="1:8" x14ac:dyDescent="0.35">
      <c r="A97" t="s">
        <v>84</v>
      </c>
      <c r="B97" s="6" t="s">
        <v>57</v>
      </c>
      <c r="C97" t="s">
        <v>95</v>
      </c>
      <c r="D97">
        <v>0</v>
      </c>
    </row>
    <row r="98" spans="1:8" ht="15" thickBot="1" x14ac:dyDescent="0.4">
      <c r="A98" t="s">
        <v>77</v>
      </c>
      <c r="B98" s="3" t="s">
        <v>49</v>
      </c>
      <c r="C98" t="s">
        <v>147</v>
      </c>
      <c r="D98">
        <v>4</v>
      </c>
      <c r="E98" t="s">
        <v>112</v>
      </c>
      <c r="F98">
        <v>1</v>
      </c>
      <c r="H98" t="s">
        <v>102</v>
      </c>
    </row>
    <row r="99" spans="1:8" ht="15" thickBot="1" x14ac:dyDescent="0.4">
      <c r="A99" t="s">
        <v>71</v>
      </c>
      <c r="B99" s="3" t="s">
        <v>50</v>
      </c>
      <c r="C99" t="s">
        <v>149</v>
      </c>
      <c r="D99">
        <v>4</v>
      </c>
      <c r="E99" t="s">
        <v>170</v>
      </c>
      <c r="F99">
        <v>2</v>
      </c>
      <c r="H99" t="s">
        <v>108</v>
      </c>
    </row>
    <row r="100" spans="1:8" x14ac:dyDescent="0.35">
      <c r="A100" s="1"/>
      <c r="B100" s="5" t="s">
        <v>125</v>
      </c>
    </row>
    <row r="101" spans="1:8" x14ac:dyDescent="0.35">
      <c r="A101" t="s">
        <v>139</v>
      </c>
      <c r="B101" s="9" t="s">
        <v>129</v>
      </c>
      <c r="C101" t="s">
        <v>151</v>
      </c>
      <c r="D101">
        <v>1</v>
      </c>
      <c r="E101" t="s">
        <v>171</v>
      </c>
      <c r="H101" t="s">
        <v>164</v>
      </c>
    </row>
    <row r="102" spans="1:8" x14ac:dyDescent="0.35">
      <c r="A102" t="s">
        <v>140</v>
      </c>
      <c r="B102" s="9" t="s">
        <v>130</v>
      </c>
      <c r="C102" t="s">
        <v>150</v>
      </c>
      <c r="D102">
        <v>2</v>
      </c>
      <c r="E102" t="s">
        <v>172</v>
      </c>
      <c r="F102">
        <v>1</v>
      </c>
      <c r="H102" t="s">
        <v>163</v>
      </c>
    </row>
    <row r="103" spans="1:8" x14ac:dyDescent="0.35">
      <c r="A103" s="1"/>
      <c r="B103" s="5" t="s">
        <v>34</v>
      </c>
    </row>
    <row r="104" spans="1:8" ht="15" thickBot="1" x14ac:dyDescent="0.4">
      <c r="A104" t="s">
        <v>62</v>
      </c>
      <c r="B104" s="3" t="s">
        <v>35</v>
      </c>
      <c r="C104" t="s">
        <v>89</v>
      </c>
      <c r="D104">
        <v>3</v>
      </c>
      <c r="E104" t="s">
        <v>111</v>
      </c>
      <c r="F104">
        <v>2</v>
      </c>
      <c r="H104" t="s">
        <v>101</v>
      </c>
    </row>
    <row r="105" spans="1:8" ht="15" thickBot="1" x14ac:dyDescent="0.4">
      <c r="A105" t="s">
        <v>63</v>
      </c>
      <c r="B105" s="3" t="s">
        <v>36</v>
      </c>
      <c r="C105" t="s">
        <v>90</v>
      </c>
      <c r="D105">
        <v>3</v>
      </c>
      <c r="E105" t="s">
        <v>31</v>
      </c>
      <c r="F105">
        <v>2</v>
      </c>
      <c r="H105" t="s">
        <v>86</v>
      </c>
    </row>
    <row r="106" spans="1:8" ht="15" thickBot="1" x14ac:dyDescent="0.4">
      <c r="A106" t="s">
        <v>64</v>
      </c>
      <c r="B106" s="3" t="s">
        <v>37</v>
      </c>
      <c r="C106" t="s">
        <v>91</v>
      </c>
      <c r="D106">
        <v>5</v>
      </c>
      <c r="E106" t="s">
        <v>31</v>
      </c>
      <c r="F106">
        <v>2</v>
      </c>
      <c r="H106" t="s">
        <v>86</v>
      </c>
    </row>
    <row r="107" spans="1:8" ht="15" thickBot="1" x14ac:dyDescent="0.4">
      <c r="A107" t="s">
        <v>65</v>
      </c>
      <c r="B107" s="3" t="s">
        <v>38</v>
      </c>
      <c r="C107" t="s">
        <v>152</v>
      </c>
      <c r="D107">
        <v>4</v>
      </c>
      <c r="E107" t="s">
        <v>31</v>
      </c>
      <c r="F107">
        <v>2</v>
      </c>
      <c r="H107" t="s">
        <v>86</v>
      </c>
    </row>
    <row r="108" spans="1:8" x14ac:dyDescent="0.35">
      <c r="A108" s="1"/>
      <c r="B108" s="5" t="s">
        <v>39</v>
      </c>
    </row>
    <row r="109" spans="1:8" ht="15" thickBot="1" x14ac:dyDescent="0.4">
      <c r="A109" t="s">
        <v>66</v>
      </c>
      <c r="B109" s="3" t="s">
        <v>40</v>
      </c>
      <c r="C109" t="s">
        <v>92</v>
      </c>
      <c r="D109">
        <v>3</v>
      </c>
      <c r="E109" t="s">
        <v>173</v>
      </c>
      <c r="F109">
        <v>1</v>
      </c>
      <c r="H109" t="s">
        <v>102</v>
      </c>
    </row>
    <row r="110" spans="1:8" ht="15" thickBot="1" x14ac:dyDescent="0.4">
      <c r="A110" t="s">
        <v>67</v>
      </c>
      <c r="B110" s="3" t="s">
        <v>41</v>
      </c>
      <c r="C110" t="s">
        <v>92</v>
      </c>
      <c r="D110">
        <v>3</v>
      </c>
      <c r="E110" t="s">
        <v>174</v>
      </c>
      <c r="F110">
        <v>1</v>
      </c>
      <c r="H110" t="s">
        <v>102</v>
      </c>
    </row>
    <row r="111" spans="1:8" ht="15" thickBot="1" x14ac:dyDescent="0.4">
      <c r="A111" t="s">
        <v>68</v>
      </c>
      <c r="B111" s="3" t="s">
        <v>42</v>
      </c>
      <c r="C111" t="s">
        <v>93</v>
      </c>
      <c r="D111">
        <v>3</v>
      </c>
      <c r="E111" t="s">
        <v>175</v>
      </c>
      <c r="F111">
        <v>1</v>
      </c>
      <c r="H111" t="s">
        <v>103</v>
      </c>
    </row>
    <row r="112" spans="1:8" ht="15" thickBot="1" x14ac:dyDescent="0.4">
      <c r="A112" t="s">
        <v>69</v>
      </c>
      <c r="B112" s="3" t="s">
        <v>43</v>
      </c>
      <c r="C112" t="s">
        <v>153</v>
      </c>
      <c r="D112">
        <v>3</v>
      </c>
      <c r="E112" t="s">
        <v>176</v>
      </c>
      <c r="F112">
        <v>1</v>
      </c>
      <c r="H112" t="s">
        <v>104</v>
      </c>
    </row>
    <row r="113" spans="1:8" x14ac:dyDescent="0.35">
      <c r="A113" s="1"/>
      <c r="B113" s="5" t="s">
        <v>126</v>
      </c>
    </row>
    <row r="114" spans="1:8" x14ac:dyDescent="0.35">
      <c r="A114" t="s">
        <v>58</v>
      </c>
      <c r="B114" s="6" t="s">
        <v>30</v>
      </c>
      <c r="C114" t="s">
        <v>85</v>
      </c>
      <c r="D114">
        <v>0</v>
      </c>
    </row>
    <row r="115" spans="1:8" x14ac:dyDescent="0.35">
      <c r="A115" t="s">
        <v>59</v>
      </c>
      <c r="B115" s="6" t="s">
        <v>31</v>
      </c>
      <c r="C115" t="s">
        <v>86</v>
      </c>
      <c r="D115">
        <v>0</v>
      </c>
    </row>
    <row r="116" spans="1:8" x14ac:dyDescent="0.35">
      <c r="A116" t="s">
        <v>60</v>
      </c>
      <c r="B116" s="6" t="s">
        <v>32</v>
      </c>
      <c r="C116" t="s">
        <v>87</v>
      </c>
      <c r="D116">
        <v>0</v>
      </c>
    </row>
    <row r="117" spans="1:8" x14ac:dyDescent="0.35">
      <c r="A117" t="s">
        <v>61</v>
      </c>
      <c r="B117" s="6" t="s">
        <v>33</v>
      </c>
      <c r="C117" t="s">
        <v>88</v>
      </c>
      <c r="D117">
        <v>1</v>
      </c>
      <c r="E117" t="s">
        <v>100</v>
      </c>
      <c r="H117" t="s">
        <v>86</v>
      </c>
    </row>
    <row r="118" spans="1:8" x14ac:dyDescent="0.35">
      <c r="A118" s="1"/>
      <c r="B118" s="5" t="s">
        <v>127</v>
      </c>
      <c r="E118" s="10"/>
    </row>
    <row r="119" spans="1:8" x14ac:dyDescent="0.35">
      <c r="A119" t="s">
        <v>136</v>
      </c>
      <c r="B119" s="6" t="s">
        <v>131</v>
      </c>
      <c r="C119" t="s">
        <v>154</v>
      </c>
      <c r="D119">
        <v>1</v>
      </c>
      <c r="E119" t="s">
        <v>165</v>
      </c>
      <c r="F119">
        <v>1</v>
      </c>
    </row>
    <row r="120" spans="1:8" x14ac:dyDescent="0.35">
      <c r="A120" t="s">
        <v>137</v>
      </c>
      <c r="B120" s="6" t="s">
        <v>132</v>
      </c>
      <c r="C120" t="s">
        <v>155</v>
      </c>
      <c r="D120">
        <v>1</v>
      </c>
      <c r="E120" t="s">
        <v>166</v>
      </c>
      <c r="F120">
        <v>1</v>
      </c>
    </row>
    <row r="121" spans="1:8" x14ac:dyDescent="0.35">
      <c r="A121" t="s">
        <v>138</v>
      </c>
      <c r="B121" s="6" t="s">
        <v>133</v>
      </c>
      <c r="C121" t="s">
        <v>156</v>
      </c>
      <c r="D121">
        <v>1</v>
      </c>
      <c r="E121" t="s">
        <v>167</v>
      </c>
      <c r="F121">
        <v>1</v>
      </c>
    </row>
    <row r="122" spans="1:8" x14ac:dyDescent="0.35">
      <c r="A122" s="1"/>
      <c r="B122" s="5" t="s">
        <v>128</v>
      </c>
      <c r="C122" s="4"/>
    </row>
    <row r="123" spans="1:8" x14ac:dyDescent="0.35">
      <c r="A123" t="s">
        <v>79</v>
      </c>
      <c r="B123" s="6" t="s">
        <v>51</v>
      </c>
      <c r="C123" t="s">
        <v>97</v>
      </c>
      <c r="D123">
        <v>5</v>
      </c>
      <c r="E123" t="s">
        <v>114</v>
      </c>
      <c r="F123">
        <v>1</v>
      </c>
      <c r="G123" t="s">
        <v>109</v>
      </c>
      <c r="H123" t="s">
        <v>110</v>
      </c>
    </row>
    <row r="124" spans="1:8" x14ac:dyDescent="0.35">
      <c r="A124" t="s">
        <v>80</v>
      </c>
      <c r="B124" s="6" t="s">
        <v>52</v>
      </c>
      <c r="C124" t="s">
        <v>97</v>
      </c>
      <c r="D124">
        <v>5</v>
      </c>
      <c r="E124" t="s">
        <v>114</v>
      </c>
      <c r="F124">
        <v>1</v>
      </c>
      <c r="G124" t="s">
        <v>109</v>
      </c>
      <c r="H124" t="s">
        <v>110</v>
      </c>
    </row>
    <row r="125" spans="1:8" x14ac:dyDescent="0.35">
      <c r="A125" t="s">
        <v>81</v>
      </c>
      <c r="B125" s="6" t="s">
        <v>53</v>
      </c>
      <c r="C125" t="s">
        <v>98</v>
      </c>
      <c r="D125">
        <v>5</v>
      </c>
      <c r="E125" t="s">
        <v>113</v>
      </c>
      <c r="F125">
        <v>1</v>
      </c>
      <c r="G125" t="s">
        <v>109</v>
      </c>
      <c r="H125" t="s">
        <v>102</v>
      </c>
    </row>
    <row r="127" spans="1:8" x14ac:dyDescent="0.35">
      <c r="B127" s="6" t="s">
        <v>411</v>
      </c>
      <c r="C127" t="s">
        <v>412</v>
      </c>
      <c r="D127" t="s">
        <v>413</v>
      </c>
      <c r="E127" t="s">
        <v>414</v>
      </c>
      <c r="F127" t="s">
        <v>415</v>
      </c>
    </row>
    <row r="128" spans="1:8" x14ac:dyDescent="0.35">
      <c r="B128" t="s">
        <v>143</v>
      </c>
      <c r="C128">
        <v>1</v>
      </c>
      <c r="D128">
        <v>4</v>
      </c>
      <c r="E128">
        <v>0.97864722430066498</v>
      </c>
      <c r="F128">
        <f>E128*D128</f>
        <v>3.9145888972026599</v>
      </c>
    </row>
    <row r="129" spans="2:6" x14ac:dyDescent="0.35">
      <c r="B129" t="s">
        <v>144</v>
      </c>
      <c r="C129">
        <v>1</v>
      </c>
      <c r="D129">
        <v>5</v>
      </c>
      <c r="E129">
        <v>2.9756768879464199</v>
      </c>
      <c r="F129">
        <f t="shared" ref="F129:F151" si="4">E129*D129</f>
        <v>14.8783844397321</v>
      </c>
    </row>
    <row r="130" spans="2:6" x14ac:dyDescent="0.35">
      <c r="B130" t="s">
        <v>74</v>
      </c>
      <c r="C130">
        <v>1</v>
      </c>
      <c r="D130">
        <v>1</v>
      </c>
      <c r="E130">
        <v>0.57970365831853599</v>
      </c>
      <c r="F130">
        <f t="shared" si="4"/>
        <v>0.57970365831853599</v>
      </c>
    </row>
    <row r="131" spans="2:6" x14ac:dyDescent="0.35">
      <c r="B131" t="s">
        <v>75</v>
      </c>
      <c r="C131">
        <v>1</v>
      </c>
      <c r="D131">
        <v>1</v>
      </c>
      <c r="E131">
        <v>2.1321097845360599</v>
      </c>
      <c r="F131">
        <f t="shared" si="4"/>
        <v>2.1321097845360599</v>
      </c>
    </row>
    <row r="132" spans="2:6" x14ac:dyDescent="0.35">
      <c r="B132" t="s">
        <v>82</v>
      </c>
      <c r="C132">
        <v>1</v>
      </c>
      <c r="D132">
        <v>1</v>
      </c>
      <c r="E132">
        <v>3.1478421279615998</v>
      </c>
      <c r="F132">
        <f t="shared" si="4"/>
        <v>3.1478421279615998</v>
      </c>
    </row>
    <row r="133" spans="2:6" x14ac:dyDescent="0.35">
      <c r="B133" t="s">
        <v>77</v>
      </c>
      <c r="C133">
        <v>1</v>
      </c>
      <c r="D133">
        <v>4</v>
      </c>
      <c r="E133">
        <v>2.8121487738906099</v>
      </c>
      <c r="F133">
        <f t="shared" si="4"/>
        <v>11.24859509556244</v>
      </c>
    </row>
    <row r="134" spans="2:6" x14ac:dyDescent="0.35">
      <c r="B134" t="s">
        <v>71</v>
      </c>
      <c r="C134">
        <v>1</v>
      </c>
      <c r="D134">
        <v>4</v>
      </c>
      <c r="E134">
        <v>4.0048347109745803</v>
      </c>
      <c r="F134">
        <f t="shared" si="4"/>
        <v>16.019338843898321</v>
      </c>
    </row>
    <row r="135" spans="2:6" x14ac:dyDescent="0.35">
      <c r="B135" t="s">
        <v>139</v>
      </c>
      <c r="C135">
        <v>1</v>
      </c>
      <c r="D135">
        <v>1</v>
      </c>
      <c r="E135">
        <v>1.7711361617760899</v>
      </c>
      <c r="F135">
        <f t="shared" si="4"/>
        <v>1.7711361617760899</v>
      </c>
    </row>
    <row r="136" spans="2:6" x14ac:dyDescent="0.35">
      <c r="B136" t="s">
        <v>140</v>
      </c>
      <c r="C136">
        <v>1</v>
      </c>
      <c r="D136">
        <v>2</v>
      </c>
      <c r="E136">
        <v>1.3689625299789201</v>
      </c>
      <c r="F136">
        <f t="shared" si="4"/>
        <v>2.7379250599578402</v>
      </c>
    </row>
    <row r="137" spans="2:6" x14ac:dyDescent="0.35">
      <c r="B137" t="s">
        <v>62</v>
      </c>
      <c r="C137">
        <v>1</v>
      </c>
      <c r="D137">
        <v>3</v>
      </c>
      <c r="E137">
        <v>2.4084201871184301</v>
      </c>
      <c r="F137">
        <f t="shared" si="4"/>
        <v>7.2252605613552898</v>
      </c>
    </row>
    <row r="138" spans="2:6" x14ac:dyDescent="0.35">
      <c r="B138" t="s">
        <v>63</v>
      </c>
      <c r="C138">
        <v>1</v>
      </c>
      <c r="D138">
        <v>3</v>
      </c>
      <c r="E138">
        <v>0.62026229318006898</v>
      </c>
      <c r="F138">
        <f t="shared" si="4"/>
        <v>1.8607868795402069</v>
      </c>
    </row>
    <row r="139" spans="2:6" x14ac:dyDescent="0.35">
      <c r="B139" t="s">
        <v>64</v>
      </c>
      <c r="C139">
        <v>1</v>
      </c>
      <c r="D139">
        <v>5</v>
      </c>
      <c r="E139">
        <v>0.94376876950754995</v>
      </c>
      <c r="F139">
        <f t="shared" si="4"/>
        <v>4.7188438475377499</v>
      </c>
    </row>
    <row r="140" spans="2:6" x14ac:dyDescent="0.35">
      <c r="B140" t="s">
        <v>65</v>
      </c>
      <c r="C140">
        <v>1</v>
      </c>
      <c r="D140">
        <v>4</v>
      </c>
      <c r="E140">
        <v>0.93703337673710696</v>
      </c>
      <c r="F140">
        <f t="shared" si="4"/>
        <v>3.7481335069484278</v>
      </c>
    </row>
    <row r="141" spans="2:6" x14ac:dyDescent="0.35">
      <c r="B141" t="s">
        <v>66</v>
      </c>
      <c r="C141">
        <v>1</v>
      </c>
      <c r="D141">
        <v>3</v>
      </c>
      <c r="E141">
        <v>1.8354084660086301</v>
      </c>
      <c r="F141">
        <f t="shared" si="4"/>
        <v>5.5062253980258902</v>
      </c>
    </row>
    <row r="142" spans="2:6" x14ac:dyDescent="0.35">
      <c r="B142" t="s">
        <v>67</v>
      </c>
      <c r="C142">
        <v>1</v>
      </c>
      <c r="D142">
        <v>3</v>
      </c>
      <c r="E142">
        <v>0.91743569658829704</v>
      </c>
      <c r="F142">
        <f t="shared" si="4"/>
        <v>2.7523070897648911</v>
      </c>
    </row>
    <row r="143" spans="2:6" x14ac:dyDescent="0.35">
      <c r="B143" t="s">
        <v>68</v>
      </c>
      <c r="C143">
        <v>1</v>
      </c>
      <c r="D143">
        <v>3</v>
      </c>
      <c r="E143">
        <v>3.2034870224566001</v>
      </c>
      <c r="F143">
        <f t="shared" si="4"/>
        <v>9.6104610673698012</v>
      </c>
    </row>
    <row r="144" spans="2:6" x14ac:dyDescent="0.35">
      <c r="B144" t="s">
        <v>69</v>
      </c>
      <c r="C144">
        <v>1</v>
      </c>
      <c r="D144">
        <v>3</v>
      </c>
      <c r="E144">
        <v>0.71044438493025397</v>
      </c>
      <c r="F144">
        <f t="shared" si="4"/>
        <v>2.1313331547907621</v>
      </c>
    </row>
    <row r="145" spans="1:6" x14ac:dyDescent="0.35">
      <c r="B145" t="s">
        <v>61</v>
      </c>
      <c r="C145">
        <v>1</v>
      </c>
      <c r="D145">
        <v>1</v>
      </c>
      <c r="E145">
        <v>0.17471795594956499</v>
      </c>
      <c r="F145">
        <f t="shared" si="4"/>
        <v>0.17471795594956499</v>
      </c>
    </row>
    <row r="146" spans="1:6" x14ac:dyDescent="0.35">
      <c r="B146" t="s">
        <v>136</v>
      </c>
      <c r="C146">
        <v>1</v>
      </c>
      <c r="D146">
        <v>1</v>
      </c>
      <c r="E146">
        <v>1.16588971475979</v>
      </c>
      <c r="F146">
        <f t="shared" si="4"/>
        <v>1.16588971475979</v>
      </c>
    </row>
    <row r="147" spans="1:6" x14ac:dyDescent="0.35">
      <c r="B147" t="s">
        <v>137</v>
      </c>
      <c r="C147">
        <v>1</v>
      </c>
      <c r="D147">
        <v>1</v>
      </c>
      <c r="E147">
        <v>0.841834083972967</v>
      </c>
      <c r="F147">
        <f t="shared" si="4"/>
        <v>0.841834083972967</v>
      </c>
    </row>
    <row r="148" spans="1:6" x14ac:dyDescent="0.35">
      <c r="B148" t="s">
        <v>138</v>
      </c>
      <c r="C148">
        <v>1</v>
      </c>
      <c r="D148">
        <v>1</v>
      </c>
      <c r="E148">
        <v>0.64959538876478196</v>
      </c>
      <c r="F148">
        <f t="shared" si="4"/>
        <v>0.64959538876478196</v>
      </c>
    </row>
    <row r="149" spans="1:6" x14ac:dyDescent="0.35">
      <c r="B149" t="s">
        <v>79</v>
      </c>
      <c r="C149">
        <v>1</v>
      </c>
      <c r="D149">
        <v>5</v>
      </c>
      <c r="E149">
        <v>3.2466289614840602</v>
      </c>
      <c r="F149">
        <f t="shared" si="4"/>
        <v>16.233144807420302</v>
      </c>
    </row>
    <row r="150" spans="1:6" x14ac:dyDescent="0.35">
      <c r="B150" t="s">
        <v>80</v>
      </c>
      <c r="C150">
        <v>1</v>
      </c>
      <c r="D150">
        <v>5</v>
      </c>
      <c r="E150">
        <v>0.92770223403965602</v>
      </c>
      <c r="F150">
        <f t="shared" si="4"/>
        <v>4.6385111701982797</v>
      </c>
    </row>
    <row r="151" spans="1:6" x14ac:dyDescent="0.35">
      <c r="B151" t="s">
        <v>81</v>
      </c>
      <c r="C151">
        <v>1</v>
      </c>
      <c r="D151">
        <v>5</v>
      </c>
      <c r="E151">
        <v>0.40423666146261</v>
      </c>
      <c r="F151">
        <f t="shared" si="4"/>
        <v>2.0211833073130498</v>
      </c>
    </row>
    <row r="152" spans="1:6" x14ac:dyDescent="0.35">
      <c r="F152">
        <f>SUM(F128:F151)</f>
        <v>119.70785200265742</v>
      </c>
    </row>
    <row r="153" spans="1:6" x14ac:dyDescent="0.35">
      <c r="F153">
        <f>F152*2</f>
        <v>239.41570400531484</v>
      </c>
    </row>
    <row r="157" spans="1:6" x14ac:dyDescent="0.35">
      <c r="A157" t="s">
        <v>416</v>
      </c>
    </row>
    <row r="158" spans="1:6" x14ac:dyDescent="0.35">
      <c r="A158" t="s">
        <v>426</v>
      </c>
      <c r="B158" t="s">
        <v>425</v>
      </c>
      <c r="C158" t="s">
        <v>422</v>
      </c>
      <c r="D158" t="s">
        <v>423</v>
      </c>
      <c r="E158" t="s">
        <v>424</v>
      </c>
    </row>
    <row r="159" spans="1:6" x14ac:dyDescent="0.35">
      <c r="A159" t="s">
        <v>375</v>
      </c>
      <c r="B159">
        <v>1</v>
      </c>
      <c r="C159">
        <v>0.5</v>
      </c>
    </row>
    <row r="160" spans="1:6" x14ac:dyDescent="0.35">
      <c r="A160" t="s">
        <v>417</v>
      </c>
      <c r="B160">
        <v>1</v>
      </c>
      <c r="C160">
        <v>15.5</v>
      </c>
      <c r="D160">
        <v>1.2977578625417101</v>
      </c>
      <c r="E160">
        <f>D160*C160</f>
        <v>20.115246869396508</v>
      </c>
    </row>
    <row r="161" spans="1:5" x14ac:dyDescent="0.35">
      <c r="A161" t="s">
        <v>418</v>
      </c>
      <c r="B161">
        <v>2</v>
      </c>
      <c r="C161">
        <v>7</v>
      </c>
      <c r="D161">
        <v>0.41012247820254599</v>
      </c>
      <c r="E161">
        <f t="shared" ref="E161:E165" si="5">D161*C161</f>
        <v>2.8708573474178221</v>
      </c>
    </row>
    <row r="162" spans="1:5" x14ac:dyDescent="0.35">
      <c r="A162" t="s">
        <v>419</v>
      </c>
      <c r="B162">
        <v>1</v>
      </c>
      <c r="C162">
        <v>5</v>
      </c>
      <c r="D162">
        <v>0.163135006128383</v>
      </c>
      <c r="E162">
        <f t="shared" si="5"/>
        <v>0.81567503064191493</v>
      </c>
    </row>
    <row r="163" spans="1:5" x14ac:dyDescent="0.35">
      <c r="A163" t="s">
        <v>420</v>
      </c>
      <c r="B163">
        <v>1</v>
      </c>
      <c r="C163">
        <v>6.5</v>
      </c>
      <c r="D163">
        <v>4.7136595902557997E-2</v>
      </c>
      <c r="E163">
        <f t="shared" si="5"/>
        <v>0.30638787336662698</v>
      </c>
    </row>
    <row r="164" spans="1:5" x14ac:dyDescent="0.35">
      <c r="A164" t="s">
        <v>162</v>
      </c>
      <c r="B164">
        <v>1</v>
      </c>
      <c r="C164">
        <v>2</v>
      </c>
      <c r="D164">
        <v>3.2288740547956198</v>
      </c>
      <c r="E164">
        <f t="shared" si="5"/>
        <v>6.4577481095912397</v>
      </c>
    </row>
    <row r="165" spans="1:5" x14ac:dyDescent="0.35">
      <c r="A165" t="s">
        <v>421</v>
      </c>
      <c r="B165">
        <v>1</v>
      </c>
      <c r="C165">
        <v>1</v>
      </c>
      <c r="D165">
        <v>192.692932131936</v>
      </c>
      <c r="E165">
        <f t="shared" si="5"/>
        <v>192.692932131936</v>
      </c>
    </row>
    <row r="166" spans="1:5" x14ac:dyDescent="0.35">
      <c r="E166">
        <f>SUM(E160:E165)</f>
        <v>223.25884736235011</v>
      </c>
    </row>
    <row r="167" spans="1:5" x14ac:dyDescent="0.35">
      <c r="E167">
        <f>E166/0.21</f>
        <v>1063.1373683921433</v>
      </c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81632-C401-45B4-AC00-11A118939EDC}">
  <dimension ref="A2:G59"/>
  <sheetViews>
    <sheetView topLeftCell="A48" workbookViewId="0">
      <selection activeCell="C42" sqref="C42"/>
    </sheetView>
  </sheetViews>
  <sheetFormatPr defaultRowHeight="14.5" x14ac:dyDescent="0.35"/>
  <cols>
    <col min="1" max="1" width="44" customWidth="1"/>
    <col min="2" max="2" width="22.26953125" customWidth="1"/>
    <col min="3" max="3" width="14.90625" customWidth="1"/>
    <col min="4" max="4" width="19.36328125" customWidth="1"/>
    <col min="5" max="5" width="16.81640625" customWidth="1"/>
  </cols>
  <sheetData>
    <row r="2" spans="1:7" x14ac:dyDescent="0.35">
      <c r="A2" s="173" t="s">
        <v>875</v>
      </c>
      <c r="B2" s="287" t="s">
        <v>876</v>
      </c>
      <c r="C2" s="288">
        <f>C3+C10+C11+C12</f>
        <v>242.9596282562315</v>
      </c>
    </row>
    <row r="3" spans="1:7" x14ac:dyDescent="0.35">
      <c r="A3" s="289" t="s">
        <v>877</v>
      </c>
      <c r="B3" s="287" t="s">
        <v>876</v>
      </c>
      <c r="C3" s="290">
        <f>C4+C9</f>
        <v>148.87232123543595</v>
      </c>
    </row>
    <row r="4" spans="1:7" x14ac:dyDescent="0.35">
      <c r="A4" s="291" t="s">
        <v>878</v>
      </c>
      <c r="B4" s="287" t="s">
        <v>876</v>
      </c>
      <c r="C4" s="292">
        <f>SUM(C5:C8)</f>
        <v>59.548928494174383</v>
      </c>
    </row>
    <row r="5" spans="1:7" x14ac:dyDescent="0.35">
      <c r="A5" s="293" t="s">
        <v>879</v>
      </c>
      <c r="B5" s="287" t="s">
        <v>876</v>
      </c>
      <c r="C5" s="294">
        <f>'Expenses variable'!C75*((('Refinery '!C5)/((8000/24)*('Expenses variable'!B75)))^'Expenses variable'!C13)</f>
        <v>3.4734532406568133</v>
      </c>
    </row>
    <row r="6" spans="1:7" x14ac:dyDescent="0.35">
      <c r="A6" s="293" t="s">
        <v>880</v>
      </c>
      <c r="B6" s="287" t="s">
        <v>876</v>
      </c>
      <c r="C6" s="294">
        <f>'Expenses variable'!C76*((Yields!C28*'Refinery '!B1/'Expenses variable'!B76)^0.75)</f>
        <v>52.129463685384707</v>
      </c>
    </row>
    <row r="7" spans="1:7" x14ac:dyDescent="0.35">
      <c r="A7" s="293" t="s">
        <v>881</v>
      </c>
      <c r="B7" s="287" t="s">
        <v>876</v>
      </c>
      <c r="C7" s="294">
        <v>0</v>
      </c>
    </row>
    <row r="8" spans="1:7" x14ac:dyDescent="0.35">
      <c r="A8" s="293" t="s">
        <v>882</v>
      </c>
      <c r="B8" s="287" t="s">
        <v>876</v>
      </c>
      <c r="C8" s="294">
        <f>'Expenses variable'!C82*((Yields!C33*('Refinery '!B1/24)/'Expenses variable'!B82)^0.7)</f>
        <v>3.946011568132862</v>
      </c>
    </row>
    <row r="9" spans="1:7" x14ac:dyDescent="0.35">
      <c r="A9" s="295" t="s">
        <v>883</v>
      </c>
      <c r="B9" s="287" t="s">
        <v>876</v>
      </c>
      <c r="C9" s="292">
        <f>C4*'Expenses variable'!C3</f>
        <v>89.323392741261571</v>
      </c>
    </row>
    <row r="10" spans="1:7" x14ac:dyDescent="0.35">
      <c r="A10" s="296" t="s">
        <v>884</v>
      </c>
      <c r="B10" s="287" t="s">
        <v>876</v>
      </c>
      <c r="C10" s="290">
        <f>C3*'Expenses variable'!C4</f>
        <v>50.616589220048226</v>
      </c>
    </row>
    <row r="11" spans="1:7" x14ac:dyDescent="0.35">
      <c r="A11" s="296" t="s">
        <v>572</v>
      </c>
      <c r="B11" s="287" t="s">
        <v>876</v>
      </c>
      <c r="C11" s="290">
        <f>C4*'Expenses variable'!C5</f>
        <v>13.696253553660108</v>
      </c>
    </row>
    <row r="12" spans="1:7" x14ac:dyDescent="0.35">
      <c r="A12" s="289" t="s">
        <v>885</v>
      </c>
      <c r="B12" s="287" t="s">
        <v>876</v>
      </c>
      <c r="C12" s="290">
        <f>C4*'Expenses variable'!C6</f>
        <v>29.774464247087192</v>
      </c>
      <c r="E12">
        <f>'Expenses variable'!C48</f>
        <v>68</v>
      </c>
      <c r="F12" t="s">
        <v>561</v>
      </c>
      <c r="G12" t="s">
        <v>923</v>
      </c>
    </row>
    <row r="13" spans="1:7" x14ac:dyDescent="0.35">
      <c r="A13" s="173" t="s">
        <v>574</v>
      </c>
      <c r="B13" s="287" t="s">
        <v>876</v>
      </c>
      <c r="C13" s="288">
        <f>C41*'Expenses variable'!C7</f>
        <v>8.5934211959160631</v>
      </c>
      <c r="E13">
        <v>2</v>
      </c>
      <c r="F13" t="s">
        <v>650</v>
      </c>
      <c r="G13" t="s">
        <v>157</v>
      </c>
    </row>
    <row r="14" spans="1:7" x14ac:dyDescent="0.35">
      <c r="A14" s="173" t="s">
        <v>886</v>
      </c>
      <c r="B14" s="287" t="s">
        <v>876</v>
      </c>
      <c r="C14" s="297">
        <f>'Expenses variable'!C8*C2</f>
        <v>24.29596282562315</v>
      </c>
      <c r="F14" s="183"/>
    </row>
    <row r="15" spans="1:7" x14ac:dyDescent="0.35">
      <c r="A15" s="298" t="s">
        <v>887</v>
      </c>
      <c r="B15" s="287" t="s">
        <v>876</v>
      </c>
      <c r="C15" s="299">
        <f>C2+C13+C14</f>
        <v>275.84901227777073</v>
      </c>
      <c r="F15" s="183"/>
    </row>
    <row r="16" spans="1:7" x14ac:dyDescent="0.35">
      <c r="A16" s="298" t="s">
        <v>888</v>
      </c>
      <c r="B16" s="287" t="s">
        <v>876</v>
      </c>
      <c r="C16" s="299">
        <f>C15*'Expenses variable'!C9</f>
        <v>331.01881473332486</v>
      </c>
      <c r="F16" s="159"/>
    </row>
    <row r="17" spans="1:6" x14ac:dyDescent="0.35">
      <c r="A17" s="298"/>
      <c r="B17" s="210"/>
      <c r="C17" s="300"/>
      <c r="F17" s="183"/>
    </row>
    <row r="18" spans="1:6" x14ac:dyDescent="0.35">
      <c r="A18" s="173" t="s">
        <v>889</v>
      </c>
      <c r="B18" s="210"/>
      <c r="C18" s="288">
        <f>C19+C28+C31</f>
        <v>56.72787842763853</v>
      </c>
      <c r="F18" s="183"/>
    </row>
    <row r="19" spans="1:6" x14ac:dyDescent="0.35">
      <c r="A19" s="289" t="s">
        <v>890</v>
      </c>
      <c r="B19" s="204" t="s">
        <v>891</v>
      </c>
      <c r="C19" s="290">
        <f>SUM(C20:C27)+B58</f>
        <v>26.276723036890751</v>
      </c>
      <c r="F19" s="183"/>
    </row>
    <row r="20" spans="1:6" x14ac:dyDescent="0.35">
      <c r="A20" s="293" t="s">
        <v>892</v>
      </c>
      <c r="B20" s="301" t="s">
        <v>891</v>
      </c>
      <c r="C20" s="294">
        <f>E12*'Refinery '!C5/1000000</f>
        <v>16.268104010401043</v>
      </c>
      <c r="F20" s="183"/>
    </row>
    <row r="21" spans="1:6" x14ac:dyDescent="0.35">
      <c r="A21" s="293" t="s">
        <v>893</v>
      </c>
      <c r="B21" s="301" t="s">
        <v>891</v>
      </c>
      <c r="C21" s="302">
        <f>E13*Yields!C32*'Refinery '!C4/1000000</f>
        <v>5.8057344E-3</v>
      </c>
      <c r="F21" s="183"/>
    </row>
    <row r="22" spans="1:6" x14ac:dyDescent="0.35">
      <c r="A22" s="293" t="s">
        <v>894</v>
      </c>
      <c r="B22" s="301" t="s">
        <v>891</v>
      </c>
      <c r="C22" s="294">
        <f>'Expenses variable'!C65*Yields!C23*'Refinery '!C4/1000000</f>
        <v>0.18123052833053049</v>
      </c>
      <c r="F22" s="183"/>
    </row>
    <row r="23" spans="1:6" x14ac:dyDescent="0.35">
      <c r="A23" s="293" t="s">
        <v>895</v>
      </c>
      <c r="B23" s="301" t="s">
        <v>891</v>
      </c>
      <c r="C23" s="294">
        <f>Yields!C22*'Refinery '!C4*'Expenses variable'!C64/1000000</f>
        <v>1.8121794477807283</v>
      </c>
    </row>
    <row r="24" spans="1:6" x14ac:dyDescent="0.35">
      <c r="A24" s="293" t="s">
        <v>896</v>
      </c>
      <c r="B24" s="301" t="s">
        <v>891</v>
      </c>
      <c r="C24" s="171">
        <f>'Expenses variable'!C66*'Refinery '!C4*Yields!C24/1000000</f>
        <v>1.353375</v>
      </c>
    </row>
    <row r="25" spans="1:6" ht="15" customHeight="1" x14ac:dyDescent="0.35">
      <c r="A25" s="293" t="s">
        <v>897</v>
      </c>
      <c r="B25" s="301" t="s">
        <v>891</v>
      </c>
      <c r="C25" s="171">
        <f>(('mass balances '!H113*8000/1000)*'Expenses variable'!C71/1000000)+('mass balances '!D6*0.05*(8000/1000)*Sheet4!B43/('Expenses variable'!H55*1000000))</f>
        <v>6.4567645837776242</v>
      </c>
      <c r="D25">
        <f>(('mass balances '!H113*8000/1000)*'Expenses variable'!C71/1000000)</f>
        <v>2.8512313817384811</v>
      </c>
    </row>
    <row r="26" spans="1:6" x14ac:dyDescent="0.35">
      <c r="A26" s="293" t="s">
        <v>898</v>
      </c>
      <c r="B26" s="301" t="s">
        <v>891</v>
      </c>
      <c r="C26" s="294">
        <f>'Expenses variable'!C68*'Refinery '!C4*Yields!C36/1000000</f>
        <v>0</v>
      </c>
    </row>
    <row r="27" spans="1:6" x14ac:dyDescent="0.35">
      <c r="A27" s="293" t="s">
        <v>899</v>
      </c>
      <c r="B27" s="301" t="s">
        <v>891</v>
      </c>
      <c r="C27" s="294">
        <f>'Expenses variable'!C67*'Refinery '!C4*Yields!C15/1000000</f>
        <v>0.19926373220082719</v>
      </c>
    </row>
    <row r="28" spans="1:6" x14ac:dyDescent="0.35">
      <c r="A28" s="289" t="s">
        <v>900</v>
      </c>
      <c r="B28" s="204" t="s">
        <v>891</v>
      </c>
      <c r="C28" s="303">
        <f t="shared" ref="C28" si="0">SUM(C29:C30)</f>
        <v>1.296</v>
      </c>
    </row>
    <row r="29" spans="1:6" x14ac:dyDescent="0.35">
      <c r="A29" s="293" t="s">
        <v>901</v>
      </c>
      <c r="B29" s="301" t="s">
        <v>891</v>
      </c>
      <c r="C29" s="171">
        <f>'Expenses variable'!C29*'Expenses variable'!C28*'Expenses variable'!C27*(8000/24)*'Expenses variable'!C70/1000000</f>
        <v>0.86399999999999999</v>
      </c>
    </row>
    <row r="30" spans="1:6" x14ac:dyDescent="0.35">
      <c r="A30" s="293" t="s">
        <v>902</v>
      </c>
      <c r="B30" s="301" t="s">
        <v>891</v>
      </c>
      <c r="C30" s="171">
        <f>C29*'Expenses variable'!C30</f>
        <v>0.432</v>
      </c>
    </row>
    <row r="31" spans="1:6" x14ac:dyDescent="0.35">
      <c r="A31" s="289" t="s">
        <v>599</v>
      </c>
      <c r="B31" s="204" t="s">
        <v>891</v>
      </c>
      <c r="C31" s="290">
        <f>'Expenses variable'!C32*'Expenses variable'!C9*C2</f>
        <v>29.15515539074778</v>
      </c>
    </row>
    <row r="32" spans="1:6" x14ac:dyDescent="0.35">
      <c r="A32" s="173" t="s">
        <v>601</v>
      </c>
      <c r="B32" s="152" t="s">
        <v>891</v>
      </c>
      <c r="C32" s="288">
        <f>'Expenses variable'!C33*C28</f>
        <v>0.90720000000000001</v>
      </c>
    </row>
    <row r="33" spans="1:4" x14ac:dyDescent="0.35">
      <c r="A33" s="173" t="s">
        <v>885</v>
      </c>
      <c r="B33" s="152" t="s">
        <v>891</v>
      </c>
      <c r="C33" s="288">
        <f>'Expenses variable'!C39*C18</f>
        <v>11.345575685527706</v>
      </c>
    </row>
    <row r="34" spans="1:4" x14ac:dyDescent="0.35">
      <c r="A34" s="173" t="s">
        <v>903</v>
      </c>
      <c r="B34" s="152" t="s">
        <v>891</v>
      </c>
      <c r="C34" s="288">
        <f t="shared" ref="C34" si="1">SUM(C35:C37)</f>
        <v>89.414265013977769</v>
      </c>
    </row>
    <row r="35" spans="1:4" x14ac:dyDescent="0.35">
      <c r="A35" s="289" t="s">
        <v>605</v>
      </c>
      <c r="B35" s="204" t="s">
        <v>891</v>
      </c>
      <c r="C35" s="290">
        <f>C2*'Expenses variable'!C35*'Expenses variable'!C9</f>
        <v>4.3732733086121671</v>
      </c>
    </row>
    <row r="36" spans="1:4" x14ac:dyDescent="0.35">
      <c r="A36" s="289" t="s">
        <v>608</v>
      </c>
      <c r="B36" s="204" t="s">
        <v>891</v>
      </c>
      <c r="C36" s="290">
        <f>'Expenses variable'!C37*C2*'Expenses variable'!C9</f>
        <v>2.9155155390747778</v>
      </c>
    </row>
    <row r="37" spans="1:4" x14ac:dyDescent="0.35">
      <c r="A37" s="289" t="s">
        <v>603</v>
      </c>
      <c r="B37" s="204" t="s">
        <v>891</v>
      </c>
      <c r="C37" s="290">
        <f>'Expenses variable'!C34*C16</f>
        <v>82.125476166290824</v>
      </c>
    </row>
    <row r="38" spans="1:4" x14ac:dyDescent="0.35">
      <c r="A38" s="173" t="s">
        <v>904</v>
      </c>
      <c r="B38" s="152" t="s">
        <v>891</v>
      </c>
      <c r="C38" s="288">
        <f>C41*'Expenses variable'!C38</f>
        <v>4.2967105979580316</v>
      </c>
    </row>
    <row r="39" spans="1:4" x14ac:dyDescent="0.35">
      <c r="A39" s="298" t="s">
        <v>905</v>
      </c>
      <c r="B39" s="304" t="s">
        <v>906</v>
      </c>
      <c r="C39" s="299">
        <f>SUM(C38+C34+C32+C18+C33)</f>
        <v>162.69162972510202</v>
      </c>
      <c r="D39">
        <f>(C39*1000000)/('mass balances '!D178*8000/1000)</f>
        <v>2361.4369395235722</v>
      </c>
    </row>
    <row r="40" spans="1:4" x14ac:dyDescent="0.35">
      <c r="A40" s="298"/>
      <c r="B40" s="210"/>
      <c r="C40" s="287"/>
    </row>
    <row r="41" spans="1:4" x14ac:dyDescent="0.35">
      <c r="A41" s="152" t="s">
        <v>907</v>
      </c>
      <c r="B41" s="152" t="s">
        <v>891</v>
      </c>
      <c r="C41" s="288">
        <f>SUM(C42:C44)+C50+C51</f>
        <v>42.967105979580317</v>
      </c>
    </row>
    <row r="42" spans="1:4" x14ac:dyDescent="0.35">
      <c r="A42" s="305" t="s">
        <v>908</v>
      </c>
      <c r="B42" s="301" t="s">
        <v>891</v>
      </c>
      <c r="C42" s="294">
        <f>'mass balances '!B190*(8000/1000)*'Expenses variable'!C50/1000000</f>
        <v>13.647091366654911</v>
      </c>
    </row>
    <row r="43" spans="1:4" x14ac:dyDescent="0.35">
      <c r="A43" s="306" t="s">
        <v>909</v>
      </c>
      <c r="B43" s="307" t="s">
        <v>910</v>
      </c>
      <c r="C43" s="294">
        <v>0</v>
      </c>
    </row>
    <row r="44" spans="1:4" x14ac:dyDescent="0.35">
      <c r="A44" s="305" t="s">
        <v>911</v>
      </c>
      <c r="B44" s="301" t="s">
        <v>891</v>
      </c>
      <c r="C44" s="171">
        <f>Yields!C19*'Refinery '!B1*'Expenses variable'!C52/1000000</f>
        <v>1.4491798130169084E-2</v>
      </c>
    </row>
    <row r="45" spans="1:4" x14ac:dyDescent="0.35">
      <c r="A45" s="152" t="s">
        <v>912</v>
      </c>
      <c r="B45" s="152" t="s">
        <v>891</v>
      </c>
      <c r="C45" s="288">
        <f>C41-C19</f>
        <v>16.690382942689567</v>
      </c>
    </row>
    <row r="46" spans="1:4" x14ac:dyDescent="0.35">
      <c r="A46" s="152" t="s">
        <v>913</v>
      </c>
      <c r="B46" s="152" t="s">
        <v>891</v>
      </c>
      <c r="C46" s="288">
        <f t="shared" ref="C46" si="2">C41-C39</f>
        <v>-119.72452374552171</v>
      </c>
    </row>
    <row r="47" spans="1:4" x14ac:dyDescent="0.35">
      <c r="A47" s="308" t="s">
        <v>914</v>
      </c>
      <c r="B47" s="308" t="s">
        <v>813</v>
      </c>
      <c r="C47" s="288">
        <f>(C39-C44-C50-C51)*1000000/((8000/24)*Yields!C8*'Refinery '!B1)</f>
        <v>1935.8627062866044</v>
      </c>
    </row>
    <row r="48" spans="1:4" x14ac:dyDescent="0.35">
      <c r="A48" s="152" t="s">
        <v>915</v>
      </c>
      <c r="C48">
        <f>C47/'Expenses variable'!C50</f>
        <v>2.4198283828582556</v>
      </c>
    </row>
    <row r="50" spans="1:5" x14ac:dyDescent="0.35">
      <c r="B50" t="s">
        <v>916</v>
      </c>
      <c r="C50">
        <f>'mass balances '!B188*(8000/1000)*Sheet4!J60/1000000</f>
        <v>14.681958531248592</v>
      </c>
    </row>
    <row r="51" spans="1:5" x14ac:dyDescent="0.35">
      <c r="B51" t="s">
        <v>917</v>
      </c>
      <c r="C51">
        <f>'mass balances '!B189*(8000/1000)*Sheet4!J61/1000000</f>
        <v>14.623564283546646</v>
      </c>
    </row>
    <row r="55" spans="1:5" x14ac:dyDescent="0.35">
      <c r="A55" t="s">
        <v>918</v>
      </c>
      <c r="B55">
        <v>0</v>
      </c>
      <c r="D55" t="s">
        <v>919</v>
      </c>
      <c r="E55">
        <v>0</v>
      </c>
    </row>
    <row r="56" spans="1:5" x14ac:dyDescent="0.35">
      <c r="A56" t="s">
        <v>920</v>
      </c>
      <c r="B56">
        <v>0</v>
      </c>
    </row>
    <row r="57" spans="1:5" x14ac:dyDescent="0.35">
      <c r="A57" t="s">
        <v>921</v>
      </c>
      <c r="B57">
        <v>0</v>
      </c>
    </row>
    <row r="58" spans="1:5" x14ac:dyDescent="0.35">
      <c r="A58" t="s">
        <v>922</v>
      </c>
      <c r="B58">
        <v>0</v>
      </c>
    </row>
    <row r="59" spans="1:5" x14ac:dyDescent="0.35">
      <c r="B59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A41003-46E1-4B4D-9A9D-66626D10AD43}">
  <dimension ref="A1:X113"/>
  <sheetViews>
    <sheetView topLeftCell="A50" workbookViewId="0">
      <selection activeCell="J61" sqref="J61"/>
    </sheetView>
  </sheetViews>
  <sheetFormatPr defaultColWidth="12.6328125" defaultRowHeight="14.5" x14ac:dyDescent="0.35"/>
  <cols>
    <col min="1" max="1" width="19.26953125" customWidth="1"/>
    <col min="2" max="2" width="7.26953125" customWidth="1"/>
    <col min="3" max="3" width="8.08984375" customWidth="1"/>
    <col min="4" max="4" width="11.26953125" customWidth="1"/>
    <col min="5" max="5" width="19.36328125" customWidth="1"/>
    <col min="6" max="6" width="4.90625" customWidth="1"/>
    <col min="7" max="7" width="7.36328125" customWidth="1"/>
    <col min="8" max="8" width="3.26953125" customWidth="1"/>
    <col min="9" max="9" width="13.6328125" customWidth="1"/>
    <col min="10" max="10" width="7.7265625" customWidth="1"/>
    <col min="11" max="11" width="6.453125" customWidth="1"/>
    <col min="12" max="12" width="3.36328125" customWidth="1"/>
    <col min="13" max="13" width="16.453125" customWidth="1"/>
    <col min="14" max="14" width="5.453125" customWidth="1"/>
    <col min="15" max="15" width="7" customWidth="1"/>
    <col min="16" max="16" width="3.453125" customWidth="1"/>
    <col min="17" max="17" width="23" customWidth="1"/>
    <col min="18" max="18" width="12.90625" customWidth="1"/>
    <col min="19" max="19" width="9.7265625" customWidth="1"/>
    <col min="20" max="20" width="7.08984375" customWidth="1"/>
    <col min="21" max="21" width="19.26953125" customWidth="1"/>
    <col min="22" max="22" width="7.08984375" customWidth="1"/>
    <col min="23" max="23" width="19.36328125" customWidth="1"/>
    <col min="24" max="24" width="7.08984375" customWidth="1"/>
  </cols>
  <sheetData>
    <row r="1" spans="1:24" ht="15.75" customHeight="1" x14ac:dyDescent="0.35">
      <c r="A1" s="315" t="s">
        <v>672</v>
      </c>
      <c r="B1" s="313"/>
      <c r="C1" s="313"/>
      <c r="D1" s="36"/>
      <c r="E1" s="315" t="s">
        <v>673</v>
      </c>
      <c r="F1" s="313"/>
      <c r="G1" s="313"/>
      <c r="H1" s="36"/>
      <c r="I1" s="315" t="s">
        <v>674</v>
      </c>
      <c r="J1" s="313"/>
      <c r="K1" s="313"/>
      <c r="L1" s="178"/>
      <c r="M1" s="315" t="s">
        <v>675</v>
      </c>
      <c r="N1" s="313"/>
      <c r="O1" s="313"/>
      <c r="P1" s="178"/>
      <c r="Q1" s="315" t="s">
        <v>676</v>
      </c>
      <c r="R1" s="313"/>
      <c r="S1" s="313"/>
      <c r="T1" s="178"/>
      <c r="U1" s="315" t="s">
        <v>677</v>
      </c>
      <c r="V1" s="313"/>
      <c r="W1" s="313"/>
      <c r="X1" s="178"/>
    </row>
    <row r="2" spans="1:24" ht="15.75" customHeight="1" x14ac:dyDescent="0.35">
      <c r="A2" s="173" t="s">
        <v>678</v>
      </c>
      <c r="B2" s="173" t="s">
        <v>679</v>
      </c>
      <c r="C2" s="173" t="s">
        <v>680</v>
      </c>
      <c r="D2" s="36"/>
      <c r="E2" s="173" t="s">
        <v>678</v>
      </c>
      <c r="F2" s="173" t="s">
        <v>679</v>
      </c>
      <c r="G2" s="173" t="s">
        <v>680</v>
      </c>
      <c r="H2" s="36"/>
      <c r="I2" s="173" t="s">
        <v>678</v>
      </c>
      <c r="J2" s="173" t="s">
        <v>679</v>
      </c>
      <c r="K2" s="173" t="s">
        <v>680</v>
      </c>
      <c r="L2" s="173"/>
      <c r="M2" s="173" t="s">
        <v>678</v>
      </c>
      <c r="N2" s="173" t="s">
        <v>679</v>
      </c>
      <c r="O2" s="173" t="s">
        <v>680</v>
      </c>
      <c r="P2" s="173"/>
      <c r="Q2" s="173" t="s">
        <v>678</v>
      </c>
      <c r="R2" s="232" t="s">
        <v>679</v>
      </c>
      <c r="S2" s="173" t="s">
        <v>680</v>
      </c>
      <c r="T2" s="173"/>
      <c r="U2" s="173" t="s">
        <v>678</v>
      </c>
      <c r="V2" s="232" t="s">
        <v>679</v>
      </c>
      <c r="W2" s="173" t="s">
        <v>680</v>
      </c>
      <c r="X2" s="173"/>
    </row>
    <row r="3" spans="1:24" ht="15.75" customHeight="1" x14ac:dyDescent="0.35">
      <c r="A3" s="233" t="s">
        <v>681</v>
      </c>
      <c r="B3" s="234"/>
      <c r="C3" s="235"/>
      <c r="D3" s="36"/>
      <c r="E3" s="236" t="s">
        <v>682</v>
      </c>
      <c r="F3" s="218"/>
      <c r="G3" s="218"/>
      <c r="H3" s="36"/>
      <c r="I3" s="314" t="s">
        <v>683</v>
      </c>
      <c r="J3" s="313"/>
      <c r="K3" s="313"/>
      <c r="L3" s="178"/>
      <c r="M3" s="314" t="s">
        <v>684</v>
      </c>
      <c r="N3" s="313"/>
      <c r="O3" s="313"/>
      <c r="P3" s="36"/>
      <c r="Q3" s="314" t="s">
        <v>685</v>
      </c>
      <c r="R3" s="313"/>
      <c r="S3" s="313"/>
      <c r="T3" s="36"/>
      <c r="U3" s="314" t="s">
        <v>686</v>
      </c>
      <c r="V3" s="313"/>
      <c r="W3" s="313"/>
      <c r="X3" s="36"/>
    </row>
    <row r="4" spans="1:24" ht="15.75" customHeight="1" x14ac:dyDescent="0.35">
      <c r="A4" s="237" t="s">
        <v>687</v>
      </c>
      <c r="B4" s="238">
        <f>3600</f>
        <v>3600</v>
      </c>
      <c r="C4" s="239" t="s">
        <v>688</v>
      </c>
      <c r="D4" s="36"/>
      <c r="E4" s="240" t="s">
        <v>689</v>
      </c>
      <c r="F4" s="241">
        <f>0.17*F21</f>
        <v>0.17340000000000003</v>
      </c>
      <c r="G4" s="242" t="s">
        <v>690</v>
      </c>
      <c r="H4" s="36"/>
      <c r="I4" s="240" t="s">
        <v>691</v>
      </c>
      <c r="J4" s="243">
        <v>45.8</v>
      </c>
      <c r="K4" s="242" t="s">
        <v>238</v>
      </c>
      <c r="L4" s="36"/>
      <c r="M4" s="240" t="s">
        <v>6</v>
      </c>
      <c r="N4" s="244">
        <v>12.01</v>
      </c>
      <c r="O4" s="242" t="s">
        <v>692</v>
      </c>
      <c r="P4" s="36"/>
      <c r="Q4" s="240" t="s">
        <v>373</v>
      </c>
      <c r="R4" s="245">
        <f>4.182/1000</f>
        <v>4.182E-3</v>
      </c>
      <c r="S4" s="242" t="s">
        <v>693</v>
      </c>
      <c r="T4" s="36"/>
      <c r="U4" s="240" t="s">
        <v>694</v>
      </c>
      <c r="V4" s="246">
        <v>25</v>
      </c>
      <c r="W4" s="242" t="s">
        <v>695</v>
      </c>
      <c r="X4" s="36"/>
    </row>
    <row r="5" spans="1:24" ht="15.75" customHeight="1" x14ac:dyDescent="0.35">
      <c r="A5" s="237" t="s">
        <v>631</v>
      </c>
      <c r="B5" s="36">
        <v>3.6</v>
      </c>
      <c r="C5" s="239" t="s">
        <v>632</v>
      </c>
      <c r="D5" s="36"/>
      <c r="E5" s="237" t="s">
        <v>696</v>
      </c>
      <c r="F5" s="159">
        <v>1.1160000000000001</v>
      </c>
      <c r="G5" s="239" t="s">
        <v>697</v>
      </c>
      <c r="H5" s="36"/>
      <c r="I5" s="237" t="s">
        <v>698</v>
      </c>
      <c r="J5" s="36">
        <v>43.3</v>
      </c>
      <c r="K5" s="239" t="s">
        <v>238</v>
      </c>
      <c r="L5" s="36"/>
      <c r="M5" s="237" t="s">
        <v>7</v>
      </c>
      <c r="N5" s="247">
        <v>1.01</v>
      </c>
      <c r="O5" s="239" t="s">
        <v>692</v>
      </c>
      <c r="P5" s="36"/>
      <c r="Q5" s="237" t="s">
        <v>377</v>
      </c>
      <c r="R5" s="248">
        <f>1.005/1000</f>
        <v>1.0049999999999998E-3</v>
      </c>
      <c r="S5" s="239" t="s">
        <v>693</v>
      </c>
      <c r="T5" s="36"/>
      <c r="U5" s="237" t="s">
        <v>699</v>
      </c>
      <c r="V5" s="219">
        <v>298</v>
      </c>
      <c r="W5" s="239" t="s">
        <v>700</v>
      </c>
      <c r="X5" s="36"/>
    </row>
    <row r="6" spans="1:24" ht="15.75" customHeight="1" x14ac:dyDescent="0.35">
      <c r="A6" s="249" t="s">
        <v>701</v>
      </c>
      <c r="B6" s="250">
        <v>1.1000000000000001</v>
      </c>
      <c r="C6" s="251" t="s">
        <v>702</v>
      </c>
      <c r="D6" s="36"/>
      <c r="E6" s="237" t="s">
        <v>703</v>
      </c>
      <c r="F6" s="172">
        <f>1.28*F10</f>
        <v>1.4080000000000001</v>
      </c>
      <c r="G6" s="239" t="s">
        <v>704</v>
      </c>
      <c r="H6" s="36"/>
      <c r="I6" s="237" t="s">
        <v>705</v>
      </c>
      <c r="J6" s="36">
        <v>45.3</v>
      </c>
      <c r="K6" s="239" t="s">
        <v>238</v>
      </c>
      <c r="L6" s="36"/>
      <c r="M6" s="237" t="s">
        <v>8</v>
      </c>
      <c r="N6" s="247">
        <v>14.01</v>
      </c>
      <c r="O6" s="239" t="s">
        <v>692</v>
      </c>
      <c r="P6" s="36"/>
      <c r="Q6" s="237" t="s">
        <v>706</v>
      </c>
      <c r="R6" s="248">
        <f>0.918/1000</f>
        <v>9.1800000000000009E-4</v>
      </c>
      <c r="S6" s="239" t="s">
        <v>693</v>
      </c>
      <c r="T6" s="36"/>
      <c r="U6" s="249" t="s">
        <v>707</v>
      </c>
      <c r="V6" s="252">
        <v>0</v>
      </c>
      <c r="W6" s="251" t="s">
        <v>708</v>
      </c>
      <c r="X6" s="36"/>
    </row>
    <row r="7" spans="1:24" ht="15.75" customHeight="1" x14ac:dyDescent="0.35">
      <c r="A7" s="236" t="s">
        <v>709</v>
      </c>
      <c r="B7" s="218"/>
      <c r="C7" s="218"/>
      <c r="D7" s="36"/>
      <c r="E7" s="237" t="s">
        <v>710</v>
      </c>
      <c r="F7" s="172">
        <f>1.2314*F10</f>
        <v>1.3545400000000001</v>
      </c>
      <c r="G7" s="239" t="s">
        <v>704</v>
      </c>
      <c r="H7" s="36"/>
      <c r="I7" s="237" t="s">
        <v>711</v>
      </c>
      <c r="J7" s="36">
        <v>40.4</v>
      </c>
      <c r="K7" s="239" t="s">
        <v>238</v>
      </c>
      <c r="L7" s="36"/>
      <c r="M7" s="237" t="s">
        <v>9</v>
      </c>
      <c r="N7" s="247">
        <v>32</v>
      </c>
      <c r="O7" s="239" t="s">
        <v>692</v>
      </c>
      <c r="P7" s="36"/>
      <c r="Q7" s="237" t="s">
        <v>157</v>
      </c>
      <c r="R7" s="248">
        <f>14.304/1000</f>
        <v>1.4304000000000001E-2</v>
      </c>
      <c r="S7" s="239" t="s">
        <v>693</v>
      </c>
      <c r="T7" s="36"/>
      <c r="U7" s="36"/>
      <c r="V7" s="36"/>
      <c r="W7" s="36"/>
      <c r="X7" s="36"/>
    </row>
    <row r="8" spans="1:24" ht="15.75" customHeight="1" x14ac:dyDescent="0.35">
      <c r="A8" s="240" t="s">
        <v>712</v>
      </c>
      <c r="B8" s="243">
        <v>2.5</v>
      </c>
      <c r="C8" s="242" t="s">
        <v>713</v>
      </c>
      <c r="D8" s="36"/>
      <c r="E8" s="237" t="s">
        <v>714</v>
      </c>
      <c r="F8" s="172">
        <f>1.116*F20</f>
        <v>1.2130920000000001</v>
      </c>
      <c r="G8" s="239" t="s">
        <v>704</v>
      </c>
      <c r="H8" s="36"/>
      <c r="I8" s="237" t="s">
        <v>715</v>
      </c>
      <c r="J8" s="36">
        <v>43</v>
      </c>
      <c r="K8" s="239" t="s">
        <v>238</v>
      </c>
      <c r="L8" s="36"/>
      <c r="M8" s="237" t="s">
        <v>10</v>
      </c>
      <c r="N8" s="247">
        <v>16</v>
      </c>
      <c r="O8" s="239" t="s">
        <v>692</v>
      </c>
      <c r="P8" s="36"/>
      <c r="Q8" s="237" t="s">
        <v>716</v>
      </c>
      <c r="R8" s="248">
        <f>3.985/1000</f>
        <v>3.9849999999999998E-3</v>
      </c>
      <c r="S8" s="239" t="s">
        <v>693</v>
      </c>
      <c r="T8" s="36"/>
      <c r="U8" s="314"/>
      <c r="V8" s="313"/>
      <c r="W8" s="313"/>
      <c r="X8" s="36"/>
    </row>
    <row r="9" spans="1:24" ht="15.75" customHeight="1" x14ac:dyDescent="0.35">
      <c r="A9" s="249" t="s">
        <v>717</v>
      </c>
      <c r="B9" s="253">
        <f>0.0025*J7</f>
        <v>0.10099999999999999</v>
      </c>
      <c r="C9" s="251" t="s">
        <v>713</v>
      </c>
      <c r="D9" s="36"/>
      <c r="E9" s="237" t="s">
        <v>718</v>
      </c>
      <c r="F9" s="172">
        <f>1.0046*F10</f>
        <v>1.1050599999999999</v>
      </c>
      <c r="G9" s="239" t="s">
        <v>704</v>
      </c>
      <c r="H9" s="36"/>
      <c r="I9" s="237" t="s">
        <v>719</v>
      </c>
      <c r="J9" s="36">
        <v>35</v>
      </c>
      <c r="K9" s="239" t="s">
        <v>238</v>
      </c>
      <c r="L9" s="36"/>
      <c r="M9" s="237"/>
      <c r="N9" s="36"/>
      <c r="O9" s="239"/>
      <c r="P9" s="36"/>
      <c r="Q9" s="237" t="s">
        <v>720</v>
      </c>
      <c r="R9" s="248">
        <f>0.83/1000</f>
        <v>8.3000000000000001E-4</v>
      </c>
      <c r="S9" s="239" t="s">
        <v>693</v>
      </c>
      <c r="T9" s="36"/>
      <c r="U9" s="240"/>
      <c r="V9" s="241"/>
      <c r="W9" s="242"/>
      <c r="X9" s="36"/>
    </row>
    <row r="10" spans="1:24" ht="15.75" customHeight="1" x14ac:dyDescent="0.35">
      <c r="A10" s="237"/>
      <c r="B10" s="36"/>
      <c r="C10" s="239"/>
      <c r="D10" s="36"/>
      <c r="E10" s="237" t="s">
        <v>721</v>
      </c>
      <c r="F10" s="172">
        <v>1.1000000000000001</v>
      </c>
      <c r="G10" s="239" t="s">
        <v>704</v>
      </c>
      <c r="H10" s="36"/>
      <c r="I10" s="237" t="s">
        <v>722</v>
      </c>
      <c r="J10" s="254">
        <v>35.6</v>
      </c>
      <c r="K10" s="239" t="s">
        <v>238</v>
      </c>
      <c r="L10" s="178"/>
      <c r="M10" s="237" t="s">
        <v>250</v>
      </c>
      <c r="N10" s="36">
        <f>N4+N8</f>
        <v>28.009999999999998</v>
      </c>
      <c r="O10" s="239" t="s">
        <v>692</v>
      </c>
      <c r="P10" s="36"/>
      <c r="Q10" s="255" t="s">
        <v>723</v>
      </c>
      <c r="R10" s="256">
        <v>8.4400000000000002E-4</v>
      </c>
      <c r="S10" s="239" t="s">
        <v>693</v>
      </c>
      <c r="T10" s="36"/>
      <c r="U10" s="237"/>
      <c r="V10" s="172"/>
      <c r="W10" s="239"/>
      <c r="X10" s="36"/>
    </row>
    <row r="11" spans="1:24" ht="15.75" customHeight="1" x14ac:dyDescent="0.35">
      <c r="A11" s="236" t="s">
        <v>724</v>
      </c>
      <c r="B11" s="236"/>
      <c r="C11" s="236"/>
      <c r="D11" s="36"/>
      <c r="E11" s="237" t="s">
        <v>725</v>
      </c>
      <c r="F11" s="172">
        <f>1*0.9986*F10</f>
        <v>1.0984600000000002</v>
      </c>
      <c r="G11" s="239" t="s">
        <v>704</v>
      </c>
      <c r="H11" s="36"/>
      <c r="I11" s="255" t="s">
        <v>726</v>
      </c>
      <c r="J11" s="197">
        <f>J8*1.003</f>
        <v>43.128999999999998</v>
      </c>
      <c r="K11" s="257" t="s">
        <v>238</v>
      </c>
      <c r="L11" s="36"/>
      <c r="M11" s="237" t="s">
        <v>26</v>
      </c>
      <c r="N11" s="36">
        <f>N4+N8*2</f>
        <v>44.01</v>
      </c>
      <c r="O11" s="239" t="s">
        <v>692</v>
      </c>
      <c r="P11" s="36"/>
      <c r="Q11" s="255" t="s">
        <v>727</v>
      </c>
      <c r="R11" s="256">
        <v>3.0000000000000001E-3</v>
      </c>
      <c r="S11" s="239" t="s">
        <v>693</v>
      </c>
      <c r="T11" s="36"/>
      <c r="U11" s="237"/>
      <c r="V11" s="172"/>
      <c r="W11" s="239"/>
      <c r="X11" s="36"/>
    </row>
    <row r="12" spans="1:24" ht="15.75" customHeight="1" x14ac:dyDescent="0.35">
      <c r="A12" s="258">
        <v>2000</v>
      </c>
      <c r="B12" s="243">
        <v>394.1</v>
      </c>
      <c r="C12" s="242" t="s">
        <v>728</v>
      </c>
      <c r="D12" s="36"/>
      <c r="E12" s="237" t="s">
        <v>729</v>
      </c>
      <c r="F12" s="172">
        <v>1.5</v>
      </c>
      <c r="G12" s="239" t="s">
        <v>730</v>
      </c>
      <c r="H12" s="36"/>
      <c r="I12" s="237" t="s">
        <v>731</v>
      </c>
      <c r="J12" s="36">
        <v>9.5</v>
      </c>
      <c r="K12" s="239" t="s">
        <v>238</v>
      </c>
      <c r="L12" s="36"/>
      <c r="M12" s="237" t="s">
        <v>28</v>
      </c>
      <c r="N12" s="36">
        <f>N4+N5*4</f>
        <v>16.05</v>
      </c>
      <c r="O12" s="239" t="s">
        <v>692</v>
      </c>
      <c r="P12" s="36"/>
      <c r="Q12" s="255" t="s">
        <v>732</v>
      </c>
      <c r="R12" s="256">
        <v>1E-3</v>
      </c>
      <c r="S12" s="239" t="s">
        <v>693</v>
      </c>
      <c r="T12" s="36"/>
      <c r="U12" s="237"/>
      <c r="V12" s="172"/>
      <c r="W12" s="239"/>
      <c r="X12" s="36"/>
    </row>
    <row r="13" spans="1:24" ht="15.75" customHeight="1" x14ac:dyDescent="0.35">
      <c r="A13" s="259">
        <v>2001</v>
      </c>
      <c r="B13" s="36">
        <v>394.3</v>
      </c>
      <c r="C13" s="239" t="s">
        <v>728</v>
      </c>
      <c r="D13" s="36"/>
      <c r="E13" s="237" t="s">
        <v>733</v>
      </c>
      <c r="F13" s="172">
        <v>0.125</v>
      </c>
      <c r="G13" s="239" t="s">
        <v>734</v>
      </c>
      <c r="H13" s="36"/>
      <c r="I13" s="237" t="s">
        <v>735</v>
      </c>
      <c r="J13" s="36">
        <v>40</v>
      </c>
      <c r="K13" s="239" t="s">
        <v>238</v>
      </c>
      <c r="L13" s="36"/>
      <c r="M13" s="237" t="s">
        <v>27</v>
      </c>
      <c r="N13" s="36">
        <f>N5*2</f>
        <v>2.02</v>
      </c>
      <c r="O13" s="239" t="s">
        <v>692</v>
      </c>
      <c r="P13" s="36"/>
      <c r="Q13" s="120" t="s">
        <v>736</v>
      </c>
      <c r="R13" s="260">
        <v>1.5E-3</v>
      </c>
      <c r="S13" s="251" t="s">
        <v>693</v>
      </c>
      <c r="T13" s="36"/>
      <c r="U13" s="249"/>
      <c r="V13" s="253"/>
      <c r="W13" s="251"/>
      <c r="X13" s="36"/>
    </row>
    <row r="14" spans="1:24" ht="15.75" customHeight="1" x14ac:dyDescent="0.35">
      <c r="A14" s="259">
        <v>2002</v>
      </c>
      <c r="B14" s="36">
        <v>395.6</v>
      </c>
      <c r="C14" s="239" t="s">
        <v>728</v>
      </c>
      <c r="D14" s="36"/>
      <c r="E14" s="237" t="s">
        <v>737</v>
      </c>
      <c r="F14" s="172">
        <f>0.125*F23</f>
        <v>0.124</v>
      </c>
      <c r="G14" s="239" t="s">
        <v>734</v>
      </c>
      <c r="H14" s="36"/>
      <c r="I14" s="237" t="s">
        <v>738</v>
      </c>
      <c r="J14" s="36">
        <v>48</v>
      </c>
      <c r="K14" s="239" t="s">
        <v>238</v>
      </c>
      <c r="L14" s="36"/>
      <c r="M14" s="237" t="s">
        <v>273</v>
      </c>
      <c r="N14" s="36">
        <f>N5*2+N8</f>
        <v>18.02</v>
      </c>
      <c r="O14" s="239" t="s">
        <v>692</v>
      </c>
      <c r="P14" s="36"/>
      <c r="Q14" s="183"/>
      <c r="R14" s="183"/>
      <c r="S14" s="36"/>
      <c r="T14" s="36"/>
      <c r="U14" s="36"/>
      <c r="V14" s="172"/>
      <c r="W14" s="36"/>
      <c r="X14" s="36"/>
    </row>
    <row r="15" spans="1:24" ht="15.75" customHeight="1" x14ac:dyDescent="0.35">
      <c r="A15" s="259">
        <v>2003</v>
      </c>
      <c r="B15" s="36">
        <v>402</v>
      </c>
      <c r="C15" s="239" t="s">
        <v>728</v>
      </c>
      <c r="D15" s="36"/>
      <c r="E15" s="237" t="s">
        <v>739</v>
      </c>
      <c r="F15" s="172">
        <f>0.1297*F18</f>
        <v>0.16705360000000002</v>
      </c>
      <c r="G15" s="239" t="s">
        <v>740</v>
      </c>
      <c r="H15" s="36"/>
      <c r="I15" s="237" t="s">
        <v>392</v>
      </c>
      <c r="J15" s="36">
        <v>50</v>
      </c>
      <c r="K15" s="239" t="s">
        <v>238</v>
      </c>
      <c r="L15" s="36"/>
      <c r="M15" s="237" t="s">
        <v>741</v>
      </c>
      <c r="N15" s="36">
        <f>N5*2+N7</f>
        <v>34.020000000000003</v>
      </c>
      <c r="O15" s="239" t="s">
        <v>692</v>
      </c>
      <c r="P15" s="36"/>
      <c r="Q15" s="183"/>
      <c r="R15" s="183"/>
      <c r="S15" s="36"/>
      <c r="T15" s="36"/>
      <c r="U15" s="36"/>
      <c r="V15" s="219"/>
      <c r="W15" s="36"/>
      <c r="X15" s="36"/>
    </row>
    <row r="16" spans="1:24" ht="15.75" customHeight="1" x14ac:dyDescent="0.35">
      <c r="A16" s="259">
        <v>2004</v>
      </c>
      <c r="B16" s="36">
        <v>444.2</v>
      </c>
      <c r="C16" s="239" t="s">
        <v>728</v>
      </c>
      <c r="D16" s="36"/>
      <c r="E16" s="237" t="s">
        <v>742</v>
      </c>
      <c r="F16" s="172">
        <f>0.128*F22</f>
        <v>0.12815360000000001</v>
      </c>
      <c r="G16" s="239" t="s">
        <v>740</v>
      </c>
      <c r="H16" s="36"/>
      <c r="I16" s="237" t="s">
        <v>743</v>
      </c>
      <c r="J16" s="36">
        <v>21</v>
      </c>
      <c r="K16" s="239" t="s">
        <v>238</v>
      </c>
      <c r="L16" s="36"/>
      <c r="M16" s="237" t="s">
        <v>109</v>
      </c>
      <c r="N16" s="36">
        <f>N6+N5*3</f>
        <v>17.04</v>
      </c>
      <c r="O16" s="239" t="s">
        <v>692</v>
      </c>
      <c r="P16" s="36"/>
      <c r="Q16" s="36"/>
      <c r="R16" s="36"/>
      <c r="S16" s="36"/>
      <c r="T16" s="36"/>
      <c r="U16" s="36"/>
      <c r="V16" s="36"/>
      <c r="W16" s="36"/>
      <c r="X16" s="36"/>
    </row>
    <row r="17" spans="1:24" ht="15.75" customHeight="1" x14ac:dyDescent="0.35">
      <c r="A17" s="259">
        <v>2005</v>
      </c>
      <c r="B17" s="36">
        <v>468.2</v>
      </c>
      <c r="C17" s="239" t="s">
        <v>728</v>
      </c>
      <c r="D17" s="36"/>
      <c r="E17" s="237" t="s">
        <v>744</v>
      </c>
      <c r="F17" s="172">
        <f>0.115</f>
        <v>0.115</v>
      </c>
      <c r="G17" s="239" t="s">
        <v>740</v>
      </c>
      <c r="H17" s="36"/>
      <c r="I17" s="249" t="s">
        <v>745</v>
      </c>
      <c r="J17" s="250">
        <v>37.26</v>
      </c>
      <c r="K17" s="251" t="s">
        <v>746</v>
      </c>
      <c r="L17" s="178"/>
      <c r="M17" s="237" t="s">
        <v>747</v>
      </c>
      <c r="N17" s="36">
        <f>N8*2</f>
        <v>32</v>
      </c>
      <c r="O17" s="239" t="s">
        <v>692</v>
      </c>
      <c r="P17" s="36"/>
      <c r="Q17" s="314" t="s">
        <v>748</v>
      </c>
      <c r="R17" s="313"/>
      <c r="S17" s="313"/>
      <c r="T17" s="36"/>
      <c r="U17" s="36"/>
      <c r="V17" s="219"/>
      <c r="W17" s="36"/>
      <c r="X17" s="36"/>
    </row>
    <row r="18" spans="1:24" ht="15.75" customHeight="1" x14ac:dyDescent="0.35">
      <c r="A18" s="259">
        <v>2006</v>
      </c>
      <c r="B18" s="36">
        <v>499.6</v>
      </c>
      <c r="C18" s="239" t="s">
        <v>728</v>
      </c>
      <c r="D18" s="36"/>
      <c r="E18" s="237" t="s">
        <v>749</v>
      </c>
      <c r="F18" s="172">
        <v>1.288</v>
      </c>
      <c r="G18" s="239" t="s">
        <v>750</v>
      </c>
      <c r="H18" s="36"/>
      <c r="I18" s="132"/>
      <c r="J18" s="132"/>
      <c r="K18" s="132"/>
      <c r="L18" s="36"/>
      <c r="M18" s="237" t="s">
        <v>751</v>
      </c>
      <c r="N18" s="36">
        <f>N7+2*N8</f>
        <v>64</v>
      </c>
      <c r="O18" s="239" t="s">
        <v>692</v>
      </c>
      <c r="P18" s="36"/>
      <c r="Q18" s="261" t="s">
        <v>752</v>
      </c>
      <c r="R18" s="262">
        <f>(2706.54-379.86)/1000</f>
        <v>2.3266799999999996</v>
      </c>
      <c r="S18" s="263" t="s">
        <v>238</v>
      </c>
      <c r="T18" s="36"/>
      <c r="U18" s="36"/>
      <c r="V18" s="219"/>
      <c r="W18" s="36"/>
      <c r="X18" s="36"/>
    </row>
    <row r="19" spans="1:24" ht="15.75" customHeight="1" x14ac:dyDescent="0.35">
      <c r="A19" s="259">
        <v>2007</v>
      </c>
      <c r="B19" s="36">
        <v>525.4</v>
      </c>
      <c r="C19" s="239" t="s">
        <v>728</v>
      </c>
      <c r="D19" s="36"/>
      <c r="E19" s="237" t="s">
        <v>753</v>
      </c>
      <c r="F19" s="172">
        <v>1.214</v>
      </c>
      <c r="G19" s="239" t="s">
        <v>750</v>
      </c>
      <c r="H19" s="36"/>
      <c r="I19" s="314" t="s">
        <v>754</v>
      </c>
      <c r="J19" s="313"/>
      <c r="K19" s="313"/>
      <c r="L19" s="36"/>
      <c r="M19" s="237" t="s">
        <v>755</v>
      </c>
      <c r="N19" s="36">
        <f>N4*2+N5*4</f>
        <v>28.06</v>
      </c>
      <c r="O19" s="239" t="s">
        <v>692</v>
      </c>
      <c r="P19" s="36"/>
      <c r="Q19" s="255" t="s">
        <v>756</v>
      </c>
      <c r="R19" s="197">
        <f>(2777.22-379.86)/1000</f>
        <v>2.3973599999999995</v>
      </c>
      <c r="S19" s="257" t="s">
        <v>238</v>
      </c>
      <c r="T19" s="36"/>
      <c r="U19" s="36"/>
      <c r="V19" s="219"/>
      <c r="W19" s="36"/>
      <c r="X19" s="36"/>
    </row>
    <row r="20" spans="1:24" ht="15.75" customHeight="1" x14ac:dyDescent="0.35">
      <c r="A20" s="259">
        <v>2008</v>
      </c>
      <c r="B20" s="36">
        <v>575.4</v>
      </c>
      <c r="C20" s="239" t="s">
        <v>728</v>
      </c>
      <c r="D20" s="36"/>
      <c r="E20" s="237" t="s">
        <v>757</v>
      </c>
      <c r="F20" s="172">
        <v>1.087</v>
      </c>
      <c r="G20" s="239" t="s">
        <v>750</v>
      </c>
      <c r="H20" s="36"/>
      <c r="I20" s="240" t="s">
        <v>691</v>
      </c>
      <c r="J20" s="243">
        <v>0.32</v>
      </c>
      <c r="K20" s="242" t="s">
        <v>758</v>
      </c>
      <c r="L20" s="36"/>
      <c r="M20" s="237" t="s">
        <v>759</v>
      </c>
      <c r="N20" s="36">
        <f>N4*3+N5*6</f>
        <v>42.09</v>
      </c>
      <c r="O20" s="239" t="s">
        <v>692</v>
      </c>
      <c r="P20" s="36"/>
      <c r="Q20" s="120" t="s">
        <v>474</v>
      </c>
      <c r="R20" s="121">
        <v>2.8</v>
      </c>
      <c r="S20" s="122" t="s">
        <v>238</v>
      </c>
      <c r="T20" s="36"/>
      <c r="U20" s="36"/>
      <c r="V20" s="36"/>
      <c r="W20" s="36"/>
      <c r="X20" s="36"/>
    </row>
    <row r="21" spans="1:24" ht="15.75" customHeight="1" x14ac:dyDescent="0.35">
      <c r="A21" s="259">
        <v>2009</v>
      </c>
      <c r="B21" s="250">
        <v>521.9</v>
      </c>
      <c r="C21" s="251" t="s">
        <v>728</v>
      </c>
      <c r="D21" s="36"/>
      <c r="E21" s="237" t="s">
        <v>760</v>
      </c>
      <c r="F21" s="36">
        <v>1.02</v>
      </c>
      <c r="G21" s="239" t="s">
        <v>750</v>
      </c>
      <c r="H21" s="36"/>
      <c r="I21" s="237" t="s">
        <v>761</v>
      </c>
      <c r="J21" s="36">
        <v>1.1499999999999999</v>
      </c>
      <c r="K21" s="239" t="s">
        <v>758</v>
      </c>
      <c r="L21" s="36"/>
      <c r="M21" s="237" t="s">
        <v>762</v>
      </c>
      <c r="N21" s="36">
        <f>N4*4+N5*10</f>
        <v>58.14</v>
      </c>
      <c r="O21" s="239" t="s">
        <v>692</v>
      </c>
      <c r="P21" s="36"/>
      <c r="Q21" s="36"/>
      <c r="R21" s="36"/>
      <c r="S21" s="36"/>
      <c r="T21" s="36"/>
      <c r="U21" s="36"/>
      <c r="V21" s="36"/>
      <c r="W21" s="36"/>
      <c r="X21" s="36"/>
    </row>
    <row r="22" spans="1:24" x14ac:dyDescent="0.35">
      <c r="A22" s="264">
        <v>2010</v>
      </c>
      <c r="B22" s="254">
        <v>550.79999999999995</v>
      </c>
      <c r="C22" s="251" t="s">
        <v>728</v>
      </c>
      <c r="D22" s="36"/>
      <c r="E22" s="237" t="s">
        <v>763</v>
      </c>
      <c r="F22" s="172">
        <v>1.0012000000000001</v>
      </c>
      <c r="G22" s="239" t="s">
        <v>750</v>
      </c>
      <c r="H22" s="36"/>
      <c r="I22" s="237" t="s">
        <v>705</v>
      </c>
      <c r="J22" s="36">
        <v>3.16</v>
      </c>
      <c r="K22" s="239" t="s">
        <v>758</v>
      </c>
      <c r="L22" s="36"/>
      <c r="M22" s="249" t="s">
        <v>764</v>
      </c>
      <c r="N22" s="250">
        <f>N4*2+N5*6</f>
        <v>30.08</v>
      </c>
      <c r="O22" s="251" t="s">
        <v>692</v>
      </c>
      <c r="P22" s="36"/>
      <c r="Q22" s="36"/>
      <c r="R22" s="36"/>
      <c r="S22" s="36"/>
      <c r="T22" s="36"/>
      <c r="U22" s="36"/>
      <c r="V22" s="36"/>
      <c r="W22" s="36"/>
      <c r="X22" s="36"/>
    </row>
    <row r="23" spans="1:24" x14ac:dyDescent="0.35">
      <c r="A23" s="264">
        <v>2011</v>
      </c>
      <c r="B23" s="36">
        <v>585.70000000000005</v>
      </c>
      <c r="C23" s="251" t="s">
        <v>728</v>
      </c>
      <c r="D23" s="36"/>
      <c r="E23" s="237" t="s">
        <v>765</v>
      </c>
      <c r="F23" s="172">
        <v>0.99199999999999999</v>
      </c>
      <c r="G23" s="239" t="s">
        <v>750</v>
      </c>
      <c r="H23" s="36"/>
      <c r="I23" s="237" t="s">
        <v>766</v>
      </c>
      <c r="J23" s="36">
        <v>40.479999999999997</v>
      </c>
      <c r="K23" s="239" t="s">
        <v>758</v>
      </c>
      <c r="L23" s="36"/>
      <c r="P23" s="36"/>
      <c r="Q23" s="314" t="s">
        <v>767</v>
      </c>
      <c r="R23" s="313"/>
      <c r="S23" s="313"/>
      <c r="T23" s="36"/>
      <c r="U23" s="36"/>
      <c r="V23" s="36"/>
      <c r="W23" s="36"/>
      <c r="X23" s="36"/>
    </row>
    <row r="24" spans="1:24" x14ac:dyDescent="0.35">
      <c r="A24" s="264">
        <v>2012</v>
      </c>
      <c r="B24" s="36">
        <v>584.6</v>
      </c>
      <c r="C24" s="251" t="s">
        <v>728</v>
      </c>
      <c r="D24" s="36"/>
      <c r="E24" s="237" t="s">
        <v>768</v>
      </c>
      <c r="F24" s="172">
        <v>0.98199999999999998</v>
      </c>
      <c r="G24" s="239" t="s">
        <v>750</v>
      </c>
      <c r="H24" s="36"/>
      <c r="I24" s="249" t="s">
        <v>769</v>
      </c>
      <c r="J24" s="250">
        <v>34316.32</v>
      </c>
      <c r="K24" s="251" t="s">
        <v>758</v>
      </c>
      <c r="L24" s="36"/>
      <c r="P24" s="36"/>
      <c r="Q24" s="240" t="s">
        <v>770</v>
      </c>
      <c r="R24" s="241">
        <v>10</v>
      </c>
      <c r="S24" s="242" t="s">
        <v>771</v>
      </c>
      <c r="T24" s="36"/>
      <c r="U24" s="36"/>
      <c r="V24" s="36"/>
      <c r="W24" s="36"/>
      <c r="X24" s="36"/>
    </row>
    <row r="25" spans="1:24" x14ac:dyDescent="0.35">
      <c r="A25" s="264">
        <v>2013</v>
      </c>
      <c r="B25" s="36">
        <v>567.29999999999995</v>
      </c>
      <c r="C25" s="251" t="s">
        <v>728</v>
      </c>
      <c r="D25" s="36"/>
      <c r="E25" s="237" t="s">
        <v>772</v>
      </c>
      <c r="F25" s="36">
        <v>0.14599999999999999</v>
      </c>
      <c r="G25" s="239" t="s">
        <v>773</v>
      </c>
      <c r="H25" s="36"/>
      <c r="I25" s="36"/>
      <c r="J25" s="36"/>
      <c r="K25" s="36"/>
      <c r="L25" s="178"/>
      <c r="M25" s="36"/>
      <c r="N25" s="36"/>
      <c r="O25" s="36"/>
      <c r="P25" s="36"/>
      <c r="Q25" s="249" t="s">
        <v>774</v>
      </c>
      <c r="R25" s="253">
        <v>6.9000000000000006E-2</v>
      </c>
      <c r="S25" s="251" t="s">
        <v>775</v>
      </c>
      <c r="T25" s="36"/>
      <c r="U25" s="36"/>
      <c r="V25" s="36"/>
      <c r="W25" s="36"/>
      <c r="X25" s="36"/>
    </row>
    <row r="26" spans="1:24" x14ac:dyDescent="0.35">
      <c r="A26" s="264">
        <v>2014</v>
      </c>
      <c r="B26" s="36">
        <v>576.1</v>
      </c>
      <c r="C26" s="251" t="s">
        <v>728</v>
      </c>
      <c r="D26" s="36"/>
      <c r="E26" s="249" t="s">
        <v>776</v>
      </c>
      <c r="F26" s="253">
        <f>0.309196*F23</f>
        <v>0.30672243200000004</v>
      </c>
      <c r="G26" s="251" t="s">
        <v>777</v>
      </c>
      <c r="H26" s="36"/>
      <c r="I26" s="314" t="s">
        <v>778</v>
      </c>
      <c r="J26" s="313"/>
      <c r="K26" s="313"/>
      <c r="L26" s="36"/>
      <c r="M26" s="314" t="s">
        <v>779</v>
      </c>
      <c r="N26" s="313"/>
      <c r="O26" s="313"/>
      <c r="P26" s="36"/>
      <c r="Q26" s="36"/>
      <c r="R26" s="172"/>
      <c r="S26" s="36"/>
      <c r="T26" s="36"/>
      <c r="U26" s="36"/>
      <c r="V26" s="36"/>
      <c r="W26" s="36"/>
      <c r="X26" s="36"/>
    </row>
    <row r="27" spans="1:24" x14ac:dyDescent="0.35">
      <c r="A27" s="264">
        <v>2015</v>
      </c>
      <c r="B27" s="36">
        <v>556.79999999999995</v>
      </c>
      <c r="C27" s="251" t="s">
        <v>728</v>
      </c>
      <c r="D27" s="36"/>
      <c r="E27" s="36"/>
      <c r="F27" s="36"/>
      <c r="G27" s="36"/>
      <c r="H27" s="36"/>
      <c r="I27" s="240" t="s">
        <v>691</v>
      </c>
      <c r="J27" s="265">
        <f t="shared" ref="J27:J31" si="0">14.534*LN(LN(J20+0.8))+10.975</f>
        <v>-20.672246702470083</v>
      </c>
      <c r="K27" s="242" t="s">
        <v>780</v>
      </c>
      <c r="L27" s="36"/>
      <c r="M27" s="240" t="s">
        <v>781</v>
      </c>
      <c r="N27" s="266">
        <v>0.77</v>
      </c>
      <c r="O27" s="242" t="s">
        <v>782</v>
      </c>
      <c r="P27" s="36"/>
      <c r="Q27" s="15"/>
      <c r="R27" s="267"/>
      <c r="S27" s="15"/>
      <c r="T27" s="15"/>
      <c r="U27" s="36"/>
      <c r="V27" s="36"/>
      <c r="W27" s="36"/>
      <c r="X27" s="36"/>
    </row>
    <row r="28" spans="1:24" x14ac:dyDescent="0.35">
      <c r="A28" s="264">
        <v>2016</v>
      </c>
      <c r="B28" s="36">
        <v>541.70000000000005</v>
      </c>
      <c r="C28" s="251" t="s">
        <v>728</v>
      </c>
      <c r="D28" s="36"/>
      <c r="H28" s="36"/>
      <c r="I28" s="237" t="s">
        <v>761</v>
      </c>
      <c r="J28" s="174">
        <f t="shared" si="0"/>
        <v>5.1072961916109039</v>
      </c>
      <c r="K28" s="239" t="s">
        <v>780</v>
      </c>
      <c r="L28" s="36"/>
      <c r="M28" s="249" t="s">
        <v>706</v>
      </c>
      <c r="N28" s="268">
        <v>0.23</v>
      </c>
      <c r="O28" s="251" t="s">
        <v>782</v>
      </c>
      <c r="P28" s="36"/>
      <c r="Q28" s="312"/>
      <c r="R28" s="313"/>
      <c r="S28" s="313"/>
      <c r="T28" s="15"/>
      <c r="U28" s="36"/>
      <c r="V28" s="36"/>
      <c r="W28" s="36"/>
      <c r="X28" s="36"/>
    </row>
    <row r="29" spans="1:24" x14ac:dyDescent="0.35">
      <c r="A29" s="264">
        <v>2017</v>
      </c>
      <c r="B29" s="36">
        <v>567.5</v>
      </c>
      <c r="C29" s="251" t="s">
        <v>728</v>
      </c>
      <c r="D29" s="36"/>
      <c r="H29" s="36"/>
      <c r="I29" s="237" t="s">
        <v>705</v>
      </c>
      <c r="J29" s="174">
        <f t="shared" si="0"/>
        <v>15.616550156404832</v>
      </c>
      <c r="K29" s="239" t="s">
        <v>780</v>
      </c>
      <c r="L29" s="36"/>
      <c r="M29" s="36"/>
      <c r="N29" s="36"/>
      <c r="O29" s="36"/>
      <c r="P29" s="36"/>
      <c r="Q29" s="269"/>
      <c r="R29" s="270"/>
      <c r="S29" s="271"/>
      <c r="T29" s="15"/>
      <c r="U29" s="36"/>
      <c r="V29" s="36"/>
      <c r="W29" s="36"/>
      <c r="X29" s="36"/>
    </row>
    <row r="30" spans="1:24" x14ac:dyDescent="0.35">
      <c r="A30" s="264">
        <v>2018</v>
      </c>
      <c r="B30" s="36">
        <v>603.1</v>
      </c>
      <c r="C30" s="251" t="s">
        <v>728</v>
      </c>
      <c r="D30" s="36"/>
      <c r="H30" s="36"/>
      <c r="I30" s="237" t="s">
        <v>766</v>
      </c>
      <c r="J30" s="174">
        <f t="shared" si="0"/>
        <v>30.070137035137158</v>
      </c>
      <c r="K30" s="239" t="s">
        <v>780</v>
      </c>
      <c r="L30" s="36"/>
      <c r="M30" s="36"/>
      <c r="N30" s="36"/>
      <c r="O30" s="36"/>
      <c r="P30" s="36"/>
      <c r="Q30" s="272"/>
      <c r="R30" s="267"/>
      <c r="S30" s="273"/>
      <c r="T30" s="15"/>
      <c r="U30" s="36"/>
      <c r="V30" s="36"/>
      <c r="W30" s="36"/>
      <c r="X30" s="36"/>
    </row>
    <row r="31" spans="1:24" x14ac:dyDescent="0.35">
      <c r="A31" s="264">
        <v>2019</v>
      </c>
      <c r="B31" s="36">
        <v>607.5</v>
      </c>
      <c r="C31" s="251" t="s">
        <v>728</v>
      </c>
      <c r="D31" s="36"/>
      <c r="H31" s="36"/>
      <c r="I31" s="237" t="s">
        <v>783</v>
      </c>
      <c r="J31" s="174">
        <f t="shared" si="0"/>
        <v>45.071330376468957</v>
      </c>
      <c r="K31" s="239" t="s">
        <v>780</v>
      </c>
      <c r="L31" s="36"/>
      <c r="M31" s="36"/>
      <c r="N31" s="36"/>
      <c r="O31" s="36"/>
      <c r="P31" s="36"/>
      <c r="Q31" s="272"/>
      <c r="R31" s="267"/>
      <c r="S31" s="273"/>
      <c r="T31" s="15"/>
      <c r="U31" s="36"/>
      <c r="V31" s="36"/>
      <c r="W31" s="36"/>
      <c r="X31" s="36"/>
    </row>
    <row r="32" spans="1:24" x14ac:dyDescent="0.35">
      <c r="A32" s="264">
        <v>2020</v>
      </c>
      <c r="B32" s="36">
        <v>596.20000000000005</v>
      </c>
      <c r="C32" s="251" t="s">
        <v>728</v>
      </c>
      <c r="D32" s="36"/>
      <c r="H32" s="36"/>
      <c r="I32" s="249" t="s">
        <v>784</v>
      </c>
      <c r="J32" s="274">
        <f>J30*(28.89/46.18)+J31*(17.29/46.18)</f>
        <v>35.686651389221751</v>
      </c>
      <c r="K32" s="251" t="s">
        <v>780</v>
      </c>
      <c r="L32" s="36"/>
      <c r="M32" s="36"/>
      <c r="N32" s="36"/>
      <c r="O32" s="36"/>
      <c r="P32" s="36"/>
      <c r="Q32" s="272"/>
      <c r="R32" s="267"/>
      <c r="S32" s="273"/>
      <c r="T32" s="15"/>
      <c r="U32" s="36"/>
      <c r="V32" s="36"/>
      <c r="W32" s="36"/>
      <c r="X32" s="36"/>
    </row>
    <row r="33" spans="1:24" x14ac:dyDescent="0.35">
      <c r="A33" s="264">
        <v>2021</v>
      </c>
      <c r="B33" s="36">
        <v>708</v>
      </c>
      <c r="C33" s="251" t="s">
        <v>728</v>
      </c>
      <c r="D33" s="36"/>
      <c r="H33" s="36"/>
      <c r="I33" s="36"/>
      <c r="J33" s="36"/>
      <c r="K33" s="36"/>
      <c r="L33" s="36"/>
      <c r="M33" s="36"/>
      <c r="N33" s="36"/>
      <c r="O33" s="36"/>
      <c r="P33" s="36"/>
      <c r="Q33" s="272"/>
      <c r="R33" s="267"/>
      <c r="S33" s="273"/>
      <c r="T33" s="15"/>
      <c r="U33" s="36"/>
      <c r="V33" s="36"/>
      <c r="W33" s="36"/>
      <c r="X33" s="36"/>
    </row>
    <row r="34" spans="1:24" x14ac:dyDescent="0.35">
      <c r="A34" s="264">
        <v>2022</v>
      </c>
      <c r="B34" s="36">
        <v>813</v>
      </c>
      <c r="C34" s="251" t="s">
        <v>728</v>
      </c>
      <c r="D34" s="36"/>
      <c r="H34" s="36"/>
      <c r="I34" s="314" t="s">
        <v>785</v>
      </c>
      <c r="J34" s="313"/>
      <c r="K34" s="313"/>
      <c r="L34" s="36"/>
      <c r="M34" s="36"/>
      <c r="N34" s="36"/>
      <c r="O34" s="36"/>
      <c r="P34" s="36"/>
      <c r="Q34" s="272"/>
      <c r="R34" s="267"/>
      <c r="S34" s="273"/>
      <c r="T34" s="15"/>
      <c r="U34" s="36"/>
      <c r="V34" s="36"/>
      <c r="W34" s="36"/>
      <c r="X34" s="36"/>
    </row>
    <row r="35" spans="1:24" x14ac:dyDescent="0.35">
      <c r="A35" s="264">
        <v>2023</v>
      </c>
      <c r="B35" s="36"/>
      <c r="C35" s="251" t="s">
        <v>728</v>
      </c>
      <c r="D35" s="36"/>
      <c r="H35" s="36"/>
      <c r="I35" s="240" t="s">
        <v>786</v>
      </c>
      <c r="J35" s="243">
        <v>0.9</v>
      </c>
      <c r="K35" s="242" t="s">
        <v>787</v>
      </c>
      <c r="L35" s="36"/>
      <c r="M35" s="36"/>
      <c r="N35" s="36"/>
      <c r="O35" s="36"/>
      <c r="P35" s="36"/>
      <c r="Q35" s="272"/>
      <c r="R35" s="267"/>
      <c r="S35" s="273"/>
      <c r="T35" s="15"/>
      <c r="U35" s="36"/>
      <c r="V35" s="36"/>
      <c r="W35" s="36"/>
      <c r="X35" s="36"/>
    </row>
    <row r="36" spans="1:24" x14ac:dyDescent="0.35">
      <c r="A36" s="36"/>
      <c r="B36" s="36"/>
      <c r="C36" s="36"/>
      <c r="D36" s="36"/>
      <c r="H36" s="36"/>
      <c r="I36" s="237" t="s">
        <v>788</v>
      </c>
      <c r="J36" s="36">
        <v>1</v>
      </c>
      <c r="K36" s="239" t="s">
        <v>787</v>
      </c>
      <c r="L36" s="36"/>
      <c r="M36" s="36"/>
      <c r="N36" s="36"/>
      <c r="O36" s="36"/>
      <c r="P36" s="36"/>
      <c r="Q36" s="272"/>
      <c r="R36" s="267"/>
      <c r="S36" s="273"/>
      <c r="T36" s="15"/>
      <c r="U36" s="36"/>
      <c r="V36" s="36"/>
      <c r="W36" s="36"/>
      <c r="X36" s="36"/>
    </row>
    <row r="37" spans="1:24" x14ac:dyDescent="0.35">
      <c r="A37" s="36"/>
      <c r="B37" s="36"/>
      <c r="C37" s="36"/>
      <c r="D37" s="36"/>
      <c r="H37" s="36"/>
      <c r="I37" s="237" t="s">
        <v>789</v>
      </c>
      <c r="J37" s="36">
        <v>1.1000000000000001</v>
      </c>
      <c r="K37" s="239" t="s">
        <v>787</v>
      </c>
      <c r="L37" s="36"/>
      <c r="M37" s="36"/>
      <c r="N37" s="36"/>
      <c r="O37" s="36"/>
      <c r="P37" s="36"/>
      <c r="Q37" s="272"/>
      <c r="R37" s="267"/>
      <c r="S37" s="273"/>
      <c r="T37" s="15"/>
      <c r="U37" s="36"/>
      <c r="V37" s="36"/>
      <c r="W37" s="36"/>
      <c r="X37" s="36"/>
    </row>
    <row r="38" spans="1:24" x14ac:dyDescent="0.35">
      <c r="A38" s="36"/>
      <c r="B38" s="36"/>
      <c r="C38" s="36"/>
      <c r="D38" s="36"/>
      <c r="H38" s="36"/>
      <c r="I38" s="237" t="s">
        <v>790</v>
      </c>
      <c r="J38" s="36">
        <v>0.72</v>
      </c>
      <c r="K38" s="239" t="s">
        <v>787</v>
      </c>
      <c r="L38" s="178"/>
      <c r="M38" s="36"/>
      <c r="N38" s="36"/>
      <c r="O38" s="36"/>
      <c r="P38" s="36"/>
      <c r="Q38" s="275"/>
      <c r="R38" s="276"/>
      <c r="S38" s="277"/>
      <c r="T38" s="15"/>
      <c r="U38" s="36"/>
      <c r="V38" s="36"/>
      <c r="W38" s="36"/>
      <c r="X38" s="36"/>
    </row>
    <row r="39" spans="1:24" x14ac:dyDescent="0.35">
      <c r="A39" s="36"/>
      <c r="B39" s="36"/>
      <c r="C39" s="36"/>
      <c r="D39" s="36"/>
      <c r="E39" s="36"/>
      <c r="F39" s="36"/>
      <c r="G39" s="36"/>
      <c r="H39" s="36"/>
      <c r="I39" s="237" t="s">
        <v>791</v>
      </c>
      <c r="J39" s="36">
        <v>0.84</v>
      </c>
      <c r="K39" s="239" t="s">
        <v>787</v>
      </c>
      <c r="L39" s="36"/>
      <c r="M39" s="36"/>
      <c r="N39" s="36"/>
      <c r="O39" s="36"/>
      <c r="P39" s="36"/>
      <c r="Q39" s="15"/>
      <c r="R39" s="15"/>
      <c r="S39" s="15"/>
      <c r="T39" s="15"/>
      <c r="U39" s="36"/>
      <c r="V39" s="36"/>
      <c r="W39" s="36"/>
      <c r="X39" s="36"/>
    </row>
    <row r="40" spans="1:24" x14ac:dyDescent="0.35">
      <c r="A40" s="36"/>
      <c r="B40" s="36"/>
      <c r="C40" s="36"/>
      <c r="D40" s="36"/>
      <c r="E40" s="36"/>
      <c r="F40" s="36"/>
      <c r="G40" s="36"/>
      <c r="H40" s="36"/>
      <c r="I40" s="237" t="s">
        <v>792</v>
      </c>
      <c r="J40" s="36">
        <v>7.5</v>
      </c>
      <c r="K40" s="239" t="s">
        <v>793</v>
      </c>
      <c r="L40" s="36"/>
      <c r="M40" s="36"/>
      <c r="N40" s="36"/>
      <c r="O40" s="36"/>
      <c r="P40" s="36"/>
      <c r="Q40" s="312"/>
      <c r="R40" s="313"/>
      <c r="S40" s="313"/>
      <c r="T40" s="15"/>
      <c r="U40" s="36"/>
      <c r="V40" s="36"/>
      <c r="W40" s="36"/>
      <c r="X40" s="36"/>
    </row>
    <row r="41" spans="1:24" x14ac:dyDescent="0.35">
      <c r="A41" s="36" t="s">
        <v>794</v>
      </c>
      <c r="B41" s="36"/>
      <c r="C41" s="36"/>
      <c r="D41" s="36"/>
      <c r="E41" s="36"/>
      <c r="F41" s="36"/>
      <c r="G41" s="36"/>
      <c r="H41" s="36"/>
      <c r="I41" s="237" t="s">
        <v>788</v>
      </c>
      <c r="J41" s="36">
        <v>6.7</v>
      </c>
      <c r="K41" s="239" t="s">
        <v>795</v>
      </c>
      <c r="L41" s="36"/>
      <c r="M41" s="36"/>
      <c r="N41" s="36"/>
      <c r="O41" s="36"/>
      <c r="P41" s="36"/>
      <c r="Q41" s="278"/>
      <c r="R41" s="279"/>
      <c r="S41" s="280"/>
      <c r="T41" s="15"/>
      <c r="U41" s="36"/>
      <c r="V41" s="36"/>
      <c r="W41" s="36"/>
      <c r="X41" s="36"/>
    </row>
    <row r="42" spans="1:24" x14ac:dyDescent="0.35">
      <c r="A42" s="36" t="s">
        <v>796</v>
      </c>
      <c r="B42" s="36">
        <v>97.27</v>
      </c>
      <c r="C42" s="36" t="s">
        <v>797</v>
      </c>
      <c r="D42" s="36"/>
      <c r="E42" s="36"/>
      <c r="F42" s="36"/>
      <c r="G42" s="36"/>
      <c r="H42" s="36"/>
      <c r="I42" s="237" t="s">
        <v>745</v>
      </c>
      <c r="J42" s="219">
        <f>1000/3.31</f>
        <v>302.11480362537765</v>
      </c>
      <c r="K42" s="239" t="s">
        <v>798</v>
      </c>
      <c r="L42" s="36"/>
      <c r="M42" s="36"/>
      <c r="N42" s="36"/>
      <c r="O42" s="36"/>
      <c r="P42" s="36"/>
      <c r="Q42" s="15"/>
      <c r="R42" s="267"/>
      <c r="S42" s="15"/>
      <c r="T42" s="15"/>
      <c r="U42" s="36"/>
      <c r="V42" s="36"/>
      <c r="W42" s="36"/>
      <c r="X42" s="36"/>
    </row>
    <row r="43" spans="1:24" x14ac:dyDescent="0.35">
      <c r="A43" s="36" t="s">
        <v>938</v>
      </c>
      <c r="B43" s="36">
        <v>332</v>
      </c>
      <c r="C43" s="36" t="s">
        <v>812</v>
      </c>
      <c r="D43" s="36"/>
      <c r="E43" s="36"/>
      <c r="F43" s="36"/>
      <c r="G43" s="36"/>
      <c r="H43" s="36"/>
      <c r="I43" s="237" t="s">
        <v>786</v>
      </c>
      <c r="J43" s="219">
        <f>1000/(J35*J49)</f>
        <v>293.52464095332101</v>
      </c>
      <c r="K43" s="239" t="s">
        <v>798</v>
      </c>
      <c r="L43" s="36"/>
      <c r="M43" s="36"/>
      <c r="N43" s="36"/>
      <c r="O43" s="36"/>
      <c r="P43" s="36"/>
      <c r="Q43" s="36"/>
      <c r="R43" s="172"/>
      <c r="S43" s="36"/>
      <c r="T43" s="36"/>
      <c r="U43" s="36"/>
      <c r="V43" s="36"/>
      <c r="W43" s="36"/>
      <c r="X43" s="36"/>
    </row>
    <row r="44" spans="1:24" x14ac:dyDescent="0.35">
      <c r="A44" s="36"/>
      <c r="B44" s="36"/>
      <c r="C44" s="36"/>
      <c r="D44" s="36"/>
      <c r="E44" s="36"/>
      <c r="F44" s="36"/>
      <c r="G44" s="36"/>
      <c r="H44" s="36"/>
      <c r="I44" s="237" t="s">
        <v>788</v>
      </c>
      <c r="J44" s="219">
        <f>1000/(J36*J49)</f>
        <v>264.17217685798897</v>
      </c>
      <c r="K44" s="239" t="s">
        <v>798</v>
      </c>
      <c r="L44" s="36"/>
      <c r="M44" s="36"/>
      <c r="N44" s="36"/>
      <c r="O44" s="36"/>
      <c r="P44" s="36"/>
      <c r="Q44" s="36"/>
      <c r="R44" s="172"/>
      <c r="S44" s="36"/>
      <c r="T44" s="36"/>
      <c r="U44" s="36"/>
      <c r="V44" s="36"/>
      <c r="W44" s="36"/>
      <c r="X44" s="36"/>
    </row>
    <row r="45" spans="1:24" x14ac:dyDescent="0.35">
      <c r="A45" s="36"/>
      <c r="B45" s="36"/>
      <c r="C45" s="36"/>
      <c r="D45" s="36"/>
      <c r="E45" s="36"/>
      <c r="F45" s="36"/>
      <c r="G45" s="36"/>
      <c r="H45" s="36"/>
      <c r="I45" s="237" t="s">
        <v>790</v>
      </c>
      <c r="J45" s="219">
        <f>1000/(J38*J49)</f>
        <v>366.90580119165134</v>
      </c>
      <c r="K45" s="239" t="s">
        <v>798</v>
      </c>
      <c r="L45" s="36"/>
      <c r="M45" s="36"/>
      <c r="N45" s="36"/>
      <c r="O45" s="36"/>
      <c r="P45" s="36"/>
      <c r="Q45" s="36"/>
      <c r="R45" s="172"/>
      <c r="S45" s="36"/>
      <c r="T45" s="36"/>
      <c r="U45" s="36"/>
      <c r="V45" s="36"/>
      <c r="W45" s="36"/>
      <c r="X45" s="36"/>
    </row>
    <row r="46" spans="1:24" x14ac:dyDescent="0.35">
      <c r="A46" s="36"/>
      <c r="B46" s="36"/>
      <c r="C46" s="36"/>
      <c r="D46" s="36"/>
      <c r="E46" s="36"/>
      <c r="F46" s="36"/>
      <c r="G46" s="36"/>
      <c r="H46" s="36"/>
      <c r="I46" s="249" t="s">
        <v>791</v>
      </c>
      <c r="J46" s="252">
        <f>1000/(J39*J49)</f>
        <v>314.49068673570116</v>
      </c>
      <c r="K46" s="251" t="s">
        <v>798</v>
      </c>
      <c r="L46" s="36"/>
      <c r="M46" s="36"/>
      <c r="N46" s="36"/>
      <c r="O46" s="36"/>
      <c r="P46" s="36"/>
      <c r="Q46" s="36"/>
      <c r="R46" s="172"/>
      <c r="S46" s="36"/>
      <c r="T46" s="36"/>
      <c r="U46" s="36"/>
      <c r="V46" s="36"/>
      <c r="W46" s="36"/>
      <c r="X46" s="36"/>
    </row>
    <row r="47" spans="1:24" x14ac:dyDescent="0.35">
      <c r="A47" s="36"/>
      <c r="B47" s="36"/>
      <c r="C47" s="36"/>
      <c r="D47" s="36"/>
      <c r="E47" s="36"/>
      <c r="F47" s="36"/>
      <c r="G47" s="36"/>
      <c r="H47" s="36"/>
      <c r="L47" s="36"/>
      <c r="M47" s="36"/>
      <c r="N47" s="36"/>
      <c r="O47" s="36"/>
      <c r="P47" s="36"/>
      <c r="Q47" s="36"/>
      <c r="R47" s="172"/>
      <c r="S47" s="36"/>
      <c r="T47" s="36"/>
      <c r="U47" s="36"/>
      <c r="V47" s="36"/>
      <c r="W47" s="36"/>
      <c r="X47" s="36"/>
    </row>
    <row r="48" spans="1:24" x14ac:dyDescent="0.35">
      <c r="A48" s="36"/>
      <c r="B48" s="36"/>
      <c r="C48" s="36"/>
      <c r="D48" s="36"/>
      <c r="E48" s="36"/>
      <c r="F48" s="36"/>
      <c r="G48" s="36"/>
      <c r="H48" s="36"/>
      <c r="I48" s="314" t="s">
        <v>799</v>
      </c>
      <c r="J48" s="313"/>
      <c r="K48" s="313"/>
      <c r="L48" s="36"/>
      <c r="M48" s="36"/>
      <c r="N48" s="36"/>
      <c r="O48" s="36"/>
      <c r="P48" s="36"/>
      <c r="Q48" s="36"/>
      <c r="R48" s="172"/>
      <c r="S48" s="36"/>
      <c r="T48" s="36"/>
      <c r="U48" s="36"/>
      <c r="V48" s="36"/>
      <c r="W48" s="36"/>
      <c r="X48" s="36"/>
    </row>
    <row r="49" spans="1:24" x14ac:dyDescent="0.35">
      <c r="A49" s="36"/>
      <c r="B49" s="36"/>
      <c r="C49" s="36"/>
      <c r="D49" s="36"/>
      <c r="E49" s="36"/>
      <c r="F49" s="36"/>
      <c r="G49" s="36"/>
      <c r="H49" s="36"/>
      <c r="I49" s="281" t="s">
        <v>800</v>
      </c>
      <c r="J49" s="282">
        <v>3.7854100000000002</v>
      </c>
      <c r="K49" s="283" t="s">
        <v>801</v>
      </c>
      <c r="L49" s="36"/>
      <c r="M49" s="36"/>
      <c r="N49" s="36"/>
      <c r="O49" s="36"/>
      <c r="P49" s="36"/>
      <c r="Q49" s="36"/>
      <c r="R49" s="172"/>
      <c r="S49" s="36"/>
      <c r="T49" s="36"/>
      <c r="U49" s="36"/>
      <c r="V49" s="36"/>
      <c r="W49" s="36"/>
      <c r="X49" s="36"/>
    </row>
    <row r="50" spans="1:24" x14ac:dyDescent="0.35">
      <c r="A50" s="36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172"/>
      <c r="S50" s="36"/>
      <c r="T50" s="36"/>
      <c r="U50" s="36"/>
      <c r="V50" s="36"/>
      <c r="W50" s="36"/>
      <c r="X50" s="36"/>
    </row>
    <row r="51" spans="1:24" x14ac:dyDescent="0.35">
      <c r="A51" s="36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172"/>
      <c r="S51" s="36"/>
      <c r="T51" s="36"/>
      <c r="U51" s="36"/>
      <c r="V51" s="36"/>
      <c r="W51" s="36"/>
      <c r="X51" s="36"/>
    </row>
    <row r="52" spans="1:24" x14ac:dyDescent="0.35">
      <c r="A52" s="36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172"/>
      <c r="S52" s="36"/>
      <c r="T52" s="36"/>
      <c r="U52" s="36"/>
      <c r="V52" s="36"/>
      <c r="W52" s="36"/>
      <c r="X52" s="36"/>
    </row>
    <row r="53" spans="1:24" x14ac:dyDescent="0.35">
      <c r="A53" s="36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172"/>
      <c r="S53" s="36"/>
      <c r="T53" s="36"/>
      <c r="U53" s="36"/>
      <c r="V53" s="36"/>
      <c r="W53" s="36"/>
      <c r="X53" s="36"/>
    </row>
    <row r="54" spans="1:24" x14ac:dyDescent="0.35">
      <c r="A54" t="s">
        <v>802</v>
      </c>
      <c r="B54" s="284" t="s">
        <v>724</v>
      </c>
    </row>
    <row r="55" spans="1:24" x14ac:dyDescent="0.35">
      <c r="A55" s="285" t="s">
        <v>803</v>
      </c>
      <c r="B55" s="285" t="s">
        <v>804</v>
      </c>
    </row>
    <row r="56" spans="1:24" x14ac:dyDescent="0.35">
      <c r="A56" s="285" t="s">
        <v>805</v>
      </c>
      <c r="B56" s="285" t="s">
        <v>806</v>
      </c>
    </row>
    <row r="57" spans="1:24" x14ac:dyDescent="0.35">
      <c r="A57" s="285" t="s">
        <v>807</v>
      </c>
      <c r="B57" s="285" t="s">
        <v>808</v>
      </c>
    </row>
    <row r="58" spans="1:24" x14ac:dyDescent="0.35">
      <c r="A58" s="285" t="s">
        <v>809</v>
      </c>
      <c r="B58" s="285">
        <v>789.6</v>
      </c>
    </row>
    <row r="59" spans="1:24" x14ac:dyDescent="0.35">
      <c r="A59" s="285" t="s">
        <v>810</v>
      </c>
      <c r="B59" s="285">
        <v>789.2</v>
      </c>
      <c r="I59" t="s">
        <v>811</v>
      </c>
      <c r="J59" t="s">
        <v>812</v>
      </c>
      <c r="K59" t="s">
        <v>813</v>
      </c>
    </row>
    <row r="60" spans="1:24" x14ac:dyDescent="0.35">
      <c r="A60" s="285" t="s">
        <v>814</v>
      </c>
      <c r="B60" s="285">
        <v>790.7</v>
      </c>
      <c r="I60" t="s">
        <v>815</v>
      </c>
      <c r="J60">
        <v>600</v>
      </c>
      <c r="K60">
        <f>J60/'[5]Expenses variable '!H56</f>
        <v>565.38167974897056</v>
      </c>
    </row>
    <row r="61" spans="1:24" x14ac:dyDescent="0.35">
      <c r="A61" s="285" t="s">
        <v>816</v>
      </c>
      <c r="B61" s="285">
        <v>793.3</v>
      </c>
      <c r="I61" t="s">
        <v>817</v>
      </c>
      <c r="J61">
        <v>660</v>
      </c>
      <c r="K61">
        <f>J61/'[5]Expenses variable '!H56</f>
        <v>621.91984772386763</v>
      </c>
      <c r="M61" t="s">
        <v>818</v>
      </c>
      <c r="N61">
        <v>1.014</v>
      </c>
      <c r="O61" t="s">
        <v>787</v>
      </c>
    </row>
    <row r="62" spans="1:24" x14ac:dyDescent="0.35">
      <c r="A62" s="285" t="s">
        <v>819</v>
      </c>
      <c r="B62" s="285">
        <v>798.7</v>
      </c>
      <c r="M62">
        <v>0.8</v>
      </c>
      <c r="N62" t="s">
        <v>820</v>
      </c>
      <c r="Q62" t="s">
        <v>821</v>
      </c>
    </row>
    <row r="63" spans="1:24" x14ac:dyDescent="0.35">
      <c r="A63" s="285" t="s">
        <v>822</v>
      </c>
      <c r="B63" s="285">
        <v>798.7</v>
      </c>
      <c r="M63">
        <f>M62/N61</f>
        <v>0.78895463510848129</v>
      </c>
      <c r="N63" t="s">
        <v>823</v>
      </c>
    </row>
    <row r="64" spans="1:24" x14ac:dyDescent="0.35">
      <c r="A64" s="285" t="s">
        <v>824</v>
      </c>
      <c r="B64" s="285">
        <v>803.3</v>
      </c>
      <c r="M64">
        <f>M63*1000</f>
        <v>788.95463510848128</v>
      </c>
      <c r="N64" t="s">
        <v>812</v>
      </c>
    </row>
    <row r="65" spans="1:2" x14ac:dyDescent="0.35">
      <c r="A65" s="285" t="s">
        <v>825</v>
      </c>
      <c r="B65" s="285">
        <v>808.8</v>
      </c>
    </row>
    <row r="66" spans="1:2" x14ac:dyDescent="0.35">
      <c r="A66" s="285" t="s">
        <v>826</v>
      </c>
      <c r="B66" s="285">
        <v>803.3</v>
      </c>
    </row>
    <row r="67" spans="1:2" x14ac:dyDescent="0.35">
      <c r="A67" s="285" t="s">
        <v>827</v>
      </c>
      <c r="B67" s="285">
        <v>799.1</v>
      </c>
    </row>
    <row r="68" spans="1:2" x14ac:dyDescent="0.35">
      <c r="A68" s="285" t="s">
        <v>828</v>
      </c>
      <c r="B68" s="285">
        <v>798</v>
      </c>
    </row>
    <row r="69" spans="1:2" x14ac:dyDescent="0.35">
      <c r="A69" s="285" t="s">
        <v>829</v>
      </c>
      <c r="B69" s="285">
        <v>802.6</v>
      </c>
    </row>
    <row r="70" spans="1:2" x14ac:dyDescent="0.35">
      <c r="A70" s="285" t="s">
        <v>830</v>
      </c>
      <c r="B70" s="285">
        <v>802.9</v>
      </c>
    </row>
    <row r="71" spans="1:2" x14ac:dyDescent="0.35">
      <c r="A71" s="285" t="s">
        <v>831</v>
      </c>
      <c r="B71" s="285">
        <v>814.6</v>
      </c>
    </row>
    <row r="72" spans="1:2" x14ac:dyDescent="0.35">
      <c r="A72" s="285" t="s">
        <v>832</v>
      </c>
      <c r="B72" s="285">
        <v>816.2</v>
      </c>
    </row>
    <row r="73" spans="1:2" x14ac:dyDescent="0.35">
      <c r="A73" s="285" t="s">
        <v>833</v>
      </c>
      <c r="B73" s="285">
        <v>821.3</v>
      </c>
    </row>
    <row r="74" spans="1:2" x14ac:dyDescent="0.35">
      <c r="A74" s="285" t="s">
        <v>834</v>
      </c>
      <c r="B74" s="285">
        <v>824.5</v>
      </c>
    </row>
    <row r="75" spans="1:2" x14ac:dyDescent="0.35">
      <c r="A75" s="285" t="s">
        <v>835</v>
      </c>
      <c r="B75" s="285">
        <v>829.8</v>
      </c>
    </row>
    <row r="76" spans="1:2" x14ac:dyDescent="0.35">
      <c r="A76" s="285" t="s">
        <v>836</v>
      </c>
      <c r="B76" s="285">
        <v>832.6</v>
      </c>
    </row>
    <row r="77" spans="1:2" x14ac:dyDescent="0.35">
      <c r="A77" s="285" t="s">
        <v>837</v>
      </c>
      <c r="B77" s="285">
        <v>831.1</v>
      </c>
    </row>
    <row r="78" spans="1:2" x14ac:dyDescent="0.35">
      <c r="A78" s="285" t="s">
        <v>838</v>
      </c>
      <c r="B78" s="285">
        <v>816.3</v>
      </c>
    </row>
    <row r="79" spans="1:2" x14ac:dyDescent="0.35">
      <c r="A79" s="285" t="s">
        <v>839</v>
      </c>
      <c r="B79" s="285">
        <v>803.6</v>
      </c>
    </row>
    <row r="80" spans="1:2" x14ac:dyDescent="0.35">
      <c r="A80" s="285" t="s">
        <v>840</v>
      </c>
      <c r="B80" s="285">
        <v>801.3</v>
      </c>
    </row>
    <row r="81" spans="1:5" x14ac:dyDescent="0.35">
      <c r="A81" s="285" t="s">
        <v>841</v>
      </c>
      <c r="B81" s="285">
        <v>797.6</v>
      </c>
    </row>
    <row r="82" spans="1:5" x14ac:dyDescent="0.35">
      <c r="A82" s="285" t="s">
        <v>842</v>
      </c>
      <c r="B82" s="285">
        <v>776.3</v>
      </c>
    </row>
    <row r="83" spans="1:5" x14ac:dyDescent="0.35">
      <c r="A83" s="285" t="s">
        <v>843</v>
      </c>
      <c r="B83" s="285">
        <v>773.1</v>
      </c>
    </row>
    <row r="84" spans="1:5" x14ac:dyDescent="0.35">
      <c r="A84" s="285" t="s">
        <v>844</v>
      </c>
      <c r="B84" s="285">
        <v>761.4</v>
      </c>
    </row>
    <row r="85" spans="1:5" x14ac:dyDescent="0.35">
      <c r="A85" s="285" t="s">
        <v>845</v>
      </c>
      <c r="B85" s="285">
        <v>754</v>
      </c>
    </row>
    <row r="86" spans="1:5" x14ac:dyDescent="0.35">
      <c r="A86" s="285" t="s">
        <v>846</v>
      </c>
      <c r="B86" s="285">
        <v>735.2</v>
      </c>
    </row>
    <row r="87" spans="1:5" x14ac:dyDescent="0.35">
      <c r="A87" s="285" t="s">
        <v>847</v>
      </c>
      <c r="B87" s="285">
        <v>720.2</v>
      </c>
    </row>
    <row r="88" spans="1:5" x14ac:dyDescent="0.35">
      <c r="A88" s="285" t="s">
        <v>848</v>
      </c>
      <c r="B88" s="285">
        <v>701.4</v>
      </c>
    </row>
    <row r="89" spans="1:5" x14ac:dyDescent="0.35">
      <c r="A89" s="285" t="s">
        <v>849</v>
      </c>
      <c r="B89" s="285">
        <v>686.7</v>
      </c>
    </row>
    <row r="90" spans="1:5" x14ac:dyDescent="0.35">
      <c r="A90" s="285" t="s">
        <v>850</v>
      </c>
      <c r="B90" s="285" t="s">
        <v>851</v>
      </c>
      <c r="C90">
        <v>2023</v>
      </c>
      <c r="D90">
        <f>AVERAGE(B58:B69)</f>
        <v>797.94166666666672</v>
      </c>
    </row>
    <row r="91" spans="1:5" x14ac:dyDescent="0.35">
      <c r="A91" s="285">
        <v>2022</v>
      </c>
      <c r="B91" s="285" t="s">
        <v>852</v>
      </c>
    </row>
    <row r="92" spans="1:5" x14ac:dyDescent="0.35">
      <c r="A92" s="285">
        <v>2021</v>
      </c>
      <c r="B92" s="285">
        <v>708.8</v>
      </c>
    </row>
    <row r="93" spans="1:5" x14ac:dyDescent="0.35">
      <c r="A93" s="285">
        <v>2020</v>
      </c>
      <c r="B93" s="285">
        <v>596.20000000000005</v>
      </c>
    </row>
    <row r="94" spans="1:5" x14ac:dyDescent="0.35">
      <c r="A94" s="285">
        <v>2019</v>
      </c>
      <c r="B94" s="285" t="s">
        <v>853</v>
      </c>
    </row>
    <row r="95" spans="1:5" x14ac:dyDescent="0.35">
      <c r="A95" s="285">
        <v>2018</v>
      </c>
      <c r="B95" s="285" t="s">
        <v>854</v>
      </c>
      <c r="E95" t="s">
        <v>855</v>
      </c>
    </row>
    <row r="96" spans="1:5" x14ac:dyDescent="0.35">
      <c r="A96" s="285">
        <v>2017</v>
      </c>
      <c r="B96" s="285" t="s">
        <v>856</v>
      </c>
      <c r="E96">
        <f>D90/B98</f>
        <v>1.4330848898467434</v>
      </c>
    </row>
    <row r="97" spans="1:5" x14ac:dyDescent="0.35">
      <c r="A97" s="285">
        <v>2016</v>
      </c>
      <c r="B97" s="285" t="s">
        <v>857</v>
      </c>
    </row>
    <row r="98" spans="1:5" x14ac:dyDescent="0.35">
      <c r="A98" s="285">
        <v>2015</v>
      </c>
      <c r="B98" s="285">
        <v>556.79999999999995</v>
      </c>
      <c r="E98" t="s">
        <v>858</v>
      </c>
    </row>
    <row r="99" spans="1:5" x14ac:dyDescent="0.35">
      <c r="A99" s="285">
        <v>2014</v>
      </c>
      <c r="B99" s="285" t="s">
        <v>859</v>
      </c>
      <c r="E99">
        <f>D90/B93</f>
        <v>1.338379179246338</v>
      </c>
    </row>
    <row r="100" spans="1:5" x14ac:dyDescent="0.35">
      <c r="A100" s="285">
        <v>2013</v>
      </c>
      <c r="B100" s="285" t="s">
        <v>860</v>
      </c>
    </row>
    <row r="101" spans="1:5" x14ac:dyDescent="0.35">
      <c r="A101" s="285">
        <v>2012</v>
      </c>
      <c r="B101" s="285" t="s">
        <v>861</v>
      </c>
    </row>
    <row r="102" spans="1:5" x14ac:dyDescent="0.35">
      <c r="A102" s="285">
        <v>2011</v>
      </c>
      <c r="B102" s="285" t="s">
        <v>862</v>
      </c>
    </row>
    <row r="103" spans="1:5" x14ac:dyDescent="0.35">
      <c r="A103" s="285">
        <v>2010</v>
      </c>
      <c r="B103" s="285" t="s">
        <v>863</v>
      </c>
    </row>
    <row r="104" spans="1:5" x14ac:dyDescent="0.35">
      <c r="A104" s="285">
        <v>2009</v>
      </c>
      <c r="B104" s="285" t="s">
        <v>864</v>
      </c>
    </row>
    <row r="105" spans="1:5" x14ac:dyDescent="0.35">
      <c r="A105" s="285">
        <v>2008</v>
      </c>
      <c r="B105" s="285" t="s">
        <v>865</v>
      </c>
    </row>
    <row r="106" spans="1:5" x14ac:dyDescent="0.35">
      <c r="A106" s="285">
        <v>2007</v>
      </c>
      <c r="B106" s="285" t="s">
        <v>866</v>
      </c>
    </row>
    <row r="107" spans="1:5" x14ac:dyDescent="0.35">
      <c r="A107" s="285">
        <v>2006</v>
      </c>
      <c r="B107" s="285" t="s">
        <v>867</v>
      </c>
    </row>
    <row r="108" spans="1:5" x14ac:dyDescent="0.35">
      <c r="A108" s="285">
        <v>2005</v>
      </c>
      <c r="B108" s="285" t="s">
        <v>868</v>
      </c>
    </row>
    <row r="109" spans="1:5" x14ac:dyDescent="0.35">
      <c r="A109" s="285">
        <v>2004</v>
      </c>
      <c r="B109" s="285" t="s">
        <v>869</v>
      </c>
    </row>
    <row r="110" spans="1:5" x14ac:dyDescent="0.35">
      <c r="A110" s="285">
        <v>2003</v>
      </c>
      <c r="B110" s="285" t="s">
        <v>870</v>
      </c>
    </row>
    <row r="111" spans="1:5" x14ac:dyDescent="0.35">
      <c r="A111" s="285">
        <v>2002</v>
      </c>
      <c r="B111" s="285" t="s">
        <v>871</v>
      </c>
    </row>
    <row r="112" spans="1:5" x14ac:dyDescent="0.35">
      <c r="A112" s="285">
        <v>2001</v>
      </c>
      <c r="B112" s="285" t="s">
        <v>872</v>
      </c>
    </row>
    <row r="113" spans="1:2" x14ac:dyDescent="0.35">
      <c r="A113" s="286" t="s">
        <v>873</v>
      </c>
      <c r="B113" s="286" t="s">
        <v>874</v>
      </c>
    </row>
  </sheetData>
  <mergeCells count="20">
    <mergeCell ref="U1:W1"/>
    <mergeCell ref="Q17:S17"/>
    <mergeCell ref="A1:C1"/>
    <mergeCell ref="E1:G1"/>
    <mergeCell ref="I1:K1"/>
    <mergeCell ref="M1:O1"/>
    <mergeCell ref="Q1:S1"/>
    <mergeCell ref="I3:K3"/>
    <mergeCell ref="M3:O3"/>
    <mergeCell ref="Q3:S3"/>
    <mergeCell ref="U3:W3"/>
    <mergeCell ref="U8:W8"/>
    <mergeCell ref="Q40:S40"/>
    <mergeCell ref="I48:K48"/>
    <mergeCell ref="I19:K19"/>
    <mergeCell ref="Q23:S23"/>
    <mergeCell ref="I26:K26"/>
    <mergeCell ref="M26:O26"/>
    <mergeCell ref="Q28:S28"/>
    <mergeCell ref="I34:K34"/>
  </mergeCells>
  <hyperlinks>
    <hyperlink ref="B54" r:id="rId1" xr:uid="{D62043D7-27C0-4C63-97F3-F4AB00EDF247}"/>
  </hyperlinks>
  <pageMargins left="0.7" right="0.7" top="0.75" bottom="0.75" header="0.3" footer="0.3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F2B4ED-7828-4318-A42E-ABC6FDDEF31E}">
  <dimension ref="A1:U90"/>
  <sheetViews>
    <sheetView topLeftCell="D31" zoomScale="70" zoomScaleNormal="70" workbookViewId="0">
      <selection activeCell="Q53" sqref="Q53"/>
    </sheetView>
  </sheetViews>
  <sheetFormatPr defaultRowHeight="14.5" x14ac:dyDescent="0.35"/>
  <cols>
    <col min="1" max="1" width="24.1796875" customWidth="1"/>
    <col min="2" max="2" width="24" customWidth="1"/>
    <col min="4" max="4" width="33.7265625" customWidth="1"/>
    <col min="5" max="5" width="35.36328125" customWidth="1"/>
    <col min="6" max="6" width="22.7265625" customWidth="1"/>
    <col min="7" max="7" width="11.81640625" bestFit="1" customWidth="1"/>
    <col min="8" max="8" width="14.81640625" customWidth="1"/>
    <col min="9" max="10" width="10.81640625" bestFit="1" customWidth="1"/>
    <col min="11" max="11" width="12.26953125" bestFit="1" customWidth="1"/>
    <col min="13" max="13" width="11.81640625" bestFit="1" customWidth="1"/>
    <col min="14" max="14" width="10.81640625" bestFit="1" customWidth="1"/>
    <col min="15" max="15" width="24" customWidth="1"/>
    <col min="16" max="17" width="10.81640625" bestFit="1" customWidth="1"/>
  </cols>
  <sheetData>
    <row r="1" spans="1:21" x14ac:dyDescent="0.35">
      <c r="D1" t="s">
        <v>939</v>
      </c>
      <c r="I1" t="s">
        <v>940</v>
      </c>
      <c r="K1" t="s">
        <v>941</v>
      </c>
      <c r="N1" t="s">
        <v>942</v>
      </c>
      <c r="S1" t="s">
        <v>943</v>
      </c>
    </row>
    <row r="2" spans="1:21" x14ac:dyDescent="0.35">
      <c r="D2" t="s">
        <v>1043</v>
      </c>
      <c r="E2" s="310" t="s">
        <v>1038</v>
      </c>
      <c r="F2" s="310" t="s">
        <v>1040</v>
      </c>
      <c r="G2" s="310" t="s">
        <v>944</v>
      </c>
      <c r="H2" s="310" t="s">
        <v>945</v>
      </c>
      <c r="I2" s="310" t="s">
        <v>946</v>
      </c>
      <c r="J2" s="310" t="s">
        <v>938</v>
      </c>
      <c r="K2" s="310" t="s">
        <v>947</v>
      </c>
      <c r="L2" s="310" t="s">
        <v>948</v>
      </c>
      <c r="M2" s="309"/>
      <c r="N2" s="310" t="s">
        <v>949</v>
      </c>
      <c r="O2" s="310" t="s">
        <v>950</v>
      </c>
      <c r="P2" s="310" t="s">
        <v>951</v>
      </c>
      <c r="Q2" s="310" t="s">
        <v>952</v>
      </c>
      <c r="S2" s="310" t="s">
        <v>953</v>
      </c>
      <c r="T2" s="310" t="s">
        <v>954</v>
      </c>
      <c r="U2" s="310" t="s">
        <v>955</v>
      </c>
    </row>
    <row r="3" spans="1:21" x14ac:dyDescent="0.35">
      <c r="D3">
        <v>8.1</v>
      </c>
    </row>
    <row r="4" spans="1:21" x14ac:dyDescent="0.35">
      <c r="A4" t="s">
        <v>956</v>
      </c>
      <c r="D4">
        <v>-3</v>
      </c>
      <c r="E4" t="s">
        <v>961</v>
      </c>
      <c r="F4" t="s">
        <v>958</v>
      </c>
      <c r="G4" t="s">
        <v>959</v>
      </c>
      <c r="H4" t="s">
        <v>960</v>
      </c>
      <c r="I4" t="s">
        <v>961</v>
      </c>
      <c r="J4" t="s">
        <v>961</v>
      </c>
      <c r="K4" t="s">
        <v>962</v>
      </c>
      <c r="L4" t="s">
        <v>962</v>
      </c>
      <c r="N4" t="s">
        <v>957</v>
      </c>
      <c r="O4" t="s">
        <v>961</v>
      </c>
      <c r="P4" t="s">
        <v>958</v>
      </c>
      <c r="Q4" t="s">
        <v>963</v>
      </c>
      <c r="S4" t="s">
        <v>964</v>
      </c>
      <c r="T4" t="s">
        <v>961</v>
      </c>
      <c r="U4" t="s">
        <v>965</v>
      </c>
    </row>
    <row r="5" spans="1:21" x14ac:dyDescent="0.35">
      <c r="A5" t="s">
        <v>966</v>
      </c>
      <c r="D5">
        <v>0</v>
      </c>
    </row>
    <row r="6" spans="1:21" x14ac:dyDescent="0.35">
      <c r="D6">
        <v>-5.7</v>
      </c>
    </row>
    <row r="7" spans="1:21" x14ac:dyDescent="0.35">
      <c r="A7" t="s">
        <v>967</v>
      </c>
      <c r="B7" t="s">
        <v>968</v>
      </c>
      <c r="D7">
        <f>SUM(D2:D6)</f>
        <v>-0.60000000000000053</v>
      </c>
      <c r="F7" t="s">
        <v>1041</v>
      </c>
      <c r="G7" t="s">
        <v>969</v>
      </c>
      <c r="H7" t="s">
        <v>1037</v>
      </c>
      <c r="I7" t="s">
        <v>1029</v>
      </c>
      <c r="J7" t="s">
        <v>1030</v>
      </c>
      <c r="K7" t="s">
        <v>1031</v>
      </c>
      <c r="L7" t="s">
        <v>1032</v>
      </c>
      <c r="N7" t="s">
        <v>970</v>
      </c>
      <c r="O7" t="s">
        <v>971</v>
      </c>
      <c r="P7" t="s">
        <v>1034</v>
      </c>
      <c r="S7" t="s">
        <v>1035</v>
      </c>
      <c r="T7" t="s">
        <v>1036</v>
      </c>
      <c r="U7" t="s">
        <v>972</v>
      </c>
    </row>
    <row r="8" spans="1:21" x14ac:dyDescent="0.35">
      <c r="A8" t="s">
        <v>973</v>
      </c>
      <c r="B8" t="s">
        <v>974</v>
      </c>
      <c r="D8">
        <f>D7/12</f>
        <v>-5.0000000000000044E-2</v>
      </c>
      <c r="E8">
        <f>0.015-G8</f>
        <v>6.20207548548511E-3</v>
      </c>
      <c r="F8">
        <v>0.13525336259215001</v>
      </c>
      <c r="G8">
        <v>8.7979245145148894E-3</v>
      </c>
      <c r="H8">
        <v>3.2426164184908499E-2</v>
      </c>
      <c r="I8">
        <v>1.3939550894333701E-3</v>
      </c>
      <c r="J8">
        <v>1.32949182565459</v>
      </c>
      <c r="K8">
        <v>1.0472047722646101</v>
      </c>
      <c r="L8">
        <v>5.7409989741979098E-2</v>
      </c>
      <c r="N8">
        <v>0.77300000000000002</v>
      </c>
      <c r="O8">
        <v>13.692738923308699</v>
      </c>
      <c r="P8">
        <v>2.1174291616537499E-2</v>
      </c>
      <c r="Q8">
        <v>1.5E-3</v>
      </c>
      <c r="S8">
        <v>0.56585255536269397</v>
      </c>
      <c r="T8">
        <v>8.3681259861770902E-3</v>
      </c>
      <c r="U8">
        <v>5.6243999695652698E-2</v>
      </c>
    </row>
    <row r="9" spans="1:21" x14ac:dyDescent="0.35">
      <c r="A9" t="s">
        <v>975</v>
      </c>
      <c r="B9" t="s">
        <v>976</v>
      </c>
      <c r="D9">
        <v>0</v>
      </c>
      <c r="E9">
        <v>0</v>
      </c>
      <c r="F9">
        <v>6.8126029525467606E-8</v>
      </c>
      <c r="G9">
        <v>4.8742669263660902E-9</v>
      </c>
      <c r="H9">
        <v>1.9355686605220301E-8</v>
      </c>
      <c r="I9">
        <v>9.2729630320024604E-10</v>
      </c>
      <c r="J9">
        <v>4.2394211564143298E-7</v>
      </c>
      <c r="K9">
        <v>8.2835569585935504E-7</v>
      </c>
      <c r="L9">
        <v>4.3659882433286902E-7</v>
      </c>
      <c r="N9" s="63">
        <v>4.5838999999999998E-8</v>
      </c>
      <c r="O9">
        <v>2.30064076844141E-5</v>
      </c>
      <c r="P9">
        <v>7.9582359318618705E-9</v>
      </c>
      <c r="S9">
        <v>1.4453566906485401E-6</v>
      </c>
      <c r="T9">
        <v>5.3600689148372E-9</v>
      </c>
      <c r="U9">
        <v>0</v>
      </c>
    </row>
    <row r="10" spans="1:21" x14ac:dyDescent="0.35">
      <c r="A10" t="s">
        <v>977</v>
      </c>
      <c r="B10" t="s">
        <v>978</v>
      </c>
      <c r="D10">
        <v>0</v>
      </c>
      <c r="E10">
        <v>0</v>
      </c>
      <c r="F10">
        <v>2.7211313287875002E-3</v>
      </c>
      <c r="G10">
        <v>4.2618776653927902E-3</v>
      </c>
      <c r="H10">
        <v>1.5911865056421599E-3</v>
      </c>
      <c r="I10">
        <v>5.5720775707370498E-5</v>
      </c>
      <c r="J10">
        <v>5.0444665696181203E-2</v>
      </c>
      <c r="K10">
        <v>4.7536039924457797E-2</v>
      </c>
      <c r="L10">
        <v>9.3540158896667695E-4</v>
      </c>
      <c r="O10">
        <v>0.74418278353357603</v>
      </c>
      <c r="P10">
        <v>1.37372620925443E-3</v>
      </c>
      <c r="S10">
        <v>2.37627757004822E-2</v>
      </c>
      <c r="T10">
        <v>2.15894546830072E-4</v>
      </c>
      <c r="U10">
        <v>9.2220001935958895E-6</v>
      </c>
    </row>
    <row r="11" spans="1:21" x14ac:dyDescent="0.35">
      <c r="A11" t="s">
        <v>979</v>
      </c>
      <c r="B11" t="s">
        <v>980</v>
      </c>
      <c r="D11">
        <v>0</v>
      </c>
      <c r="E11">
        <v>0</v>
      </c>
      <c r="F11">
        <v>1.0003287698198901E-3</v>
      </c>
      <c r="G11">
        <v>1.64164171258699E-5</v>
      </c>
      <c r="H11">
        <v>1.40148670695144E-4</v>
      </c>
      <c r="I11">
        <v>5.4064904646159996E-6</v>
      </c>
      <c r="J11">
        <v>3.6682652771221902E-3</v>
      </c>
      <c r="K11">
        <v>4.6163703923224001E-3</v>
      </c>
      <c r="L11">
        <v>2.6570043997120201E-3</v>
      </c>
      <c r="O11">
        <v>9.7769337451951405E-2</v>
      </c>
      <c r="P11">
        <v>7.0150537878038995E-5</v>
      </c>
      <c r="S11">
        <v>2.0953205911776198E-3</v>
      </c>
      <c r="T11">
        <v>6.4728604101075703E-5</v>
      </c>
      <c r="U11">
        <v>1.9289460682557499E-4</v>
      </c>
    </row>
    <row r="12" spans="1:21" x14ac:dyDescent="0.35">
      <c r="A12" t="s">
        <v>981</v>
      </c>
      <c r="B12" t="s">
        <v>982</v>
      </c>
      <c r="D12">
        <v>0</v>
      </c>
      <c r="E12">
        <v>0</v>
      </c>
      <c r="F12">
        <v>2.5132042595611801E-4</v>
      </c>
      <c r="G12">
        <v>1.34296328850705E-5</v>
      </c>
      <c r="H12">
        <v>7.6506296092119399E-5</v>
      </c>
      <c r="I12">
        <v>3.4995025155630499E-6</v>
      </c>
      <c r="J12">
        <v>3.5826046557255499E-3</v>
      </c>
      <c r="K12">
        <v>3.01068066011411E-3</v>
      </c>
      <c r="L12">
        <v>7.5051170919040295E-4</v>
      </c>
      <c r="O12">
        <v>0.79840406379384499</v>
      </c>
      <c r="P12">
        <v>4.7676219780943501E-5</v>
      </c>
      <c r="S12">
        <v>1.63281029273235E-3</v>
      </c>
      <c r="T12">
        <v>1.8226356972006101E-5</v>
      </c>
      <c r="U12">
        <v>2.37990006917244E-4</v>
      </c>
    </row>
    <row r="13" spans="1:21" x14ac:dyDescent="0.35">
      <c r="A13" t="s">
        <v>983</v>
      </c>
      <c r="B13" t="s">
        <v>980</v>
      </c>
      <c r="D13">
        <v>0</v>
      </c>
      <c r="E13">
        <v>0</v>
      </c>
      <c r="F13">
        <v>1.01816448033887E-3</v>
      </c>
      <c r="G13">
        <v>1.6622321376869101E-5</v>
      </c>
      <c r="H13">
        <v>1.41824057718702E-4</v>
      </c>
      <c r="I13">
        <v>5.4589036192108596E-6</v>
      </c>
      <c r="J13">
        <v>3.7168607586285699E-3</v>
      </c>
      <c r="K13">
        <v>4.6280770429326899E-3</v>
      </c>
      <c r="L13">
        <v>2.6772458511659801E-3</v>
      </c>
      <c r="O13">
        <v>9.9583253675808295E-2</v>
      </c>
      <c r="P13">
        <v>7.1401568057323704E-5</v>
      </c>
      <c r="Q13">
        <v>1.7562428571428572E-3</v>
      </c>
      <c r="S13">
        <v>2.1290443992909099E-3</v>
      </c>
      <c r="T13">
        <v>6.6017013284606002E-5</v>
      </c>
      <c r="U13">
        <v>1.9344130684658E-4</v>
      </c>
    </row>
    <row r="14" spans="1:21" x14ac:dyDescent="0.35">
      <c r="A14" t="s">
        <v>984</v>
      </c>
      <c r="B14" t="s">
        <v>985</v>
      </c>
      <c r="D14">
        <v>0</v>
      </c>
      <c r="E14">
        <v>0</v>
      </c>
      <c r="F14">
        <v>6.28455598860801E-4</v>
      </c>
      <c r="G14">
        <v>3.3310474329155399E-5</v>
      </c>
      <c r="H14">
        <v>2.12714179851122E-4</v>
      </c>
      <c r="I14">
        <v>1.07794724377689E-5</v>
      </c>
      <c r="J14">
        <v>1.18594294333116E-2</v>
      </c>
      <c r="K14">
        <v>1.00009936914526E-2</v>
      </c>
      <c r="L14">
        <v>1.11829138493386E-3</v>
      </c>
      <c r="O14">
        <v>2.68605219535179</v>
      </c>
      <c r="P14">
        <v>7.4480853306545505E-5</v>
      </c>
      <c r="Q14">
        <v>3.0714285714285719E-6</v>
      </c>
      <c r="S14">
        <v>3.9904755833553296E-3</v>
      </c>
      <c r="T14">
        <v>4.0659305515793001E-5</v>
      </c>
      <c r="U14">
        <v>7.9812002368271305E-4</v>
      </c>
    </row>
    <row r="15" spans="1:21" x14ac:dyDescent="0.35">
      <c r="A15" t="s">
        <v>986</v>
      </c>
      <c r="B15" t="s">
        <v>987</v>
      </c>
      <c r="D15">
        <v>0</v>
      </c>
      <c r="E15">
        <v>0</v>
      </c>
      <c r="F15">
        <v>3.2726064697049399E-5</v>
      </c>
      <c r="G15">
        <v>8.4043830291760792E-6</v>
      </c>
      <c r="H15">
        <v>1.7107293260805699E-5</v>
      </c>
      <c r="I15">
        <v>8.3754955405387596E-7</v>
      </c>
      <c r="J15">
        <v>6.7872290860789203E-4</v>
      </c>
      <c r="K15">
        <v>7.5754203996826496E-4</v>
      </c>
      <c r="L15">
        <v>1.44458933269948E-5</v>
      </c>
      <c r="O15">
        <v>2.0336793477681001E-2</v>
      </c>
      <c r="P15">
        <v>8.8186095809968292E-6</v>
      </c>
      <c r="S15">
        <v>1.12521999891543E-3</v>
      </c>
      <c r="T15">
        <v>9.3823672438994103E-7</v>
      </c>
      <c r="U15">
        <v>0</v>
      </c>
    </row>
    <row r="16" spans="1:21" x14ac:dyDescent="0.35">
      <c r="A16" t="s">
        <v>988</v>
      </c>
      <c r="B16" t="s">
        <v>989</v>
      </c>
      <c r="D16">
        <v>0</v>
      </c>
      <c r="E16">
        <v>0</v>
      </c>
      <c r="F16">
        <v>2.2316157390381499E-6</v>
      </c>
      <c r="G16">
        <v>5.9793302507351004E-7</v>
      </c>
      <c r="H16">
        <v>1.09195460348597E-6</v>
      </c>
      <c r="I16">
        <v>6.4409541726949995E-8</v>
      </c>
      <c r="J16">
        <v>4.2638600822901597E-5</v>
      </c>
      <c r="K16">
        <v>4.5994639736171502E-5</v>
      </c>
      <c r="L16">
        <v>1.4472792527558001E-6</v>
      </c>
      <c r="N16" s="63">
        <v>9.64323E-4</v>
      </c>
      <c r="O16">
        <v>1.36159748096508E-3</v>
      </c>
      <c r="P16">
        <v>6.4560407746079204E-7</v>
      </c>
      <c r="S16">
        <v>5.8807093339760599E-3</v>
      </c>
      <c r="T16">
        <v>7.0552270167900004E-8</v>
      </c>
      <c r="U16">
        <v>0</v>
      </c>
    </row>
    <row r="17" spans="1:21" x14ac:dyDescent="0.35">
      <c r="A17" t="s">
        <v>990</v>
      </c>
      <c r="B17" t="s">
        <v>991</v>
      </c>
      <c r="D17">
        <v>0</v>
      </c>
      <c r="E17">
        <v>0</v>
      </c>
      <c r="F17">
        <v>2.0292223125317999</v>
      </c>
      <c r="G17">
        <v>1.1446585247339301E-2</v>
      </c>
      <c r="H17">
        <v>0.117701320392359</v>
      </c>
      <c r="I17">
        <v>2.7089020072064598E-3</v>
      </c>
      <c r="J17">
        <v>11.615349447115101</v>
      </c>
      <c r="K17">
        <v>0.98625085021739001</v>
      </c>
      <c r="L17">
        <v>1.4663530860974201</v>
      </c>
      <c r="O17">
        <v>693.05823889272597</v>
      </c>
      <c r="P17">
        <v>3.14008511544802E-2</v>
      </c>
      <c r="S17">
        <v>3.0226326306102602</v>
      </c>
      <c r="T17">
        <v>6.8950160628618307E-2</v>
      </c>
      <c r="U17">
        <v>1.9182000055018001E-3</v>
      </c>
    </row>
    <row r="18" spans="1:21" x14ac:dyDescent="0.35">
      <c r="A18" t="s">
        <v>992</v>
      </c>
      <c r="B18" t="s">
        <v>991</v>
      </c>
      <c r="D18">
        <v>0</v>
      </c>
      <c r="E18">
        <v>0</v>
      </c>
      <c r="F18">
        <v>3.9453692059911701E-3</v>
      </c>
      <c r="G18">
        <v>4.0766752461225399E-4</v>
      </c>
      <c r="H18">
        <v>1.5500050859337199E-3</v>
      </c>
      <c r="I18">
        <v>4.6902221803808697E-5</v>
      </c>
      <c r="J18">
        <v>0.20191316650112101</v>
      </c>
      <c r="K18">
        <v>2.6086128539126799E-2</v>
      </c>
      <c r="L18">
        <v>3.3693763408430299E-3</v>
      </c>
      <c r="O18">
        <v>14.1523854482695</v>
      </c>
      <c r="P18">
        <v>6.8387659675921597E-4</v>
      </c>
      <c r="S18">
        <v>5.4435942570134399E-2</v>
      </c>
      <c r="T18">
        <v>1.7507497800547001E-4</v>
      </c>
      <c r="U18">
        <v>1.4039000040266799E-9</v>
      </c>
    </row>
    <row r="19" spans="1:21" x14ac:dyDescent="0.35">
      <c r="A19" t="s">
        <v>993</v>
      </c>
      <c r="B19" t="s">
        <v>991</v>
      </c>
      <c r="D19">
        <v>0</v>
      </c>
      <c r="E19">
        <v>0</v>
      </c>
      <c r="F19">
        <v>6.2724483585196696E-3</v>
      </c>
      <c r="G19">
        <v>5.4072096173586202E-4</v>
      </c>
      <c r="H19">
        <v>2.0608762346478599E-3</v>
      </c>
      <c r="I19">
        <v>6.4216821562492797E-5</v>
      </c>
      <c r="J19">
        <v>0.25998920373857398</v>
      </c>
      <c r="K19">
        <v>3.6340013047248099E-2</v>
      </c>
      <c r="L19">
        <v>5.4021336856303398E-3</v>
      </c>
      <c r="O19">
        <v>18.1058713810779</v>
      </c>
      <c r="P19">
        <v>9.03345392254992E-4</v>
      </c>
      <c r="S19">
        <v>7.1402113938475106E-2</v>
      </c>
      <c r="T19">
        <v>2.6668052050771499E-4</v>
      </c>
      <c r="U19">
        <v>3.3360000095683502E-7</v>
      </c>
    </row>
    <row r="20" spans="1:21" x14ac:dyDescent="0.35">
      <c r="A20" t="s">
        <v>994</v>
      </c>
      <c r="B20" t="s">
        <v>991</v>
      </c>
      <c r="D20">
        <v>0</v>
      </c>
      <c r="E20">
        <v>0</v>
      </c>
      <c r="F20">
        <v>5.05849176386993E-3</v>
      </c>
      <c r="G20">
        <v>6.4625449329997896E-4</v>
      </c>
      <c r="H20">
        <v>3.04868324927104E-3</v>
      </c>
      <c r="I20">
        <v>2.6775700885824002E-4</v>
      </c>
      <c r="J20">
        <v>7.2660270493157403E-2</v>
      </c>
      <c r="K20">
        <v>7.1016833643759006E-2</v>
      </c>
      <c r="L20">
        <v>3.0935062292335798E-3</v>
      </c>
      <c r="O20">
        <v>2.2829045330893201</v>
      </c>
      <c r="P20">
        <v>2.1374092432198798E-3</v>
      </c>
      <c r="S20">
        <v>0.10689906813998699</v>
      </c>
      <c r="T20">
        <v>2.42758445945427E-4</v>
      </c>
      <c r="U20">
        <v>9.6744000277482206E-8</v>
      </c>
    </row>
    <row r="21" spans="1:21" x14ac:dyDescent="0.35">
      <c r="A21" t="s">
        <v>995</v>
      </c>
      <c r="B21" t="s">
        <v>991</v>
      </c>
      <c r="D21">
        <v>0</v>
      </c>
      <c r="E21" s="63">
        <v>0</v>
      </c>
      <c r="F21">
        <v>0.126184712452619</v>
      </c>
      <c r="G21">
        <v>1.1467700546239801E-2</v>
      </c>
      <c r="H21">
        <v>3.7562501440190701E-2</v>
      </c>
      <c r="I21">
        <v>1.5629987405469501E-3</v>
      </c>
      <c r="J21">
        <v>3.3848936531264302</v>
      </c>
      <c r="K21">
        <v>1.2175706111245399</v>
      </c>
      <c r="L21">
        <v>0.35734367935667899</v>
      </c>
      <c r="O21">
        <v>205.038435744949</v>
      </c>
      <c r="P21">
        <v>1.6551614751022899E-2</v>
      </c>
      <c r="S21">
        <v>3.1276847206530598</v>
      </c>
      <c r="T21">
        <v>4.5259660802639701E-3</v>
      </c>
      <c r="U21">
        <v>3.4472000098873002E-5</v>
      </c>
    </row>
    <row r="22" spans="1:21" x14ac:dyDescent="0.35">
      <c r="A22" t="s">
        <v>996</v>
      </c>
      <c r="B22" t="s">
        <v>997</v>
      </c>
      <c r="D22">
        <v>0</v>
      </c>
      <c r="E22">
        <v>0</v>
      </c>
      <c r="F22">
        <v>1.1147989749299401E-2</v>
      </c>
      <c r="G22">
        <v>3.1543407711095701E-4</v>
      </c>
      <c r="H22">
        <v>2.1308417791454201E-3</v>
      </c>
      <c r="I22">
        <v>1.70904830448506E-5</v>
      </c>
      <c r="J22">
        <v>0.10603635555306</v>
      </c>
      <c r="K22">
        <v>1.07495858586909E-2</v>
      </c>
      <c r="L22">
        <v>0.67927654605467103</v>
      </c>
      <c r="O22">
        <v>0.62898690445818695</v>
      </c>
      <c r="P22">
        <v>3.0929626825198402E-4</v>
      </c>
      <c r="S22">
        <v>2.81202991365977E-2</v>
      </c>
      <c r="T22">
        <v>9.9905136019498792E-4</v>
      </c>
      <c r="U22">
        <v>0</v>
      </c>
    </row>
    <row r="23" spans="1:21" x14ac:dyDescent="0.35">
      <c r="A23" t="s">
        <v>998</v>
      </c>
      <c r="B23" t="s">
        <v>999</v>
      </c>
      <c r="D23">
        <v>0</v>
      </c>
      <c r="E23">
        <v>0</v>
      </c>
      <c r="F23">
        <v>5.7939159228154104E-4</v>
      </c>
      <c r="G23">
        <v>2.4197140916789599E-5</v>
      </c>
      <c r="H23">
        <v>1.96503261297905E-4</v>
      </c>
      <c r="I23">
        <v>8.1240748883958797E-6</v>
      </c>
      <c r="J23">
        <v>2.7485032767808001E-2</v>
      </c>
      <c r="K23">
        <v>3.5707932924115301E-4</v>
      </c>
      <c r="L23">
        <v>2.98869081695264E-4</v>
      </c>
      <c r="O23">
        <v>3.9215655944172498</v>
      </c>
      <c r="P23">
        <v>1.4101361792991701E-4</v>
      </c>
      <c r="S23">
        <v>1.0583704387099799E-2</v>
      </c>
      <c r="T23">
        <v>2.6521663838926899E-5</v>
      </c>
      <c r="U23">
        <v>0</v>
      </c>
    </row>
    <row r="24" spans="1:21" x14ac:dyDescent="0.35">
      <c r="A24" t="s">
        <v>1000</v>
      </c>
      <c r="B24" t="s">
        <v>1001</v>
      </c>
      <c r="D24">
        <v>0</v>
      </c>
      <c r="E24">
        <v>0</v>
      </c>
      <c r="F24">
        <v>4.44325438173837E-2</v>
      </c>
      <c r="G24">
        <v>2.3138863693748101E-3</v>
      </c>
      <c r="H24">
        <v>9.0658304343105497E-3</v>
      </c>
      <c r="I24">
        <v>3.7935310826156901E-4</v>
      </c>
      <c r="J24">
        <v>0.277542730871355</v>
      </c>
      <c r="K24">
        <v>0.30879096012851298</v>
      </c>
      <c r="L24">
        <v>1.44909138535922E-2</v>
      </c>
      <c r="O24">
        <v>3.24835311891511</v>
      </c>
      <c r="P24">
        <v>5.2902154095011197E-3</v>
      </c>
      <c r="S24">
        <v>0.12531976075457399</v>
      </c>
      <c r="T24">
        <v>4.4317541825785204E-3</v>
      </c>
      <c r="U24">
        <v>0</v>
      </c>
    </row>
    <row r="25" spans="1:21" x14ac:dyDescent="0.35">
      <c r="A25" t="s">
        <v>1002</v>
      </c>
      <c r="B25" t="s">
        <v>1003</v>
      </c>
      <c r="D25">
        <v>0</v>
      </c>
      <c r="E25">
        <v>0</v>
      </c>
      <c r="F25">
        <v>4.3805742598026999E-4</v>
      </c>
      <c r="G25">
        <v>1.48025430532936E-4</v>
      </c>
      <c r="H25">
        <v>1.5390845056504899E-4</v>
      </c>
      <c r="I25">
        <v>1.01123519977568E-3</v>
      </c>
      <c r="J25">
        <v>4.6785017575815199E-2</v>
      </c>
      <c r="K25">
        <v>3.3730684249886301E-3</v>
      </c>
      <c r="L25">
        <v>1.57032095200602E-4</v>
      </c>
      <c r="N25" s="63">
        <v>0.9052</v>
      </c>
      <c r="O25">
        <v>0.14257388130339199</v>
      </c>
      <c r="P25">
        <v>1.46871221430531E-4</v>
      </c>
      <c r="S25">
        <v>-0.89523327239583905</v>
      </c>
      <c r="T25">
        <v>1.64928301944395E-4</v>
      </c>
      <c r="U25">
        <v>0</v>
      </c>
    </row>
    <row r="27" spans="1:21" x14ac:dyDescent="0.35">
      <c r="D27" t="s">
        <v>1039</v>
      </c>
      <c r="E27" t="s">
        <v>1042</v>
      </c>
      <c r="F27" t="s">
        <v>1004</v>
      </c>
      <c r="G27" t="s">
        <v>1005</v>
      </c>
      <c r="H27" t="s">
        <v>1006</v>
      </c>
      <c r="I27" t="s">
        <v>1007</v>
      </c>
      <c r="J27" t="s">
        <v>1033</v>
      </c>
      <c r="K27" t="s">
        <v>1008</v>
      </c>
      <c r="L27" t="s">
        <v>1009</v>
      </c>
      <c r="N27" t="s">
        <v>1010</v>
      </c>
      <c r="O27" t="s">
        <v>1011</v>
      </c>
      <c r="P27" t="s">
        <v>1012</v>
      </c>
      <c r="Q27" t="s">
        <v>1013</v>
      </c>
    </row>
    <row r="28" spans="1:21" x14ac:dyDescent="0.35">
      <c r="D28">
        <f>'mass balances '!D5*8000</f>
        <v>250000000</v>
      </c>
      <c r="E28" s="98">
        <f>'mass balances '!D5*8000</f>
        <v>250000000</v>
      </c>
      <c r="F28">
        <f>'mass balances '!D5*8000*100/1000</f>
        <v>25000000</v>
      </c>
      <c r="G28">
        <f>'mass balances '!D5*8000</f>
        <v>250000000</v>
      </c>
      <c r="H28">
        <f>'mass balances '!D5*8000*450/1000</f>
        <v>112500000</v>
      </c>
      <c r="I28">
        <f>Yields!C15*'mass balances '!D6*8000</f>
        <v>711656186.43152559</v>
      </c>
      <c r="J28">
        <f>'mass balances '!D6*0.05*8000</f>
        <v>11525000</v>
      </c>
      <c r="K28" s="98">
        <f>Yields!C19*'mass balances '!D6*8000</f>
        <v>45166894.593015678</v>
      </c>
      <c r="N28">
        <f>Yields!C32*8000*'mass balances '!D6</f>
        <v>2902867.2</v>
      </c>
      <c r="O28">
        <f>'mass balances '!H113*8000</f>
        <v>31107.353544179376</v>
      </c>
      <c r="P28">
        <f>'mass balances '!B190*'Refinery '!B10*8000/1000</f>
        <v>341177.28416637279</v>
      </c>
      <c r="Q28">
        <f>'mass balances '!B190*8000*37.68</f>
        <v>642778003.36944628</v>
      </c>
    </row>
    <row r="32" spans="1:21" x14ac:dyDescent="0.35">
      <c r="D32">
        <f>D28*D8</f>
        <v>-12500000.000000011</v>
      </c>
      <c r="E32">
        <f>(E8*$E$28)</f>
        <v>1550518.8713712776</v>
      </c>
      <c r="F32">
        <f>F8*$F$28</f>
        <v>3381334.0648037503</v>
      </c>
      <c r="G32">
        <f>G8*$G$28</f>
        <v>2199481.1286287224</v>
      </c>
      <c r="H32">
        <f>H8*$H$28</f>
        <v>3647943.4708022061</v>
      </c>
      <c r="I32">
        <f>I8*$I$28</f>
        <v>992016.76300296839</v>
      </c>
      <c r="J32">
        <f>J8*$J$28</f>
        <v>15322393.290669151</v>
      </c>
      <c r="K32">
        <f>L8*$K$28</f>
        <v>2593030.9552620812</v>
      </c>
      <c r="L32">
        <f>$K$28*(K8-L8)</f>
        <v>44705956.610916547</v>
      </c>
      <c r="M32">
        <f>M8*$M$28</f>
        <v>0</v>
      </c>
      <c r="N32">
        <f>N8*$N$28</f>
        <v>2243916.3456000001</v>
      </c>
      <c r="O32">
        <f>O8*$O$28</f>
        <v>425944.87067550974</v>
      </c>
      <c r="P32">
        <f>P8*$P$28</f>
        <v>7224.1873078770595</v>
      </c>
      <c r="Q32">
        <f>Q8*$Q$28</f>
        <v>964167.00505416945</v>
      </c>
    </row>
    <row r="33" spans="4:17" x14ac:dyDescent="0.35">
      <c r="D33">
        <f t="shared" ref="D33:D49" si="0">D29*D9</f>
        <v>0</v>
      </c>
      <c r="E33">
        <f t="shared" ref="E33:E49" si="1">(E9*$E$28)</f>
        <v>0</v>
      </c>
      <c r="F33">
        <f t="shared" ref="F33:F48" si="2">F9*$F$28</f>
        <v>1.7031507381366902</v>
      </c>
      <c r="G33">
        <f t="shared" ref="G33:G49" si="3">G9*$G$28</f>
        <v>1.2185667315915225</v>
      </c>
      <c r="H33">
        <f t="shared" ref="H33:H49" si="4">H9*$H$28</f>
        <v>2.1775147430872841</v>
      </c>
      <c r="I33">
        <f t="shared" ref="I33:I49" si="5">I9*$I$28</f>
        <v>0.65991615082753874</v>
      </c>
      <c r="J33">
        <f t="shared" ref="J33:J49" si="6">J9*$J$28</f>
        <v>4.8859328827675155</v>
      </c>
      <c r="K33">
        <f t="shared" ref="K33:K49" si="7">L9*$K$28</f>
        <v>19.719813078077262</v>
      </c>
      <c r="L33">
        <f t="shared" ref="L33:L49" si="8">$K$28*(K9-L9)</f>
        <v>17.69444132232638</v>
      </c>
      <c r="M33">
        <f t="shared" ref="M33:M49" si="9">M9*$M$28</f>
        <v>0</v>
      </c>
      <c r="N33">
        <f t="shared" ref="N33:N49" si="10">N9*$N$28</f>
        <v>0.13306452958080001</v>
      </c>
      <c r="O33">
        <f t="shared" ref="O33:O49" si="11">O9*$O$28</f>
        <v>0.71566845762059461</v>
      </c>
      <c r="P33">
        <f t="shared" ref="P33:P49" si="12">P9*$P$28</f>
        <v>2.7151693219878759E-3</v>
      </c>
      <c r="Q33">
        <f t="shared" ref="Q33:Q49" si="13">Q9*$Q$28</f>
        <v>0</v>
      </c>
    </row>
    <row r="34" spans="4:17" x14ac:dyDescent="0.35">
      <c r="D34">
        <f t="shared" si="0"/>
        <v>0</v>
      </c>
      <c r="E34">
        <f t="shared" si="1"/>
        <v>0</v>
      </c>
      <c r="F34">
        <f t="shared" si="2"/>
        <v>68028.28321968751</v>
      </c>
      <c r="G34">
        <f t="shared" si="3"/>
        <v>1065469.4163481975</v>
      </c>
      <c r="H34">
        <f t="shared" si="4"/>
        <v>179008.481884743</v>
      </c>
      <c r="I34">
        <f t="shared" si="5"/>
        <v>39654.034744913683</v>
      </c>
      <c r="J34">
        <f t="shared" si="6"/>
        <v>581374.77214848832</v>
      </c>
      <c r="K34">
        <f t="shared" si="7"/>
        <v>42249.184970997274</v>
      </c>
      <c r="L34">
        <f t="shared" si="8"/>
        <v>2104806.1196663729</v>
      </c>
      <c r="M34">
        <f t="shared" si="9"/>
        <v>0</v>
      </c>
      <c r="N34">
        <f t="shared" si="10"/>
        <v>0</v>
      </c>
      <c r="O34">
        <f t="shared" si="11"/>
        <v>23149.55694887046</v>
      </c>
      <c r="P34">
        <f t="shared" si="12"/>
        <v>468.68417726159277</v>
      </c>
      <c r="Q34">
        <f t="shared" si="13"/>
        <v>0</v>
      </c>
    </row>
    <row r="35" spans="4:17" x14ac:dyDescent="0.35">
      <c r="D35">
        <f t="shared" si="0"/>
        <v>0</v>
      </c>
      <c r="E35">
        <f t="shared" si="1"/>
        <v>0</v>
      </c>
      <c r="F35">
        <f t="shared" si="2"/>
        <v>25008.219245497254</v>
      </c>
      <c r="G35">
        <f t="shared" si="3"/>
        <v>4104.1042814674747</v>
      </c>
      <c r="H35">
        <f t="shared" si="4"/>
        <v>15766.725453203699</v>
      </c>
      <c r="I35">
        <f t="shared" si="5"/>
        <v>3847.5623860270293</v>
      </c>
      <c r="J35">
        <f t="shared" si="6"/>
        <v>42276.757318833239</v>
      </c>
      <c r="K35">
        <f t="shared" si="7"/>
        <v>120008.63765497171</v>
      </c>
      <c r="L35">
        <f t="shared" si="8"/>
        <v>88498.477257372564</v>
      </c>
      <c r="M35">
        <f t="shared" si="9"/>
        <v>0</v>
      </c>
      <c r="N35">
        <f t="shared" si="10"/>
        <v>0</v>
      </c>
      <c r="O35">
        <f t="shared" si="11"/>
        <v>3041.3453458980298</v>
      </c>
      <c r="P35">
        <f t="shared" si="12"/>
        <v>23.933769996039608</v>
      </c>
      <c r="Q35">
        <f t="shared" si="13"/>
        <v>0</v>
      </c>
    </row>
    <row r="36" spans="4:17" x14ac:dyDescent="0.35">
      <c r="D36">
        <f t="shared" si="0"/>
        <v>0</v>
      </c>
      <c r="E36">
        <f t="shared" si="1"/>
        <v>0</v>
      </c>
      <c r="F36">
        <f t="shared" si="2"/>
        <v>6283.0106489029504</v>
      </c>
      <c r="G36">
        <f t="shared" si="3"/>
        <v>3357.4082212676249</v>
      </c>
      <c r="H36">
        <f t="shared" si="4"/>
        <v>8606.9583103634322</v>
      </c>
      <c r="I36">
        <f t="shared" si="5"/>
        <v>2490.4426146331307</v>
      </c>
      <c r="J36">
        <f t="shared" si="6"/>
        <v>41289.518657236964</v>
      </c>
      <c r="K36">
        <f t="shared" si="7"/>
        <v>33898.283259826967</v>
      </c>
      <c r="L36">
        <f t="shared" si="8"/>
        <v>102084.81276877789</v>
      </c>
      <c r="M36">
        <f t="shared" si="9"/>
        <v>0</v>
      </c>
      <c r="N36">
        <f t="shared" si="10"/>
        <v>0</v>
      </c>
      <c r="O36">
        <f t="shared" si="11"/>
        <v>24836.237483544679</v>
      </c>
      <c r="P36">
        <f t="shared" si="12"/>
        <v>16.266043184181406</v>
      </c>
      <c r="Q36">
        <f t="shared" si="13"/>
        <v>0</v>
      </c>
    </row>
    <row r="37" spans="4:17" x14ac:dyDescent="0.35">
      <c r="D37">
        <f t="shared" si="0"/>
        <v>0</v>
      </c>
      <c r="E37">
        <f t="shared" si="1"/>
        <v>0</v>
      </c>
      <c r="F37">
        <f t="shared" si="2"/>
        <v>25454.112008471751</v>
      </c>
      <c r="G37">
        <f t="shared" si="3"/>
        <v>4155.5803442172755</v>
      </c>
      <c r="H37">
        <f t="shared" si="4"/>
        <v>15955.206493353975</v>
      </c>
      <c r="I37">
        <f t="shared" si="5"/>
        <v>3884.8625317448532</v>
      </c>
      <c r="J37">
        <f t="shared" si="6"/>
        <v>42836.82024319427</v>
      </c>
      <c r="K37">
        <f t="shared" si="7"/>
        <v>120922.88115920237</v>
      </c>
      <c r="L37">
        <f t="shared" si="8"/>
        <v>88112.986807294132</v>
      </c>
      <c r="M37">
        <f t="shared" si="9"/>
        <v>0</v>
      </c>
      <c r="N37">
        <f t="shared" si="10"/>
        <v>0</v>
      </c>
      <c r="O37">
        <f t="shared" si="11"/>
        <v>3097.7714791730691</v>
      </c>
      <c r="P37">
        <f t="shared" si="12"/>
        <v>24.360593075018137</v>
      </c>
      <c r="Q37">
        <f t="shared" si="13"/>
        <v>1128874.2771461373</v>
      </c>
    </row>
    <row r="38" spans="4:17" x14ac:dyDescent="0.35">
      <c r="D38">
        <f t="shared" si="0"/>
        <v>0</v>
      </c>
      <c r="E38">
        <f t="shared" si="1"/>
        <v>0</v>
      </c>
      <c r="F38">
        <f t="shared" si="2"/>
        <v>15711.389971520024</v>
      </c>
      <c r="G38">
        <f t="shared" si="3"/>
        <v>8327.6185822888492</v>
      </c>
      <c r="H38">
        <f t="shared" si="4"/>
        <v>23930.345233251224</v>
      </c>
      <c r="I38">
        <f t="shared" si="5"/>
        <v>7671.278246806356</v>
      </c>
      <c r="J38">
        <f t="shared" si="6"/>
        <v>136679.92421891619</v>
      </c>
      <c r="K38">
        <f t="shared" si="7"/>
        <v>50509.749107585172</v>
      </c>
      <c r="L38">
        <f t="shared" si="8"/>
        <v>401204.07877966919</v>
      </c>
      <c r="M38">
        <f t="shared" si="9"/>
        <v>0</v>
      </c>
      <c r="N38">
        <f t="shared" si="10"/>
        <v>0</v>
      </c>
      <c r="O38">
        <f t="shared" si="11"/>
        <v>83555.97527892729</v>
      </c>
      <c r="P38">
        <f t="shared" si="12"/>
        <v>25.411175253521201</v>
      </c>
      <c r="Q38">
        <f t="shared" si="13"/>
        <v>1974.2467246347283</v>
      </c>
    </row>
    <row r="39" spans="4:17" x14ac:dyDescent="0.35">
      <c r="D39">
        <f t="shared" si="0"/>
        <v>0</v>
      </c>
      <c r="E39">
        <f t="shared" si="1"/>
        <v>0</v>
      </c>
      <c r="F39">
        <f t="shared" si="2"/>
        <v>818.15161742623502</v>
      </c>
      <c r="G39">
        <f t="shared" si="3"/>
        <v>2101.0957572940197</v>
      </c>
      <c r="H39">
        <f t="shared" si="4"/>
        <v>1924.5704918406411</v>
      </c>
      <c r="I39">
        <f t="shared" si="5"/>
        <v>596.04732158540628</v>
      </c>
      <c r="J39">
        <f t="shared" si="6"/>
        <v>7822.281521705956</v>
      </c>
      <c r="K39">
        <f t="shared" si="7"/>
        <v>652.47614120232265</v>
      </c>
      <c r="L39">
        <f t="shared" si="8"/>
        <v>33563.345327822368</v>
      </c>
      <c r="M39">
        <f t="shared" si="9"/>
        <v>0</v>
      </c>
      <c r="N39">
        <f t="shared" si="10"/>
        <v>0</v>
      </c>
      <c r="O39">
        <f t="shared" si="11"/>
        <v>632.62382466518409</v>
      </c>
      <c r="P39">
        <f t="shared" si="12"/>
        <v>3.0087092669680531</v>
      </c>
      <c r="Q39">
        <f t="shared" si="13"/>
        <v>0</v>
      </c>
    </row>
    <row r="40" spans="4:17" x14ac:dyDescent="0.35">
      <c r="D40">
        <f t="shared" si="0"/>
        <v>0</v>
      </c>
      <c r="E40">
        <f t="shared" si="1"/>
        <v>0</v>
      </c>
      <c r="F40">
        <f t="shared" si="2"/>
        <v>55.790393475953749</v>
      </c>
      <c r="G40">
        <f t="shared" si="3"/>
        <v>149.48325626837752</v>
      </c>
      <c r="H40">
        <f t="shared" si="4"/>
        <v>122.84489289217161</v>
      </c>
      <c r="I40">
        <f t="shared" si="5"/>
        <v>45.837448835203453</v>
      </c>
      <c r="J40">
        <f t="shared" si="6"/>
        <v>491.40987448394088</v>
      </c>
      <c r="K40">
        <f t="shared" si="7"/>
        <v>65.369109455879723</v>
      </c>
      <c r="L40">
        <f t="shared" si="8"/>
        <v>2012.0659353515089</v>
      </c>
      <c r="M40">
        <f t="shared" si="9"/>
        <v>0</v>
      </c>
      <c r="N40">
        <f t="shared" si="10"/>
        <v>2799.3016069056002</v>
      </c>
      <c r="O40">
        <f t="shared" si="11"/>
        <v>42.35569422524479</v>
      </c>
      <c r="P40">
        <f t="shared" si="12"/>
        <v>0.22026544579480958</v>
      </c>
      <c r="Q40">
        <f t="shared" si="13"/>
        <v>0</v>
      </c>
    </row>
    <row r="41" spans="4:17" x14ac:dyDescent="0.35">
      <c r="D41">
        <f t="shared" si="0"/>
        <v>0</v>
      </c>
      <c r="E41">
        <f t="shared" si="1"/>
        <v>0</v>
      </c>
      <c r="F41">
        <f>F17*$F$28</f>
        <v>50730557.813294999</v>
      </c>
      <c r="G41">
        <f t="shared" si="3"/>
        <v>2861646.3118348252</v>
      </c>
      <c r="H41">
        <f t="shared" si="4"/>
        <v>13241398.544140387</v>
      </c>
      <c r="I41">
        <f t="shared" si="5"/>
        <v>1927806.8718652544</v>
      </c>
      <c r="J41">
        <f t="shared" si="6"/>
        <v>133866902.37800154</v>
      </c>
      <c r="K41">
        <f t="shared" si="7"/>
        <v>66230615.275905415</v>
      </c>
      <c r="L41">
        <f t="shared" si="8"/>
        <v>-21684727.081864469</v>
      </c>
      <c r="M41">
        <f t="shared" si="9"/>
        <v>0</v>
      </c>
      <c r="N41">
        <f t="shared" si="10"/>
        <v>0</v>
      </c>
      <c r="O41">
        <f t="shared" si="11"/>
        <v>21559207.663942356</v>
      </c>
      <c r="P41">
        <f t="shared" si="12"/>
        <v>10713.257117398067</v>
      </c>
      <c r="Q41">
        <f t="shared" si="13"/>
        <v>0</v>
      </c>
    </row>
    <row r="42" spans="4:17" x14ac:dyDescent="0.35">
      <c r="D42">
        <f t="shared" si="0"/>
        <v>0</v>
      </c>
      <c r="E42">
        <f t="shared" si="1"/>
        <v>0</v>
      </c>
      <c r="F42">
        <f t="shared" si="2"/>
        <v>98634.23014977925</v>
      </c>
      <c r="G42">
        <f t="shared" si="3"/>
        <v>101916.8811530635</v>
      </c>
      <c r="H42">
        <f t="shared" si="4"/>
        <v>174375.57216754349</v>
      </c>
      <c r="I42">
        <f t="shared" si="5"/>
        <v>33378.256304064045</v>
      </c>
      <c r="J42">
        <f t="shared" si="6"/>
        <v>2327049.2439254196</v>
      </c>
      <c r="K42">
        <f t="shared" si="7"/>
        <v>152184.26603105801</v>
      </c>
      <c r="L42">
        <f t="shared" si="8"/>
        <v>1026045.1520355401</v>
      </c>
      <c r="M42">
        <f t="shared" si="9"/>
        <v>0</v>
      </c>
      <c r="N42">
        <f t="shared" si="10"/>
        <v>0</v>
      </c>
      <c r="O42">
        <f t="shared" si="11"/>
        <v>440243.25763281889</v>
      </c>
      <c r="P42">
        <f t="shared" si="12"/>
        <v>233.32315998725096</v>
      </c>
      <c r="Q42">
        <f t="shared" si="13"/>
        <v>0</v>
      </c>
    </row>
    <row r="43" spans="4:17" x14ac:dyDescent="0.35">
      <c r="D43">
        <f t="shared" si="0"/>
        <v>0</v>
      </c>
      <c r="E43">
        <f t="shared" si="1"/>
        <v>0</v>
      </c>
      <c r="F43">
        <f>F19*$F$28</f>
        <v>156811.20896299175</v>
      </c>
      <c r="G43">
        <f t="shared" si="3"/>
        <v>135180.24043396552</v>
      </c>
      <c r="H43">
        <f t="shared" si="4"/>
        <v>231848.57639788423</v>
      </c>
      <c r="I43">
        <f t="shared" si="5"/>
        <v>45700.298337917389</v>
      </c>
      <c r="J43">
        <f t="shared" si="6"/>
        <v>2996375.573087065</v>
      </c>
      <c r="K43">
        <f t="shared" si="7"/>
        <v>243997.60275624486</v>
      </c>
      <c r="L43">
        <f t="shared" si="8"/>
        <v>1397367.9360576244</v>
      </c>
      <c r="M43">
        <f t="shared" si="9"/>
        <v>0</v>
      </c>
      <c r="N43">
        <f t="shared" si="10"/>
        <v>0</v>
      </c>
      <c r="O43">
        <f t="shared" si="11"/>
        <v>563225.74227662955</v>
      </c>
      <c r="P43">
        <f t="shared" si="12"/>
        <v>308.2009275937649</v>
      </c>
      <c r="Q43">
        <f t="shared" si="13"/>
        <v>0</v>
      </c>
    </row>
    <row r="44" spans="4:17" x14ac:dyDescent="0.35">
      <c r="D44">
        <f t="shared" si="0"/>
        <v>0</v>
      </c>
      <c r="E44">
        <f t="shared" si="1"/>
        <v>0</v>
      </c>
      <c r="F44">
        <f t="shared" si="2"/>
        <v>126462.29409674826</v>
      </c>
      <c r="G44">
        <f t="shared" si="3"/>
        <v>161563.62332499473</v>
      </c>
      <c r="H44">
        <f t="shared" si="4"/>
        <v>342976.86554299202</v>
      </c>
      <c r="I44">
        <f t="shared" si="5"/>
        <v>190550.9318143673</v>
      </c>
      <c r="J44">
        <f t="shared" si="6"/>
        <v>837409.61743363901</v>
      </c>
      <c r="K44">
        <f t="shared" si="7"/>
        <v>139724.06977863048</v>
      </c>
      <c r="L44">
        <f t="shared" si="8"/>
        <v>3067885.7697387617</v>
      </c>
      <c r="M44">
        <f t="shared" si="9"/>
        <v>0</v>
      </c>
      <c r="N44">
        <f t="shared" si="10"/>
        <v>0</v>
      </c>
      <c r="O44">
        <f t="shared" si="11"/>
        <v>71015.118418419224</v>
      </c>
      <c r="P44">
        <f t="shared" si="12"/>
        <v>729.23548075386077</v>
      </c>
      <c r="Q44">
        <f t="shared" si="13"/>
        <v>0</v>
      </c>
    </row>
    <row r="45" spans="4:17" x14ac:dyDescent="0.35">
      <c r="D45">
        <f t="shared" si="0"/>
        <v>0</v>
      </c>
      <c r="E45">
        <f t="shared" si="1"/>
        <v>0</v>
      </c>
      <c r="F45">
        <f t="shared" si="2"/>
        <v>3154617.811315475</v>
      </c>
      <c r="G45">
        <f t="shared" si="3"/>
        <v>2866925.1365599502</v>
      </c>
      <c r="H45">
        <f t="shared" si="4"/>
        <v>4225781.4120214535</v>
      </c>
      <c r="I45">
        <f t="shared" si="5"/>
        <v>1112317.7230949199</v>
      </c>
      <c r="J45">
        <f t="shared" si="6"/>
        <v>39010899.352282107</v>
      </c>
      <c r="K45">
        <f t="shared" si="7"/>
        <v>16140104.298983512</v>
      </c>
      <c r="L45">
        <f t="shared" si="8"/>
        <v>38853779.153232262</v>
      </c>
      <c r="M45">
        <f t="shared" si="9"/>
        <v>0</v>
      </c>
      <c r="N45">
        <f t="shared" si="10"/>
        <v>0</v>
      </c>
      <c r="O45">
        <f t="shared" si="11"/>
        <v>6378203.1108636344</v>
      </c>
      <c r="P45">
        <f t="shared" si="12"/>
        <v>5647.0349693220669</v>
      </c>
      <c r="Q45">
        <f t="shared" si="13"/>
        <v>0</v>
      </c>
    </row>
    <row r="46" spans="4:17" x14ac:dyDescent="0.35">
      <c r="D46">
        <f t="shared" si="0"/>
        <v>0</v>
      </c>
      <c r="E46">
        <f t="shared" si="1"/>
        <v>0</v>
      </c>
      <c r="F46">
        <f>F22*$F$28</f>
        <v>278699.74373248505</v>
      </c>
      <c r="G46">
        <f t="shared" si="3"/>
        <v>78858.519277739251</v>
      </c>
      <c r="H46">
        <f t="shared" si="4"/>
        <v>239719.70015385977</v>
      </c>
      <c r="I46">
        <f t="shared" si="5"/>
        <v>12162.547987971026</v>
      </c>
      <c r="J46">
        <f t="shared" si="6"/>
        <v>1222068.9977490164</v>
      </c>
      <c r="K46">
        <f t="shared" si="7"/>
        <v>30680812.155159086</v>
      </c>
      <c r="L46">
        <f t="shared" si="8"/>
        <v>-30195286.743761022</v>
      </c>
      <c r="M46">
        <f t="shared" si="9"/>
        <v>0</v>
      </c>
      <c r="N46">
        <f t="shared" si="10"/>
        <v>0</v>
      </c>
      <c r="O46">
        <f t="shared" si="11"/>
        <v>19566.118011639795</v>
      </c>
      <c r="P46">
        <f t="shared" si="12"/>
        <v>105.52486080500582</v>
      </c>
      <c r="Q46">
        <f t="shared" si="13"/>
        <v>0</v>
      </c>
    </row>
    <row r="47" spans="4:17" x14ac:dyDescent="0.35">
      <c r="D47">
        <f t="shared" si="0"/>
        <v>0</v>
      </c>
      <c r="E47">
        <f t="shared" si="1"/>
        <v>0</v>
      </c>
      <c r="F47">
        <f t="shared" si="2"/>
        <v>14484.789807038525</v>
      </c>
      <c r="G47">
        <f t="shared" si="3"/>
        <v>6049.2852291973995</v>
      </c>
      <c r="H47">
        <f t="shared" si="4"/>
        <v>22106.616896014311</v>
      </c>
      <c r="I47">
        <f t="shared" si="5"/>
        <v>5781.5481533599332</v>
      </c>
      <c r="J47">
        <f t="shared" si="6"/>
        <v>316765.00264898723</v>
      </c>
      <c r="K47">
        <f t="shared" si="7"/>
        <v>13498.988310041381</v>
      </c>
      <c r="L47">
        <f t="shared" si="8"/>
        <v>2629.1761151385185</v>
      </c>
      <c r="M47">
        <f t="shared" si="9"/>
        <v>0</v>
      </c>
      <c r="N47">
        <f t="shared" si="10"/>
        <v>0</v>
      </c>
      <c r="O47">
        <f t="shared" si="11"/>
        <v>121989.52739222733</v>
      </c>
      <c r="P47">
        <f t="shared" si="12"/>
        <v>48.110643195803618</v>
      </c>
      <c r="Q47">
        <f t="shared" si="13"/>
        <v>0</v>
      </c>
    </row>
    <row r="48" spans="4:17" x14ac:dyDescent="0.35">
      <c r="D48">
        <f t="shared" si="0"/>
        <v>0</v>
      </c>
      <c r="E48">
        <f t="shared" si="1"/>
        <v>0</v>
      </c>
      <c r="F48">
        <f t="shared" si="2"/>
        <v>1110813.5954345926</v>
      </c>
      <c r="G48">
        <f t="shared" si="3"/>
        <v>578471.59234370256</v>
      </c>
      <c r="H48">
        <f t="shared" si="4"/>
        <v>1019905.9238599369</v>
      </c>
      <c r="I48">
        <f t="shared" si="5"/>
        <v>269968.98633637384</v>
      </c>
      <c r="J48">
        <f t="shared" si="6"/>
        <v>3198679.9732923666</v>
      </c>
      <c r="K48">
        <f t="shared" si="7"/>
        <v>654509.57858166948</v>
      </c>
      <c r="L48">
        <f t="shared" si="8"/>
        <v>13292619.168818984</v>
      </c>
      <c r="M48">
        <f t="shared" si="9"/>
        <v>0</v>
      </c>
      <c r="N48">
        <f t="shared" si="10"/>
        <v>0</v>
      </c>
      <c r="O48">
        <f t="shared" si="11"/>
        <v>101047.66890643007</v>
      </c>
      <c r="P48">
        <f t="shared" si="12"/>
        <v>1804.9013260686877</v>
      </c>
      <c r="Q48">
        <f t="shared" si="13"/>
        <v>0</v>
      </c>
    </row>
    <row r="49" spans="4:18" x14ac:dyDescent="0.35">
      <c r="D49">
        <f t="shared" si="0"/>
        <v>0</v>
      </c>
      <c r="E49">
        <f t="shared" si="1"/>
        <v>0</v>
      </c>
      <c r="F49">
        <f>F25*$F$28</f>
        <v>10951.43564950675</v>
      </c>
      <c r="G49">
        <f t="shared" si="3"/>
        <v>37006.357633234002</v>
      </c>
      <c r="H49">
        <f t="shared" si="4"/>
        <v>17314.700688568013</v>
      </c>
      <c r="I49">
        <f t="shared" si="5"/>
        <v>719651.78585768235</v>
      </c>
      <c r="J49">
        <f t="shared" si="6"/>
        <v>539197.32756127021</v>
      </c>
      <c r="K49">
        <f t="shared" si="7"/>
        <v>7092.6520916459931</v>
      </c>
      <c r="L49">
        <f t="shared" si="8"/>
        <v>145258.37391484488</v>
      </c>
      <c r="M49">
        <f t="shared" si="9"/>
        <v>0</v>
      </c>
      <c r="N49">
        <f t="shared" si="10"/>
        <v>2627675.3894400001</v>
      </c>
      <c r="O49">
        <f t="shared" si="11"/>
        <v>4435.0961318704803</v>
      </c>
      <c r="P49">
        <f t="shared" si="12"/>
        <v>50.109124449866535</v>
      </c>
      <c r="Q49">
        <f t="shared" si="13"/>
        <v>0</v>
      </c>
    </row>
    <row r="50" spans="4:18" x14ac:dyDescent="0.35">
      <c r="M50" t="s">
        <v>1014</v>
      </c>
      <c r="N50">
        <f>'mass balances '!G188</f>
        <v>0.24760605174283754</v>
      </c>
    </row>
    <row r="51" spans="4:18" x14ac:dyDescent="0.35">
      <c r="F51" t="s">
        <v>1015</v>
      </c>
      <c r="G51" t="s">
        <v>1016</v>
      </c>
      <c r="H51" t="s">
        <v>1009</v>
      </c>
      <c r="I51" t="s">
        <v>719</v>
      </c>
      <c r="J51" t="s">
        <v>1017</v>
      </c>
      <c r="K51" t="s">
        <v>1018</v>
      </c>
      <c r="L51" t="s">
        <v>1019</v>
      </c>
      <c r="N51" t="s">
        <v>1020</v>
      </c>
      <c r="O51" t="s">
        <v>1021</v>
      </c>
      <c r="P51" t="s">
        <v>1022</v>
      </c>
      <c r="Q51" t="s">
        <v>1017</v>
      </c>
      <c r="R51" t="s">
        <v>1018</v>
      </c>
    </row>
    <row r="52" spans="4:18" x14ac:dyDescent="0.35">
      <c r="F52">
        <f>D32+E32+F32+G32+H32</f>
        <v>-1720722.4643940558</v>
      </c>
      <c r="G52">
        <f>I32+J32+K32</f>
        <v>18907441.0089342</v>
      </c>
      <c r="H52">
        <f>L32</f>
        <v>44705956.610916547</v>
      </c>
      <c r="I52">
        <f>F52+G52-H52+G73+H73+I73</f>
        <v>-25394778.072988983</v>
      </c>
      <c r="J52">
        <f>I52/('mass balances '!$D$136*8000)</f>
        <v>-0.33470732234223405</v>
      </c>
      <c r="K52">
        <f>J52*1000/'Experimental_Bckground data'!$B$31</f>
        <v>-11.231789340343424</v>
      </c>
      <c r="L52">
        <f>N32+O32</f>
        <v>2669861.2162755099</v>
      </c>
      <c r="M52">
        <f>(I52+L52)*$N$50</f>
        <v>-5626826.939075077</v>
      </c>
      <c r="N52">
        <f>P32</f>
        <v>7224.1873078770595</v>
      </c>
      <c r="O52">
        <f>Q32</f>
        <v>964167.00505416945</v>
      </c>
      <c r="P52">
        <f>M52+N52+O52</f>
        <v>-4655435.7467130302</v>
      </c>
      <c r="Q52">
        <f>P52/('mass balances '!$B$190*8000)</f>
        <v>-0.27290420334331744</v>
      </c>
      <c r="R52">
        <f>Q52*1000/37.68</f>
        <v>-7.2426805558205256</v>
      </c>
    </row>
    <row r="53" spans="4:18" x14ac:dyDescent="0.35">
      <c r="F53">
        <f t="shared" ref="F53:F69" si="14">D33+E33+F33+G33+H33</f>
        <v>5.0992322128154974</v>
      </c>
      <c r="G53">
        <f t="shared" ref="G53:G69" si="15">I33+J33+K33</f>
        <v>25.265662111672317</v>
      </c>
      <c r="H53">
        <f t="shared" ref="H53:H69" si="16">L33</f>
        <v>17.69444132232638</v>
      </c>
      <c r="I53">
        <f t="shared" ref="I53:I69" si="17">F53+G53-H53+G74+H74+I74</f>
        <v>13.597330215273685</v>
      </c>
      <c r="J53">
        <f>I53/('mass balances '!$D$136*8000)</f>
        <v>1.7921503288103896E-7</v>
      </c>
      <c r="K53">
        <f>J53*1000/'Experimental_Bckground data'!$B$31</f>
        <v>6.0139272778872135E-6</v>
      </c>
      <c r="L53">
        <f t="shared" ref="L53:L69" si="18">N33+O33</f>
        <v>0.84873298720139467</v>
      </c>
      <c r="M53">
        <f t="shared" ref="M53:M69" si="19">(I53+L53)*$N$50</f>
        <v>3.5769326727923456</v>
      </c>
      <c r="N53">
        <f t="shared" ref="N53:O69" si="20">P33</f>
        <v>2.7151693219878759E-3</v>
      </c>
      <c r="O53">
        <f t="shared" si="20"/>
        <v>0</v>
      </c>
      <c r="P53">
        <f t="shared" ref="P53:P69" si="21">M53+N53+O53</f>
        <v>3.5796478421143334</v>
      </c>
      <c r="Q53">
        <f>P53/('mass balances '!$B$190*8000)</f>
        <v>2.0984092483535583E-7</v>
      </c>
      <c r="R53">
        <f t="shared" ref="R53:R69" si="22">Q53*1000/37.68</f>
        <v>5.5690266676049846E-6</v>
      </c>
    </row>
    <row r="54" spans="4:18" x14ac:dyDescent="0.35">
      <c r="F54">
        <f t="shared" si="14"/>
        <v>1312506.181452628</v>
      </c>
      <c r="G54">
        <f t="shared" si="15"/>
        <v>663277.99186439929</v>
      </c>
      <c r="H54">
        <f t="shared" si="16"/>
        <v>2104806.1196663729</v>
      </c>
      <c r="I54">
        <f t="shared" si="17"/>
        <v>-112223.93688107547</v>
      </c>
      <c r="J54">
        <f>I54/('mass balances '!$D$136*8000)</f>
        <v>-1.4791298159097304E-3</v>
      </c>
      <c r="K54">
        <f>J54*1000/'Experimental_Bckground data'!$B$31</f>
        <v>-4.9635228721803031E-2</v>
      </c>
      <c r="L54">
        <f t="shared" si="18"/>
        <v>23149.55694887046</v>
      </c>
      <c r="M54">
        <f t="shared" si="19"/>
        <v>-22055.355526454721</v>
      </c>
      <c r="N54">
        <f t="shared" si="20"/>
        <v>468.68417726159277</v>
      </c>
      <c r="O54">
        <f t="shared" si="20"/>
        <v>0</v>
      </c>
      <c r="P54">
        <f t="shared" si="21"/>
        <v>-21586.67134919313</v>
      </c>
      <c r="Q54">
        <f>P54/('mass balances '!$B$190*8000)</f>
        <v>-1.2654225442902897E-3</v>
      </c>
      <c r="R54">
        <f t="shared" si="22"/>
        <v>-3.3583400856960981E-2</v>
      </c>
    </row>
    <row r="55" spans="4:18" x14ac:dyDescent="0.35">
      <c r="F55">
        <f t="shared" si="14"/>
        <v>44879.048980168423</v>
      </c>
      <c r="G55">
        <f t="shared" si="15"/>
        <v>166132.95735983198</v>
      </c>
      <c r="H55">
        <f t="shared" si="16"/>
        <v>88498.477257372564</v>
      </c>
      <c r="I55">
        <f t="shared" si="17"/>
        <v>130254.21423256183</v>
      </c>
      <c r="J55">
        <f>I55/('mass balances '!$D$136*8000)</f>
        <v>1.7167718160114277E-3</v>
      </c>
      <c r="K55">
        <f>J55*1000/'Experimental_Bckground data'!$B$31</f>
        <v>5.7609792483604955E-2</v>
      </c>
      <c r="L55">
        <f t="shared" si="18"/>
        <v>3041.3453458980298</v>
      </c>
      <c r="M55">
        <f t="shared" si="19"/>
        <v>33004.787222074614</v>
      </c>
      <c r="N55">
        <f t="shared" si="20"/>
        <v>23.933769996039608</v>
      </c>
      <c r="O55">
        <f t="shared" si="20"/>
        <v>0</v>
      </c>
      <c r="P55">
        <f t="shared" si="21"/>
        <v>33028.720992070652</v>
      </c>
      <c r="Q55">
        <f>P55/('mass balances '!$B$190*8000)</f>
        <v>1.936161785962539E-3</v>
      </c>
      <c r="R55">
        <f t="shared" si="22"/>
        <v>5.1384336145502627E-2</v>
      </c>
    </row>
    <row r="56" spans="4:18" x14ac:dyDescent="0.35">
      <c r="F56">
        <f t="shared" si="14"/>
        <v>18247.377180534007</v>
      </c>
      <c r="G56">
        <f t="shared" si="15"/>
        <v>77678.24453169707</v>
      </c>
      <c r="H56">
        <f t="shared" si="16"/>
        <v>102084.81276877789</v>
      </c>
      <c r="I56">
        <f t="shared" si="17"/>
        <v>2197.9217340259711</v>
      </c>
      <c r="J56">
        <f>I56/('mass balances '!$D$136*8000)</f>
        <v>2.8968967407362932E-5</v>
      </c>
      <c r="K56">
        <f>J56*1000/'Experimental_Bckground data'!$B$31</f>
        <v>9.7211300024707833E-4</v>
      </c>
      <c r="L56">
        <f t="shared" si="18"/>
        <v>24836.237483544679</v>
      </c>
      <c r="M56">
        <f t="shared" si="19"/>
        <v>6693.8214260499062</v>
      </c>
      <c r="N56">
        <f t="shared" si="20"/>
        <v>16.266043184181406</v>
      </c>
      <c r="O56">
        <f t="shared" si="20"/>
        <v>0</v>
      </c>
      <c r="P56">
        <f t="shared" si="21"/>
        <v>6710.0874692340876</v>
      </c>
      <c r="Q56">
        <f>P56/('mass balances '!$B$190*8000)</f>
        <v>3.9334901710290647E-4</v>
      </c>
      <c r="R56">
        <f t="shared" si="22"/>
        <v>1.0439198967699216E-2</v>
      </c>
    </row>
    <row r="57" spans="4:18" x14ac:dyDescent="0.35">
      <c r="F57">
        <f t="shared" si="14"/>
        <v>45564.898846043005</v>
      </c>
      <c r="G57">
        <f t="shared" si="15"/>
        <v>167644.56393414148</v>
      </c>
      <c r="H57">
        <f t="shared" si="16"/>
        <v>88112.986807294132</v>
      </c>
      <c r="I57">
        <f t="shared" si="17"/>
        <v>132886.96201246433</v>
      </c>
      <c r="J57">
        <f>I57/('mass balances '!$D$136*8000)</f>
        <v>1.751471861716923E-3</v>
      </c>
      <c r="K57">
        <f>J57*1000/'Experimental_Bckground data'!$B$31</f>
        <v>5.8774223547547751E-2</v>
      </c>
      <c r="L57">
        <f t="shared" si="18"/>
        <v>3097.7714791730691</v>
      </c>
      <c r="M57">
        <f t="shared" si="19"/>
        <v>33670.642957166339</v>
      </c>
      <c r="N57">
        <f t="shared" si="20"/>
        <v>24.360593075018137</v>
      </c>
      <c r="O57">
        <f t="shared" si="20"/>
        <v>1128874.2771461373</v>
      </c>
      <c r="P57">
        <f t="shared" si="21"/>
        <v>1162569.2806963788</v>
      </c>
      <c r="Q57">
        <f>P57/('mass balances '!$B$190*8000)</f>
        <v>6.8150450493032227E-2</v>
      </c>
      <c r="R57">
        <f t="shared" si="22"/>
        <v>1.8086637604307916</v>
      </c>
    </row>
    <row r="58" spans="4:18" x14ac:dyDescent="0.35">
      <c r="F58">
        <f t="shared" si="14"/>
        <v>47969.353787060099</v>
      </c>
      <c r="G58">
        <f t="shared" si="15"/>
        <v>194860.95157330771</v>
      </c>
      <c r="H58">
        <f t="shared" si="16"/>
        <v>401204.07877966919</v>
      </c>
      <c r="I58">
        <f t="shared" si="17"/>
        <v>-131449.89882429896</v>
      </c>
      <c r="J58">
        <f>I58/('mass balances '!$D$136*8000)</f>
        <v>-1.7325311342033783E-3</v>
      </c>
      <c r="K58">
        <f>J58*1000/'Experimental_Bckground data'!$B$31</f>
        <v>-5.8138628664542891E-2</v>
      </c>
      <c r="L58">
        <f t="shared" si="18"/>
        <v>83555.97527892729</v>
      </c>
      <c r="M58">
        <f t="shared" si="19"/>
        <v>-11858.825311542802</v>
      </c>
      <c r="N58">
        <f t="shared" si="20"/>
        <v>25.411175253521201</v>
      </c>
      <c r="O58">
        <f t="shared" si="20"/>
        <v>1974.2467246347283</v>
      </c>
      <c r="P58">
        <f t="shared" si="21"/>
        <v>-9859.1674116545528</v>
      </c>
      <c r="Q58">
        <f>P58/('mass balances '!$B$190*8000)</f>
        <v>-5.7794981490308112E-4</v>
      </c>
      <c r="R58">
        <f t="shared" si="22"/>
        <v>-1.5338370883839735E-2</v>
      </c>
    </row>
    <row r="59" spans="4:18" x14ac:dyDescent="0.35">
      <c r="F59">
        <f t="shared" si="14"/>
        <v>4843.8178665608957</v>
      </c>
      <c r="G59">
        <f t="shared" si="15"/>
        <v>9070.8049844936832</v>
      </c>
      <c r="H59">
        <f t="shared" si="16"/>
        <v>33563.345327822368</v>
      </c>
      <c r="I59">
        <f t="shared" si="17"/>
        <v>-18959.569270634041</v>
      </c>
      <c r="J59">
        <f>I59/('mass balances '!$D$136*8000)</f>
        <v>-2.4989021936308283E-4</v>
      </c>
      <c r="K59">
        <f>J59*1000/'Experimental_Bckground data'!$B$31</f>
        <v>-8.3855778309759339E-3</v>
      </c>
      <c r="L59">
        <f t="shared" si="18"/>
        <v>632.62382466518409</v>
      </c>
      <c r="M59">
        <f t="shared" si="19"/>
        <v>-4537.8626023827255</v>
      </c>
      <c r="N59">
        <f t="shared" si="20"/>
        <v>3.0087092669680531</v>
      </c>
      <c r="O59">
        <f t="shared" si="20"/>
        <v>0</v>
      </c>
      <c r="P59">
        <f t="shared" si="21"/>
        <v>-4534.8538931157573</v>
      </c>
      <c r="Q59">
        <f>P59/('mass balances '!$B$190*8000)</f>
        <v>-2.6583562878144999E-4</v>
      </c>
      <c r="R59">
        <f t="shared" si="22"/>
        <v>-7.0550856895289279E-3</v>
      </c>
    </row>
    <row r="60" spans="4:18" x14ac:dyDescent="0.35">
      <c r="F60">
        <f t="shared" si="14"/>
        <v>328.11854263650287</v>
      </c>
      <c r="G60">
        <f t="shared" si="15"/>
        <v>602.61643277502412</v>
      </c>
      <c r="H60">
        <f t="shared" si="16"/>
        <v>2012.0659353515089</v>
      </c>
      <c r="I60">
        <f t="shared" si="17"/>
        <v>2471.9231917509974</v>
      </c>
      <c r="J60">
        <f>I60/('mass balances '!$D$136*8000)</f>
        <v>3.2580351368641156E-5</v>
      </c>
      <c r="K60">
        <f>J60*1000/'Experimental_Bckground data'!$B$31</f>
        <v>1.0933003814980252E-3</v>
      </c>
      <c r="L60">
        <f t="shared" si="18"/>
        <v>2841.6573011308451</v>
      </c>
      <c r="M60">
        <f t="shared" si="19"/>
        <v>1315.6746864602337</v>
      </c>
      <c r="N60">
        <f t="shared" si="20"/>
        <v>0.22026544579480958</v>
      </c>
      <c r="O60">
        <f t="shared" si="20"/>
        <v>0</v>
      </c>
      <c r="P60">
        <f t="shared" si="21"/>
        <v>1315.8949519060286</v>
      </c>
      <c r="Q60">
        <f>P60/('mass balances '!$B$190*8000)</f>
        <v>7.7138485648085609E-5</v>
      </c>
      <c r="R60">
        <f t="shared" si="22"/>
        <v>2.0471997252676649E-3</v>
      </c>
    </row>
    <row r="61" spans="4:18" x14ac:dyDescent="0.35">
      <c r="F61">
        <f t="shared" si="14"/>
        <v>66833602.669270217</v>
      </c>
      <c r="G61">
        <f t="shared" si="15"/>
        <v>202025324.52577221</v>
      </c>
      <c r="H61">
        <f t="shared" si="16"/>
        <v>-21684727.081864469</v>
      </c>
      <c r="I61">
        <f t="shared" si="17"/>
        <v>293118792.70963585</v>
      </c>
      <c r="J61">
        <f>I61/('mass balances '!$D$136*8000)</f>
        <v>3.8633535585169643</v>
      </c>
      <c r="K61">
        <f>J61*1000/'Experimental_Bckground data'!$B$31</f>
        <v>129.64273686298537</v>
      </c>
      <c r="L61">
        <f t="shared" si="18"/>
        <v>21559207.663942356</v>
      </c>
      <c r="M61">
        <f t="shared" si="19"/>
        <v>77916177.242832854</v>
      </c>
      <c r="N61">
        <f t="shared" si="20"/>
        <v>10713.257117398067</v>
      </c>
      <c r="O61">
        <f t="shared" si="20"/>
        <v>0</v>
      </c>
      <c r="P61">
        <f t="shared" si="21"/>
        <v>77926890.499950245</v>
      </c>
      <c r="Q61">
        <f>P61/('mass balances '!$B$190*8000)</f>
        <v>4.5681171705411501</v>
      </c>
      <c r="R61">
        <f t="shared" si="22"/>
        <v>121.23453212688827</v>
      </c>
    </row>
    <row r="62" spans="4:18" x14ac:dyDescent="0.35">
      <c r="F62">
        <f t="shared" si="14"/>
        <v>374926.6834703862</v>
      </c>
      <c r="G62">
        <f t="shared" si="15"/>
        <v>2512611.7662605415</v>
      </c>
      <c r="H62">
        <f t="shared" si="16"/>
        <v>1026045.1520355401</v>
      </c>
      <c r="I62">
        <f t="shared" si="17"/>
        <v>1896133.3155257243</v>
      </c>
      <c r="J62">
        <f>I62/('mass balances '!$D$136*8000)</f>
        <v>2.4991346765048491E-2</v>
      </c>
      <c r="K62">
        <f>J62*1000/'Experimental_Bckground data'!$B$31</f>
        <v>0.83863579748484862</v>
      </c>
      <c r="L62">
        <f t="shared" si="18"/>
        <v>440243.25763281889</v>
      </c>
      <c r="M62">
        <f t="shared" si="19"/>
        <v>578500.97866424767</v>
      </c>
      <c r="N62">
        <f t="shared" si="20"/>
        <v>233.32315998725096</v>
      </c>
      <c r="O62">
        <f t="shared" si="20"/>
        <v>0</v>
      </c>
      <c r="P62">
        <f t="shared" si="21"/>
        <v>578734.30182423489</v>
      </c>
      <c r="Q62">
        <f>P62/('mass balances '!$B$190*8000)</f>
        <v>3.3925722999894624E-2</v>
      </c>
      <c r="R62">
        <f t="shared" si="22"/>
        <v>0.9003641985110038</v>
      </c>
    </row>
    <row r="63" spans="4:18" x14ac:dyDescent="0.35">
      <c r="F63">
        <f t="shared" si="14"/>
        <v>523840.02579484152</v>
      </c>
      <c r="G63">
        <f t="shared" si="15"/>
        <v>3286073.4741812274</v>
      </c>
      <c r="H63">
        <f t="shared" si="16"/>
        <v>1397367.9360576244</v>
      </c>
      <c r="I63">
        <f t="shared" si="17"/>
        <v>2458363.2546309144</v>
      </c>
      <c r="J63">
        <f>I63/('mass balances '!$D$136*8000)</f>
        <v>3.2401629182861574E-2</v>
      </c>
      <c r="K63">
        <f>J63*1000/'Experimental_Bckground data'!$B$31</f>
        <v>1.0873029927134756</v>
      </c>
      <c r="L63">
        <f t="shared" si="18"/>
        <v>563225.74227662955</v>
      </c>
      <c r="M63">
        <f t="shared" si="19"/>
        <v>748163.72151387786</v>
      </c>
      <c r="N63">
        <f t="shared" si="20"/>
        <v>308.2009275937649</v>
      </c>
      <c r="O63">
        <f t="shared" si="20"/>
        <v>0</v>
      </c>
      <c r="P63">
        <f t="shared" si="21"/>
        <v>748471.9224414716</v>
      </c>
      <c r="Q63">
        <f>P63/('mass balances '!$B$190*8000)</f>
        <v>4.3875835653611944E-2</v>
      </c>
      <c r="R63">
        <f t="shared" si="22"/>
        <v>1.1644330056691068</v>
      </c>
    </row>
    <row r="64" spans="4:18" x14ac:dyDescent="0.35">
      <c r="F64">
        <f t="shared" si="14"/>
        <v>631002.78296473506</v>
      </c>
      <c r="G64">
        <f t="shared" si="15"/>
        <v>1167684.6190266367</v>
      </c>
      <c r="H64">
        <f t="shared" si="16"/>
        <v>3067885.7697387617</v>
      </c>
      <c r="I64">
        <f t="shared" si="17"/>
        <v>-1202183.8770451332</v>
      </c>
      <c r="J64">
        <f>I64/('mass balances '!$D$136*8000)</f>
        <v>-1.5844979833738775E-2</v>
      </c>
      <c r="K64">
        <f>J64*1000/'Experimental_Bckground data'!$B$31</f>
        <v>-0.53171073267579783</v>
      </c>
      <c r="L64">
        <f t="shared" si="18"/>
        <v>71015.118418419224</v>
      </c>
      <c r="M64">
        <f t="shared" si="19"/>
        <v>-280084.23017840739</v>
      </c>
      <c r="N64">
        <f t="shared" si="20"/>
        <v>729.23548075386077</v>
      </c>
      <c r="O64">
        <f t="shared" si="20"/>
        <v>0</v>
      </c>
      <c r="P64">
        <f t="shared" si="21"/>
        <v>-279354.99469765351</v>
      </c>
      <c r="Q64">
        <f>P64/('mass balances '!$B$190*8000)</f>
        <v>-1.6375943397300034E-2</v>
      </c>
      <c r="R64">
        <f t="shared" si="22"/>
        <v>-0.43460571648885443</v>
      </c>
    </row>
    <row r="65" spans="6:18" x14ac:dyDescent="0.35">
      <c r="F65">
        <f t="shared" si="14"/>
        <v>10247324.35989688</v>
      </c>
      <c r="G65">
        <f t="shared" si="15"/>
        <v>56263321.374360539</v>
      </c>
      <c r="H65">
        <f t="shared" si="16"/>
        <v>38853779.153232262</v>
      </c>
      <c r="I65">
        <f t="shared" si="17"/>
        <v>29592720.396399122</v>
      </c>
      <c r="J65">
        <f>I65/('mass balances '!$D$136*8000)</f>
        <v>0.39003688775041739</v>
      </c>
      <c r="K65">
        <f>J65*1000/'Experimental_Bckground data'!$B$31</f>
        <v>13.08848616612139</v>
      </c>
      <c r="L65">
        <f t="shared" si="18"/>
        <v>6378203.1108636344</v>
      </c>
      <c r="M65">
        <f t="shared" si="19"/>
        <v>8906618.3471769542</v>
      </c>
      <c r="N65">
        <f t="shared" si="20"/>
        <v>5647.0349693220669</v>
      </c>
      <c r="O65">
        <f t="shared" si="20"/>
        <v>0</v>
      </c>
      <c r="P65">
        <f t="shared" si="21"/>
        <v>8912265.3821462765</v>
      </c>
      <c r="Q65">
        <f>P65/('mass balances '!$B$190*8000)</f>
        <v>0.52244189726302359</v>
      </c>
      <c r="R65">
        <f t="shared" si="22"/>
        <v>13.865230819082369</v>
      </c>
    </row>
    <row r="66" spans="6:18" x14ac:dyDescent="0.35">
      <c r="F66">
        <f t="shared" si="14"/>
        <v>597277.96316408413</v>
      </c>
      <c r="G66">
        <f t="shared" si="15"/>
        <v>31915043.700896073</v>
      </c>
      <c r="H66">
        <f t="shared" si="16"/>
        <v>-30195286.743761022</v>
      </c>
      <c r="I66">
        <f t="shared" si="17"/>
        <v>62734611.419938259</v>
      </c>
      <c r="J66">
        <f>I66/('mass balances '!$D$136*8000)</f>
        <v>0.82685242399823122</v>
      </c>
      <c r="K66">
        <f>J66*1000/'Experimental_Bckground data'!$B$31</f>
        <v>27.746725637524534</v>
      </c>
      <c r="L66">
        <f t="shared" si="18"/>
        <v>19566.118011639795</v>
      </c>
      <c r="M66">
        <f t="shared" si="19"/>
        <v>15538314.130540835</v>
      </c>
      <c r="N66">
        <f t="shared" si="20"/>
        <v>105.52486080500582</v>
      </c>
      <c r="O66">
        <f t="shared" si="20"/>
        <v>0</v>
      </c>
      <c r="P66">
        <f t="shared" si="21"/>
        <v>15538419.65540164</v>
      </c>
      <c r="Q66">
        <f>P66/('mass balances '!$B$190*8000)</f>
        <v>0.91087070426555328</v>
      </c>
      <c r="R66">
        <f t="shared" si="22"/>
        <v>24.173850962461607</v>
      </c>
    </row>
    <row r="67" spans="6:18" x14ac:dyDescent="0.35">
      <c r="F67">
        <f t="shared" si="14"/>
        <v>42640.691932250236</v>
      </c>
      <c r="G67">
        <f t="shared" si="15"/>
        <v>336045.53911238851</v>
      </c>
      <c r="H67">
        <f t="shared" si="16"/>
        <v>2629.1761151385185</v>
      </c>
      <c r="I67">
        <f t="shared" si="17"/>
        <v>382716.56906871294</v>
      </c>
      <c r="J67">
        <f>I67/('mass balances '!$D$136*8000)</f>
        <v>5.0442668835624267E-3</v>
      </c>
      <c r="K67">
        <f>J67*1000/'Experimental_Bckground data'!$B$31</f>
        <v>0.16927070079068546</v>
      </c>
      <c r="L67">
        <f t="shared" si="18"/>
        <v>121989.52739222733</v>
      </c>
      <c r="M67">
        <f t="shared" si="19"/>
        <v>124968.28383523313</v>
      </c>
      <c r="N67">
        <f t="shared" si="20"/>
        <v>48.110643195803618</v>
      </c>
      <c r="O67">
        <f t="shared" si="20"/>
        <v>0</v>
      </c>
      <c r="P67">
        <f t="shared" si="21"/>
        <v>125016.39447842893</v>
      </c>
      <c r="Q67">
        <f>P67/('mass balances '!$B$190*8000)</f>
        <v>7.3285297867290329E-3</v>
      </c>
      <c r="R67">
        <f t="shared" si="22"/>
        <v>0.19449389030597219</v>
      </c>
    </row>
    <row r="68" spans="6:18" x14ac:dyDescent="0.35">
      <c r="F68">
        <f t="shared" si="14"/>
        <v>2709191.1116382321</v>
      </c>
      <c r="G68">
        <f t="shared" si="15"/>
        <v>4123158.5382104097</v>
      </c>
      <c r="H68">
        <f t="shared" si="16"/>
        <v>13292619.168818984</v>
      </c>
      <c r="I68">
        <f t="shared" si="17"/>
        <v>-6340135.2951173019</v>
      </c>
      <c r="J68">
        <f>I68/('mass balances '!$D$136*8000)</f>
        <v>-8.3564018626858999E-2</v>
      </c>
      <c r="K68">
        <f>J68*1000/'Experimental_Bckground data'!$B$31</f>
        <v>-2.8041616988878859</v>
      </c>
      <c r="L68">
        <f t="shared" si="18"/>
        <v>101047.66890643007</v>
      </c>
      <c r="M68">
        <f t="shared" si="19"/>
        <v>-1544835.8536036666</v>
      </c>
      <c r="N68">
        <f t="shared" si="20"/>
        <v>1804.9013260686877</v>
      </c>
      <c r="O68">
        <f t="shared" si="20"/>
        <v>0</v>
      </c>
      <c r="P68">
        <f t="shared" si="21"/>
        <v>-1543030.952277598</v>
      </c>
      <c r="Q68">
        <f>P68/('mass balances '!$B$190*8000)</f>
        <v>-9.0453322884483101E-2</v>
      </c>
      <c r="R68">
        <f t="shared" si="22"/>
        <v>-2.4005658939618657</v>
      </c>
    </row>
    <row r="69" spans="6:18" x14ac:dyDescent="0.35">
      <c r="F69">
        <f t="shared" si="14"/>
        <v>65272.493971308766</v>
      </c>
      <c r="G69">
        <f t="shared" si="15"/>
        <v>1265941.7655105987</v>
      </c>
      <c r="H69">
        <f t="shared" si="16"/>
        <v>145258.37391484488</v>
      </c>
      <c r="I69">
        <f t="shared" si="17"/>
        <v>646797.29534282954</v>
      </c>
      <c r="J69">
        <f>I69/('mass balances '!$D$136*8000)</f>
        <v>8.5248939841165092E-3</v>
      </c>
      <c r="K69">
        <f>J69*1000/'Experimental_Bckground data'!$B$31</f>
        <v>0.28607026792337281</v>
      </c>
      <c r="L69">
        <f t="shared" si="18"/>
        <v>2632110.4855718706</v>
      </c>
      <c r="M69">
        <f t="shared" si="19"/>
        <v>811877.40966115787</v>
      </c>
      <c r="N69">
        <f t="shared" si="20"/>
        <v>50.109124449866535</v>
      </c>
      <c r="O69">
        <f t="shared" si="20"/>
        <v>0</v>
      </c>
      <c r="P69">
        <f t="shared" si="21"/>
        <v>811927.51878560777</v>
      </c>
      <c r="Q69">
        <f>P69/('mass balances '!$B$190*8000)</f>
        <v>4.7595637603450577E-2</v>
      </c>
      <c r="R69">
        <f t="shared" si="22"/>
        <v>1.2631538642104718</v>
      </c>
    </row>
    <row r="70" spans="6:18" x14ac:dyDescent="0.35">
      <c r="G70" t="s">
        <v>1023</v>
      </c>
      <c r="H70" t="s">
        <v>1024</v>
      </c>
      <c r="I70" t="s">
        <v>1025</v>
      </c>
    </row>
    <row r="71" spans="6:18" x14ac:dyDescent="0.35">
      <c r="G71">
        <f>Yields!C24*'mass balances '!D6*8000</f>
        <v>10025000</v>
      </c>
      <c r="H71">
        <f>Yields!C23*8000*'mass balances '!D6/1000</f>
        <v>604101.76110176847</v>
      </c>
      <c r="I71">
        <f>Yields!C22*0.1*8000*'mass balances '!D6</f>
        <v>30202990.796345472</v>
      </c>
    </row>
    <row r="72" spans="6:18" x14ac:dyDescent="0.35">
      <c r="F72" t="s">
        <v>1026</v>
      </c>
      <c r="G72" t="s">
        <v>1027</v>
      </c>
      <c r="H72" t="s">
        <v>1028</v>
      </c>
      <c r="I72" t="s">
        <v>240</v>
      </c>
    </row>
    <row r="73" spans="6:18" x14ac:dyDescent="0.35">
      <c r="G73">
        <f>T8*$G$71</f>
        <v>83890.463011425323</v>
      </c>
      <c r="H73">
        <f>S8*$H$71</f>
        <v>341832.52521853935</v>
      </c>
      <c r="I73">
        <f>U8*$I$71</f>
        <v>1698737.005157456</v>
      </c>
    </row>
    <row r="74" spans="6:18" x14ac:dyDescent="0.35">
      <c r="G74">
        <f t="shared" ref="G74:G90" si="23">T9*$G$71</f>
        <v>5.3734690871242927E-2</v>
      </c>
      <c r="H74">
        <f t="shared" ref="H74:H90" si="24">S9*$H$71</f>
        <v>0.87314252224100708</v>
      </c>
      <c r="I74">
        <f t="shared" ref="I74:I90" si="25">U9*$I$71</f>
        <v>0</v>
      </c>
    </row>
    <row r="75" spans="6:18" x14ac:dyDescent="0.35">
      <c r="G75">
        <f t="shared" si="23"/>
        <v>2164.3428319714717</v>
      </c>
      <c r="H75">
        <f t="shared" si="24"/>
        <v>14355.134649327607</v>
      </c>
      <c r="I75">
        <f t="shared" si="25"/>
        <v>278.5319869710728</v>
      </c>
    </row>
    <row r="76" spans="6:18" x14ac:dyDescent="0.35">
      <c r="G76">
        <f t="shared" si="23"/>
        <v>648.90425611328396</v>
      </c>
      <c r="H76">
        <f t="shared" si="24"/>
        <v>1265.7868592031987</v>
      </c>
      <c r="I76">
        <f t="shared" si="25"/>
        <v>5825.9940346175199</v>
      </c>
    </row>
    <row r="77" spans="6:18" x14ac:dyDescent="0.35">
      <c r="G77">
        <f t="shared" si="23"/>
        <v>182.71922864436115</v>
      </c>
      <c r="H77">
        <f t="shared" si="24"/>
        <v>986.38357338470678</v>
      </c>
      <c r="I77">
        <f t="shared" si="25"/>
        <v>7188.0099885437157</v>
      </c>
    </row>
    <row r="78" spans="6:18" x14ac:dyDescent="0.35">
      <c r="G78">
        <f t="shared" si="23"/>
        <v>661.82055817817513</v>
      </c>
      <c r="H78">
        <f t="shared" si="24"/>
        <v>1286.1594710754955</v>
      </c>
      <c r="I78">
        <f t="shared" si="25"/>
        <v>5842.5060103202959</v>
      </c>
    </row>
    <row r="79" spans="6:18" x14ac:dyDescent="0.35">
      <c r="G79">
        <f t="shared" si="23"/>
        <v>407.60953779582485</v>
      </c>
      <c r="H79">
        <f t="shared" si="24"/>
        <v>2410.6533275385614</v>
      </c>
      <c r="I79">
        <f t="shared" si="25"/>
        <v>24105.611729668013</v>
      </c>
    </row>
    <row r="80" spans="6:18" x14ac:dyDescent="0.35">
      <c r="G80">
        <f t="shared" si="23"/>
        <v>9.4058231620091597</v>
      </c>
      <c r="H80">
        <f t="shared" si="24"/>
        <v>679.74738297174122</v>
      </c>
      <c r="I80">
        <f t="shared" si="25"/>
        <v>0</v>
      </c>
    </row>
    <row r="81" spans="7:9" x14ac:dyDescent="0.35">
      <c r="G81">
        <f t="shared" si="23"/>
        <v>0.70728650843319751</v>
      </c>
      <c r="H81">
        <f t="shared" si="24"/>
        <v>3552.5468651825458</v>
      </c>
      <c r="I81">
        <f t="shared" si="25"/>
        <v>0</v>
      </c>
    </row>
    <row r="82" spans="7:9" x14ac:dyDescent="0.35">
      <c r="G82">
        <f t="shared" si="23"/>
        <v>691225.36030189856</v>
      </c>
      <c r="H82">
        <f t="shared" si="24"/>
        <v>1825977.6953153294</v>
      </c>
      <c r="I82">
        <f t="shared" si="25"/>
        <v>57935.3771117207</v>
      </c>
    </row>
    <row r="83" spans="7:9" x14ac:dyDescent="0.35">
      <c r="G83">
        <f t="shared" si="23"/>
        <v>1755.1266545048368</v>
      </c>
      <c r="H83">
        <f t="shared" si="24"/>
        <v>32884.848773852922</v>
      </c>
      <c r="I83">
        <f t="shared" si="25"/>
        <v>4.2401978900607186E-2</v>
      </c>
    </row>
    <row r="84" spans="7:9" x14ac:dyDescent="0.35">
      <c r="G84">
        <f t="shared" si="23"/>
        <v>2673.472218089843</v>
      </c>
      <c r="H84">
        <f t="shared" si="24"/>
        <v>43134.142776621942</v>
      </c>
      <c r="I84">
        <f t="shared" si="25"/>
        <v>10.075717758560129</v>
      </c>
    </row>
    <row r="85" spans="7:9" x14ac:dyDescent="0.35">
      <c r="G85">
        <f t="shared" si="23"/>
        <v>2433.6534206029055</v>
      </c>
      <c r="H85">
        <f t="shared" si="24"/>
        <v>64577.915323504094</v>
      </c>
      <c r="I85">
        <f t="shared" si="25"/>
        <v>2.921958149982439</v>
      </c>
    </row>
    <row r="86" spans="7:9" x14ac:dyDescent="0.35">
      <c r="G86">
        <f t="shared" si="23"/>
        <v>45372.809954646298</v>
      </c>
      <c r="H86">
        <f t="shared" si="24"/>
        <v>1889439.8479176061</v>
      </c>
      <c r="I86">
        <f t="shared" si="25"/>
        <v>1041.1575017178816</v>
      </c>
    </row>
    <row r="87" spans="7:9" x14ac:dyDescent="0.35">
      <c r="G87">
        <f t="shared" si="23"/>
        <v>10015.489885954754</v>
      </c>
      <c r="H87">
        <f t="shared" si="24"/>
        <v>16987.522231127208</v>
      </c>
      <c r="I87">
        <f t="shared" si="25"/>
        <v>0</v>
      </c>
    </row>
    <row r="88" spans="7:9" x14ac:dyDescent="0.35">
      <c r="G88">
        <f t="shared" si="23"/>
        <v>265.87967998524215</v>
      </c>
      <c r="H88">
        <f t="shared" si="24"/>
        <v>6393.6344592275018</v>
      </c>
      <c r="I88">
        <f t="shared" si="25"/>
        <v>0</v>
      </c>
    </row>
    <row r="89" spans="7:9" x14ac:dyDescent="0.35">
      <c r="G89">
        <f t="shared" si="23"/>
        <v>44428.335680349664</v>
      </c>
      <c r="H89">
        <f t="shared" si="24"/>
        <v>75705.888172690436</v>
      </c>
      <c r="I89">
        <f t="shared" si="25"/>
        <v>0</v>
      </c>
    </row>
    <row r="90" spans="7:9" x14ac:dyDescent="0.35">
      <c r="G90">
        <f t="shared" si="23"/>
        <v>1653.4062269925598</v>
      </c>
      <c r="H90">
        <f t="shared" si="24"/>
        <v>-540811.9964512256</v>
      </c>
      <c r="I90">
        <f t="shared" si="25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F07C48-6A6B-4C0C-8755-79F3939D5A61}">
  <dimension ref="A1:P191"/>
  <sheetViews>
    <sheetView topLeftCell="A111" workbookViewId="0">
      <selection activeCell="I128" sqref="I128"/>
    </sheetView>
  </sheetViews>
  <sheetFormatPr defaultRowHeight="14.5" x14ac:dyDescent="0.35"/>
  <cols>
    <col min="1" max="1" width="29.1796875" customWidth="1"/>
    <col min="3" max="3" width="21.36328125" customWidth="1"/>
    <col min="4" max="4" width="17.1796875" customWidth="1"/>
    <col min="5" max="5" width="31.1796875" customWidth="1"/>
    <col min="7" max="7" width="20.08984375" customWidth="1"/>
  </cols>
  <sheetData>
    <row r="1" spans="1:9" ht="15" thickBot="1" x14ac:dyDescent="0.4">
      <c r="A1" s="11" t="s">
        <v>192</v>
      </c>
      <c r="B1" s="12"/>
      <c r="C1" s="12"/>
      <c r="E1" s="13"/>
      <c r="F1" s="14"/>
      <c r="G1" s="15"/>
    </row>
    <row r="2" spans="1:9" ht="15" thickBot="1" x14ac:dyDescent="0.4">
      <c r="A2" s="16"/>
      <c r="B2" s="16"/>
      <c r="C2" s="16"/>
      <c r="E2" s="17"/>
      <c r="F2" s="18"/>
      <c r="G2" s="17"/>
    </row>
    <row r="3" spans="1:9" ht="15" thickBot="1" x14ac:dyDescent="0.4">
      <c r="A3" s="19" t="s">
        <v>193</v>
      </c>
      <c r="B3" s="12"/>
      <c r="C3" s="12"/>
      <c r="E3" s="17"/>
      <c r="F3" s="18"/>
      <c r="G3" s="17"/>
    </row>
    <row r="4" spans="1:9" ht="15" thickBot="1" x14ac:dyDescent="0.4">
      <c r="A4" s="20" t="s">
        <v>194</v>
      </c>
      <c r="B4" s="21" t="s">
        <v>195</v>
      </c>
      <c r="C4" s="22">
        <v>0.8</v>
      </c>
      <c r="E4" s="17"/>
      <c r="F4" s="18"/>
      <c r="G4" s="17"/>
    </row>
    <row r="5" spans="1:9" ht="15" thickBot="1" x14ac:dyDescent="0.4">
      <c r="A5" s="20" t="s">
        <v>196</v>
      </c>
      <c r="B5" s="21" t="s">
        <v>197</v>
      </c>
      <c r="C5" s="22">
        <v>0.22</v>
      </c>
      <c r="E5" s="17"/>
      <c r="F5" s="18"/>
      <c r="G5" s="17"/>
    </row>
    <row r="6" spans="1:9" ht="15" thickBot="1" x14ac:dyDescent="0.4">
      <c r="A6" s="20" t="s">
        <v>198</v>
      </c>
      <c r="B6" s="21" t="s">
        <v>197</v>
      </c>
      <c r="C6" s="22">
        <v>0.03</v>
      </c>
      <c r="E6" s="15"/>
      <c r="F6" s="23"/>
      <c r="G6" s="17"/>
    </row>
    <row r="7" spans="1:9" ht="15" thickBot="1" x14ac:dyDescent="0.4">
      <c r="A7" s="19" t="s">
        <v>199</v>
      </c>
      <c r="B7" s="12"/>
      <c r="C7" s="12"/>
      <c r="E7" s="24"/>
      <c r="F7" s="25"/>
      <c r="G7" s="17"/>
    </row>
    <row r="8" spans="1:9" ht="15" thickBot="1" x14ac:dyDescent="0.4">
      <c r="A8" s="20" t="s">
        <v>200</v>
      </c>
      <c r="B8" s="21" t="s">
        <v>201</v>
      </c>
      <c r="C8" s="26"/>
      <c r="E8" s="15"/>
      <c r="F8" s="23"/>
      <c r="G8" s="17"/>
      <c r="H8" s="311"/>
      <c r="I8" s="311"/>
    </row>
    <row r="9" spans="1:9" ht="15" thickBot="1" x14ac:dyDescent="0.4">
      <c r="A9" s="16"/>
      <c r="B9" s="16"/>
      <c r="C9" s="16"/>
      <c r="E9" s="15"/>
      <c r="F9" s="23"/>
      <c r="G9" s="17"/>
      <c r="I9" s="27"/>
    </row>
    <row r="10" spans="1:9" ht="15" thickBot="1" x14ac:dyDescent="0.4">
      <c r="A10" s="20" t="s">
        <v>202</v>
      </c>
      <c r="B10" s="21" t="s">
        <v>6</v>
      </c>
      <c r="C10" s="28">
        <v>25</v>
      </c>
      <c r="E10" s="15"/>
      <c r="F10" s="23"/>
      <c r="G10" s="17"/>
      <c r="H10" s="29"/>
      <c r="I10" s="30"/>
    </row>
    <row r="11" spans="1:9" ht="15" thickBot="1" x14ac:dyDescent="0.4">
      <c r="A11" s="20" t="s">
        <v>203</v>
      </c>
      <c r="B11" s="21" t="s">
        <v>6</v>
      </c>
      <c r="C11" s="28">
        <v>150</v>
      </c>
      <c r="E11" s="15"/>
      <c r="F11" s="23"/>
      <c r="G11" s="17"/>
      <c r="I11" s="27"/>
    </row>
    <row r="12" spans="1:9" ht="15" thickBot="1" x14ac:dyDescent="0.4">
      <c r="A12" s="20" t="s">
        <v>204</v>
      </c>
      <c r="B12" s="21" t="s">
        <v>6</v>
      </c>
      <c r="C12" s="28">
        <v>126</v>
      </c>
      <c r="E12" s="15"/>
      <c r="F12" s="23"/>
      <c r="G12" s="17"/>
    </row>
    <row r="13" spans="1:9" ht="15" thickBot="1" x14ac:dyDescent="0.4">
      <c r="A13" s="16" t="s">
        <v>205</v>
      </c>
      <c r="B13" s="16" t="s">
        <v>206</v>
      </c>
      <c r="C13" s="31">
        <v>5</v>
      </c>
      <c r="E13" s="17"/>
      <c r="F13" s="18"/>
      <c r="G13" s="17"/>
    </row>
    <row r="14" spans="1:9" ht="15" thickBot="1" x14ac:dyDescent="0.4">
      <c r="A14" s="16" t="s">
        <v>207</v>
      </c>
      <c r="B14" s="16" t="s">
        <v>206</v>
      </c>
      <c r="C14" s="31">
        <v>5</v>
      </c>
      <c r="E14" s="15"/>
      <c r="F14" s="23"/>
      <c r="G14" s="17"/>
    </row>
    <row r="15" spans="1:9" ht="15" thickBot="1" x14ac:dyDescent="0.4">
      <c r="A15" s="16" t="s">
        <v>208</v>
      </c>
      <c r="B15" s="16" t="s">
        <v>206</v>
      </c>
      <c r="C15" s="31">
        <v>5</v>
      </c>
      <c r="F15" s="32"/>
    </row>
    <row r="16" spans="1:9" ht="15" thickBot="1" x14ac:dyDescent="0.4">
      <c r="A16" s="16" t="s">
        <v>209</v>
      </c>
      <c r="B16" s="16" t="s">
        <v>210</v>
      </c>
      <c r="C16">
        <v>0.1</v>
      </c>
    </row>
    <row r="17" spans="1:13" ht="15" thickBot="1" x14ac:dyDescent="0.4">
      <c r="A17" s="16"/>
      <c r="B17" s="16"/>
      <c r="C17" s="16"/>
      <c r="E17" s="29"/>
      <c r="F17" s="32"/>
    </row>
    <row r="18" spans="1:13" ht="15" thickBot="1" x14ac:dyDescent="0.4">
      <c r="A18" s="16" t="s">
        <v>211</v>
      </c>
      <c r="B18" s="16" t="s">
        <v>212</v>
      </c>
      <c r="C18" s="31">
        <v>25</v>
      </c>
      <c r="E18" s="33" t="s">
        <v>213</v>
      </c>
      <c r="F18" s="34"/>
      <c r="G18" s="35"/>
    </row>
    <row r="19" spans="1:13" ht="15" thickBot="1" x14ac:dyDescent="0.4">
      <c r="A19" s="16"/>
      <c r="B19" s="16"/>
      <c r="C19" s="16"/>
      <c r="E19" s="36" t="s">
        <v>214</v>
      </c>
      <c r="F19" s="37" t="s">
        <v>215</v>
      </c>
      <c r="G19" s="38">
        <v>0.8</v>
      </c>
    </row>
    <row r="20" spans="1:13" ht="15" thickBot="1" x14ac:dyDescent="0.4">
      <c r="A20" s="11" t="s">
        <v>216</v>
      </c>
      <c r="B20" s="12"/>
      <c r="C20" s="12"/>
      <c r="E20" s="36" t="s">
        <v>217</v>
      </c>
      <c r="F20" s="37" t="s">
        <v>215</v>
      </c>
      <c r="G20" s="38">
        <v>0.2</v>
      </c>
    </row>
    <row r="21" spans="1:13" ht="15" thickBot="1" x14ac:dyDescent="0.4">
      <c r="A21" s="20" t="s">
        <v>218</v>
      </c>
      <c r="B21" s="21" t="s">
        <v>6</v>
      </c>
      <c r="C21" s="28">
        <v>300</v>
      </c>
      <c r="E21" s="36" t="s">
        <v>219</v>
      </c>
      <c r="F21" s="37" t="s">
        <v>215</v>
      </c>
      <c r="G21" s="38">
        <v>0.8</v>
      </c>
      <c r="H21" s="311"/>
      <c r="I21" s="311"/>
      <c r="K21" s="39"/>
      <c r="L21" s="39"/>
      <c r="M21" s="39"/>
    </row>
    <row r="22" spans="1:13" ht="15" thickBot="1" x14ac:dyDescent="0.4">
      <c r="A22" s="40" t="s">
        <v>220</v>
      </c>
      <c r="B22" s="16"/>
      <c r="C22" s="16"/>
      <c r="E22" s="36"/>
      <c r="F22" s="37"/>
      <c r="G22" s="41"/>
      <c r="H22" s="29"/>
      <c r="I22" s="29"/>
      <c r="K22" s="42"/>
      <c r="L22" s="43"/>
      <c r="M22" s="43"/>
    </row>
    <row r="23" spans="1:13" ht="15" thickBot="1" x14ac:dyDescent="0.4">
      <c r="A23" s="40" t="s">
        <v>221</v>
      </c>
      <c r="B23" s="16" t="s">
        <v>206</v>
      </c>
      <c r="C23" s="16">
        <v>150</v>
      </c>
      <c r="F23" s="44"/>
      <c r="H23" s="45"/>
      <c r="I23" s="44"/>
      <c r="K23" s="42"/>
      <c r="L23" s="43"/>
      <c r="M23" s="43"/>
    </row>
    <row r="24" spans="1:13" ht="15" thickBot="1" x14ac:dyDescent="0.4">
      <c r="A24" s="20" t="s">
        <v>222</v>
      </c>
      <c r="B24" s="21" t="s">
        <v>223</v>
      </c>
      <c r="C24" s="28"/>
      <c r="E24" s="29"/>
      <c r="F24" s="44"/>
      <c r="G24" s="30"/>
      <c r="H24" s="29"/>
      <c r="I24" s="44"/>
      <c r="J24" s="30"/>
      <c r="K24" s="42"/>
      <c r="L24" s="43"/>
      <c r="M24" s="43"/>
    </row>
    <row r="25" spans="1:13" ht="25" thickBot="1" x14ac:dyDescent="0.4">
      <c r="A25" s="20" t="s">
        <v>225</v>
      </c>
      <c r="B25" s="21" t="s">
        <v>226</v>
      </c>
      <c r="C25" s="28"/>
      <c r="E25" s="29"/>
      <c r="F25" s="44"/>
      <c r="G25" s="30"/>
      <c r="H25" s="29"/>
      <c r="I25" s="44"/>
      <c r="J25" s="30"/>
      <c r="K25" s="42"/>
      <c r="L25" s="43"/>
    </row>
    <row r="26" spans="1:13" ht="15" thickBot="1" x14ac:dyDescent="0.4">
      <c r="A26" s="16" t="s">
        <v>227</v>
      </c>
      <c r="B26" s="16" t="s">
        <v>228</v>
      </c>
      <c r="C26" s="46"/>
      <c r="E26" s="47"/>
      <c r="F26" s="48"/>
      <c r="H26" s="47"/>
      <c r="I26" s="48"/>
      <c r="K26" s="42"/>
      <c r="L26" s="43"/>
    </row>
    <row r="27" spans="1:13" ht="15" thickBot="1" x14ac:dyDescent="0.4">
      <c r="A27" s="16"/>
      <c r="B27" s="16"/>
      <c r="C27" s="16"/>
      <c r="K27" s="42"/>
      <c r="L27" s="43"/>
    </row>
    <row r="28" spans="1:13" ht="15" thickBot="1" x14ac:dyDescent="0.4">
      <c r="A28" s="49" t="s">
        <v>229</v>
      </c>
      <c r="B28" s="16"/>
      <c r="C28" s="16"/>
    </row>
    <row r="29" spans="1:13" ht="15" thickBot="1" x14ac:dyDescent="0.4">
      <c r="A29" s="2" t="s">
        <v>20</v>
      </c>
      <c r="B29" s="50" t="s">
        <v>230</v>
      </c>
      <c r="C29">
        <v>39.5</v>
      </c>
    </row>
    <row r="30" spans="1:13" ht="15" thickBot="1" x14ac:dyDescent="0.4">
      <c r="A30" s="2" t="s">
        <v>21</v>
      </c>
      <c r="B30" s="50" t="s">
        <v>230</v>
      </c>
      <c r="C30">
        <v>12</v>
      </c>
      <c r="E30" s="2"/>
    </row>
    <row r="31" spans="1:13" ht="15" thickBot="1" x14ac:dyDescent="0.4">
      <c r="A31" s="2" t="s">
        <v>22</v>
      </c>
      <c r="B31" s="50" t="s">
        <v>230</v>
      </c>
      <c r="C31">
        <v>48.2</v>
      </c>
      <c r="E31" s="2"/>
    </row>
    <row r="32" spans="1:13" ht="15" thickBot="1" x14ac:dyDescent="0.4">
      <c r="A32" s="2" t="s">
        <v>23</v>
      </c>
      <c r="B32" s="50" t="s">
        <v>230</v>
      </c>
      <c r="C32">
        <v>0.3</v>
      </c>
      <c r="E32" s="2"/>
    </row>
    <row r="33" spans="1:16" ht="15" thickBot="1" x14ac:dyDescent="0.4">
      <c r="A33" s="49" t="s">
        <v>231</v>
      </c>
      <c r="B33" s="50"/>
      <c r="C33" s="16">
        <f>SUM(C29:C32)</f>
        <v>100</v>
      </c>
      <c r="E33" s="45"/>
      <c r="F33" s="44"/>
      <c r="H33" s="51"/>
      <c r="I33" s="44"/>
    </row>
    <row r="34" spans="1:16" ht="15" thickBot="1" x14ac:dyDescent="0.4">
      <c r="A34" s="16"/>
      <c r="B34" s="16"/>
      <c r="C34" s="16"/>
      <c r="E34" s="29"/>
      <c r="F34" s="44"/>
      <c r="H34" s="29"/>
      <c r="I34" s="44"/>
      <c r="J34" s="30"/>
    </row>
    <row r="35" spans="1:16" ht="15" thickBot="1" x14ac:dyDescent="0.4">
      <c r="A35" s="52" t="s">
        <v>232</v>
      </c>
      <c r="B35" s="16"/>
      <c r="C35" s="16"/>
      <c r="E35" s="29"/>
      <c r="F35" s="44"/>
      <c r="G35" s="53"/>
      <c r="H35" s="29"/>
      <c r="I35" s="44"/>
      <c r="J35" s="30"/>
    </row>
    <row r="36" spans="1:16" ht="15" thickBot="1" x14ac:dyDescent="0.4">
      <c r="A36" s="20" t="s">
        <v>233</v>
      </c>
      <c r="B36" s="50" t="s">
        <v>210</v>
      </c>
      <c r="C36" s="54">
        <v>0.95</v>
      </c>
      <c r="D36" t="s">
        <v>224</v>
      </c>
      <c r="E36" s="47"/>
      <c r="F36" s="48"/>
      <c r="H36" s="47"/>
      <c r="I36" s="48"/>
    </row>
    <row r="37" spans="1:16" ht="15" thickBot="1" x14ac:dyDescent="0.4">
      <c r="A37" s="20" t="s">
        <v>234</v>
      </c>
      <c r="B37" s="50" t="s">
        <v>210</v>
      </c>
      <c r="C37" s="54">
        <v>0</v>
      </c>
      <c r="D37" t="s">
        <v>224</v>
      </c>
    </row>
    <row r="38" spans="1:16" ht="15" thickBot="1" x14ac:dyDescent="0.4">
      <c r="A38" s="55" t="s">
        <v>235</v>
      </c>
      <c r="B38" s="56" t="s">
        <v>210</v>
      </c>
      <c r="C38" s="57">
        <v>0</v>
      </c>
      <c r="D38" t="s">
        <v>224</v>
      </c>
    </row>
    <row r="39" spans="1:16" ht="15" thickBot="1" x14ac:dyDescent="0.4">
      <c r="A39" s="55" t="s">
        <v>236</v>
      </c>
      <c r="B39" s="56" t="s">
        <v>210</v>
      </c>
      <c r="C39" s="54">
        <v>0.05</v>
      </c>
      <c r="D39" t="s">
        <v>224</v>
      </c>
    </row>
    <row r="40" spans="1:16" ht="15" thickBot="1" x14ac:dyDescent="0.4">
      <c r="A40" s="16"/>
      <c r="B40" s="16"/>
      <c r="C40" s="16"/>
    </row>
    <row r="41" spans="1:16" ht="15" thickBot="1" x14ac:dyDescent="0.4">
      <c r="A41" s="49" t="s">
        <v>237</v>
      </c>
      <c r="B41" s="16"/>
      <c r="C41" s="16"/>
      <c r="D41" s="58"/>
    </row>
    <row r="42" spans="1:16" ht="15" thickBot="1" x14ac:dyDescent="0.4">
      <c r="A42" s="20" t="s">
        <v>20</v>
      </c>
      <c r="B42" s="21" t="s">
        <v>238</v>
      </c>
      <c r="C42" s="28">
        <v>31.184999999999999</v>
      </c>
      <c r="D42" s="59"/>
    </row>
    <row r="43" spans="1:16" ht="15" thickBot="1" x14ac:dyDescent="0.4">
      <c r="A43" s="20" t="s">
        <v>239</v>
      </c>
      <c r="B43" s="21" t="s">
        <v>238</v>
      </c>
      <c r="C43" s="28">
        <v>28.11</v>
      </c>
    </row>
    <row r="44" spans="1:16" ht="15" thickBot="1" x14ac:dyDescent="0.4">
      <c r="A44" s="20" t="s">
        <v>240</v>
      </c>
      <c r="B44" s="21" t="s">
        <v>238</v>
      </c>
      <c r="C44" s="28">
        <v>3.6</v>
      </c>
      <c r="D44" s="60"/>
      <c r="E44" s="61"/>
      <c r="F44" s="61"/>
      <c r="G44" s="61"/>
      <c r="H44" s="61"/>
      <c r="P44" s="47"/>
    </row>
    <row r="45" spans="1:16" ht="15" thickBot="1" x14ac:dyDescent="0.4">
      <c r="A45" s="16"/>
      <c r="B45" s="16"/>
      <c r="C45" s="16"/>
      <c r="D45" s="60"/>
      <c r="E45" s="61"/>
      <c r="F45" s="61"/>
      <c r="G45" s="61"/>
      <c r="H45" s="61"/>
      <c r="P45" s="47"/>
    </row>
    <row r="46" spans="1:16" ht="15" thickBot="1" x14ac:dyDescent="0.4">
      <c r="A46" s="11" t="s">
        <v>241</v>
      </c>
      <c r="B46" s="12"/>
      <c r="C46" s="12"/>
      <c r="D46" s="60"/>
      <c r="E46" s="61"/>
      <c r="F46" s="61"/>
      <c r="G46" s="61"/>
      <c r="H46" s="61"/>
      <c r="P46" s="47"/>
    </row>
    <row r="47" spans="1:16" ht="15" thickBot="1" x14ac:dyDescent="0.4">
      <c r="A47" s="16" t="s">
        <v>204</v>
      </c>
      <c r="B47" s="16" t="s">
        <v>6</v>
      </c>
      <c r="C47" s="31">
        <v>117</v>
      </c>
      <c r="D47" s="62"/>
      <c r="E47" s="61"/>
      <c r="F47" s="61"/>
      <c r="G47" s="61"/>
      <c r="H47" s="61"/>
      <c r="P47" s="47"/>
    </row>
    <row r="48" spans="1:16" ht="15" thickBot="1" x14ac:dyDescent="0.4">
      <c r="A48" s="16" t="s">
        <v>208</v>
      </c>
      <c r="B48" s="16" t="s">
        <v>206</v>
      </c>
      <c r="C48" s="31">
        <v>1</v>
      </c>
      <c r="P48" s="47"/>
    </row>
    <row r="49" spans="1:16" ht="15" thickBot="1" x14ac:dyDescent="0.4">
      <c r="A49" s="16"/>
      <c r="B49" s="16"/>
      <c r="C49" s="16"/>
      <c r="D49" s="60"/>
      <c r="P49" s="47"/>
    </row>
    <row r="50" spans="1:16" ht="15" thickBot="1" x14ac:dyDescent="0.4">
      <c r="A50" s="11" t="s">
        <v>242</v>
      </c>
      <c r="B50" s="12"/>
      <c r="C50" s="12"/>
      <c r="D50" s="63"/>
      <c r="F50" s="64"/>
      <c r="G50" s="64"/>
      <c r="P50" s="47"/>
    </row>
    <row r="51" spans="1:16" ht="15" thickBot="1" x14ac:dyDescent="0.4">
      <c r="A51" s="16" t="s">
        <v>243</v>
      </c>
      <c r="B51" s="50" t="s">
        <v>210</v>
      </c>
      <c r="C51" s="22">
        <v>1</v>
      </c>
      <c r="P51" s="47"/>
    </row>
    <row r="52" spans="1:16" ht="15" thickBot="1" x14ac:dyDescent="0.4">
      <c r="A52" s="16"/>
      <c r="B52" s="16"/>
      <c r="C52" s="16"/>
      <c r="P52" s="47"/>
    </row>
    <row r="53" spans="1:16" ht="15" thickBot="1" x14ac:dyDescent="0.4">
      <c r="A53" s="11" t="s">
        <v>244</v>
      </c>
      <c r="B53" s="12"/>
      <c r="C53" s="12"/>
    </row>
    <row r="54" spans="1:16" ht="15" thickBot="1" x14ac:dyDescent="0.4">
      <c r="A54" s="16" t="s">
        <v>245</v>
      </c>
      <c r="B54" s="50" t="s">
        <v>210</v>
      </c>
      <c r="C54" s="65">
        <v>1</v>
      </c>
    </row>
    <row r="55" spans="1:16" ht="15" thickBot="1" x14ac:dyDescent="0.4">
      <c r="A55" s="20" t="s">
        <v>246</v>
      </c>
      <c r="B55" s="21" t="s">
        <v>215</v>
      </c>
      <c r="C55" s="22">
        <v>0.2</v>
      </c>
    </row>
    <row r="56" spans="1:16" ht="15" thickBot="1" x14ac:dyDescent="0.4">
      <c r="A56" s="66" t="s">
        <v>247</v>
      </c>
      <c r="B56" s="16"/>
      <c r="C56" s="16"/>
    </row>
    <row r="57" spans="1:16" ht="15" thickBot="1" x14ac:dyDescent="0.4">
      <c r="A57" s="20" t="s">
        <v>26</v>
      </c>
      <c r="B57" s="50" t="s">
        <v>248</v>
      </c>
      <c r="C57" s="28" t="s">
        <v>249</v>
      </c>
    </row>
    <row r="58" spans="1:16" ht="15" thickBot="1" x14ac:dyDescent="0.4">
      <c r="A58" s="20" t="s">
        <v>250</v>
      </c>
      <c r="B58" s="50" t="s">
        <v>248</v>
      </c>
      <c r="C58" s="28" t="s">
        <v>251</v>
      </c>
    </row>
    <row r="59" spans="1:16" ht="15" thickBot="1" x14ac:dyDescent="0.4">
      <c r="A59" s="20" t="s">
        <v>28</v>
      </c>
      <c r="B59" s="50" t="s">
        <v>248</v>
      </c>
      <c r="C59" s="28" t="s">
        <v>252</v>
      </c>
    </row>
    <row r="60" spans="1:16" ht="15" thickBot="1" x14ac:dyDescent="0.4">
      <c r="A60" s="20" t="s">
        <v>27</v>
      </c>
      <c r="B60" s="50" t="s">
        <v>248</v>
      </c>
      <c r="C60" s="28" t="s">
        <v>253</v>
      </c>
    </row>
    <row r="61" spans="1:16" ht="15" thickBot="1" x14ac:dyDescent="0.4">
      <c r="A61" s="20" t="s">
        <v>254</v>
      </c>
      <c r="B61" s="50" t="s">
        <v>248</v>
      </c>
      <c r="C61" s="28" t="s">
        <v>255</v>
      </c>
    </row>
    <row r="62" spans="1:16" ht="15" thickBot="1" x14ac:dyDescent="0.4">
      <c r="A62" s="20" t="s">
        <v>256</v>
      </c>
      <c r="B62" s="50" t="s">
        <v>248</v>
      </c>
      <c r="C62" s="28" t="s">
        <v>257</v>
      </c>
    </row>
    <row r="63" spans="1:16" ht="15" thickBot="1" x14ac:dyDescent="0.4">
      <c r="A63" s="20" t="s">
        <v>258</v>
      </c>
      <c r="B63" s="50" t="s">
        <v>248</v>
      </c>
      <c r="C63" s="28" t="s">
        <v>259</v>
      </c>
    </row>
    <row r="64" spans="1:16" ht="15" thickBot="1" x14ac:dyDescent="0.4">
      <c r="A64" s="66" t="s">
        <v>260</v>
      </c>
      <c r="B64" s="50" t="s">
        <v>248</v>
      </c>
      <c r="C64" s="16" t="s">
        <v>261</v>
      </c>
    </row>
    <row r="65" spans="1:4" ht="15" thickBot="1" x14ac:dyDescent="0.4">
      <c r="A65" s="66"/>
      <c r="B65" s="16"/>
      <c r="C65" s="16"/>
    </row>
    <row r="66" spans="1:4" ht="15" thickBot="1" x14ac:dyDescent="0.4">
      <c r="A66" s="66"/>
      <c r="B66" s="16"/>
      <c r="C66" s="16"/>
    </row>
    <row r="67" spans="1:4" ht="15" thickBot="1" x14ac:dyDescent="0.4">
      <c r="A67" s="66" t="s">
        <v>262</v>
      </c>
      <c r="B67" s="16"/>
      <c r="C67" s="16"/>
      <c r="D67" s="67"/>
    </row>
    <row r="68" spans="1:4" ht="15" thickBot="1" x14ac:dyDescent="0.4">
      <c r="A68" s="20" t="s">
        <v>26</v>
      </c>
      <c r="B68" s="50" t="s">
        <v>248</v>
      </c>
      <c r="C68" s="28" t="s">
        <v>263</v>
      </c>
      <c r="D68" s="67"/>
    </row>
    <row r="69" spans="1:4" ht="15" thickBot="1" x14ac:dyDescent="0.4">
      <c r="A69" s="20" t="s">
        <v>250</v>
      </c>
      <c r="B69" s="50" t="s">
        <v>248</v>
      </c>
      <c r="C69" s="28" t="s">
        <v>251</v>
      </c>
      <c r="D69" s="67"/>
    </row>
    <row r="70" spans="1:4" ht="15" thickBot="1" x14ac:dyDescent="0.4">
      <c r="A70" s="20" t="s">
        <v>28</v>
      </c>
      <c r="B70" s="50" t="s">
        <v>248</v>
      </c>
      <c r="C70" s="28" t="s">
        <v>264</v>
      </c>
      <c r="D70" s="68"/>
    </row>
    <row r="71" spans="1:4" ht="15" thickBot="1" x14ac:dyDescent="0.4">
      <c r="A71" s="20" t="s">
        <v>27</v>
      </c>
      <c r="B71" s="50" t="s">
        <v>248</v>
      </c>
      <c r="C71" s="28" t="s">
        <v>251</v>
      </c>
      <c r="D71" s="68"/>
    </row>
    <row r="72" spans="1:4" ht="15" thickBot="1" x14ac:dyDescent="0.4">
      <c r="A72" s="20" t="s">
        <v>254</v>
      </c>
      <c r="B72" s="50" t="s">
        <v>248</v>
      </c>
      <c r="C72" s="28" t="s">
        <v>265</v>
      </c>
      <c r="D72" s="68"/>
    </row>
    <row r="73" spans="1:4" ht="15" thickBot="1" x14ac:dyDescent="0.4">
      <c r="A73" s="20" t="s">
        <v>256</v>
      </c>
      <c r="B73" s="50" t="s">
        <v>248</v>
      </c>
      <c r="C73" s="28" t="s">
        <v>257</v>
      </c>
      <c r="D73" s="67"/>
    </row>
    <row r="74" spans="1:4" ht="15" thickBot="1" x14ac:dyDescent="0.4">
      <c r="A74" s="20" t="s">
        <v>258</v>
      </c>
      <c r="B74" s="50" t="s">
        <v>248</v>
      </c>
      <c r="C74" s="28" t="s">
        <v>266</v>
      </c>
      <c r="D74" s="67"/>
    </row>
    <row r="75" spans="1:4" ht="15" thickBot="1" x14ac:dyDescent="0.4">
      <c r="A75" s="66" t="s">
        <v>260</v>
      </c>
      <c r="B75" s="50" t="s">
        <v>248</v>
      </c>
      <c r="C75" s="69" t="s">
        <v>261</v>
      </c>
      <c r="D75" s="70"/>
    </row>
    <row r="76" spans="1:4" ht="15" thickBot="1" x14ac:dyDescent="0.4">
      <c r="A76" s="16"/>
      <c r="B76" s="16"/>
      <c r="C76" s="16"/>
      <c r="D76" s="67"/>
    </row>
    <row r="77" spans="1:4" ht="15" thickBot="1" x14ac:dyDescent="0.4">
      <c r="A77" s="71" t="s">
        <v>267</v>
      </c>
      <c r="B77" s="16"/>
      <c r="C77" s="72" t="s">
        <v>268</v>
      </c>
      <c r="D77" s="67"/>
    </row>
    <row r="78" spans="1:4" ht="15" thickBot="1" x14ac:dyDescent="0.4">
      <c r="A78" s="16"/>
      <c r="B78" s="16"/>
      <c r="C78" s="16"/>
      <c r="D78" s="67"/>
    </row>
    <row r="79" spans="1:4" ht="15" thickBot="1" x14ac:dyDescent="0.4">
      <c r="A79" s="11" t="s">
        <v>269</v>
      </c>
      <c r="B79" s="12"/>
      <c r="C79" s="12"/>
      <c r="D79" s="67"/>
    </row>
    <row r="80" spans="1:4" ht="26.5" thickBot="1" x14ac:dyDescent="0.4">
      <c r="A80" s="66" t="s">
        <v>270</v>
      </c>
      <c r="B80" s="16" t="s">
        <v>271</v>
      </c>
      <c r="C80" s="16"/>
      <c r="D80" s="73"/>
    </row>
    <row r="81" spans="1:4" ht="15" thickBot="1" x14ac:dyDescent="0.4">
      <c r="A81" s="16" t="s">
        <v>272</v>
      </c>
      <c r="B81" s="50" t="s">
        <v>210</v>
      </c>
      <c r="C81" s="22">
        <v>0.95</v>
      </c>
      <c r="D81" s="67"/>
    </row>
    <row r="82" spans="1:4" ht="15" thickBot="1" x14ac:dyDescent="0.4">
      <c r="A82" s="16" t="s">
        <v>273</v>
      </c>
      <c r="B82" s="50" t="s">
        <v>210</v>
      </c>
      <c r="C82" s="22">
        <v>0.05</v>
      </c>
      <c r="D82" s="70"/>
    </row>
    <row r="83" spans="1:4" ht="15" thickBot="1" x14ac:dyDescent="0.4">
      <c r="A83" s="16" t="s">
        <v>274</v>
      </c>
      <c r="B83" s="50" t="s">
        <v>210</v>
      </c>
      <c r="C83" s="28" t="s">
        <v>251</v>
      </c>
      <c r="D83" s="70"/>
    </row>
    <row r="84" spans="1:4" ht="15" thickBot="1" x14ac:dyDescent="0.4">
      <c r="A84" s="66" t="s">
        <v>275</v>
      </c>
      <c r="B84" s="50" t="s">
        <v>210</v>
      </c>
      <c r="C84" s="69" t="s">
        <v>261</v>
      </c>
      <c r="D84" s="70"/>
    </row>
    <row r="85" spans="1:4" ht="15" thickBot="1" x14ac:dyDescent="0.4">
      <c r="A85" s="16"/>
      <c r="B85" s="16"/>
      <c r="C85" s="16"/>
      <c r="D85" s="74"/>
    </row>
    <row r="86" spans="1:4" ht="15" thickBot="1" x14ac:dyDescent="0.4">
      <c r="A86" s="11" t="s">
        <v>276</v>
      </c>
      <c r="B86" s="12"/>
      <c r="C86" s="12"/>
      <c r="D86" s="74"/>
    </row>
    <row r="87" spans="1:4" ht="15" thickBot="1" x14ac:dyDescent="0.4">
      <c r="A87" s="16" t="s">
        <v>277</v>
      </c>
      <c r="B87" s="50" t="s">
        <v>210</v>
      </c>
      <c r="C87" s="22">
        <v>0.25</v>
      </c>
      <c r="D87" s="74"/>
    </row>
    <row r="88" spans="1:4" ht="15" thickBot="1" x14ac:dyDescent="0.4">
      <c r="A88" s="11" t="s">
        <v>278</v>
      </c>
      <c r="B88" s="12"/>
      <c r="C88" s="12"/>
      <c r="D88" s="75"/>
    </row>
    <row r="89" spans="1:4" ht="15" thickBot="1" x14ac:dyDescent="0.4">
      <c r="A89" s="20" t="s">
        <v>279</v>
      </c>
      <c r="B89" s="21" t="s">
        <v>6</v>
      </c>
      <c r="C89" s="76">
        <v>375</v>
      </c>
      <c r="D89" s="67"/>
    </row>
    <row r="90" spans="1:4" ht="15" thickBot="1" x14ac:dyDescent="0.4">
      <c r="A90" s="16" t="s">
        <v>280</v>
      </c>
      <c r="B90" s="16" t="s">
        <v>206</v>
      </c>
      <c r="C90" s="76">
        <v>106</v>
      </c>
      <c r="D90" s="74"/>
    </row>
    <row r="91" spans="1:4" ht="15" thickBot="1" x14ac:dyDescent="0.4">
      <c r="A91" s="16"/>
      <c r="B91" s="16"/>
      <c r="C91" s="16"/>
      <c r="D91" s="67"/>
    </row>
    <row r="92" spans="1:4" ht="15" thickBot="1" x14ac:dyDescent="0.4">
      <c r="A92" s="16" t="s">
        <v>281</v>
      </c>
      <c r="B92" s="16" t="s">
        <v>210</v>
      </c>
      <c r="C92" s="28" t="s">
        <v>282</v>
      </c>
      <c r="D92" s="67"/>
    </row>
    <row r="93" spans="1:4" ht="15" thickBot="1" x14ac:dyDescent="0.4">
      <c r="A93" s="16"/>
      <c r="B93" s="16"/>
      <c r="C93" s="16"/>
      <c r="D93" s="70"/>
    </row>
    <row r="94" spans="1:4" ht="15" thickBot="1" x14ac:dyDescent="0.4">
      <c r="A94" s="19" t="s">
        <v>283</v>
      </c>
      <c r="B94" s="12"/>
      <c r="C94" s="12"/>
      <c r="D94" s="67"/>
    </row>
    <row r="95" spans="1:4" ht="15" thickBot="1" x14ac:dyDescent="0.4">
      <c r="A95" s="20" t="s">
        <v>284</v>
      </c>
      <c r="B95" s="21" t="s">
        <v>6</v>
      </c>
      <c r="C95" s="76">
        <v>400</v>
      </c>
      <c r="D95" s="67"/>
    </row>
    <row r="96" spans="1:4" ht="15" thickBot="1" x14ac:dyDescent="0.4">
      <c r="A96" s="16" t="s">
        <v>285</v>
      </c>
      <c r="B96" s="16" t="s">
        <v>206</v>
      </c>
      <c r="C96" s="76">
        <v>106</v>
      </c>
      <c r="D96" s="70"/>
    </row>
    <row r="97" spans="1:4" ht="15" thickBot="1" x14ac:dyDescent="0.4">
      <c r="A97" s="16"/>
      <c r="B97" s="16"/>
      <c r="C97" s="16"/>
      <c r="D97" s="70"/>
    </row>
    <row r="98" spans="1:4" ht="26.5" thickBot="1" x14ac:dyDescent="0.4">
      <c r="A98" s="16" t="s">
        <v>225</v>
      </c>
      <c r="B98" s="16" t="s">
        <v>226</v>
      </c>
      <c r="C98" s="28" t="s">
        <v>286</v>
      </c>
      <c r="D98" s="77"/>
    </row>
    <row r="99" spans="1:4" ht="15" thickBot="1" x14ac:dyDescent="0.4">
      <c r="A99" s="20"/>
      <c r="B99" s="21"/>
      <c r="C99" s="16"/>
      <c r="D99" s="67"/>
    </row>
    <row r="100" spans="1:4" ht="15" thickBot="1" x14ac:dyDescent="0.4">
      <c r="A100" s="20" t="s">
        <v>287</v>
      </c>
      <c r="B100" s="21" t="s">
        <v>210</v>
      </c>
      <c r="C100" s="22">
        <v>0.01</v>
      </c>
      <c r="D100" s="67"/>
    </row>
    <row r="101" spans="1:4" ht="15" thickBot="1" x14ac:dyDescent="0.4">
      <c r="A101" s="16"/>
      <c r="B101" s="16"/>
      <c r="C101" s="76"/>
      <c r="D101" s="70"/>
    </row>
    <row r="102" spans="1:4" ht="15" thickBot="1" x14ac:dyDescent="0.4">
      <c r="A102" s="16"/>
      <c r="B102" s="16"/>
      <c r="C102" s="16"/>
      <c r="D102" s="70"/>
    </row>
    <row r="103" spans="1:4" ht="15" thickBot="1" x14ac:dyDescent="0.4">
      <c r="A103" s="20" t="s">
        <v>288</v>
      </c>
      <c r="B103" s="21" t="s">
        <v>210</v>
      </c>
      <c r="C103" s="22">
        <v>0.53</v>
      </c>
      <c r="D103" s="70"/>
    </row>
    <row r="104" spans="1:4" ht="15" thickBot="1" x14ac:dyDescent="0.4">
      <c r="A104" s="16"/>
      <c r="B104" s="16"/>
      <c r="C104" s="16"/>
      <c r="D104" s="70"/>
    </row>
    <row r="105" spans="1:4" ht="15" thickBot="1" x14ac:dyDescent="0.4">
      <c r="A105" s="11" t="s">
        <v>289</v>
      </c>
      <c r="B105" s="12"/>
      <c r="C105" s="12"/>
      <c r="D105" s="70"/>
    </row>
    <row r="106" spans="1:4" ht="15" thickBot="1" x14ac:dyDescent="0.4">
      <c r="A106" s="16"/>
      <c r="B106" s="16"/>
      <c r="C106" s="16"/>
      <c r="D106" s="67"/>
    </row>
    <row r="107" spans="1:4" ht="15" thickBot="1" x14ac:dyDescent="0.4">
      <c r="A107" s="19" t="s">
        <v>290</v>
      </c>
      <c r="B107" s="12"/>
      <c r="C107" s="12"/>
      <c r="D107" s="67"/>
    </row>
    <row r="108" spans="1:4" ht="15" thickBot="1" x14ac:dyDescent="0.4">
      <c r="A108" s="16" t="s">
        <v>291</v>
      </c>
      <c r="B108" s="16" t="s">
        <v>210</v>
      </c>
      <c r="C108" s="22">
        <v>1</v>
      </c>
      <c r="D108" s="67"/>
    </row>
    <row r="109" spans="1:4" ht="15" thickBot="1" x14ac:dyDescent="0.4">
      <c r="A109" s="16"/>
      <c r="B109" s="16"/>
      <c r="C109" s="16"/>
      <c r="D109" s="78"/>
    </row>
    <row r="110" spans="1:4" ht="15" thickBot="1" x14ac:dyDescent="0.4">
      <c r="A110" s="49" t="s">
        <v>292</v>
      </c>
      <c r="B110" s="16"/>
      <c r="C110" s="16"/>
      <c r="D110" s="78"/>
    </row>
    <row r="111" spans="1:4" ht="15" thickBot="1" x14ac:dyDescent="0.4">
      <c r="A111" s="20" t="s">
        <v>293</v>
      </c>
      <c r="B111" s="21" t="s">
        <v>210</v>
      </c>
      <c r="C111" s="22">
        <v>1</v>
      </c>
      <c r="D111" s="79"/>
    </row>
    <row r="112" spans="1:4" ht="15" thickBot="1" x14ac:dyDescent="0.4">
      <c r="A112" s="16" t="s">
        <v>294</v>
      </c>
      <c r="B112" s="16" t="s">
        <v>210</v>
      </c>
      <c r="C112" s="22">
        <v>0.04</v>
      </c>
      <c r="D112" s="78"/>
    </row>
    <row r="113" spans="1:4" ht="15" thickBot="1" x14ac:dyDescent="0.4">
      <c r="A113" s="16"/>
      <c r="B113" s="16"/>
      <c r="C113" s="16"/>
      <c r="D113" s="67"/>
    </row>
    <row r="114" spans="1:4" ht="15" thickBot="1" x14ac:dyDescent="0.4">
      <c r="A114" s="16" t="s">
        <v>295</v>
      </c>
      <c r="B114" s="16" t="s">
        <v>210</v>
      </c>
      <c r="C114" s="22">
        <v>0.2</v>
      </c>
      <c r="D114" s="67"/>
    </row>
    <row r="115" spans="1:4" ht="15" thickBot="1" x14ac:dyDescent="0.4">
      <c r="A115" s="11" t="s">
        <v>296</v>
      </c>
      <c r="B115" s="12"/>
      <c r="C115" s="12"/>
      <c r="D115" s="70"/>
    </row>
    <row r="116" spans="1:4" ht="15" thickBot="1" x14ac:dyDescent="0.4">
      <c r="A116" s="16" t="s">
        <v>297</v>
      </c>
      <c r="B116" s="16" t="s">
        <v>210</v>
      </c>
      <c r="C116" s="22">
        <v>0.85</v>
      </c>
      <c r="D116" s="70"/>
    </row>
    <row r="117" spans="1:4" ht="15" thickBot="1" x14ac:dyDescent="0.4">
      <c r="A117" s="20" t="s">
        <v>298</v>
      </c>
      <c r="B117" s="21" t="s">
        <v>215</v>
      </c>
      <c r="C117" s="28" t="s">
        <v>299</v>
      </c>
      <c r="D117" s="70"/>
    </row>
    <row r="118" spans="1:4" ht="15" thickBot="1" x14ac:dyDescent="0.4">
      <c r="A118" s="12"/>
      <c r="B118" s="12"/>
      <c r="C118" s="12"/>
      <c r="D118" s="67"/>
    </row>
    <row r="119" spans="1:4" ht="15" thickBot="1" x14ac:dyDescent="0.4">
      <c r="B119" s="80"/>
      <c r="C119" s="67"/>
      <c r="D119" s="67"/>
    </row>
    <row r="120" spans="1:4" ht="15" thickBot="1" x14ac:dyDescent="0.4">
      <c r="B120" s="67"/>
      <c r="C120" s="67"/>
      <c r="D120" s="74"/>
    </row>
    <row r="121" spans="1:4" ht="15" thickBot="1" x14ac:dyDescent="0.4">
      <c r="B121" s="67"/>
      <c r="C121" s="67"/>
      <c r="D121" s="74"/>
    </row>
    <row r="122" spans="1:4" ht="15" thickBot="1" x14ac:dyDescent="0.4">
      <c r="B122" s="67"/>
      <c r="C122" s="67"/>
      <c r="D122" s="67"/>
    </row>
    <row r="123" spans="1:4" ht="15" thickBot="1" x14ac:dyDescent="0.4">
      <c r="B123" s="80"/>
      <c r="C123" s="67"/>
      <c r="D123" s="67"/>
    </row>
    <row r="124" spans="1:4" ht="15" thickBot="1" x14ac:dyDescent="0.4">
      <c r="B124" s="67"/>
      <c r="C124" s="81"/>
      <c r="D124" s="68"/>
    </row>
    <row r="125" spans="1:4" ht="15" thickBot="1" x14ac:dyDescent="0.4">
      <c r="B125" s="67"/>
      <c r="C125" s="67"/>
      <c r="D125" s="67"/>
    </row>
    <row r="126" spans="1:4" ht="15" thickBot="1" x14ac:dyDescent="0.4">
      <c r="B126" s="80"/>
      <c r="C126" s="67"/>
      <c r="D126" s="67"/>
    </row>
    <row r="127" spans="1:4" ht="15" thickBot="1" x14ac:dyDescent="0.4">
      <c r="B127" s="67"/>
      <c r="C127" s="81"/>
      <c r="D127" s="82"/>
    </row>
    <row r="128" spans="1:4" ht="15" thickBot="1" x14ac:dyDescent="0.4">
      <c r="B128" s="83"/>
      <c r="C128" s="84"/>
      <c r="D128" s="68"/>
    </row>
    <row r="129" spans="2:4" ht="15" thickBot="1" x14ac:dyDescent="0.4">
      <c r="B129" s="85"/>
      <c r="C129" s="67"/>
      <c r="D129" s="67"/>
    </row>
    <row r="130" spans="2:4" ht="15" thickBot="1" x14ac:dyDescent="0.4">
      <c r="B130" s="83"/>
      <c r="C130" s="81"/>
      <c r="D130" s="70"/>
    </row>
    <row r="131" spans="2:4" ht="15" thickBot="1" x14ac:dyDescent="0.4">
      <c r="B131" s="83"/>
      <c r="C131" s="81"/>
      <c r="D131" s="70"/>
    </row>
    <row r="132" spans="2:4" ht="15" thickBot="1" x14ac:dyDescent="0.4">
      <c r="B132" s="83"/>
      <c r="C132" s="81"/>
      <c r="D132" s="70"/>
    </row>
    <row r="133" spans="2:4" ht="15" thickBot="1" x14ac:dyDescent="0.4">
      <c r="B133" s="83"/>
      <c r="C133" s="81"/>
      <c r="D133" s="70"/>
    </row>
    <row r="134" spans="2:4" ht="15" thickBot="1" x14ac:dyDescent="0.4">
      <c r="B134" s="83"/>
      <c r="C134" s="81"/>
      <c r="D134" s="70"/>
    </row>
    <row r="135" spans="2:4" ht="15" thickBot="1" x14ac:dyDescent="0.4">
      <c r="B135" s="83"/>
      <c r="C135" s="81"/>
      <c r="D135" s="70"/>
    </row>
    <row r="136" spans="2:4" ht="15" thickBot="1" x14ac:dyDescent="0.4">
      <c r="B136" s="83"/>
      <c r="C136" s="81"/>
      <c r="D136" s="70"/>
    </row>
    <row r="137" spans="2:4" ht="15" thickBot="1" x14ac:dyDescent="0.4">
      <c r="B137" s="85"/>
      <c r="C137" s="81"/>
      <c r="D137" s="67"/>
    </row>
    <row r="138" spans="2:4" ht="15" thickBot="1" x14ac:dyDescent="0.4">
      <c r="B138" s="85"/>
      <c r="C138" s="67"/>
      <c r="D138" s="67"/>
    </row>
    <row r="139" spans="2:4" ht="15" thickBot="1" x14ac:dyDescent="0.4">
      <c r="B139" s="85"/>
      <c r="C139" s="67"/>
      <c r="D139" s="67"/>
    </row>
    <row r="140" spans="2:4" ht="15" thickBot="1" x14ac:dyDescent="0.4">
      <c r="B140" s="85"/>
      <c r="C140" s="67"/>
      <c r="D140" s="67"/>
    </row>
    <row r="141" spans="2:4" ht="15" thickBot="1" x14ac:dyDescent="0.4">
      <c r="B141" s="83"/>
      <c r="C141" s="81"/>
      <c r="D141" s="70"/>
    </row>
    <row r="142" spans="2:4" ht="15" thickBot="1" x14ac:dyDescent="0.4">
      <c r="B142" s="83"/>
      <c r="C142" s="81"/>
      <c r="D142" s="70"/>
    </row>
    <row r="143" spans="2:4" ht="15" thickBot="1" x14ac:dyDescent="0.4">
      <c r="B143" s="83"/>
      <c r="C143" s="81"/>
      <c r="D143" s="70"/>
    </row>
    <row r="144" spans="2:4" ht="15" thickBot="1" x14ac:dyDescent="0.4">
      <c r="B144" s="83"/>
      <c r="C144" s="81"/>
      <c r="D144" s="70"/>
    </row>
    <row r="145" spans="2:4" ht="15" thickBot="1" x14ac:dyDescent="0.4">
      <c r="B145" s="83"/>
      <c r="C145" s="81"/>
      <c r="D145" s="70"/>
    </row>
    <row r="146" spans="2:4" ht="15" thickBot="1" x14ac:dyDescent="0.4">
      <c r="B146" s="83"/>
      <c r="C146" s="81"/>
      <c r="D146" s="70"/>
    </row>
    <row r="147" spans="2:4" ht="15" thickBot="1" x14ac:dyDescent="0.4">
      <c r="B147" s="83"/>
      <c r="C147" s="81"/>
      <c r="D147" s="70"/>
    </row>
    <row r="148" spans="2:4" ht="15" thickBot="1" x14ac:dyDescent="0.4">
      <c r="B148" s="85"/>
      <c r="C148" s="81"/>
      <c r="D148" s="86"/>
    </row>
    <row r="149" spans="2:4" ht="15" thickBot="1" x14ac:dyDescent="0.4">
      <c r="B149" s="67"/>
      <c r="C149" s="67"/>
      <c r="D149" s="67"/>
    </row>
    <row r="150" spans="2:4" ht="15" thickBot="1" x14ac:dyDescent="0.4">
      <c r="B150" s="87"/>
      <c r="C150" s="67"/>
      <c r="D150" s="88"/>
    </row>
    <row r="151" spans="2:4" ht="15" thickBot="1" x14ac:dyDescent="0.4">
      <c r="B151" s="67"/>
      <c r="C151" s="67"/>
      <c r="D151" s="67"/>
    </row>
    <row r="152" spans="2:4" ht="15" thickBot="1" x14ac:dyDescent="0.4">
      <c r="B152" s="80"/>
      <c r="C152" s="67"/>
      <c r="D152" s="67"/>
    </row>
    <row r="153" spans="2:4" ht="15" thickBot="1" x14ac:dyDescent="0.4">
      <c r="B153" s="85"/>
      <c r="C153" s="67"/>
      <c r="D153" s="67"/>
    </row>
    <row r="154" spans="2:4" ht="15" thickBot="1" x14ac:dyDescent="0.4">
      <c r="B154" s="67"/>
      <c r="C154" s="81"/>
      <c r="D154" s="70"/>
    </row>
    <row r="155" spans="2:4" ht="15" thickBot="1" x14ac:dyDescent="0.4">
      <c r="B155" s="67"/>
      <c r="C155" s="81"/>
      <c r="D155" s="70"/>
    </row>
    <row r="156" spans="2:4" ht="15" thickBot="1" x14ac:dyDescent="0.4">
      <c r="B156" s="67"/>
      <c r="C156" s="81"/>
      <c r="D156" s="70"/>
    </row>
    <row r="157" spans="2:4" ht="15" thickBot="1" x14ac:dyDescent="0.4">
      <c r="B157" s="85"/>
      <c r="C157" s="81"/>
      <c r="D157" s="86"/>
    </row>
    <row r="158" spans="2:4" ht="15" thickBot="1" x14ac:dyDescent="0.4">
      <c r="B158" s="67"/>
      <c r="C158" s="67"/>
      <c r="D158" s="67"/>
    </row>
    <row r="159" spans="2:4" ht="15" thickBot="1" x14ac:dyDescent="0.4">
      <c r="B159" s="80"/>
      <c r="C159" s="67"/>
      <c r="D159" s="67"/>
    </row>
    <row r="160" spans="2:4" ht="15" thickBot="1" x14ac:dyDescent="0.4">
      <c r="B160" s="67"/>
      <c r="C160" s="81"/>
      <c r="D160" s="68"/>
    </row>
    <row r="161" spans="2:4" ht="15" thickBot="1" x14ac:dyDescent="0.4">
      <c r="B161" s="80"/>
      <c r="C161" s="67"/>
      <c r="D161" s="67"/>
    </row>
    <row r="162" spans="2:4" ht="15" thickBot="1" x14ac:dyDescent="0.4">
      <c r="B162" s="83"/>
      <c r="C162" s="84"/>
      <c r="D162" s="89"/>
    </row>
    <row r="163" spans="2:4" ht="15" thickBot="1" x14ac:dyDescent="0.4">
      <c r="B163" s="67"/>
      <c r="C163" s="67"/>
      <c r="D163" s="89"/>
    </row>
    <row r="164" spans="2:4" ht="15" thickBot="1" x14ac:dyDescent="0.4">
      <c r="B164" s="67"/>
      <c r="C164" s="67"/>
      <c r="D164" s="67"/>
    </row>
    <row r="165" spans="2:4" ht="15" thickBot="1" x14ac:dyDescent="0.4">
      <c r="B165" s="67"/>
      <c r="C165" s="67"/>
      <c r="D165" s="70"/>
    </row>
    <row r="166" spans="2:4" ht="15" thickBot="1" x14ac:dyDescent="0.4">
      <c r="B166" s="67"/>
      <c r="C166" s="67"/>
      <c r="D166" s="67"/>
    </row>
    <row r="167" spans="2:4" ht="15" thickBot="1" x14ac:dyDescent="0.4">
      <c r="B167" s="90"/>
      <c r="C167" s="67"/>
      <c r="D167" s="67"/>
    </row>
    <row r="168" spans="2:4" ht="15" thickBot="1" x14ac:dyDescent="0.4">
      <c r="B168" s="83"/>
      <c r="C168" s="84"/>
      <c r="D168" s="89"/>
    </row>
    <row r="169" spans="2:4" ht="15" thickBot="1" x14ac:dyDescent="0.4">
      <c r="B169" s="67"/>
      <c r="C169" s="67"/>
      <c r="D169" s="89"/>
    </row>
    <row r="170" spans="2:4" ht="15" thickBot="1" x14ac:dyDescent="0.4">
      <c r="B170" s="67"/>
      <c r="C170" s="67"/>
      <c r="D170" s="67"/>
    </row>
    <row r="171" spans="2:4" ht="15" thickBot="1" x14ac:dyDescent="0.4">
      <c r="B171" s="67"/>
      <c r="C171" s="67"/>
      <c r="D171" s="70"/>
    </row>
    <row r="172" spans="2:4" ht="15" thickBot="1" x14ac:dyDescent="0.4">
      <c r="B172" s="83"/>
      <c r="C172" s="84"/>
      <c r="D172" s="67"/>
    </row>
    <row r="173" spans="2:4" ht="15" thickBot="1" x14ac:dyDescent="0.4">
      <c r="B173" s="83"/>
      <c r="C173" s="84"/>
      <c r="D173" s="68"/>
    </row>
    <row r="174" spans="2:4" ht="15" thickBot="1" x14ac:dyDescent="0.4">
      <c r="B174" s="67"/>
      <c r="C174" s="67"/>
      <c r="D174" s="89"/>
    </row>
    <row r="175" spans="2:4" ht="15" thickBot="1" x14ac:dyDescent="0.4">
      <c r="B175" s="67"/>
      <c r="C175" s="67"/>
      <c r="D175" s="67"/>
    </row>
    <row r="176" spans="2:4" ht="15" thickBot="1" x14ac:dyDescent="0.4">
      <c r="B176" s="83"/>
      <c r="C176" s="84"/>
      <c r="D176" s="68"/>
    </row>
    <row r="177" spans="2:4" ht="15" thickBot="1" x14ac:dyDescent="0.4">
      <c r="B177" s="67"/>
      <c r="C177" s="67"/>
      <c r="D177" s="67"/>
    </row>
    <row r="178" spans="2:4" ht="15" thickBot="1" x14ac:dyDescent="0.4">
      <c r="B178" s="80"/>
      <c r="C178" s="67"/>
      <c r="D178" s="67"/>
    </row>
    <row r="179" spans="2:4" ht="15" thickBot="1" x14ac:dyDescent="0.4">
      <c r="B179" s="67"/>
      <c r="C179" s="67"/>
      <c r="D179" s="67"/>
    </row>
    <row r="180" spans="2:4" ht="15" thickBot="1" x14ac:dyDescent="0.4">
      <c r="B180" s="90"/>
      <c r="C180" s="67"/>
      <c r="D180" s="67"/>
    </row>
    <row r="181" spans="2:4" ht="15" thickBot="1" x14ac:dyDescent="0.4">
      <c r="B181" s="67"/>
      <c r="C181" s="67"/>
      <c r="D181" s="68"/>
    </row>
    <row r="182" spans="2:4" ht="15" thickBot="1" x14ac:dyDescent="0.4">
      <c r="B182" s="67"/>
      <c r="C182" s="67"/>
      <c r="D182" s="67"/>
    </row>
    <row r="183" spans="2:4" ht="15" thickBot="1" x14ac:dyDescent="0.4">
      <c r="B183" s="91"/>
      <c r="C183" s="67"/>
      <c r="D183" s="67"/>
    </row>
    <row r="184" spans="2:4" ht="15" thickBot="1" x14ac:dyDescent="0.4">
      <c r="B184" s="83"/>
      <c r="C184" s="84"/>
      <c r="D184" s="68"/>
    </row>
    <row r="185" spans="2:4" ht="15" thickBot="1" x14ac:dyDescent="0.4">
      <c r="B185" s="67"/>
      <c r="C185" s="67"/>
      <c r="D185" s="68"/>
    </row>
    <row r="186" spans="2:4" ht="15" thickBot="1" x14ac:dyDescent="0.4">
      <c r="B186" s="67"/>
      <c r="C186" s="67"/>
      <c r="D186" s="67"/>
    </row>
    <row r="187" spans="2:4" ht="15" thickBot="1" x14ac:dyDescent="0.4">
      <c r="B187" s="67"/>
      <c r="C187" s="67"/>
      <c r="D187" s="68"/>
    </row>
    <row r="188" spans="2:4" ht="15" thickBot="1" x14ac:dyDescent="0.4">
      <c r="B188" s="80"/>
      <c r="C188" s="67"/>
      <c r="D188" s="67"/>
    </row>
    <row r="189" spans="2:4" ht="15" thickBot="1" x14ac:dyDescent="0.4">
      <c r="B189" s="67"/>
      <c r="C189" s="67"/>
      <c r="D189" s="68"/>
    </row>
    <row r="190" spans="2:4" ht="15" thickBot="1" x14ac:dyDescent="0.4">
      <c r="B190" s="83"/>
      <c r="C190" s="84"/>
      <c r="D190" s="70"/>
    </row>
    <row r="191" spans="2:4" ht="15" thickBot="1" x14ac:dyDescent="0.4">
      <c r="B191" s="67"/>
      <c r="C191" s="67"/>
      <c r="D191" s="67"/>
    </row>
  </sheetData>
  <mergeCells count="2">
    <mergeCell ref="H8:I8"/>
    <mergeCell ref="H21:I21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5C2D5F-DD0F-4049-B7D3-CB76B5573A3D}">
  <dimension ref="A1:N207"/>
  <sheetViews>
    <sheetView topLeftCell="A174" workbookViewId="0">
      <selection activeCell="C183" sqref="C1:C183"/>
    </sheetView>
  </sheetViews>
  <sheetFormatPr defaultRowHeight="14.5" x14ac:dyDescent="0.35"/>
  <cols>
    <col min="1" max="1" width="35.453125" customWidth="1"/>
    <col min="2" max="2" width="21.81640625" customWidth="1"/>
    <col min="3" max="3" width="14.26953125" customWidth="1"/>
    <col min="6" max="6" width="26.26953125" customWidth="1"/>
    <col min="7" max="7" width="10.26953125" customWidth="1"/>
    <col min="12" max="12" width="38.1796875" customWidth="1"/>
    <col min="14" max="14" width="11" bestFit="1" customWidth="1"/>
  </cols>
  <sheetData>
    <row r="1" spans="1:4" ht="15" thickBot="1" x14ac:dyDescent="0.4">
      <c r="A1" s="19" t="s">
        <v>300</v>
      </c>
      <c r="B1" s="12"/>
      <c r="C1" s="12"/>
      <c r="D1" t="s">
        <v>301</v>
      </c>
    </row>
    <row r="2" spans="1:4" ht="15" thickBot="1" x14ac:dyDescent="0.4">
      <c r="A2" s="16"/>
      <c r="B2" s="16"/>
      <c r="C2" s="16"/>
    </row>
    <row r="3" spans="1:4" ht="15" thickBot="1" x14ac:dyDescent="0.4">
      <c r="A3" s="19" t="s">
        <v>302</v>
      </c>
      <c r="B3" s="12"/>
      <c r="C3" s="12"/>
    </row>
    <row r="4" spans="1:4" ht="15" thickBot="1" x14ac:dyDescent="0.4">
      <c r="A4" s="66" t="s">
        <v>303</v>
      </c>
      <c r="B4" s="16"/>
      <c r="C4" s="16"/>
    </row>
    <row r="5" spans="1:4" ht="15" thickBot="1" x14ac:dyDescent="0.4">
      <c r="A5" s="92" t="s">
        <v>304</v>
      </c>
      <c r="B5" s="92" t="s">
        <v>305</v>
      </c>
      <c r="C5" s="93"/>
      <c r="D5">
        <v>31250</v>
      </c>
    </row>
    <row r="6" spans="1:4" ht="15" thickBot="1" x14ac:dyDescent="0.4">
      <c r="A6" s="94" t="s">
        <v>306</v>
      </c>
      <c r="B6" s="95" t="s">
        <v>305</v>
      </c>
      <c r="C6" s="94"/>
      <c r="D6">
        <f>D5-D7-D8</f>
        <v>28812.5</v>
      </c>
    </row>
    <row r="7" spans="1:4" ht="15" thickBot="1" x14ac:dyDescent="0.4">
      <c r="A7" s="94" t="s">
        <v>307</v>
      </c>
      <c r="B7" s="95" t="s">
        <v>305</v>
      </c>
      <c r="C7" s="94"/>
      <c r="D7">
        <f>'Experimental_Bckground data'!F8</f>
        <v>1184.375</v>
      </c>
    </row>
    <row r="8" spans="1:4" ht="15" thickBot="1" x14ac:dyDescent="0.4">
      <c r="A8" s="94" t="s">
        <v>308</v>
      </c>
      <c r="B8" s="95" t="s">
        <v>305</v>
      </c>
      <c r="C8" s="94"/>
      <c r="D8">
        <f>D5*'Experimental_Bckground data'!B8/100</f>
        <v>1253.125</v>
      </c>
    </row>
    <row r="9" spans="1:4" ht="15" thickBot="1" x14ac:dyDescent="0.4">
      <c r="A9" s="19" t="s">
        <v>199</v>
      </c>
      <c r="B9" s="19"/>
      <c r="C9" s="19"/>
    </row>
    <row r="10" spans="1:4" ht="15" thickBot="1" x14ac:dyDescent="0.4">
      <c r="A10" s="96" t="s">
        <v>309</v>
      </c>
      <c r="B10" s="16"/>
      <c r="C10" s="97"/>
    </row>
    <row r="11" spans="1:4" ht="15" thickBot="1" x14ac:dyDescent="0.4">
      <c r="A11" s="66"/>
      <c r="B11" s="16"/>
      <c r="C11" s="16"/>
    </row>
    <row r="12" spans="1:4" ht="15" thickBot="1" x14ac:dyDescent="0.4">
      <c r="A12" s="66" t="s">
        <v>310</v>
      </c>
      <c r="B12" s="16"/>
      <c r="C12" s="69"/>
      <c r="D12" s="98">
        <f>SUM(D13:D15)</f>
        <v>321150.00679790496</v>
      </c>
    </row>
    <row r="13" spans="1:4" ht="15" thickBot="1" x14ac:dyDescent="0.4">
      <c r="A13" s="92" t="s">
        <v>311</v>
      </c>
      <c r="B13" s="92" t="s">
        <v>305</v>
      </c>
      <c r="C13" s="93"/>
      <c r="D13">
        <f>D5</f>
        <v>31250</v>
      </c>
    </row>
    <row r="14" spans="1:4" ht="15" thickBot="1" x14ac:dyDescent="0.4">
      <c r="A14" s="92" t="s">
        <v>273</v>
      </c>
      <c r="B14" s="92" t="s">
        <v>305</v>
      </c>
      <c r="C14" s="93"/>
      <c r="D14">
        <f>62500</f>
        <v>62500</v>
      </c>
    </row>
    <row r="15" spans="1:4" ht="15" thickBot="1" x14ac:dyDescent="0.4">
      <c r="A15" s="99" t="s">
        <v>312</v>
      </c>
      <c r="B15" s="92" t="s">
        <v>305</v>
      </c>
      <c r="C15" s="93"/>
      <c r="D15" s="98">
        <f>D16+D17</f>
        <v>227400.00679790499</v>
      </c>
    </row>
    <row r="16" spans="1:4" ht="15" thickBot="1" x14ac:dyDescent="0.4">
      <c r="A16" s="100" t="s">
        <v>313</v>
      </c>
      <c r="B16" s="101" t="s">
        <v>305</v>
      </c>
      <c r="C16" s="100"/>
      <c r="D16" s="98">
        <v>545.33000000000004</v>
      </c>
    </row>
    <row r="17" spans="1:5" ht="15" thickBot="1" x14ac:dyDescent="0.4">
      <c r="A17" s="100" t="s">
        <v>307</v>
      </c>
      <c r="B17" s="101" t="s">
        <v>305</v>
      </c>
      <c r="C17" s="100"/>
      <c r="D17" s="98">
        <v>226854.67679790501</v>
      </c>
    </row>
    <row r="18" spans="1:5" ht="15" thickBot="1" x14ac:dyDescent="0.4">
      <c r="A18" s="16"/>
      <c r="B18" s="16"/>
      <c r="C18" s="16"/>
    </row>
    <row r="19" spans="1:5" ht="15" thickBot="1" x14ac:dyDescent="0.4">
      <c r="A19" s="66" t="s">
        <v>303</v>
      </c>
      <c r="B19" s="16"/>
      <c r="C19" s="16"/>
    </row>
    <row r="20" spans="1:5" ht="15" thickBot="1" x14ac:dyDescent="0.4">
      <c r="A20" s="92" t="s">
        <v>314</v>
      </c>
      <c r="B20" s="92" t="s">
        <v>305</v>
      </c>
      <c r="C20" s="69"/>
      <c r="D20">
        <f>SUM(D21:D24)</f>
        <v>321150.00679790502</v>
      </c>
    </row>
    <row r="21" spans="1:5" ht="15" thickBot="1" x14ac:dyDescent="0.4">
      <c r="A21" s="94" t="s">
        <v>315</v>
      </c>
      <c r="B21" s="95" t="s">
        <v>305</v>
      </c>
      <c r="C21" s="94"/>
      <c r="D21">
        <f>D6</f>
        <v>28812.5</v>
      </c>
    </row>
    <row r="22" spans="1:5" ht="15" thickBot="1" x14ac:dyDescent="0.4">
      <c r="A22" s="102" t="s">
        <v>316</v>
      </c>
      <c r="B22" s="103" t="s">
        <v>305</v>
      </c>
      <c r="C22" s="102"/>
      <c r="D22">
        <f>D8</f>
        <v>1253.125</v>
      </c>
    </row>
    <row r="23" spans="1:5" ht="15" thickBot="1" x14ac:dyDescent="0.4">
      <c r="A23" s="94" t="s">
        <v>317</v>
      </c>
      <c r="B23" s="95" t="s">
        <v>305</v>
      </c>
      <c r="C23" s="94"/>
      <c r="D23" s="98">
        <f>D16</f>
        <v>545.33000000000004</v>
      </c>
    </row>
    <row r="24" spans="1:5" ht="15" thickBot="1" x14ac:dyDescent="0.4">
      <c r="A24" s="94" t="s">
        <v>307</v>
      </c>
      <c r="B24" s="95" t="s">
        <v>305</v>
      </c>
      <c r="C24" s="94"/>
      <c r="D24" s="98">
        <f>D17+D7+D14</f>
        <v>290539.05179790501</v>
      </c>
    </row>
    <row r="25" spans="1:5" ht="15" thickBot="1" x14ac:dyDescent="0.4">
      <c r="A25" s="16"/>
      <c r="B25" s="16"/>
      <c r="C25" s="16"/>
    </row>
    <row r="26" spans="1:5" ht="15" thickBot="1" x14ac:dyDescent="0.4">
      <c r="A26" s="19" t="s">
        <v>216</v>
      </c>
      <c r="B26" s="12"/>
      <c r="C26" s="12"/>
    </row>
    <row r="27" spans="1:5" ht="15" thickBot="1" x14ac:dyDescent="0.4">
      <c r="A27" s="92" t="s">
        <v>314</v>
      </c>
      <c r="B27" s="92" t="s">
        <v>305</v>
      </c>
      <c r="C27" s="93"/>
      <c r="D27">
        <f>315624+D8</f>
        <v>316877.125</v>
      </c>
    </row>
    <row r="28" spans="1:5" ht="15" thickBot="1" x14ac:dyDescent="0.4">
      <c r="A28" s="16"/>
      <c r="B28" s="16"/>
      <c r="C28" s="16"/>
    </row>
    <row r="29" spans="1:5" ht="15" thickBot="1" x14ac:dyDescent="0.4">
      <c r="A29" s="92" t="s">
        <v>318</v>
      </c>
      <c r="B29" s="92" t="s">
        <v>305</v>
      </c>
      <c r="C29" s="93"/>
      <c r="D29">
        <v>316877.125</v>
      </c>
    </row>
    <row r="30" spans="1:5" ht="15" thickBot="1" x14ac:dyDescent="0.4">
      <c r="A30" s="94" t="s">
        <v>319</v>
      </c>
      <c r="B30" s="95" t="s">
        <v>305</v>
      </c>
      <c r="C30" s="94"/>
      <c r="D30">
        <v>8834.1200000000008</v>
      </c>
      <c r="E30">
        <f>D30/$D$6</f>
        <v>0.30660720173535794</v>
      </c>
    </row>
    <row r="31" spans="1:5" ht="15" thickBot="1" x14ac:dyDescent="0.4">
      <c r="A31" s="104" t="s">
        <v>320</v>
      </c>
      <c r="B31" s="105" t="s">
        <v>305</v>
      </c>
      <c r="C31" s="104"/>
      <c r="E31">
        <f t="shared" ref="E31:E40" si="0">D31/$D$6</f>
        <v>0</v>
      </c>
    </row>
    <row r="32" spans="1:5" ht="15" thickBot="1" x14ac:dyDescent="0.4">
      <c r="A32" s="104" t="s">
        <v>321</v>
      </c>
      <c r="B32" s="105" t="s">
        <v>305</v>
      </c>
      <c r="C32" s="104"/>
      <c r="E32">
        <f t="shared" si="0"/>
        <v>0</v>
      </c>
    </row>
    <row r="33" spans="1:5" ht="15" thickBot="1" x14ac:dyDescent="0.4">
      <c r="A33" s="94" t="s">
        <v>322</v>
      </c>
      <c r="B33" s="95" t="s">
        <v>305</v>
      </c>
      <c r="C33" s="94"/>
      <c r="D33">
        <v>13006.5981281106</v>
      </c>
      <c r="E33">
        <f t="shared" si="0"/>
        <v>0.45142206084548719</v>
      </c>
    </row>
    <row r="34" spans="1:5" ht="15" thickBot="1" x14ac:dyDescent="0.4">
      <c r="A34" s="104" t="s">
        <v>320</v>
      </c>
      <c r="B34" s="105" t="s">
        <v>305</v>
      </c>
      <c r="C34" s="104"/>
      <c r="E34">
        <f t="shared" si="0"/>
        <v>0</v>
      </c>
    </row>
    <row r="35" spans="1:5" ht="15" thickBot="1" x14ac:dyDescent="0.4">
      <c r="A35" s="104" t="s">
        <v>321</v>
      </c>
      <c r="B35" s="105" t="s">
        <v>305</v>
      </c>
      <c r="C35" s="104"/>
      <c r="E35">
        <f t="shared" si="0"/>
        <v>0</v>
      </c>
    </row>
    <row r="36" spans="1:5" ht="15" thickBot="1" x14ac:dyDescent="0.4">
      <c r="A36" s="94" t="s">
        <v>323</v>
      </c>
      <c r="B36" s="95" t="s">
        <v>305</v>
      </c>
      <c r="C36" s="94"/>
      <c r="D36">
        <f>2314.43480783669+D8</f>
        <v>3567.5598078366902</v>
      </c>
      <c r="E36">
        <f t="shared" si="0"/>
        <v>0.12381986317871375</v>
      </c>
    </row>
    <row r="37" spans="1:5" ht="15" thickBot="1" x14ac:dyDescent="0.4">
      <c r="A37" s="104" t="s">
        <v>320</v>
      </c>
      <c r="B37" s="105" t="s">
        <v>305</v>
      </c>
      <c r="C37" s="104"/>
      <c r="E37">
        <f t="shared" si="0"/>
        <v>0</v>
      </c>
    </row>
    <row r="38" spans="1:5" ht="15" thickBot="1" x14ac:dyDescent="0.4">
      <c r="A38" s="104" t="s">
        <v>321</v>
      </c>
      <c r="B38" s="105" t="s">
        <v>305</v>
      </c>
      <c r="C38" s="104"/>
      <c r="E38">
        <f t="shared" si="0"/>
        <v>0</v>
      </c>
    </row>
    <row r="39" spans="1:5" ht="15" thickBot="1" x14ac:dyDescent="0.4">
      <c r="A39" s="94" t="s">
        <v>307</v>
      </c>
      <c r="B39" s="95" t="s">
        <v>305</v>
      </c>
      <c r="C39" s="94"/>
      <c r="D39">
        <f>D29-D30-D33-D36-D40</f>
        <v>286726.35337510839</v>
      </c>
      <c r="E39">
        <f t="shared" si="0"/>
        <v>9.9514569501122221</v>
      </c>
    </row>
    <row r="40" spans="1:5" ht="15" thickBot="1" x14ac:dyDescent="0.4">
      <c r="A40" s="94" t="s">
        <v>324</v>
      </c>
      <c r="B40" s="95" t="s">
        <v>305</v>
      </c>
      <c r="C40" s="94"/>
      <c r="D40">
        <v>4742.4936889443197</v>
      </c>
      <c r="E40">
        <f t="shared" si="0"/>
        <v>0.16459847944275297</v>
      </c>
    </row>
    <row r="41" spans="1:5" ht="15" thickBot="1" x14ac:dyDescent="0.4">
      <c r="A41" s="104" t="s">
        <v>320</v>
      </c>
      <c r="B41" s="105" t="s">
        <v>305</v>
      </c>
      <c r="C41" s="104"/>
    </row>
    <row r="42" spans="1:5" ht="15" thickBot="1" x14ac:dyDescent="0.4">
      <c r="A42" s="104" t="s">
        <v>321</v>
      </c>
      <c r="B42" s="105" t="s">
        <v>305</v>
      </c>
      <c r="C42" s="104"/>
    </row>
    <row r="43" spans="1:5" ht="15" thickBot="1" x14ac:dyDescent="0.4">
      <c r="A43" s="94"/>
      <c r="B43" s="95"/>
      <c r="C43" s="95"/>
      <c r="E43">
        <f>SUM(E30:E40)</f>
        <v>10.997904555314534</v>
      </c>
    </row>
    <row r="44" spans="1:5" ht="15" thickBot="1" x14ac:dyDescent="0.4">
      <c r="A44" s="19" t="s">
        <v>325</v>
      </c>
      <c r="B44" s="12"/>
      <c r="C44" s="12"/>
    </row>
    <row r="45" spans="1:5" ht="15" thickBot="1" x14ac:dyDescent="0.4">
      <c r="A45" s="49" t="s">
        <v>310</v>
      </c>
      <c r="B45" s="16"/>
      <c r="C45" s="95"/>
    </row>
    <row r="46" spans="1:5" ht="15" thickBot="1" x14ac:dyDescent="0.4">
      <c r="A46" s="92" t="s">
        <v>318</v>
      </c>
      <c r="B46" s="92" t="s">
        <v>305</v>
      </c>
      <c r="C46" s="93"/>
      <c r="D46">
        <f>D29</f>
        <v>316877.125</v>
      </c>
    </row>
    <row r="47" spans="1:5" ht="15" thickBot="1" x14ac:dyDescent="0.4">
      <c r="A47" s="16"/>
      <c r="B47" s="16"/>
      <c r="C47" s="16"/>
    </row>
    <row r="48" spans="1:5" ht="15" thickBot="1" x14ac:dyDescent="0.4">
      <c r="A48" s="66" t="s">
        <v>303</v>
      </c>
      <c r="B48" s="16"/>
      <c r="C48" s="16"/>
    </row>
    <row r="49" spans="1:4" ht="15" thickBot="1" x14ac:dyDescent="0.4">
      <c r="A49" s="92" t="s">
        <v>326</v>
      </c>
      <c r="B49" s="92" t="s">
        <v>305</v>
      </c>
      <c r="C49" s="93"/>
      <c r="D49">
        <f>D46</f>
        <v>316877.125</v>
      </c>
    </row>
    <row r="50" spans="1:4" ht="15" thickBot="1" x14ac:dyDescent="0.4">
      <c r="A50" s="16"/>
      <c r="B50" s="16"/>
      <c r="C50" s="16"/>
    </row>
    <row r="51" spans="1:4" ht="15" thickBot="1" x14ac:dyDescent="0.4">
      <c r="A51" s="19" t="s">
        <v>327</v>
      </c>
      <c r="B51" s="12"/>
      <c r="C51" s="12"/>
    </row>
    <row r="52" spans="1:4" ht="15" thickBot="1" x14ac:dyDescent="0.4">
      <c r="A52" s="66" t="s">
        <v>310</v>
      </c>
      <c r="B52" s="16"/>
      <c r="C52" s="16"/>
    </row>
    <row r="53" spans="1:4" ht="15" thickBot="1" x14ac:dyDescent="0.4">
      <c r="A53" s="92" t="s">
        <v>328</v>
      </c>
      <c r="B53" s="92" t="s">
        <v>305</v>
      </c>
      <c r="C53" s="93"/>
      <c r="D53">
        <f>D49</f>
        <v>316877.125</v>
      </c>
    </row>
    <row r="54" spans="1:4" ht="15" thickBot="1" x14ac:dyDescent="0.4">
      <c r="A54" s="16"/>
      <c r="B54" s="16"/>
      <c r="C54" s="16"/>
    </row>
    <row r="55" spans="1:4" ht="15" thickBot="1" x14ac:dyDescent="0.4">
      <c r="A55" s="66" t="s">
        <v>303</v>
      </c>
      <c r="B55" s="16"/>
      <c r="C55" s="69"/>
      <c r="D55">
        <f>SUM(D56:D57)</f>
        <v>316876.5562601437</v>
      </c>
    </row>
    <row r="56" spans="1:4" ht="15" thickBot="1" x14ac:dyDescent="0.4">
      <c r="A56" s="92" t="s">
        <v>329</v>
      </c>
      <c r="B56" s="92" t="s">
        <v>305</v>
      </c>
      <c r="C56" s="93"/>
      <c r="D56">
        <v>313308.99645230698</v>
      </c>
    </row>
    <row r="57" spans="1:4" ht="15" thickBot="1" x14ac:dyDescent="0.4">
      <c r="A57" s="92" t="s">
        <v>330</v>
      </c>
      <c r="B57" s="92" t="s">
        <v>305</v>
      </c>
      <c r="C57" s="93"/>
      <c r="D57">
        <f>D36</f>
        <v>3567.5598078366902</v>
      </c>
    </row>
    <row r="58" spans="1:4" ht="15" thickBot="1" x14ac:dyDescent="0.4">
      <c r="A58" s="16"/>
      <c r="B58" s="16"/>
      <c r="C58" s="16"/>
    </row>
    <row r="59" spans="1:4" ht="15" thickBot="1" x14ac:dyDescent="0.4">
      <c r="A59" s="11" t="s">
        <v>244</v>
      </c>
      <c r="B59" s="12"/>
      <c r="C59" s="12"/>
    </row>
    <row r="60" spans="1:4" ht="15" thickBot="1" x14ac:dyDescent="0.4">
      <c r="A60" s="66" t="s">
        <v>310</v>
      </c>
      <c r="B60" s="16"/>
      <c r="C60" s="16"/>
    </row>
    <row r="61" spans="1:4" ht="15" thickBot="1" x14ac:dyDescent="0.4">
      <c r="A61" s="92" t="s">
        <v>329</v>
      </c>
      <c r="B61" s="92" t="s">
        <v>305</v>
      </c>
      <c r="C61" s="93"/>
      <c r="D61">
        <f>D56</f>
        <v>313308.99645230698</v>
      </c>
    </row>
    <row r="62" spans="1:4" ht="15" thickBot="1" x14ac:dyDescent="0.4">
      <c r="A62" s="16"/>
      <c r="B62" s="16"/>
      <c r="C62" s="16"/>
    </row>
    <row r="63" spans="1:4" ht="15" thickBot="1" x14ac:dyDescent="0.4">
      <c r="A63" s="66" t="s">
        <v>303</v>
      </c>
      <c r="B63" s="16"/>
      <c r="C63" s="69"/>
      <c r="D63">
        <f>D64+D65</f>
        <v>313308.99645230634</v>
      </c>
    </row>
    <row r="64" spans="1:4" ht="15" thickBot="1" x14ac:dyDescent="0.4">
      <c r="A64" s="92" t="s">
        <v>331</v>
      </c>
      <c r="B64" s="92" t="s">
        <v>305</v>
      </c>
      <c r="C64" s="93"/>
      <c r="D64">
        <v>308566.50276336202</v>
      </c>
    </row>
    <row r="65" spans="1:4" ht="15" thickBot="1" x14ac:dyDescent="0.4">
      <c r="A65" s="92" t="s">
        <v>332</v>
      </c>
      <c r="B65" s="92" t="s">
        <v>305</v>
      </c>
      <c r="C65" s="93"/>
      <c r="D65">
        <f>SUM(D66:D105)</f>
        <v>4742.4936889443179</v>
      </c>
    </row>
    <row r="66" spans="1:4" ht="15" thickBot="1" x14ac:dyDescent="0.4">
      <c r="A66" t="s">
        <v>345</v>
      </c>
      <c r="B66" s="95" t="s">
        <v>305</v>
      </c>
      <c r="C66" s="94"/>
      <c r="D66">
        <v>246.20711214533401</v>
      </c>
    </row>
    <row r="67" spans="1:4" ht="15" thickBot="1" x14ac:dyDescent="0.4">
      <c r="A67" t="s">
        <v>405</v>
      </c>
      <c r="B67" s="95" t="s">
        <v>305</v>
      </c>
      <c r="C67" s="94"/>
      <c r="D67">
        <v>51.800051531312697</v>
      </c>
    </row>
    <row r="68" spans="1:4" ht="15" thickBot="1" x14ac:dyDescent="0.4">
      <c r="A68" t="s">
        <v>406</v>
      </c>
      <c r="B68" s="95" t="s">
        <v>305</v>
      </c>
      <c r="C68" s="94"/>
      <c r="D68">
        <v>4185.6498434867899</v>
      </c>
    </row>
    <row r="69" spans="1:4" ht="15" thickBot="1" x14ac:dyDescent="0.4">
      <c r="A69" t="s">
        <v>58</v>
      </c>
      <c r="B69" s="95" t="s">
        <v>305</v>
      </c>
      <c r="C69" s="94"/>
      <c r="D69">
        <v>184.651062189231</v>
      </c>
    </row>
    <row r="70" spans="1:4" ht="15" thickBot="1" x14ac:dyDescent="0.4">
      <c r="A70" t="s">
        <v>59</v>
      </c>
      <c r="B70" s="95" t="s">
        <v>305</v>
      </c>
      <c r="C70" s="94"/>
      <c r="D70" s="63">
        <v>2.3989306851279099E-6</v>
      </c>
    </row>
    <row r="71" spans="1:4" ht="15" thickBot="1" x14ac:dyDescent="0.4">
      <c r="A71" t="s">
        <v>60</v>
      </c>
      <c r="B71" s="95" t="s">
        <v>305</v>
      </c>
      <c r="C71" s="94"/>
      <c r="D71" s="63">
        <v>1.7161619511820099E-5</v>
      </c>
    </row>
    <row r="72" spans="1:4" ht="15" thickBot="1" x14ac:dyDescent="0.4">
      <c r="A72" t="s">
        <v>61</v>
      </c>
      <c r="B72" s="95" t="s">
        <v>305</v>
      </c>
      <c r="C72" s="16"/>
      <c r="D72" s="63">
        <v>3.4006858984486702E-6</v>
      </c>
    </row>
    <row r="73" spans="1:4" ht="15" thickBot="1" x14ac:dyDescent="0.4">
      <c r="A73" t="s">
        <v>62</v>
      </c>
      <c r="B73" s="95" t="s">
        <v>305</v>
      </c>
      <c r="D73" s="63">
        <v>1.7716764306984201E-7</v>
      </c>
    </row>
    <row r="74" spans="1:4" ht="15" thickBot="1" x14ac:dyDescent="0.4">
      <c r="A74" t="s">
        <v>63</v>
      </c>
      <c r="B74" s="95" t="s">
        <v>305</v>
      </c>
      <c r="D74" s="63">
        <v>7.0252697089625797E-9</v>
      </c>
    </row>
    <row r="75" spans="1:4" ht="15" thickBot="1" x14ac:dyDescent="0.4">
      <c r="A75" t="s">
        <v>64</v>
      </c>
      <c r="B75" s="95" t="s">
        <v>305</v>
      </c>
      <c r="D75" s="63">
        <v>7.3243524429839797E-8</v>
      </c>
    </row>
    <row r="76" spans="1:4" ht="15" thickBot="1" x14ac:dyDescent="0.4">
      <c r="A76" t="s">
        <v>65</v>
      </c>
      <c r="B76" s="95" t="s">
        <v>305</v>
      </c>
      <c r="D76" s="63">
        <v>5.8632748231871298E-8</v>
      </c>
    </row>
    <row r="77" spans="1:4" ht="15" thickBot="1" x14ac:dyDescent="0.4">
      <c r="A77" t="s">
        <v>66</v>
      </c>
      <c r="B77" s="95" t="s">
        <v>305</v>
      </c>
      <c r="D77">
        <v>1.89695439244718E-2</v>
      </c>
    </row>
    <row r="78" spans="1:4" ht="15" thickBot="1" x14ac:dyDescent="0.4">
      <c r="A78" t="s">
        <v>67</v>
      </c>
      <c r="B78" s="95" t="s">
        <v>305</v>
      </c>
      <c r="D78">
        <v>3.66575252802957E-2</v>
      </c>
    </row>
    <row r="79" spans="1:4" ht="15" thickBot="1" x14ac:dyDescent="0.4">
      <c r="A79" t="s">
        <v>68</v>
      </c>
      <c r="B79" s="95" t="s">
        <v>305</v>
      </c>
      <c r="D79">
        <v>2.6351134381640901E-2</v>
      </c>
    </row>
    <row r="80" spans="1:4" ht="15" thickBot="1" x14ac:dyDescent="0.4">
      <c r="A80" t="s">
        <v>69</v>
      </c>
      <c r="B80" s="95" t="s">
        <v>305</v>
      </c>
      <c r="D80">
        <v>2.1469683225675499E-3</v>
      </c>
    </row>
    <row r="81" spans="1:14" ht="15" thickBot="1" x14ac:dyDescent="0.4">
      <c r="A81" t="s">
        <v>72</v>
      </c>
      <c r="B81" s="95" t="s">
        <v>305</v>
      </c>
      <c r="D81">
        <v>0.64999156980574002</v>
      </c>
    </row>
    <row r="82" spans="1:14" ht="15" thickBot="1" x14ac:dyDescent="0.4">
      <c r="A82" t="s">
        <v>73</v>
      </c>
      <c r="B82" s="95" t="s">
        <v>305</v>
      </c>
      <c r="D82">
        <v>4.9068788413900799E-3</v>
      </c>
    </row>
    <row r="83" spans="1:14" ht="15" thickBot="1" x14ac:dyDescent="0.4">
      <c r="A83" t="s">
        <v>74</v>
      </c>
      <c r="B83" s="95" t="s">
        <v>305</v>
      </c>
      <c r="D83" s="63">
        <v>4.4299717296429397E-5</v>
      </c>
    </row>
    <row r="84" spans="1:14" ht="15" thickBot="1" x14ac:dyDescent="0.4">
      <c r="A84" t="s">
        <v>75</v>
      </c>
      <c r="B84" s="95" t="s">
        <v>305</v>
      </c>
      <c r="D84">
        <v>2.23492298807197E-3</v>
      </c>
    </row>
    <row r="85" spans="1:14" ht="15" thickBot="1" x14ac:dyDescent="0.4">
      <c r="A85" t="s">
        <v>76</v>
      </c>
      <c r="B85" s="95" t="s">
        <v>305</v>
      </c>
      <c r="D85">
        <v>8.7048352804622504E-4</v>
      </c>
    </row>
    <row r="86" spans="1:14" ht="15" thickBot="1" x14ac:dyDescent="0.4">
      <c r="A86" t="s">
        <v>79</v>
      </c>
      <c r="B86" s="95" t="s">
        <v>305</v>
      </c>
      <c r="D86">
        <v>3.9057110292935203E-2</v>
      </c>
    </row>
    <row r="87" spans="1:14" ht="15" thickBot="1" x14ac:dyDescent="0.4">
      <c r="A87" t="s">
        <v>80</v>
      </c>
      <c r="B87" s="95" t="s">
        <v>305</v>
      </c>
      <c r="D87">
        <v>1.75326784127069E-3</v>
      </c>
    </row>
    <row r="88" spans="1:14" ht="15" thickBot="1" x14ac:dyDescent="0.4">
      <c r="A88" t="s">
        <v>81</v>
      </c>
      <c r="B88" s="95" t="s">
        <v>305</v>
      </c>
      <c r="D88" s="63">
        <v>4.0484128445449603E-5</v>
      </c>
    </row>
    <row r="89" spans="1:14" ht="15" thickBot="1" x14ac:dyDescent="0.4">
      <c r="A89" t="s">
        <v>136</v>
      </c>
      <c r="B89" s="95" t="s">
        <v>305</v>
      </c>
      <c r="D89">
        <v>1.9030707182104201</v>
      </c>
    </row>
    <row r="90" spans="1:14" ht="15" thickBot="1" x14ac:dyDescent="0.4">
      <c r="A90" t="s">
        <v>137</v>
      </c>
      <c r="B90" s="95" t="s">
        <v>305</v>
      </c>
      <c r="D90">
        <v>2.3275963583033001</v>
      </c>
    </row>
    <row r="91" spans="1:14" ht="15" thickBot="1" x14ac:dyDescent="0.4">
      <c r="A91" t="s">
        <v>138</v>
      </c>
      <c r="B91" s="95" t="s">
        <v>305</v>
      </c>
      <c r="D91">
        <v>3.8209599811949202</v>
      </c>
    </row>
    <row r="92" spans="1:14" ht="15" thickBot="1" x14ac:dyDescent="0.4">
      <c r="A92" t="s">
        <v>140</v>
      </c>
      <c r="B92" s="95" t="s">
        <v>305</v>
      </c>
      <c r="D92">
        <v>0.84511545811017297</v>
      </c>
    </row>
    <row r="93" spans="1:14" ht="15" thickBot="1" x14ac:dyDescent="0.4">
      <c r="A93" t="s">
        <v>139</v>
      </c>
      <c r="B93" s="95" t="s">
        <v>305</v>
      </c>
      <c r="D93">
        <v>31.023928290361599</v>
      </c>
    </row>
    <row r="94" spans="1:14" ht="15" thickBot="1" x14ac:dyDescent="0.4">
      <c r="A94" t="s">
        <v>82</v>
      </c>
      <c r="B94" s="95" t="s">
        <v>305</v>
      </c>
      <c r="D94" s="63">
        <v>7.3771441999765898E-5</v>
      </c>
    </row>
    <row r="95" spans="1:14" ht="15" thickBot="1" x14ac:dyDescent="0.4">
      <c r="A95" t="s">
        <v>141</v>
      </c>
      <c r="B95" s="95" t="s">
        <v>305</v>
      </c>
      <c r="D95">
        <v>2.4244220927619199E-4</v>
      </c>
      <c r="L95" s="16"/>
      <c r="M95" s="16"/>
      <c r="N95" s="16"/>
    </row>
    <row r="96" spans="1:14" ht="15" thickBot="1" x14ac:dyDescent="0.4">
      <c r="A96" t="s">
        <v>83</v>
      </c>
      <c r="B96" s="95" t="s">
        <v>305</v>
      </c>
      <c r="D96" s="63">
        <v>5.5947746025550599E-5</v>
      </c>
    </row>
    <row r="97" spans="1:9" ht="15" thickBot="1" x14ac:dyDescent="0.4">
      <c r="A97" t="s">
        <v>84</v>
      </c>
      <c r="B97" s="95" t="s">
        <v>305</v>
      </c>
      <c r="D97">
        <v>1.36690963621518E-4</v>
      </c>
    </row>
    <row r="98" spans="1:9" ht="15" thickBot="1" x14ac:dyDescent="0.4">
      <c r="A98" t="s">
        <v>77</v>
      </c>
      <c r="B98" s="95" t="s">
        <v>305</v>
      </c>
      <c r="D98">
        <v>2.20125803930677E-2</v>
      </c>
    </row>
    <row r="99" spans="1:9" ht="15" thickBot="1" x14ac:dyDescent="0.4">
      <c r="A99" t="s">
        <v>71</v>
      </c>
      <c r="B99" s="95" t="s">
        <v>305</v>
      </c>
      <c r="D99">
        <v>7.4690201984080598E-3</v>
      </c>
    </row>
    <row r="100" spans="1:9" ht="15" thickBot="1" x14ac:dyDescent="0.4">
      <c r="A100" t="s">
        <v>143</v>
      </c>
      <c r="B100" s="95" t="s">
        <v>305</v>
      </c>
      <c r="D100" s="63">
        <v>3.34143646502126E-6</v>
      </c>
    </row>
    <row r="101" spans="1:9" ht="15" thickBot="1" x14ac:dyDescent="0.4">
      <c r="A101" t="s">
        <v>144</v>
      </c>
      <c r="B101" s="95" t="s">
        <v>305</v>
      </c>
      <c r="D101" s="63">
        <v>1.41459372209181E-6</v>
      </c>
    </row>
    <row r="102" spans="1:9" ht="15" thickBot="1" x14ac:dyDescent="0.4">
      <c r="A102" t="s">
        <v>407</v>
      </c>
      <c r="B102" s="95" t="s">
        <v>305</v>
      </c>
      <c r="D102">
        <v>12.3322352754584</v>
      </c>
    </row>
    <row r="103" spans="1:9" ht="15" thickBot="1" x14ac:dyDescent="0.4">
      <c r="A103" t="s">
        <v>408</v>
      </c>
      <c r="B103" s="95" t="s">
        <v>305</v>
      </c>
      <c r="D103">
        <v>7.1936860604403599</v>
      </c>
    </row>
    <row r="104" spans="1:9" ht="15" thickBot="1" x14ac:dyDescent="0.4">
      <c r="A104" t="s">
        <v>409</v>
      </c>
      <c r="B104" s="95" t="s">
        <v>305</v>
      </c>
      <c r="D104">
        <v>2.73973921828274</v>
      </c>
    </row>
    <row r="105" spans="1:9" ht="15" thickBot="1" x14ac:dyDescent="0.4">
      <c r="A105" s="110" t="s">
        <v>410</v>
      </c>
      <c r="B105" s="115" t="s">
        <v>305</v>
      </c>
      <c r="D105">
        <v>11.1862455559497</v>
      </c>
    </row>
    <row r="106" spans="1:9" ht="15" thickBot="1" x14ac:dyDescent="0.4">
      <c r="A106" s="11" t="s">
        <v>269</v>
      </c>
      <c r="B106" s="12"/>
      <c r="C106" s="12"/>
    </row>
    <row r="107" spans="1:9" ht="15" thickBot="1" x14ac:dyDescent="0.4">
      <c r="A107" s="66" t="s">
        <v>310</v>
      </c>
      <c r="B107" s="16"/>
      <c r="C107" s="16"/>
    </row>
    <row r="108" spans="1:9" ht="15" thickBot="1" x14ac:dyDescent="0.4">
      <c r="A108" s="92" t="s">
        <v>331</v>
      </c>
      <c r="B108" s="92" t="s">
        <v>305</v>
      </c>
      <c r="C108" s="93"/>
      <c r="D108">
        <f>D64</f>
        <v>308566.50276336202</v>
      </c>
    </row>
    <row r="109" spans="1:9" ht="15" thickBot="1" x14ac:dyDescent="0.4">
      <c r="A109" s="16"/>
      <c r="B109" s="16"/>
      <c r="C109" s="16"/>
    </row>
    <row r="110" spans="1:9" ht="15" thickBot="1" x14ac:dyDescent="0.4">
      <c r="A110" s="66" t="s">
        <v>303</v>
      </c>
      <c r="B110" s="16"/>
      <c r="C110" s="69"/>
      <c r="D110">
        <f>SUM(D111,D115)</f>
        <v>308566.53525127424</v>
      </c>
    </row>
    <row r="111" spans="1:9" ht="15" thickBot="1" x14ac:dyDescent="0.4">
      <c r="A111" s="92" t="s">
        <v>20</v>
      </c>
      <c r="B111" s="92" t="s">
        <v>305</v>
      </c>
      <c r="C111" s="93"/>
      <c r="D111">
        <v>9483.9492512741999</v>
      </c>
    </row>
    <row r="112" spans="1:9" ht="15" thickBot="1" x14ac:dyDescent="0.4">
      <c r="A112" s="94" t="s">
        <v>313</v>
      </c>
      <c r="B112" s="95" t="s">
        <v>305</v>
      </c>
      <c r="C112" s="94"/>
      <c r="D112">
        <v>8834.1200000000008</v>
      </c>
      <c r="H112" t="s">
        <v>924</v>
      </c>
      <c r="I112" t="s">
        <v>925</v>
      </c>
    </row>
    <row r="113" spans="1:14" ht="15" thickBot="1" x14ac:dyDescent="0.4">
      <c r="A113" s="94" t="s">
        <v>307</v>
      </c>
      <c r="B113" s="95" t="s">
        <v>305</v>
      </c>
      <c r="C113" s="94"/>
      <c r="D113">
        <v>649.826803199285</v>
      </c>
      <c r="G113" t="s">
        <v>926</v>
      </c>
      <c r="H113">
        <f>I113*D136/1000</f>
        <v>3.8884191930224219</v>
      </c>
      <c r="I113">
        <v>0.41</v>
      </c>
      <c r="J113" t="s">
        <v>927</v>
      </c>
    </row>
    <row r="114" spans="1:14" ht="15" thickBot="1" x14ac:dyDescent="0.4">
      <c r="A114" s="94" t="s">
        <v>308</v>
      </c>
      <c r="B114" s="95" t="s">
        <v>305</v>
      </c>
      <c r="C114" s="94"/>
      <c r="D114">
        <v>0</v>
      </c>
    </row>
    <row r="115" spans="1:14" ht="15" thickBot="1" x14ac:dyDescent="0.4">
      <c r="A115" s="92" t="s">
        <v>333</v>
      </c>
      <c r="B115" s="92" t="s">
        <v>305</v>
      </c>
      <c r="C115" s="93"/>
      <c r="D115">
        <f>D116+D117+D118</f>
        <v>299082.58600000001</v>
      </c>
    </row>
    <row r="116" spans="1:14" ht="15" thickBot="1" x14ac:dyDescent="0.4">
      <c r="A116" s="94" t="s">
        <v>313</v>
      </c>
      <c r="B116" s="95" t="s">
        <v>305</v>
      </c>
      <c r="C116" s="94"/>
      <c r="D116">
        <v>684.58600000000001</v>
      </c>
    </row>
    <row r="117" spans="1:14" ht="15" thickBot="1" x14ac:dyDescent="0.4">
      <c r="A117" s="94" t="s">
        <v>307</v>
      </c>
      <c r="B117" s="95" t="s">
        <v>305</v>
      </c>
      <c r="C117" s="94"/>
      <c r="D117">
        <v>298398</v>
      </c>
    </row>
    <row r="118" spans="1:14" ht="15" thickBot="1" x14ac:dyDescent="0.4">
      <c r="A118" s="19" t="s">
        <v>276</v>
      </c>
      <c r="B118" s="12"/>
      <c r="C118" s="12"/>
    </row>
    <row r="119" spans="1:14" ht="15" thickBot="1" x14ac:dyDescent="0.4">
      <c r="A119" s="66" t="s">
        <v>310</v>
      </c>
      <c r="B119" s="16"/>
      <c r="C119" s="16"/>
    </row>
    <row r="120" spans="1:14" ht="15" thickBot="1" x14ac:dyDescent="0.4">
      <c r="A120" s="92" t="s">
        <v>333</v>
      </c>
      <c r="B120" s="92" t="s">
        <v>305</v>
      </c>
      <c r="C120" s="93"/>
      <c r="D120">
        <f>D115</f>
        <v>299082.58600000001</v>
      </c>
      <c r="L120" s="16"/>
      <c r="M120" s="16"/>
      <c r="N120" s="16"/>
    </row>
    <row r="121" spans="1:14" ht="15" thickBot="1" x14ac:dyDescent="0.4">
      <c r="A121" s="16"/>
      <c r="B121" s="16"/>
      <c r="C121" s="16"/>
    </row>
    <row r="122" spans="1:14" ht="15" thickBot="1" x14ac:dyDescent="0.4">
      <c r="A122" s="66" t="s">
        <v>303</v>
      </c>
      <c r="B122" s="16"/>
      <c r="C122" s="69"/>
      <c r="D122">
        <f>D123+D127</f>
        <v>299082.07837802201</v>
      </c>
    </row>
    <row r="123" spans="1:14" ht="15" thickBot="1" x14ac:dyDescent="0.4">
      <c r="A123" s="99" t="s">
        <v>334</v>
      </c>
      <c r="B123" s="92" t="s">
        <v>305</v>
      </c>
      <c r="C123" s="93"/>
      <c r="D123">
        <f>SUM(D124:D125)</f>
        <v>224311.44</v>
      </c>
    </row>
    <row r="124" spans="1:14" ht="15" thickBot="1" x14ac:dyDescent="0.4">
      <c r="A124" s="94" t="s">
        <v>313</v>
      </c>
      <c r="B124" s="95" t="s">
        <v>305</v>
      </c>
      <c r="C124" s="94"/>
      <c r="D124">
        <v>513.44000000000005</v>
      </c>
    </row>
    <row r="125" spans="1:14" ht="15" thickBot="1" x14ac:dyDescent="0.4">
      <c r="A125" s="94" t="s">
        <v>307</v>
      </c>
      <c r="B125" s="95" t="s">
        <v>305</v>
      </c>
      <c r="C125" s="94"/>
      <c r="D125">
        <v>223798</v>
      </c>
    </row>
    <row r="126" spans="1:14" ht="15" thickBot="1" x14ac:dyDescent="0.4">
      <c r="A126" s="16"/>
      <c r="B126" s="16"/>
      <c r="C126" s="16"/>
    </row>
    <row r="127" spans="1:14" ht="15" thickBot="1" x14ac:dyDescent="0.4">
      <c r="A127" s="92" t="s">
        <v>335</v>
      </c>
      <c r="B127" s="92" t="s">
        <v>305</v>
      </c>
      <c r="C127" s="93"/>
      <c r="D127">
        <v>74770.638378022006</v>
      </c>
    </row>
    <row r="128" spans="1:14" ht="15" thickBot="1" x14ac:dyDescent="0.4">
      <c r="A128" s="19" t="s">
        <v>278</v>
      </c>
      <c r="B128" s="12"/>
      <c r="C128" s="12"/>
    </row>
    <row r="129" spans="1:14" ht="15" thickBot="1" x14ac:dyDescent="0.4">
      <c r="A129" s="49" t="s">
        <v>303</v>
      </c>
      <c r="B129" s="16"/>
      <c r="C129" s="106"/>
    </row>
    <row r="130" spans="1:14" ht="15" thickBot="1" x14ac:dyDescent="0.4">
      <c r="A130" s="20" t="s">
        <v>336</v>
      </c>
      <c r="B130" s="20" t="s">
        <v>305</v>
      </c>
      <c r="C130" s="107"/>
      <c r="D130">
        <f>SUM(D131:D132)</f>
        <v>484.40013530488301</v>
      </c>
      <c r="L130" s="16"/>
      <c r="M130" s="16"/>
      <c r="N130" s="16"/>
    </row>
    <row r="131" spans="1:14" ht="15" thickBot="1" x14ac:dyDescent="0.4">
      <c r="A131" s="50" t="s">
        <v>337</v>
      </c>
      <c r="B131" s="50" t="s">
        <v>305</v>
      </c>
      <c r="C131" s="108"/>
      <c r="D131">
        <v>362.85840000000002</v>
      </c>
    </row>
    <row r="132" spans="1:14" ht="15" thickBot="1" x14ac:dyDescent="0.4">
      <c r="A132" s="50" t="s">
        <v>338</v>
      </c>
      <c r="B132" s="50" t="s">
        <v>305</v>
      </c>
      <c r="C132" s="108"/>
      <c r="D132">
        <v>121.54173530488301</v>
      </c>
    </row>
    <row r="133" spans="1:14" ht="15" thickBot="1" x14ac:dyDescent="0.4">
      <c r="A133" s="20"/>
      <c r="B133" s="20"/>
      <c r="C133" s="106"/>
    </row>
    <row r="134" spans="1:14" ht="15" thickBot="1" x14ac:dyDescent="0.4">
      <c r="A134" s="19" t="s">
        <v>283</v>
      </c>
      <c r="B134" s="12"/>
      <c r="C134" s="12"/>
    </row>
    <row r="135" spans="1:14" ht="15" thickBot="1" x14ac:dyDescent="0.4">
      <c r="A135" s="49" t="s">
        <v>310</v>
      </c>
      <c r="B135" s="20"/>
      <c r="C135" s="109"/>
      <c r="D135">
        <f>D136+D137</f>
        <v>9968.3493865790824</v>
      </c>
    </row>
    <row r="136" spans="1:14" ht="15" thickBot="1" x14ac:dyDescent="0.4">
      <c r="A136" s="20" t="s">
        <v>339</v>
      </c>
      <c r="B136" s="20" t="s">
        <v>305</v>
      </c>
      <c r="C136" s="28"/>
      <c r="D136">
        <f>D111</f>
        <v>9483.9492512741999</v>
      </c>
    </row>
    <row r="137" spans="1:14" ht="15" thickBot="1" x14ac:dyDescent="0.4">
      <c r="A137" s="20" t="s">
        <v>336</v>
      </c>
      <c r="B137" s="20" t="s">
        <v>305</v>
      </c>
      <c r="C137" s="28"/>
      <c r="D137">
        <f>D130</f>
        <v>484.40013530488301</v>
      </c>
    </row>
    <row r="138" spans="1:14" ht="15" thickBot="1" x14ac:dyDescent="0.4">
      <c r="A138" s="16"/>
      <c r="B138" s="16"/>
      <c r="C138" s="16"/>
    </row>
    <row r="139" spans="1:14" ht="15" thickBot="1" x14ac:dyDescent="0.4">
      <c r="A139" s="49" t="s">
        <v>303</v>
      </c>
      <c r="B139" s="16"/>
      <c r="C139" s="16"/>
    </row>
    <row r="140" spans="1:14" ht="15" thickBot="1" x14ac:dyDescent="0.4">
      <c r="A140" s="20" t="s">
        <v>340</v>
      </c>
      <c r="B140" s="20" t="s">
        <v>305</v>
      </c>
      <c r="C140" s="28"/>
      <c r="D140">
        <f>SUM(D141:D144)</f>
        <v>9968.35</v>
      </c>
    </row>
    <row r="141" spans="1:14" ht="15" thickBot="1" x14ac:dyDescent="0.4">
      <c r="A141" s="102" t="s">
        <v>313</v>
      </c>
      <c r="B141" s="103" t="s">
        <v>305</v>
      </c>
      <c r="C141" s="102"/>
      <c r="D141">
        <v>8285.986529390233</v>
      </c>
      <c r="L141" s="19" t="s">
        <v>213</v>
      </c>
      <c r="M141" s="12"/>
      <c r="N141" s="12"/>
    </row>
    <row r="142" spans="1:14" ht="15" thickBot="1" x14ac:dyDescent="0.4">
      <c r="A142" s="102" t="s">
        <v>307</v>
      </c>
      <c r="B142" s="103" t="s">
        <v>305</v>
      </c>
      <c r="C142" s="102"/>
      <c r="D142">
        <v>1439.28</v>
      </c>
      <c r="L142" s="66" t="s">
        <v>310</v>
      </c>
      <c r="M142" s="16"/>
      <c r="N142" s="69">
        <f>N143+N146+N187+N188</f>
        <v>39006.876117581029</v>
      </c>
    </row>
    <row r="143" spans="1:14" ht="15" thickBot="1" x14ac:dyDescent="0.4">
      <c r="A143" s="102" t="s">
        <v>308</v>
      </c>
      <c r="B143" s="103" t="s">
        <v>305</v>
      </c>
      <c r="C143" s="102"/>
      <c r="D143">
        <v>0</v>
      </c>
      <c r="L143" s="92" t="s">
        <v>341</v>
      </c>
      <c r="M143" s="92" t="s">
        <v>305</v>
      </c>
      <c r="N143" s="93">
        <f>D57</f>
        <v>3567.5598078366902</v>
      </c>
    </row>
    <row r="144" spans="1:14" ht="15" thickBot="1" x14ac:dyDescent="0.4">
      <c r="A144" s="102" t="s">
        <v>342</v>
      </c>
      <c r="B144" s="103" t="s">
        <v>305</v>
      </c>
      <c r="C144" s="102"/>
      <c r="D144">
        <v>243.08347060976701</v>
      </c>
      <c r="L144" s="95" t="s">
        <v>343</v>
      </c>
      <c r="M144" s="95" t="s">
        <v>305</v>
      </c>
      <c r="N144" s="93">
        <f>N143-N145</f>
        <v>2314.4348078366902</v>
      </c>
    </row>
    <row r="145" spans="1:14" ht="15" thickBot="1" x14ac:dyDescent="0.4">
      <c r="A145" s="19" t="s">
        <v>289</v>
      </c>
      <c r="B145" s="12"/>
      <c r="C145" s="12"/>
      <c r="L145" s="95" t="s">
        <v>308</v>
      </c>
      <c r="M145" s="95" t="s">
        <v>305</v>
      </c>
      <c r="N145" s="93">
        <f>D8</f>
        <v>1253.125</v>
      </c>
    </row>
    <row r="146" spans="1:14" ht="15" thickBot="1" x14ac:dyDescent="0.4">
      <c r="A146" s="49" t="s">
        <v>310</v>
      </c>
      <c r="B146" s="16"/>
      <c r="C146" s="16"/>
      <c r="L146" s="92" t="s">
        <v>344</v>
      </c>
      <c r="M146" s="92" t="s">
        <v>305</v>
      </c>
      <c r="N146" s="93">
        <f>D65</f>
        <v>4742.4936889443179</v>
      </c>
    </row>
    <row r="147" spans="1:14" ht="15" thickBot="1" x14ac:dyDescent="0.4">
      <c r="A147" s="20" t="s">
        <v>340</v>
      </c>
      <c r="B147" s="20" t="s">
        <v>305</v>
      </c>
      <c r="C147" s="28"/>
      <c r="D147">
        <f>D140</f>
        <v>9968.35</v>
      </c>
      <c r="L147" t="s">
        <v>345</v>
      </c>
      <c r="N147">
        <v>246.20711214533401</v>
      </c>
    </row>
    <row r="148" spans="1:14" ht="15" thickBot="1" x14ac:dyDescent="0.4">
      <c r="A148" s="16"/>
      <c r="B148" s="16"/>
      <c r="C148" s="16"/>
      <c r="L148" t="s">
        <v>405</v>
      </c>
      <c r="N148">
        <v>51.800051531312697</v>
      </c>
    </row>
    <row r="149" spans="1:14" ht="15" thickBot="1" x14ac:dyDescent="0.4">
      <c r="A149" s="49" t="s">
        <v>303</v>
      </c>
      <c r="B149" s="16"/>
      <c r="C149" s="16"/>
      <c r="L149" t="s">
        <v>406</v>
      </c>
      <c r="N149">
        <v>4185.6498434867899</v>
      </c>
    </row>
    <row r="150" spans="1:14" ht="15" thickBot="1" x14ac:dyDescent="0.4">
      <c r="A150" s="20" t="s">
        <v>348</v>
      </c>
      <c r="B150" s="20" t="s">
        <v>305</v>
      </c>
      <c r="C150" s="28"/>
      <c r="D150">
        <f>D140</f>
        <v>9968.35</v>
      </c>
      <c r="L150" t="s">
        <v>58</v>
      </c>
      <c r="N150">
        <v>184.651062189231</v>
      </c>
    </row>
    <row r="151" spans="1:14" ht="15" thickBot="1" x14ac:dyDescent="0.4">
      <c r="A151" s="19" t="s">
        <v>290</v>
      </c>
      <c r="B151" s="12"/>
      <c r="C151" s="12"/>
      <c r="L151" t="s">
        <v>59</v>
      </c>
      <c r="N151" s="63">
        <v>2.3989306851279099E-6</v>
      </c>
    </row>
    <row r="152" spans="1:14" ht="15" thickBot="1" x14ac:dyDescent="0.4">
      <c r="A152" s="49" t="s">
        <v>310</v>
      </c>
      <c r="B152" s="16"/>
      <c r="C152" s="16"/>
      <c r="L152" t="s">
        <v>60</v>
      </c>
      <c r="N152" s="63">
        <v>1.7161619511820099E-5</v>
      </c>
    </row>
    <row r="153" spans="1:14" ht="15" thickBot="1" x14ac:dyDescent="0.4">
      <c r="A153" s="16" t="s">
        <v>348</v>
      </c>
      <c r="B153" s="20" t="s">
        <v>305</v>
      </c>
      <c r="C153" s="28"/>
      <c r="D153">
        <f>D150</f>
        <v>9968.35</v>
      </c>
      <c r="L153" t="s">
        <v>61</v>
      </c>
      <c r="N153" s="63">
        <v>3.4006858984486702E-6</v>
      </c>
    </row>
    <row r="154" spans="1:14" ht="15" thickBot="1" x14ac:dyDescent="0.4">
      <c r="A154" s="16"/>
      <c r="B154" s="16"/>
      <c r="C154" s="16"/>
      <c r="L154" t="s">
        <v>62</v>
      </c>
      <c r="N154" s="63">
        <v>1.7716764306984201E-7</v>
      </c>
    </row>
    <row r="155" spans="1:14" ht="15" thickBot="1" x14ac:dyDescent="0.4">
      <c r="A155" s="49" t="s">
        <v>303</v>
      </c>
      <c r="B155" s="16"/>
      <c r="C155" s="76"/>
      <c r="D155">
        <f>D156+D157+D158</f>
        <v>9968.3493865790733</v>
      </c>
      <c r="L155" t="s">
        <v>63</v>
      </c>
      <c r="N155" s="63">
        <v>7.0252697089625797E-9</v>
      </c>
    </row>
    <row r="156" spans="1:14" ht="15" thickBot="1" x14ac:dyDescent="0.4">
      <c r="A156" s="20" t="s">
        <v>352</v>
      </c>
      <c r="B156" s="20" t="s">
        <v>305</v>
      </c>
      <c r="C156" s="28"/>
      <c r="D156">
        <v>8611.8978556085003</v>
      </c>
      <c r="L156" t="s">
        <v>64</v>
      </c>
      <c r="N156" s="63">
        <v>7.3243524429839797E-8</v>
      </c>
    </row>
    <row r="157" spans="1:14" ht="15" thickBot="1" x14ac:dyDescent="0.4">
      <c r="A157" s="20" t="s">
        <v>353</v>
      </c>
      <c r="B157" s="20" t="s">
        <v>305</v>
      </c>
      <c r="C157" s="28"/>
      <c r="D157">
        <v>742.08175969904596</v>
      </c>
      <c r="L157" t="s">
        <v>65</v>
      </c>
      <c r="N157" s="63">
        <v>5.8632748231871298E-8</v>
      </c>
    </row>
    <row r="158" spans="1:14" ht="15" thickBot="1" x14ac:dyDescent="0.4">
      <c r="A158" s="20" t="s">
        <v>354</v>
      </c>
      <c r="B158" s="20" t="s">
        <v>305</v>
      </c>
      <c r="C158" s="28"/>
      <c r="D158">
        <v>614.36977127152795</v>
      </c>
      <c r="L158" t="s">
        <v>66</v>
      </c>
      <c r="N158">
        <v>1.89695439244718E-2</v>
      </c>
    </row>
    <row r="159" spans="1:14" ht="15" thickBot="1" x14ac:dyDescent="0.4">
      <c r="A159" s="102" t="s">
        <v>342</v>
      </c>
      <c r="B159" s="103" t="s">
        <v>305</v>
      </c>
      <c r="C159" s="102"/>
      <c r="D159">
        <v>243.08347060976601</v>
      </c>
      <c r="L159" t="s">
        <v>67</v>
      </c>
      <c r="N159">
        <v>3.66575252802957E-2</v>
      </c>
    </row>
    <row r="160" spans="1:14" ht="15" thickBot="1" x14ac:dyDescent="0.4">
      <c r="A160" s="19" t="s">
        <v>356</v>
      </c>
      <c r="B160" s="12"/>
      <c r="C160" s="12"/>
      <c r="L160" t="s">
        <v>68</v>
      </c>
      <c r="N160">
        <v>2.6351134381640901E-2</v>
      </c>
    </row>
    <row r="161" spans="1:14" ht="15" thickBot="1" x14ac:dyDescent="0.4">
      <c r="A161" s="49" t="s">
        <v>310</v>
      </c>
      <c r="B161" s="16"/>
      <c r="C161" s="16"/>
      <c r="L161" t="s">
        <v>69</v>
      </c>
      <c r="N161">
        <v>2.1469683225675499E-3</v>
      </c>
    </row>
    <row r="162" spans="1:14" ht="15" thickBot="1" x14ac:dyDescent="0.4">
      <c r="A162" s="20" t="s">
        <v>240</v>
      </c>
      <c r="B162" s="20" t="s">
        <v>305</v>
      </c>
      <c r="C162" s="28"/>
      <c r="D162">
        <v>614.36977127152795</v>
      </c>
      <c r="L162" t="s">
        <v>72</v>
      </c>
      <c r="N162">
        <v>0.64999156980574002</v>
      </c>
    </row>
    <row r="163" spans="1:14" ht="15" thickBot="1" x14ac:dyDescent="0.4">
      <c r="A163" s="16"/>
      <c r="B163" s="16"/>
      <c r="C163" s="16"/>
      <c r="L163" t="s">
        <v>73</v>
      </c>
      <c r="N163">
        <v>4.9068788413900799E-3</v>
      </c>
    </row>
    <row r="164" spans="1:14" ht="15" thickBot="1" x14ac:dyDescent="0.4">
      <c r="A164" s="20" t="s">
        <v>303</v>
      </c>
      <c r="B164" s="16"/>
      <c r="C164" s="109"/>
      <c r="D164">
        <f>D165+D166+D167+D168+D169</f>
        <v>614.36947060976695</v>
      </c>
      <c r="L164" t="s">
        <v>74</v>
      </c>
      <c r="N164" s="63">
        <v>4.4299717296429397E-5</v>
      </c>
    </row>
    <row r="165" spans="1:14" ht="15" thickBot="1" x14ac:dyDescent="0.4">
      <c r="A165" s="20" t="s">
        <v>360</v>
      </c>
      <c r="B165" s="20" t="s">
        <v>305</v>
      </c>
      <c r="C165" s="28"/>
      <c r="D165">
        <v>121.54173530488301</v>
      </c>
      <c r="L165" t="s">
        <v>75</v>
      </c>
      <c r="N165">
        <v>2.23492298807197E-3</v>
      </c>
    </row>
    <row r="166" spans="1:14" ht="15" thickBot="1" x14ac:dyDescent="0.4">
      <c r="A166" s="20" t="s">
        <v>362</v>
      </c>
      <c r="B166" s="20" t="s">
        <v>305</v>
      </c>
      <c r="C166" s="28"/>
      <c r="D166">
        <v>0</v>
      </c>
      <c r="L166" t="s">
        <v>76</v>
      </c>
      <c r="N166">
        <v>8.7048352804622504E-4</v>
      </c>
    </row>
    <row r="167" spans="1:14" ht="15" thickBot="1" x14ac:dyDescent="0.4">
      <c r="A167" s="20" t="s">
        <v>364</v>
      </c>
      <c r="B167" s="20" t="s">
        <v>305</v>
      </c>
      <c r="C167" s="28"/>
      <c r="D167">
        <v>121.541735304884</v>
      </c>
      <c r="L167" t="s">
        <v>79</v>
      </c>
      <c r="N167">
        <v>3.9057110292935203E-2</v>
      </c>
    </row>
    <row r="168" spans="1:14" ht="15" thickBot="1" x14ac:dyDescent="0.4">
      <c r="A168" s="20" t="s">
        <v>366</v>
      </c>
      <c r="B168" s="20" t="s">
        <v>305</v>
      </c>
      <c r="C168" s="28"/>
      <c r="D168">
        <v>0</v>
      </c>
      <c r="L168" t="s">
        <v>80</v>
      </c>
      <c r="N168">
        <v>1.75326784127069E-3</v>
      </c>
    </row>
    <row r="169" spans="1:14" ht="15" thickBot="1" x14ac:dyDescent="0.4">
      <c r="A169" s="20" t="s">
        <v>367</v>
      </c>
      <c r="B169" s="20" t="s">
        <v>305</v>
      </c>
      <c r="C169" s="28"/>
      <c r="D169">
        <v>371.286</v>
      </c>
      <c r="L169" t="s">
        <v>81</v>
      </c>
      <c r="N169" s="63">
        <v>4.0484128445449603E-5</v>
      </c>
    </row>
    <row r="170" spans="1:14" ht="15" thickBot="1" x14ac:dyDescent="0.4">
      <c r="A170" s="111" t="s">
        <v>369</v>
      </c>
      <c r="B170" s="12"/>
      <c r="C170" s="12"/>
      <c r="L170" t="s">
        <v>136</v>
      </c>
      <c r="N170">
        <v>1.9030707182104201</v>
      </c>
    </row>
    <row r="171" spans="1:14" ht="15" thickBot="1" x14ac:dyDescent="0.4">
      <c r="A171" s="112" t="s">
        <v>370</v>
      </c>
      <c r="B171" s="67"/>
      <c r="C171" s="89"/>
      <c r="D171">
        <f>SUM(D172:D176)</f>
        <v>122372.18102080002</v>
      </c>
      <c r="L171" t="s">
        <v>137</v>
      </c>
      <c r="N171">
        <v>2.3275963583033001</v>
      </c>
    </row>
    <row r="172" spans="1:14" ht="15" thickBot="1" x14ac:dyDescent="0.4">
      <c r="A172" s="92" t="s">
        <v>372</v>
      </c>
      <c r="B172" s="92" t="s">
        <v>305</v>
      </c>
      <c r="C172" s="93"/>
      <c r="D172">
        <f>D6</f>
        <v>28812.5</v>
      </c>
      <c r="L172" t="s">
        <v>138</v>
      </c>
      <c r="N172">
        <v>3.8209599811949202</v>
      </c>
    </row>
    <row r="173" spans="1:14" ht="15" thickBot="1" x14ac:dyDescent="0.4">
      <c r="A173" s="92" t="s">
        <v>373</v>
      </c>
      <c r="B173" s="92" t="s">
        <v>305</v>
      </c>
      <c r="C173" s="93"/>
      <c r="D173">
        <v>62500</v>
      </c>
      <c r="L173" t="s">
        <v>140</v>
      </c>
      <c r="N173">
        <v>0.84511545811017297</v>
      </c>
    </row>
    <row r="174" spans="1:14" ht="15" thickBot="1" x14ac:dyDescent="0.4">
      <c r="A174" s="92" t="s">
        <v>375</v>
      </c>
      <c r="B174" s="92" t="s">
        <v>305</v>
      </c>
      <c r="C174" s="93"/>
      <c r="D174">
        <f>D131</f>
        <v>362.85840000000002</v>
      </c>
      <c r="L174" t="s">
        <v>139</v>
      </c>
      <c r="N174">
        <v>31.023928290361599</v>
      </c>
    </row>
    <row r="175" spans="1:14" ht="15" thickBot="1" x14ac:dyDescent="0.4">
      <c r="A175" s="92" t="s">
        <v>377</v>
      </c>
      <c r="B175" s="92" t="s">
        <v>305</v>
      </c>
      <c r="C175" s="93"/>
      <c r="D175">
        <f>N188</f>
        <v>30696.82262080002</v>
      </c>
      <c r="L175" t="s">
        <v>82</v>
      </c>
      <c r="N175" s="63">
        <v>7.3771441999765898E-5</v>
      </c>
    </row>
    <row r="176" spans="1:14" ht="15" thickBot="1" x14ac:dyDescent="0.4">
      <c r="A176" s="16" t="s">
        <v>379</v>
      </c>
      <c r="B176" s="16" t="s">
        <v>305</v>
      </c>
      <c r="C176" s="16"/>
      <c r="D176">
        <f>N187</f>
        <v>0</v>
      </c>
      <c r="L176" t="s">
        <v>141</v>
      </c>
      <c r="N176">
        <v>2.4244220927619199E-4</v>
      </c>
    </row>
    <row r="177" spans="1:14" ht="15" thickBot="1" x14ac:dyDescent="0.4">
      <c r="A177" s="113" t="s">
        <v>380</v>
      </c>
      <c r="B177" s="16"/>
      <c r="C177" s="93"/>
      <c r="D177">
        <f>D178+D179+D180+D181</f>
        <v>123131.4814887614</v>
      </c>
      <c r="L177" t="s">
        <v>83</v>
      </c>
      <c r="N177" s="63">
        <v>5.5947746025550599E-5</v>
      </c>
    </row>
    <row r="178" spans="1:14" ht="15" thickBot="1" x14ac:dyDescent="0.4">
      <c r="A178" s="92" t="s">
        <v>382</v>
      </c>
      <c r="B178" s="16" t="s">
        <v>305</v>
      </c>
      <c r="C178" s="93"/>
      <c r="D178">
        <f>D156</f>
        <v>8611.8978556085003</v>
      </c>
      <c r="E178">
        <v>32</v>
      </c>
      <c r="L178" t="s">
        <v>84</v>
      </c>
      <c r="N178">
        <v>1.36690963621518E-4</v>
      </c>
    </row>
    <row r="179" spans="1:14" ht="15" thickBot="1" x14ac:dyDescent="0.4">
      <c r="A179" s="92" t="s">
        <v>383</v>
      </c>
      <c r="B179" s="16" t="s">
        <v>305</v>
      </c>
      <c r="C179" s="93"/>
      <c r="D179">
        <f>N195</f>
        <v>37753.73849543184</v>
      </c>
      <c r="L179" t="s">
        <v>77</v>
      </c>
      <c r="N179">
        <v>2.20125803930677E-2</v>
      </c>
    </row>
    <row r="180" spans="1:14" ht="15" thickBot="1" x14ac:dyDescent="0.4">
      <c r="A180" s="92" t="s">
        <v>384</v>
      </c>
      <c r="B180" s="16" t="s">
        <v>305</v>
      </c>
      <c r="C180" s="93"/>
      <c r="D180">
        <f>D157+D127</f>
        <v>75512.720137721059</v>
      </c>
      <c r="L180" t="s">
        <v>71</v>
      </c>
      <c r="N180">
        <v>7.4690201984080598E-3</v>
      </c>
    </row>
    <row r="181" spans="1:14" ht="15" thickBot="1" x14ac:dyDescent="0.4">
      <c r="A181" s="92" t="s">
        <v>274</v>
      </c>
      <c r="B181" s="16" t="s">
        <v>305</v>
      </c>
      <c r="C181" s="93"/>
      <c r="D181">
        <f>N207</f>
        <v>1253.125</v>
      </c>
      <c r="L181" t="s">
        <v>143</v>
      </c>
      <c r="N181" s="63">
        <v>3.34143646502126E-6</v>
      </c>
    </row>
    <row r="182" spans="1:14" ht="15" thickBot="1" x14ac:dyDescent="0.4">
      <c r="A182" s="111"/>
      <c r="B182" s="12"/>
      <c r="C182" s="12"/>
      <c r="L182" t="s">
        <v>144</v>
      </c>
      <c r="N182" s="63">
        <v>1.41459372209181E-6</v>
      </c>
    </row>
    <row r="183" spans="1:14" ht="15" thickBot="1" x14ac:dyDescent="0.4">
      <c r="A183" s="92" t="s">
        <v>388</v>
      </c>
      <c r="B183" s="16"/>
      <c r="C183" s="93"/>
      <c r="D183">
        <f>(D171-D177)/D171</f>
        <v>-6.2048454283275345E-3</v>
      </c>
      <c r="L183" t="s">
        <v>407</v>
      </c>
      <c r="N183">
        <v>12.3322352754584</v>
      </c>
    </row>
    <row r="184" spans="1:14" ht="15" thickBot="1" x14ac:dyDescent="0.4">
      <c r="A184" s="92"/>
      <c r="B184" s="16"/>
      <c r="C184" s="114"/>
      <c r="L184" t="s">
        <v>408</v>
      </c>
      <c r="N184">
        <v>7.1936860604403599</v>
      </c>
    </row>
    <row r="185" spans="1:14" ht="15" thickBot="1" x14ac:dyDescent="0.4">
      <c r="A185" s="92"/>
      <c r="B185" s="16" t="s">
        <v>928</v>
      </c>
      <c r="C185" s="76">
        <f>D136*8000/1000000</f>
        <v>75.871594010193604</v>
      </c>
      <c r="D185" t="s">
        <v>933</v>
      </c>
      <c r="L185" t="s">
        <v>409</v>
      </c>
      <c r="N185">
        <v>2.73973921828274</v>
      </c>
    </row>
    <row r="186" spans="1:14" ht="15" thickBot="1" x14ac:dyDescent="0.4">
      <c r="A186" s="92"/>
      <c r="B186" s="16" t="s">
        <v>929</v>
      </c>
      <c r="C186" s="76">
        <f>D156*8000/1000000</f>
        <v>68.895182844868003</v>
      </c>
      <c r="D186" t="s">
        <v>933</v>
      </c>
      <c r="F186" t="s">
        <v>935</v>
      </c>
      <c r="G186">
        <f>D111/D6</f>
        <v>0.32916092846070977</v>
      </c>
      <c r="L186" s="110" t="s">
        <v>410</v>
      </c>
      <c r="N186">
        <v>11.1862455559497</v>
      </c>
    </row>
    <row r="187" spans="1:14" ht="15" thickBot="1" x14ac:dyDescent="0.4">
      <c r="A187" s="92"/>
      <c r="B187" s="16"/>
      <c r="C187" s="93"/>
      <c r="F187" t="s">
        <v>936</v>
      </c>
      <c r="G187">
        <f>D178/D136</f>
        <v>0.9080497614906009</v>
      </c>
      <c r="L187" s="92" t="s">
        <v>392</v>
      </c>
      <c r="M187" s="92" t="s">
        <v>305</v>
      </c>
      <c r="N187" s="93">
        <v>0</v>
      </c>
    </row>
    <row r="188" spans="1:14" ht="15" thickBot="1" x14ac:dyDescent="0.4">
      <c r="A188" s="93"/>
      <c r="B188" s="16">
        <v>3058.74136067679</v>
      </c>
      <c r="C188" s="93" t="s">
        <v>930</v>
      </c>
      <c r="D188">
        <f>B188/$D$172</f>
        <v>0.10616022076101657</v>
      </c>
      <c r="F188" t="s">
        <v>937</v>
      </c>
      <c r="G188">
        <f>B190/D178</f>
        <v>0.24760605174283754</v>
      </c>
      <c r="L188" s="92" t="s">
        <v>377</v>
      </c>
      <c r="M188" s="16"/>
      <c r="N188" s="93">
        <f>SUM(N189:N192)</f>
        <v>30696.82262080002</v>
      </c>
    </row>
    <row r="189" spans="1:14" ht="15" thickBot="1" x14ac:dyDescent="0.4">
      <c r="A189" s="93"/>
      <c r="B189" s="16">
        <v>2769.6144476414102</v>
      </c>
      <c r="C189" s="93" t="s">
        <v>931</v>
      </c>
      <c r="D189">
        <f t="shared" ref="D189:D190" si="1">B189/$D$172</f>
        <v>9.6125447206643302E-2</v>
      </c>
      <c r="L189" s="95" t="s">
        <v>393</v>
      </c>
      <c r="M189" s="95" t="s">
        <v>305</v>
      </c>
      <c r="N189" s="94">
        <v>7149.8118720000202</v>
      </c>
    </row>
    <row r="190" spans="1:14" ht="15" thickBot="1" x14ac:dyDescent="0.4">
      <c r="A190" s="93"/>
      <c r="B190" s="16">
        <v>2132.3580260398298</v>
      </c>
      <c r="C190" s="76" t="s">
        <v>932</v>
      </c>
      <c r="D190">
        <f t="shared" si="1"/>
        <v>7.4008087671664377E-2</v>
      </c>
      <c r="L190" s="95" t="s">
        <v>394</v>
      </c>
      <c r="M190" s="95" t="s">
        <v>305</v>
      </c>
      <c r="N190" s="94">
        <v>23547.010748799999</v>
      </c>
    </row>
    <row r="191" spans="1:14" ht="15" thickBot="1" x14ac:dyDescent="0.4">
      <c r="A191" s="93"/>
      <c r="B191" s="16"/>
      <c r="C191" s="76"/>
      <c r="L191" s="95" t="s">
        <v>395</v>
      </c>
      <c r="M191" s="95" t="s">
        <v>305</v>
      </c>
      <c r="N191" s="94" t="s">
        <v>368</v>
      </c>
    </row>
    <row r="192" spans="1:14" ht="15" thickBot="1" x14ac:dyDescent="0.4">
      <c r="L192" s="95" t="s">
        <v>396</v>
      </c>
      <c r="M192" s="95" t="s">
        <v>305</v>
      </c>
      <c r="N192" s="94" t="s">
        <v>368</v>
      </c>
    </row>
    <row r="193" spans="3:14" ht="15" thickBot="1" x14ac:dyDescent="0.4">
      <c r="C193">
        <f>B190*8000</f>
        <v>17058864.20831864</v>
      </c>
      <c r="L193" s="16"/>
      <c r="M193" s="16"/>
      <c r="N193" s="16"/>
    </row>
    <row r="194" spans="3:14" ht="15" thickBot="1" x14ac:dyDescent="0.4">
      <c r="L194" s="66" t="s">
        <v>303</v>
      </c>
      <c r="M194" s="16"/>
      <c r="N194" s="69">
        <f>N195+N201+N207</f>
        <v>39006.86349543184</v>
      </c>
    </row>
    <row r="195" spans="3:14" ht="15" thickBot="1" x14ac:dyDescent="0.4">
      <c r="L195" s="92" t="s">
        <v>397</v>
      </c>
      <c r="M195" s="92" t="s">
        <v>305</v>
      </c>
      <c r="N195" s="93">
        <f>SUM(N196:N200)</f>
        <v>37753.73849543184</v>
      </c>
    </row>
    <row r="196" spans="3:14" ht="15" thickBot="1" x14ac:dyDescent="0.4">
      <c r="L196" s="95" t="s">
        <v>398</v>
      </c>
      <c r="M196" s="95" t="s">
        <v>305</v>
      </c>
      <c r="N196" s="94">
        <v>13445.175305197899</v>
      </c>
    </row>
    <row r="197" spans="3:14" ht="15" thickBot="1" x14ac:dyDescent="0.4">
      <c r="L197" s="95" t="s">
        <v>307</v>
      </c>
      <c r="M197" s="95" t="s">
        <v>305</v>
      </c>
      <c r="N197" s="94">
        <v>669.072</v>
      </c>
    </row>
    <row r="198" spans="3:14" ht="15" thickBot="1" x14ac:dyDescent="0.4">
      <c r="L198" s="95" t="s">
        <v>399</v>
      </c>
      <c r="M198" s="95" t="s">
        <v>305</v>
      </c>
      <c r="N198" s="94">
        <v>23547.010748799999</v>
      </c>
    </row>
    <row r="199" spans="3:14" ht="15" thickBot="1" x14ac:dyDescent="0.4">
      <c r="L199" s="95" t="s">
        <v>400</v>
      </c>
      <c r="M199" s="95" t="s">
        <v>305</v>
      </c>
      <c r="N199" s="94">
        <v>51.745641433943597</v>
      </c>
    </row>
    <row r="200" spans="3:14" ht="15" thickBot="1" x14ac:dyDescent="0.4">
      <c r="L200" s="95" t="s">
        <v>401</v>
      </c>
      <c r="M200" s="95" t="s">
        <v>305</v>
      </c>
      <c r="N200" s="94">
        <v>40.7348</v>
      </c>
    </row>
    <row r="201" spans="3:14" ht="15" thickBot="1" x14ac:dyDescent="0.4">
      <c r="L201" s="92" t="s">
        <v>402</v>
      </c>
      <c r="M201" s="92" t="s">
        <v>305</v>
      </c>
      <c r="N201" s="93">
        <v>0</v>
      </c>
    </row>
    <row r="202" spans="3:14" ht="15" thickBot="1" x14ac:dyDescent="0.4">
      <c r="L202" s="95" t="s">
        <v>398</v>
      </c>
      <c r="M202" s="95" t="s">
        <v>305</v>
      </c>
      <c r="N202" s="94">
        <v>0</v>
      </c>
    </row>
    <row r="203" spans="3:14" ht="15" thickBot="1" x14ac:dyDescent="0.4">
      <c r="L203" s="95" t="s">
        <v>307</v>
      </c>
      <c r="M203" s="95" t="s">
        <v>305</v>
      </c>
      <c r="N203" s="94">
        <v>0</v>
      </c>
    </row>
    <row r="204" spans="3:14" ht="15" thickBot="1" x14ac:dyDescent="0.4">
      <c r="L204" s="95" t="s">
        <v>399</v>
      </c>
      <c r="M204" s="95" t="s">
        <v>305</v>
      </c>
      <c r="N204" s="94">
        <v>0</v>
      </c>
    </row>
    <row r="205" spans="3:14" ht="15" thickBot="1" x14ac:dyDescent="0.4">
      <c r="L205" s="95" t="s">
        <v>400</v>
      </c>
      <c r="M205" s="95" t="s">
        <v>305</v>
      </c>
      <c r="N205" s="94">
        <v>0</v>
      </c>
    </row>
    <row r="206" spans="3:14" ht="15" thickBot="1" x14ac:dyDescent="0.4">
      <c r="L206" s="95"/>
      <c r="M206" s="95"/>
      <c r="N206" s="16"/>
    </row>
    <row r="207" spans="3:14" ht="15" thickBot="1" x14ac:dyDescent="0.4">
      <c r="L207" s="92" t="s">
        <v>403</v>
      </c>
      <c r="M207" s="95" t="s">
        <v>305</v>
      </c>
      <c r="N207" s="94">
        <f>N145</f>
        <v>1253.125</v>
      </c>
    </row>
  </sheetData>
  <hyperlinks>
    <hyperlink ref="A15" r:id="rId1" location="rangeid=1683197145" display="https://docs.google.com/spreadsheets/d/1m0lR_lQfkmeN9bK33kXO5TYEvZGSXG9z7Usf_a0I6Xk/edit - rangeid=1683197145" xr:uid="{6BD00734-9D36-4A6E-98AD-5AF1B4AAE34C}"/>
    <hyperlink ref="A123" r:id="rId2" location="rangeid=1966810199" display="https://docs.google.com/spreadsheets/d/1m0lR_lQfkmeN9bK33kXO5TYEvZGSXG9z7Usf_a0I6Xk/edit - rangeid=1966810199" xr:uid="{86630B86-9E35-46A6-B10C-114FA3524BC8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3305B6-AD69-4105-8F33-1A8C80C7C0F0}">
  <dimension ref="A2:S88"/>
  <sheetViews>
    <sheetView workbookViewId="0">
      <selection activeCell="D13" sqref="D13"/>
    </sheetView>
  </sheetViews>
  <sheetFormatPr defaultRowHeight="14.5" x14ac:dyDescent="0.35"/>
  <cols>
    <col min="1" max="1" width="27.7265625" customWidth="1"/>
    <col min="3" max="3" width="11.08984375" customWidth="1"/>
    <col min="4" max="4" width="11.6328125" bestFit="1" customWidth="1"/>
    <col min="7" max="7" width="19.54296875" customWidth="1"/>
    <col min="11" max="11" width="33.36328125" customWidth="1"/>
    <col min="12" max="12" width="18" customWidth="1"/>
    <col min="17" max="17" width="15.7265625" customWidth="1"/>
    <col min="18" max="18" width="15.08984375" customWidth="1"/>
  </cols>
  <sheetData>
    <row r="2" spans="1:19" x14ac:dyDescent="0.35">
      <c r="A2" t="s">
        <v>427</v>
      </c>
    </row>
    <row r="3" spans="1:19" x14ac:dyDescent="0.35">
      <c r="B3">
        <v>33</v>
      </c>
      <c r="L3" t="s">
        <v>428</v>
      </c>
    </row>
    <row r="4" spans="1:19" x14ac:dyDescent="0.35">
      <c r="A4" t="s">
        <v>429</v>
      </c>
      <c r="B4">
        <v>1319</v>
      </c>
      <c r="K4" t="s">
        <v>430</v>
      </c>
      <c r="P4" t="s">
        <v>431</v>
      </c>
      <c r="Q4" t="s">
        <v>432</v>
      </c>
      <c r="R4" t="s">
        <v>433</v>
      </c>
      <c r="S4" t="s">
        <v>434</v>
      </c>
    </row>
    <row r="5" spans="1:19" x14ac:dyDescent="0.35">
      <c r="A5" t="s">
        <v>435</v>
      </c>
      <c r="B5">
        <v>10.6649812</v>
      </c>
      <c r="C5" t="s">
        <v>436</v>
      </c>
      <c r="D5" t="s">
        <v>437</v>
      </c>
      <c r="K5" s="116">
        <f>P5/$P$47</f>
        <v>0</v>
      </c>
      <c r="L5" t="s">
        <v>438</v>
      </c>
      <c r="M5" t="s">
        <v>439</v>
      </c>
      <c r="N5">
        <v>0</v>
      </c>
      <c r="P5">
        <f>N5+O5</f>
        <v>0</v>
      </c>
      <c r="Q5">
        <v>2</v>
      </c>
      <c r="R5">
        <v>141.80000000000001</v>
      </c>
      <c r="S5">
        <f>R5*P5</f>
        <v>0</v>
      </c>
    </row>
    <row r="6" spans="1:19" x14ac:dyDescent="0.35">
      <c r="B6">
        <v>123.034479</v>
      </c>
      <c r="D6" t="s">
        <v>440</v>
      </c>
      <c r="K6" s="116">
        <f t="shared" ref="K6:K46" si="0">P6/$P$47</f>
        <v>5.4366353897494127E-2</v>
      </c>
      <c r="L6" t="s">
        <v>345</v>
      </c>
      <c r="M6" t="s">
        <v>439</v>
      </c>
      <c r="N6">
        <v>366.47319711243699</v>
      </c>
      <c r="P6">
        <f t="shared" ref="P6:P46" si="1">N6+O6</f>
        <v>366.47319711243699</v>
      </c>
      <c r="Q6">
        <v>18</v>
      </c>
      <c r="R6">
        <v>0</v>
      </c>
      <c r="S6">
        <f t="shared" ref="S6:S46" si="2">R6*P6</f>
        <v>0</v>
      </c>
    </row>
    <row r="7" spans="1:19" x14ac:dyDescent="0.35">
      <c r="B7">
        <v>125.90929300000001</v>
      </c>
      <c r="D7" t="s">
        <v>441</v>
      </c>
      <c r="K7" s="116">
        <f t="shared" si="0"/>
        <v>0</v>
      </c>
      <c r="L7" t="s">
        <v>442</v>
      </c>
      <c r="M7" t="s">
        <v>439</v>
      </c>
      <c r="N7">
        <v>0</v>
      </c>
      <c r="P7">
        <f t="shared" si="1"/>
        <v>0</v>
      </c>
      <c r="Q7">
        <v>0</v>
      </c>
      <c r="R7" s="7">
        <v>0</v>
      </c>
      <c r="S7">
        <f t="shared" si="2"/>
        <v>0</v>
      </c>
    </row>
    <row r="8" spans="1:19" x14ac:dyDescent="0.35">
      <c r="B8">
        <v>167.98683700000001</v>
      </c>
      <c r="D8" t="s">
        <v>443</v>
      </c>
      <c r="K8" s="116">
        <f t="shared" si="0"/>
        <v>1.0586952660440572E-2</v>
      </c>
      <c r="L8" t="s">
        <v>346</v>
      </c>
      <c r="M8" t="s">
        <v>439</v>
      </c>
      <c r="N8">
        <v>71.364623724168993</v>
      </c>
      <c r="P8">
        <f t="shared" si="1"/>
        <v>71.364623724168993</v>
      </c>
      <c r="Q8">
        <v>16.04</v>
      </c>
      <c r="R8" s="7">
        <v>55.5</v>
      </c>
      <c r="S8">
        <f t="shared" si="2"/>
        <v>3960.7366166913789</v>
      </c>
    </row>
    <row r="9" spans="1:19" x14ac:dyDescent="0.35">
      <c r="B9">
        <f>SUM(B3:B8)</f>
        <v>1779.5955901999998</v>
      </c>
      <c r="C9" t="s">
        <v>436</v>
      </c>
      <c r="K9" s="116">
        <f t="shared" si="0"/>
        <v>3.462475069868878E-4</v>
      </c>
      <c r="L9" t="s">
        <v>347</v>
      </c>
      <c r="M9" t="s">
        <v>439</v>
      </c>
      <c r="N9">
        <v>2.3339882442170601</v>
      </c>
      <c r="P9">
        <f t="shared" si="1"/>
        <v>2.3339882442170601</v>
      </c>
      <c r="Q9">
        <v>84.12</v>
      </c>
      <c r="R9" s="7"/>
      <c r="S9">
        <f t="shared" si="2"/>
        <v>0</v>
      </c>
    </row>
    <row r="10" spans="1:19" x14ac:dyDescent="0.35">
      <c r="B10">
        <f>B9/'mass balances '!D6</f>
        <v>6.1764705950542294E-2</v>
      </c>
      <c r="C10" t="s">
        <v>444</v>
      </c>
      <c r="K10" s="116">
        <f t="shared" si="0"/>
        <v>3.0331069955830955E-5</v>
      </c>
      <c r="L10" t="s">
        <v>60</v>
      </c>
      <c r="M10" t="s">
        <v>439</v>
      </c>
      <c r="N10">
        <v>0.20445594345929999</v>
      </c>
      <c r="P10">
        <f t="shared" si="1"/>
        <v>0.20445594345929999</v>
      </c>
      <c r="Q10">
        <v>82.04</v>
      </c>
      <c r="R10" s="7"/>
      <c r="S10">
        <f t="shared" si="2"/>
        <v>0</v>
      </c>
    </row>
    <row r="11" spans="1:19" x14ac:dyDescent="0.35">
      <c r="A11" t="s">
        <v>445</v>
      </c>
      <c r="K11" s="116">
        <f t="shared" si="0"/>
        <v>1.2498548187730432E-5</v>
      </c>
      <c r="L11" t="s">
        <v>66</v>
      </c>
      <c r="M11" t="s">
        <v>439</v>
      </c>
      <c r="N11">
        <v>8.4250323688389694E-2</v>
      </c>
      <c r="P11">
        <f t="shared" si="1"/>
        <v>8.4250323688389694E-2</v>
      </c>
      <c r="Q11">
        <v>96.12</v>
      </c>
      <c r="R11" s="7"/>
      <c r="S11">
        <f t="shared" si="2"/>
        <v>0</v>
      </c>
    </row>
    <row r="12" spans="1:19" x14ac:dyDescent="0.35">
      <c r="B12" s="98"/>
      <c r="K12" s="116">
        <f t="shared" si="0"/>
        <v>2.5438370992959738E-6</v>
      </c>
      <c r="L12" t="s">
        <v>349</v>
      </c>
      <c r="M12" t="s">
        <v>439</v>
      </c>
      <c r="N12">
        <v>1.7147519520436201E-2</v>
      </c>
      <c r="P12">
        <f t="shared" si="1"/>
        <v>1.7147519520436201E-2</v>
      </c>
      <c r="Q12">
        <v>110.11</v>
      </c>
      <c r="R12" s="7"/>
      <c r="S12">
        <f t="shared" si="2"/>
        <v>0</v>
      </c>
    </row>
    <row r="13" spans="1:19" x14ac:dyDescent="0.35">
      <c r="K13" s="116">
        <f t="shared" si="0"/>
        <v>6.512369812909676E-6</v>
      </c>
      <c r="L13" t="s">
        <v>350</v>
      </c>
      <c r="M13" t="s">
        <v>439</v>
      </c>
      <c r="N13">
        <v>4.38986397839995E-2</v>
      </c>
      <c r="P13">
        <f t="shared" si="1"/>
        <v>4.38986397839995E-2</v>
      </c>
      <c r="Q13">
        <v>86.09</v>
      </c>
      <c r="R13" s="7"/>
      <c r="S13">
        <f t="shared" si="2"/>
        <v>0</v>
      </c>
    </row>
    <row r="14" spans="1:19" x14ac:dyDescent="0.35">
      <c r="A14" t="s">
        <v>446</v>
      </c>
      <c r="K14" s="116">
        <f t="shared" si="0"/>
        <v>2.5134377953734737E-6</v>
      </c>
      <c r="L14" t="s">
        <v>351</v>
      </c>
      <c r="M14" t="s">
        <v>439</v>
      </c>
      <c r="N14">
        <v>1.6942603624853499E-2</v>
      </c>
      <c r="P14">
        <f t="shared" si="1"/>
        <v>1.6942603624853499E-2</v>
      </c>
      <c r="Q14">
        <v>114.14</v>
      </c>
      <c r="R14" s="7"/>
      <c r="S14">
        <f t="shared" si="2"/>
        <v>0</v>
      </c>
    </row>
    <row r="15" spans="1:19" x14ac:dyDescent="0.35">
      <c r="A15" t="s">
        <v>447</v>
      </c>
      <c r="K15" s="116">
        <f t="shared" si="0"/>
        <v>1.9544065937778439E-5</v>
      </c>
      <c r="L15" t="s">
        <v>67</v>
      </c>
      <c r="M15" t="s">
        <v>439</v>
      </c>
      <c r="N15">
        <v>0.13174281178205099</v>
      </c>
      <c r="P15">
        <f t="shared" si="1"/>
        <v>0.13174281178205099</v>
      </c>
      <c r="Q15">
        <v>96.13</v>
      </c>
      <c r="R15" s="7"/>
      <c r="S15">
        <f t="shared" si="2"/>
        <v>0</v>
      </c>
    </row>
    <row r="16" spans="1:19" x14ac:dyDescent="0.35">
      <c r="A16" s="117" t="s">
        <v>448</v>
      </c>
      <c r="B16">
        <v>-60195.195944366402</v>
      </c>
      <c r="C16" t="s">
        <v>449</v>
      </c>
      <c r="E16">
        <v>-567561.74501678301</v>
      </c>
      <c r="F16">
        <v>4622</v>
      </c>
      <c r="K16" s="116">
        <f t="shared" si="0"/>
        <v>1.5494361854369379E-6</v>
      </c>
      <c r="L16" t="s">
        <v>68</v>
      </c>
      <c r="M16" t="s">
        <v>439</v>
      </c>
      <c r="N16">
        <v>1.04444530834161E-2</v>
      </c>
      <c r="P16">
        <f t="shared" si="1"/>
        <v>1.04444530834161E-2</v>
      </c>
      <c r="Q16">
        <v>110.15</v>
      </c>
      <c r="R16" s="7"/>
      <c r="S16">
        <f t="shared" si="2"/>
        <v>0</v>
      </c>
    </row>
    <row r="17" spans="1:19" x14ac:dyDescent="0.35">
      <c r="A17" t="s">
        <v>450</v>
      </c>
      <c r="B17">
        <v>50422.107970238401</v>
      </c>
      <c r="C17" t="s">
        <v>449</v>
      </c>
      <c r="D17">
        <v>376.70242005590399</v>
      </c>
      <c r="E17">
        <v>246011.90319648001</v>
      </c>
      <c r="F17">
        <v>575583.52385851101</v>
      </c>
      <c r="G17">
        <v>47059.364520000003</v>
      </c>
      <c r="H17" t="s">
        <v>487</v>
      </c>
      <c r="K17" s="116">
        <f t="shared" si="0"/>
        <v>2.4148883067644956E-6</v>
      </c>
      <c r="L17" t="s">
        <v>70</v>
      </c>
      <c r="M17" t="s">
        <v>439</v>
      </c>
      <c r="N17">
        <v>1.6278300364193001E-2</v>
      </c>
      <c r="P17">
        <f t="shared" si="1"/>
        <v>1.6278300364193001E-2</v>
      </c>
      <c r="Q17">
        <v>110.15</v>
      </c>
      <c r="R17" s="7"/>
      <c r="S17">
        <f t="shared" si="2"/>
        <v>0</v>
      </c>
    </row>
    <row r="18" spans="1:19" x14ac:dyDescent="0.35">
      <c r="A18" s="7"/>
      <c r="B18">
        <f>B16+B17+D16+D17+E16+F16+E17+F17+G17</f>
        <v>296318.66100413591</v>
      </c>
      <c r="C18" t="s">
        <v>449</v>
      </c>
      <c r="K18" s="116">
        <f t="shared" si="0"/>
        <v>1.5296409826124558E-5</v>
      </c>
      <c r="L18" t="s">
        <v>75</v>
      </c>
      <c r="M18" t="s">
        <v>439</v>
      </c>
      <c r="N18">
        <v>0.103110174058966</v>
      </c>
      <c r="P18">
        <f t="shared" si="1"/>
        <v>0.103110174058966</v>
      </c>
      <c r="Q18">
        <v>112.13</v>
      </c>
      <c r="R18" s="7"/>
      <c r="S18">
        <f t="shared" si="2"/>
        <v>0</v>
      </c>
    </row>
    <row r="19" spans="1:19" x14ac:dyDescent="0.35">
      <c r="B19">
        <f>B18/'mass balances '!D27</f>
        <v>0.93512165324062413</v>
      </c>
      <c r="C19" t="s">
        <v>451</v>
      </c>
      <c r="K19" s="116">
        <f t="shared" si="0"/>
        <v>8.0419960348063096E-7</v>
      </c>
      <c r="L19" t="s">
        <v>355</v>
      </c>
      <c r="M19" t="s">
        <v>439</v>
      </c>
      <c r="N19">
        <v>5.4209557690732902E-3</v>
      </c>
      <c r="P19">
        <f t="shared" si="1"/>
        <v>5.4209557690732902E-3</v>
      </c>
      <c r="Q19">
        <v>126.15300000000001</v>
      </c>
      <c r="R19" s="7"/>
      <c r="S19">
        <f t="shared" si="2"/>
        <v>0</v>
      </c>
    </row>
    <row r="20" spans="1:19" x14ac:dyDescent="0.35">
      <c r="K20" s="116">
        <f t="shared" si="0"/>
        <v>1.2027276990113369E-9</v>
      </c>
      <c r="L20" t="s">
        <v>357</v>
      </c>
      <c r="M20" t="s">
        <v>439</v>
      </c>
      <c r="N20" s="63">
        <v>8.1073574649390906E-6</v>
      </c>
      <c r="P20">
        <f t="shared" si="1"/>
        <v>8.1073574649390906E-6</v>
      </c>
      <c r="Q20">
        <v>166.17599999999999</v>
      </c>
      <c r="R20" s="7"/>
      <c r="S20">
        <f t="shared" si="2"/>
        <v>0</v>
      </c>
    </row>
    <row r="21" spans="1:19" x14ac:dyDescent="0.35">
      <c r="A21" t="s">
        <v>452</v>
      </c>
      <c r="K21" s="116">
        <f t="shared" si="0"/>
        <v>2.942591659401331E-11</v>
      </c>
      <c r="L21" t="s">
        <v>358</v>
      </c>
      <c r="M21" t="s">
        <v>439</v>
      </c>
      <c r="N21" s="63">
        <v>1.98354477707011E-7</v>
      </c>
      <c r="P21">
        <f t="shared" si="1"/>
        <v>1.98354477707011E-7</v>
      </c>
      <c r="Q21">
        <v>210.227</v>
      </c>
      <c r="R21" s="7"/>
      <c r="S21">
        <f t="shared" si="2"/>
        <v>0</v>
      </c>
    </row>
    <row r="22" spans="1:19" x14ac:dyDescent="0.35">
      <c r="A22" s="117" t="s">
        <v>429</v>
      </c>
      <c r="E22" t="s">
        <v>453</v>
      </c>
      <c r="G22" t="s">
        <v>454</v>
      </c>
      <c r="K22" s="116">
        <f t="shared" si="0"/>
        <v>1.173106771126752E-11</v>
      </c>
      <c r="L22" t="s">
        <v>65</v>
      </c>
      <c r="M22" t="s">
        <v>439</v>
      </c>
      <c r="N22" s="63">
        <v>7.9076884534072898E-8</v>
      </c>
      <c r="P22">
        <f t="shared" si="1"/>
        <v>7.9076884534072898E-8</v>
      </c>
      <c r="Q22">
        <v>282.45999999999998</v>
      </c>
      <c r="R22" s="7"/>
      <c r="S22">
        <f t="shared" si="2"/>
        <v>0</v>
      </c>
    </row>
    <row r="23" spans="1:19" x14ac:dyDescent="0.35">
      <c r="A23" s="118" t="s">
        <v>455</v>
      </c>
      <c r="B23">
        <v>831</v>
      </c>
      <c r="C23" t="s">
        <v>436</v>
      </c>
      <c r="E23">
        <f>B23+B24</f>
        <v>901</v>
      </c>
      <c r="G23">
        <v>7.0000000000000007E-2</v>
      </c>
      <c r="H23" t="s">
        <v>456</v>
      </c>
      <c r="K23" s="116">
        <f t="shared" si="0"/>
        <v>3.0119817286393385E-5</v>
      </c>
      <c r="L23" t="s">
        <v>72</v>
      </c>
      <c r="M23" t="s">
        <v>439</v>
      </c>
      <c r="N23">
        <v>0.203031929604825</v>
      </c>
      <c r="P23">
        <f t="shared" si="1"/>
        <v>0.203031929604825</v>
      </c>
      <c r="Q23">
        <v>94</v>
      </c>
      <c r="R23" s="7"/>
      <c r="S23">
        <f t="shared" si="2"/>
        <v>0</v>
      </c>
    </row>
    <row r="24" spans="1:19" x14ac:dyDescent="0.35">
      <c r="A24" s="118" t="s">
        <v>457</v>
      </c>
      <c r="B24">
        <v>70</v>
      </c>
      <c r="C24" t="s">
        <v>436</v>
      </c>
      <c r="E24">
        <f>E23/'mass balances '!D135</f>
        <v>9.0386077479694293E-2</v>
      </c>
      <c r="K24" s="116">
        <f t="shared" si="0"/>
        <v>3.177406405919138E-5</v>
      </c>
      <c r="L24" t="s">
        <v>359</v>
      </c>
      <c r="M24" t="s">
        <v>439</v>
      </c>
      <c r="N24">
        <v>0.214182890818506</v>
      </c>
      <c r="P24">
        <f t="shared" si="1"/>
        <v>0.214182890818506</v>
      </c>
      <c r="Q24">
        <v>108.14</v>
      </c>
      <c r="R24" s="7"/>
      <c r="S24">
        <f t="shared" si="2"/>
        <v>0</v>
      </c>
    </row>
    <row r="25" spans="1:19" x14ac:dyDescent="0.35">
      <c r="A25" s="117" t="s">
        <v>458</v>
      </c>
      <c r="B25">
        <f>SUM(B26:F26)</f>
        <v>0</v>
      </c>
      <c r="C25" t="s">
        <v>449</v>
      </c>
      <c r="K25" s="116">
        <f t="shared" si="0"/>
        <v>4.6765725913005565E-6</v>
      </c>
      <c r="L25" t="s">
        <v>361</v>
      </c>
      <c r="M25" t="s">
        <v>439</v>
      </c>
      <c r="N25">
        <v>3.15238817062055E-2</v>
      </c>
      <c r="P25">
        <f t="shared" si="1"/>
        <v>3.15238817062055E-2</v>
      </c>
      <c r="Q25">
        <v>124.14</v>
      </c>
      <c r="R25" s="7"/>
      <c r="S25">
        <f t="shared" si="2"/>
        <v>0</v>
      </c>
    </row>
    <row r="26" spans="1:19" x14ac:dyDescent="0.35">
      <c r="K26" s="116">
        <f t="shared" si="0"/>
        <v>7.955630624627463E-8</v>
      </c>
      <c r="L26" t="s">
        <v>363</v>
      </c>
      <c r="M26" t="s">
        <v>439</v>
      </c>
      <c r="N26">
        <v>5.3627384973249496E-4</v>
      </c>
      <c r="P26">
        <f t="shared" si="1"/>
        <v>5.3627384973249496E-4</v>
      </c>
      <c r="Q26">
        <v>122.16</v>
      </c>
      <c r="R26" s="7"/>
      <c r="S26">
        <f t="shared" si="2"/>
        <v>0</v>
      </c>
    </row>
    <row r="27" spans="1:19" x14ac:dyDescent="0.35">
      <c r="K27" s="116">
        <f t="shared" si="0"/>
        <v>3.9484855356289337E-7</v>
      </c>
      <c r="L27" t="s">
        <v>365</v>
      </c>
      <c r="M27" t="s">
        <v>439</v>
      </c>
      <c r="N27">
        <v>2.66159860696644E-3</v>
      </c>
      <c r="P27">
        <f t="shared" si="1"/>
        <v>2.66159860696644E-3</v>
      </c>
      <c r="Q27">
        <v>138.16</v>
      </c>
      <c r="R27" s="7"/>
      <c r="S27">
        <f t="shared" si="2"/>
        <v>0</v>
      </c>
    </row>
    <row r="28" spans="1:19" x14ac:dyDescent="0.35">
      <c r="K28" s="116">
        <f t="shared" si="0"/>
        <v>1.2066989722364939E-7</v>
      </c>
      <c r="L28" t="s">
        <v>76</v>
      </c>
      <c r="M28" t="s">
        <v>439</v>
      </c>
      <c r="N28">
        <v>8.134127058467E-4</v>
      </c>
      <c r="P28">
        <f t="shared" si="1"/>
        <v>8.134127058467E-4</v>
      </c>
      <c r="Q28">
        <v>110.1</v>
      </c>
      <c r="R28" s="7"/>
      <c r="S28">
        <f t="shared" si="2"/>
        <v>0</v>
      </c>
    </row>
    <row r="29" spans="1:19" x14ac:dyDescent="0.35">
      <c r="K29" s="116">
        <f t="shared" si="0"/>
        <v>2.0680340859299476E-8</v>
      </c>
      <c r="L29" t="s">
        <v>82</v>
      </c>
      <c r="M29" t="s">
        <v>439</v>
      </c>
      <c r="N29">
        <v>1.3940222377928799E-4</v>
      </c>
      <c r="P29">
        <f t="shared" si="1"/>
        <v>1.3940222377928799E-4</v>
      </c>
      <c r="Q29">
        <v>140.13659999999999</v>
      </c>
      <c r="R29" s="7"/>
      <c r="S29">
        <f t="shared" si="2"/>
        <v>0</v>
      </c>
    </row>
    <row r="30" spans="1:19" x14ac:dyDescent="0.35">
      <c r="K30" s="116">
        <f t="shared" si="0"/>
        <v>8.3497341717559477E-9</v>
      </c>
      <c r="L30" t="s">
        <v>141</v>
      </c>
      <c r="M30" t="s">
        <v>439</v>
      </c>
      <c r="N30" s="63">
        <v>5.6283961634282203E-5</v>
      </c>
      <c r="P30">
        <f t="shared" si="1"/>
        <v>5.6283961634282203E-5</v>
      </c>
      <c r="Q30">
        <v>124.13720000000001</v>
      </c>
      <c r="R30" s="7"/>
      <c r="S30">
        <f t="shared" si="2"/>
        <v>0</v>
      </c>
    </row>
    <row r="31" spans="1:19" x14ac:dyDescent="0.35">
      <c r="K31" s="116">
        <f t="shared" si="0"/>
        <v>1.3302774543293179E-7</v>
      </c>
      <c r="L31" t="s">
        <v>371</v>
      </c>
      <c r="M31" t="s">
        <v>439</v>
      </c>
      <c r="N31">
        <v>8.9671459788133695E-4</v>
      </c>
      <c r="P31">
        <f t="shared" si="1"/>
        <v>8.9671459788133695E-4</v>
      </c>
      <c r="Q31">
        <v>152.19</v>
      </c>
      <c r="R31" s="7"/>
      <c r="S31">
        <f t="shared" si="2"/>
        <v>0</v>
      </c>
    </row>
    <row r="32" spans="1:19" x14ac:dyDescent="0.35">
      <c r="A32" t="s">
        <v>459</v>
      </c>
      <c r="B32">
        <f>B9</f>
        <v>1779.5955901999998</v>
      </c>
      <c r="C32" t="s">
        <v>460</v>
      </c>
      <c r="K32" s="116">
        <f t="shared" si="0"/>
        <v>1.7526346562750775E-8</v>
      </c>
      <c r="L32" t="s">
        <v>84</v>
      </c>
      <c r="M32" t="s">
        <v>439</v>
      </c>
      <c r="N32">
        <v>1.1814175125045301E-4</v>
      </c>
      <c r="P32">
        <f t="shared" si="1"/>
        <v>1.1814175125045301E-4</v>
      </c>
      <c r="Q32">
        <v>124.13720000000001</v>
      </c>
      <c r="R32" s="7"/>
      <c r="S32">
        <f t="shared" si="2"/>
        <v>0</v>
      </c>
    </row>
    <row r="33" spans="1:19" x14ac:dyDescent="0.35">
      <c r="A33" t="s">
        <v>461</v>
      </c>
      <c r="B33" s="98">
        <f>B12+B18</f>
        <v>296318.66100413591</v>
      </c>
      <c r="C33" t="s">
        <v>449</v>
      </c>
      <c r="K33" s="116">
        <f t="shared" si="0"/>
        <v>2.00894040052913E-7</v>
      </c>
      <c r="L33" t="s">
        <v>374</v>
      </c>
      <c r="M33" t="s">
        <v>439</v>
      </c>
      <c r="N33">
        <v>1.3541883142988999E-3</v>
      </c>
      <c r="P33">
        <f t="shared" si="1"/>
        <v>1.3541883142988999E-3</v>
      </c>
      <c r="Q33">
        <v>154.16</v>
      </c>
      <c r="R33" s="7"/>
      <c r="S33">
        <f t="shared" si="2"/>
        <v>0</v>
      </c>
    </row>
    <row r="34" spans="1:19" x14ac:dyDescent="0.35">
      <c r="J34" s="119"/>
      <c r="K34" s="116">
        <f t="shared" si="0"/>
        <v>3.1455946842785802E-8</v>
      </c>
      <c r="L34" t="s">
        <v>376</v>
      </c>
      <c r="M34" t="s">
        <v>439</v>
      </c>
      <c r="N34">
        <v>2.1203852348475999E-4</v>
      </c>
      <c r="P34">
        <f t="shared" si="1"/>
        <v>2.1203852348475999E-4</v>
      </c>
      <c r="Q34">
        <v>164.2</v>
      </c>
      <c r="R34" s="7"/>
      <c r="S34">
        <f t="shared" si="2"/>
        <v>0</v>
      </c>
    </row>
    <row r="35" spans="1:19" x14ac:dyDescent="0.35">
      <c r="K35" s="116">
        <f t="shared" si="0"/>
        <v>2.0208841703307184E-8</v>
      </c>
      <c r="L35" t="s">
        <v>378</v>
      </c>
      <c r="M35" t="s">
        <v>439</v>
      </c>
      <c r="N35">
        <v>1.3622393811646601E-4</v>
      </c>
      <c r="P35">
        <f t="shared" si="1"/>
        <v>1.3622393811646601E-4</v>
      </c>
      <c r="Q35">
        <v>166.21700000000001</v>
      </c>
      <c r="R35" s="7"/>
      <c r="S35">
        <f t="shared" si="2"/>
        <v>0</v>
      </c>
    </row>
    <row r="36" spans="1:19" x14ac:dyDescent="0.35">
      <c r="K36" s="116">
        <f t="shared" si="0"/>
        <v>2.9215816891928836E-12</v>
      </c>
      <c r="L36" t="s">
        <v>62</v>
      </c>
      <c r="M36" t="s">
        <v>439</v>
      </c>
      <c r="N36" s="63">
        <v>1.9693823578502301E-8</v>
      </c>
      <c r="P36">
        <f t="shared" si="1"/>
        <v>1.9693823578502301E-8</v>
      </c>
      <c r="Q36">
        <v>256.39999999999998</v>
      </c>
      <c r="R36" s="7"/>
      <c r="S36">
        <f t="shared" si="2"/>
        <v>0</v>
      </c>
    </row>
    <row r="37" spans="1:19" x14ac:dyDescent="0.35">
      <c r="K37" s="116">
        <f t="shared" si="0"/>
        <v>3.2814175416132878E-12</v>
      </c>
      <c r="L37" t="s">
        <v>381</v>
      </c>
      <c r="M37" t="s">
        <v>439</v>
      </c>
      <c r="N37" s="63">
        <v>2.21194082612791E-8</v>
      </c>
      <c r="P37">
        <f t="shared" si="1"/>
        <v>2.21194082612791E-8</v>
      </c>
      <c r="Q37">
        <v>282.45999999999998</v>
      </c>
      <c r="R37" s="7"/>
      <c r="S37">
        <f t="shared" si="2"/>
        <v>0</v>
      </c>
    </row>
    <row r="38" spans="1:19" x14ac:dyDescent="0.35">
      <c r="A38" t="s">
        <v>213</v>
      </c>
      <c r="K38" s="116">
        <f t="shared" si="0"/>
        <v>1.0378399140447E-9</v>
      </c>
      <c r="L38" t="s">
        <v>143</v>
      </c>
      <c r="M38" t="s">
        <v>439</v>
      </c>
      <c r="N38" s="63">
        <v>6.99588043200353E-6</v>
      </c>
      <c r="P38">
        <f t="shared" si="1"/>
        <v>6.99588043200353E-6</v>
      </c>
      <c r="Q38">
        <v>270.45</v>
      </c>
      <c r="S38">
        <f t="shared" si="2"/>
        <v>0</v>
      </c>
    </row>
    <row r="39" spans="1:19" x14ac:dyDescent="0.35">
      <c r="A39" t="s">
        <v>462</v>
      </c>
      <c r="B39" t="s">
        <v>449</v>
      </c>
      <c r="C39">
        <f>S47</f>
        <v>115847.86320662309</v>
      </c>
      <c r="K39" s="116">
        <f t="shared" si="0"/>
        <v>5.752209744499862E-11</v>
      </c>
      <c r="L39" t="s">
        <v>144</v>
      </c>
      <c r="M39" t="s">
        <v>439</v>
      </c>
      <c r="N39" s="63">
        <v>3.8774546100751902E-7</v>
      </c>
      <c r="P39">
        <f t="shared" si="1"/>
        <v>3.8774546100751902E-7</v>
      </c>
      <c r="Q39">
        <v>294.5</v>
      </c>
      <c r="S39">
        <f t="shared" si="2"/>
        <v>0</v>
      </c>
    </row>
    <row r="40" spans="1:19" x14ac:dyDescent="0.35">
      <c r="A40" t="s">
        <v>463</v>
      </c>
      <c r="B40" t="s">
        <v>449</v>
      </c>
      <c r="C40">
        <f>C39*'[1]Process variables '!G19</f>
        <v>92678.290565298477</v>
      </c>
      <c r="K40" s="116">
        <f t="shared" si="0"/>
        <v>3.4541608267615572E-10</v>
      </c>
      <c r="L40" t="s">
        <v>385</v>
      </c>
      <c r="M40" t="s">
        <v>439</v>
      </c>
      <c r="N40" s="63">
        <v>2.3283837719016002E-6</v>
      </c>
      <c r="P40">
        <f t="shared" si="1"/>
        <v>2.3283837719016002E-6</v>
      </c>
      <c r="Q40">
        <v>296.5</v>
      </c>
      <c r="S40">
        <f t="shared" si="2"/>
        <v>0</v>
      </c>
    </row>
    <row r="41" spans="1:19" x14ac:dyDescent="0.35">
      <c r="A41" t="s">
        <v>464</v>
      </c>
      <c r="B41" t="s">
        <v>465</v>
      </c>
      <c r="C41">
        <f>(C40*'[1]Process variables '!G21)/3.6</f>
        <v>20595.175681177439</v>
      </c>
      <c r="K41" s="116">
        <f t="shared" si="0"/>
        <v>1.1875069451694226E-10</v>
      </c>
      <c r="L41" t="s">
        <v>386</v>
      </c>
      <c r="M41" t="s">
        <v>439</v>
      </c>
      <c r="N41" s="63">
        <v>8.0047572734047298E-7</v>
      </c>
      <c r="P41">
        <f t="shared" si="1"/>
        <v>8.0047572734047298E-7</v>
      </c>
      <c r="Q41">
        <v>296.5</v>
      </c>
      <c r="S41">
        <f t="shared" si="2"/>
        <v>0</v>
      </c>
    </row>
    <row r="42" spans="1:19" x14ac:dyDescent="0.35">
      <c r="A42" t="s">
        <v>466</v>
      </c>
      <c r="K42" s="116">
        <f t="shared" si="0"/>
        <v>0</v>
      </c>
      <c r="L42" t="s">
        <v>406</v>
      </c>
      <c r="M42" t="s">
        <v>439</v>
      </c>
      <c r="N42">
        <v>0</v>
      </c>
      <c r="P42">
        <f t="shared" si="1"/>
        <v>0</v>
      </c>
      <c r="S42">
        <f t="shared" si="2"/>
        <v>0</v>
      </c>
    </row>
    <row r="43" spans="1:19" x14ac:dyDescent="0.35">
      <c r="A43" t="s">
        <v>467</v>
      </c>
      <c r="B43" t="s">
        <v>465</v>
      </c>
      <c r="C43">
        <f>B32</f>
        <v>1779.5955901999998</v>
      </c>
      <c r="K43" s="116">
        <f t="shared" si="0"/>
        <v>0.88147580211460974</v>
      </c>
      <c r="L43" t="s">
        <v>387</v>
      </c>
      <c r="M43" t="s">
        <v>439</v>
      </c>
      <c r="N43">
        <v>5941.8598493337704</v>
      </c>
      <c r="P43">
        <f t="shared" si="1"/>
        <v>5941.8598493337704</v>
      </c>
      <c r="Q43">
        <v>44.01</v>
      </c>
      <c r="S43">
        <f t="shared" si="2"/>
        <v>0</v>
      </c>
    </row>
    <row r="44" spans="1:19" x14ac:dyDescent="0.35">
      <c r="A44" t="s">
        <v>467</v>
      </c>
      <c r="B44" t="s">
        <v>449</v>
      </c>
      <c r="C44">
        <f>C43*3.6</f>
        <v>6406.5441247199997</v>
      </c>
      <c r="K44" s="116">
        <f t="shared" si="0"/>
        <v>1.5436938735581201E-2</v>
      </c>
      <c r="L44" t="s">
        <v>389</v>
      </c>
      <c r="M44" t="s">
        <v>439</v>
      </c>
      <c r="N44">
        <v>104.05745256935499</v>
      </c>
      <c r="P44">
        <f t="shared" si="1"/>
        <v>104.05745256935499</v>
      </c>
      <c r="Q44">
        <v>30.07</v>
      </c>
      <c r="R44">
        <v>51.9</v>
      </c>
      <c r="S44">
        <f t="shared" si="2"/>
        <v>5400.5817883495238</v>
      </c>
    </row>
    <row r="45" spans="1:19" x14ac:dyDescent="0.35">
      <c r="A45" t="s">
        <v>468</v>
      </c>
      <c r="B45" t="s">
        <v>449</v>
      </c>
      <c r="C45">
        <f>C44/'[1]Process variables '!G21</f>
        <v>8008.1801558999996</v>
      </c>
      <c r="K45" s="116">
        <f t="shared" si="0"/>
        <v>1.929683515878754E-2</v>
      </c>
      <c r="L45" t="s">
        <v>390</v>
      </c>
      <c r="M45" t="s">
        <v>439</v>
      </c>
      <c r="N45">
        <v>130.07627636986899</v>
      </c>
      <c r="P45">
        <f t="shared" si="1"/>
        <v>130.07627636986899</v>
      </c>
      <c r="Q45">
        <v>58.12</v>
      </c>
      <c r="R45">
        <v>49.5</v>
      </c>
      <c r="S45">
        <f t="shared" si="2"/>
        <v>6438.7756803085149</v>
      </c>
    </row>
    <row r="46" spans="1:19" x14ac:dyDescent="0.35">
      <c r="A46" t="s">
        <v>469</v>
      </c>
      <c r="B46" t="s">
        <v>449</v>
      </c>
      <c r="C46">
        <v>0</v>
      </c>
      <c r="K46" s="116">
        <f t="shared" si="0"/>
        <v>1.832926118208331E-2</v>
      </c>
      <c r="L46" t="s">
        <v>391</v>
      </c>
      <c r="M46" t="s">
        <v>439</v>
      </c>
      <c r="N46">
        <v>123.554045187065</v>
      </c>
      <c r="P46">
        <f t="shared" si="1"/>
        <v>123.554045187065</v>
      </c>
      <c r="Q46">
        <v>44.1</v>
      </c>
      <c r="R46">
        <v>50.35</v>
      </c>
      <c r="S46">
        <f t="shared" si="2"/>
        <v>6220.9461751687231</v>
      </c>
    </row>
    <row r="47" spans="1:19" x14ac:dyDescent="0.35">
      <c r="A47" t="s">
        <v>470</v>
      </c>
      <c r="B47" t="s">
        <v>449</v>
      </c>
      <c r="C47">
        <f>C40-C45</f>
        <v>84670.110409398476</v>
      </c>
      <c r="O47" t="s">
        <v>471</v>
      </c>
      <c r="P47">
        <f>SUM(P5:P46)</f>
        <v>6740.8088061857061</v>
      </c>
      <c r="S47">
        <f>SUM(S5:S46)+S51</f>
        <v>115847.86320662309</v>
      </c>
    </row>
    <row r="48" spans="1:19" x14ac:dyDescent="0.35">
      <c r="A48" t="s">
        <v>472</v>
      </c>
      <c r="B48" t="s">
        <v>449</v>
      </c>
      <c r="C48" s="98">
        <f>B33</f>
        <v>296318.66100413591</v>
      </c>
      <c r="L48" t="s">
        <v>379</v>
      </c>
      <c r="Q48">
        <v>50</v>
      </c>
      <c r="R48" t="s">
        <v>238</v>
      </c>
    </row>
    <row r="49" spans="1:19" x14ac:dyDescent="0.35">
      <c r="A49" t="s">
        <v>473</v>
      </c>
      <c r="C49">
        <f>C48*'[1]Process variables '!C4</f>
        <v>237054.92880330875</v>
      </c>
      <c r="L49" s="120" t="s">
        <v>474</v>
      </c>
      <c r="M49" s="121">
        <v>2.8</v>
      </c>
      <c r="N49" s="122" t="s">
        <v>238</v>
      </c>
    </row>
    <row r="50" spans="1:19" x14ac:dyDescent="0.35">
      <c r="A50" t="s">
        <v>475</v>
      </c>
      <c r="B50" t="s">
        <v>449</v>
      </c>
      <c r="C50" s="98">
        <f>C48-C49</f>
        <v>59263.732200827159</v>
      </c>
    </row>
    <row r="51" spans="1:19" x14ac:dyDescent="0.35">
      <c r="A51" t="s">
        <v>476</v>
      </c>
      <c r="B51" t="s">
        <v>449</v>
      </c>
      <c r="C51">
        <f>C47</f>
        <v>84670.110409398476</v>
      </c>
      <c r="L51" t="s">
        <v>477</v>
      </c>
      <c r="M51" t="s">
        <v>478</v>
      </c>
      <c r="N51">
        <f>'mass balances '!N143</f>
        <v>3567.5598078366902</v>
      </c>
      <c r="P51">
        <f>N51</f>
        <v>3567.5598078366902</v>
      </c>
      <c r="Q51">
        <v>12</v>
      </c>
      <c r="R51" s="123">
        <f>'Experimental_Bckground data'!C31</f>
        <v>26.3</v>
      </c>
      <c r="S51">
        <f>R51*P51</f>
        <v>93826.822946104949</v>
      </c>
    </row>
    <row r="52" spans="1:19" x14ac:dyDescent="0.35">
      <c r="A52" t="s">
        <v>479</v>
      </c>
      <c r="B52" t="s">
        <v>449</v>
      </c>
      <c r="C52" s="98">
        <v>0</v>
      </c>
    </row>
    <row r="53" spans="1:19" x14ac:dyDescent="0.35">
      <c r="A53" t="s">
        <v>480</v>
      </c>
      <c r="B53" t="s">
        <v>305</v>
      </c>
      <c r="C53">
        <v>0</v>
      </c>
    </row>
    <row r="54" spans="1:19" x14ac:dyDescent="0.35">
      <c r="A54" t="s">
        <v>481</v>
      </c>
      <c r="B54" t="s">
        <v>449</v>
      </c>
      <c r="C54" s="98">
        <f>C47-C50</f>
        <v>25406.378208571317</v>
      </c>
    </row>
    <row r="55" spans="1:19" x14ac:dyDescent="0.35">
      <c r="A55" t="s">
        <v>482</v>
      </c>
      <c r="B55" t="s">
        <v>465</v>
      </c>
      <c r="C55">
        <f>C54*'[1]Process variables '!G21/3.6</f>
        <v>5645.8618241269596</v>
      </c>
    </row>
    <row r="57" spans="1:19" x14ac:dyDescent="0.35">
      <c r="A57" t="s">
        <v>483</v>
      </c>
      <c r="B57" t="s">
        <v>305</v>
      </c>
      <c r="C57" s="98">
        <f>SUM(C58:C60)</f>
        <v>26457.023303940707</v>
      </c>
    </row>
    <row r="58" spans="1:19" x14ac:dyDescent="0.35">
      <c r="A58" t="s">
        <v>196</v>
      </c>
      <c r="B58" t="s">
        <v>305</v>
      </c>
      <c r="C58" s="98">
        <f>C48/M49*'[1]Process variables '!C5</f>
        <v>23282.180507467823</v>
      </c>
    </row>
    <row r="59" spans="1:19" x14ac:dyDescent="0.35">
      <c r="A59" t="s">
        <v>484</v>
      </c>
      <c r="B59" t="s">
        <v>305</v>
      </c>
      <c r="C59" s="98">
        <f>C48/M49*0.03</f>
        <v>3174.8427964728849</v>
      </c>
    </row>
    <row r="60" spans="1:19" x14ac:dyDescent="0.35">
      <c r="A60" t="s">
        <v>485</v>
      </c>
      <c r="B60" t="s">
        <v>305</v>
      </c>
      <c r="C60">
        <f>H40</f>
        <v>0</v>
      </c>
    </row>
    <row r="69" spans="2:2" x14ac:dyDescent="0.35">
      <c r="B69">
        <v>2624.5723290681599</v>
      </c>
    </row>
    <row r="70" spans="2:2" x14ac:dyDescent="0.35">
      <c r="B70">
        <v>27.914007384000001</v>
      </c>
    </row>
    <row r="71" spans="2:2" x14ac:dyDescent="0.35">
      <c r="B71">
        <v>281.71783188000001</v>
      </c>
    </row>
    <row r="72" spans="2:2" x14ac:dyDescent="0.35">
      <c r="B72">
        <v>317.07966024000001</v>
      </c>
    </row>
    <row r="73" spans="2:2" x14ac:dyDescent="0.35">
      <c r="B73">
        <v>422.99449559999999</v>
      </c>
    </row>
    <row r="74" spans="2:2" x14ac:dyDescent="0.35">
      <c r="B74">
        <v>66336.067496735996</v>
      </c>
    </row>
    <row r="75" spans="2:2" x14ac:dyDescent="0.35">
      <c r="B75">
        <v>70703.892235324704</v>
      </c>
    </row>
    <row r="76" spans="2:2" x14ac:dyDescent="0.35">
      <c r="B76">
        <v>11613.559462259</v>
      </c>
    </row>
    <row r="77" spans="2:2" x14ac:dyDescent="0.35">
      <c r="B77">
        <v>334838.28430483199</v>
      </c>
    </row>
    <row r="78" spans="2:2" x14ac:dyDescent="0.35">
      <c r="B78">
        <v>-243271.00888243201</v>
      </c>
    </row>
    <row r="79" spans="2:2" x14ac:dyDescent="0.35">
      <c r="B79">
        <v>-26.182932394075198</v>
      </c>
    </row>
    <row r="82" spans="1:4" x14ac:dyDescent="0.35">
      <c r="B82">
        <v>0</v>
      </c>
    </row>
    <row r="83" spans="1:4" x14ac:dyDescent="0.35">
      <c r="B83">
        <v>0</v>
      </c>
    </row>
    <row r="84" spans="1:4" x14ac:dyDescent="0.35">
      <c r="B84">
        <v>0</v>
      </c>
    </row>
    <row r="85" spans="1:4" x14ac:dyDescent="0.35">
      <c r="B85">
        <v>0</v>
      </c>
    </row>
    <row r="86" spans="1:4" x14ac:dyDescent="0.35">
      <c r="B86">
        <v>0</v>
      </c>
    </row>
    <row r="87" spans="1:4" x14ac:dyDescent="0.35">
      <c r="B87">
        <f>SUM(B66:B86)</f>
        <v>243868.89000849778</v>
      </c>
      <c r="C87" t="s">
        <v>449</v>
      </c>
    </row>
    <row r="88" spans="1:4" x14ac:dyDescent="0.35">
      <c r="A88">
        <v>2.777778E-4</v>
      </c>
      <c r="B88">
        <f>B87*A88</f>
        <v>67.741363755002496</v>
      </c>
      <c r="C88" t="s">
        <v>486</v>
      </c>
      <c r="D88" s="124"/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A787E1-1F38-41AD-810F-B5E33409A02F}">
  <dimension ref="A1:E54"/>
  <sheetViews>
    <sheetView topLeftCell="A36" workbookViewId="0">
      <selection activeCell="D29" sqref="D29:D53"/>
    </sheetView>
  </sheetViews>
  <sheetFormatPr defaultRowHeight="14.5" x14ac:dyDescent="0.35"/>
  <cols>
    <col min="1" max="1" width="31.1796875" customWidth="1"/>
    <col min="2" max="2" width="5.36328125" customWidth="1"/>
    <col min="3" max="3" width="26.90625" customWidth="1"/>
    <col min="4" max="4" width="31.26953125" customWidth="1"/>
  </cols>
  <sheetData>
    <row r="1" spans="1:4" x14ac:dyDescent="0.35">
      <c r="A1" s="125" t="s">
        <v>488</v>
      </c>
      <c r="B1" s="126"/>
      <c r="C1" s="126"/>
      <c r="D1" s="126"/>
    </row>
    <row r="2" spans="1:4" x14ac:dyDescent="0.35">
      <c r="A2" s="127" t="s">
        <v>489</v>
      </c>
      <c r="B2" s="128"/>
      <c r="C2" s="129"/>
      <c r="D2" s="130">
        <f t="shared" ref="D2" si="0">SUM(D3:D5)</f>
        <v>506921.65061000001</v>
      </c>
    </row>
    <row r="3" spans="1:4" x14ac:dyDescent="0.35">
      <c r="A3" s="128" t="s">
        <v>490</v>
      </c>
      <c r="B3" s="128" t="s">
        <v>449</v>
      </c>
      <c r="C3" s="128" t="str">
        <f t="shared" ref="C3:C6" si="1">A3</f>
        <v>Biomass</v>
      </c>
      <c r="D3" s="131">
        <f>'mass balances '!D6*'Experimental_Bckground data'!B19</f>
        <v>497505.4375</v>
      </c>
    </row>
    <row r="4" spans="1:4" x14ac:dyDescent="0.35">
      <c r="A4" s="128" t="s">
        <v>392</v>
      </c>
      <c r="B4" s="128" t="s">
        <v>449</v>
      </c>
      <c r="C4" s="128" t="str">
        <f t="shared" si="1"/>
        <v>Natural Gas</v>
      </c>
      <c r="D4">
        <f>'mass balances '!D176*'Utilities from Aspen '!Q48</f>
        <v>0</v>
      </c>
    </row>
    <row r="5" spans="1:4" x14ac:dyDescent="0.35">
      <c r="A5" s="132" t="s">
        <v>491</v>
      </c>
      <c r="B5" s="132" t="s">
        <v>449</v>
      </c>
      <c r="C5" s="128" t="str">
        <f t="shared" si="1"/>
        <v>Biomass in Recycled Aqueous, est.</v>
      </c>
      <c r="D5" s="131">
        <f>'Experimental_Bckground data'!B19*'mass balances '!D16</f>
        <v>9416.2131100000006</v>
      </c>
    </row>
    <row r="6" spans="1:4" x14ac:dyDescent="0.35">
      <c r="A6" s="133" t="s">
        <v>492</v>
      </c>
      <c r="B6" s="133" t="s">
        <v>449</v>
      </c>
      <c r="C6" s="133" t="str">
        <f t="shared" si="1"/>
        <v>Biomass in Recycled Aqueous, alt est.</v>
      </c>
      <c r="D6" s="130" t="e">
        <f>D13*'[2]2.2 Mass'!C24</f>
        <v>#VALUE!</v>
      </c>
    </row>
    <row r="7" spans="1:4" x14ac:dyDescent="0.35">
      <c r="A7" s="132"/>
      <c r="B7" s="132"/>
      <c r="C7" s="132"/>
      <c r="D7" s="131"/>
    </row>
    <row r="8" spans="1:4" x14ac:dyDescent="0.35">
      <c r="A8" s="134" t="s">
        <v>493</v>
      </c>
      <c r="B8" s="132"/>
      <c r="C8" s="133"/>
      <c r="D8" s="130">
        <f t="shared" ref="D8" si="2">SUM(D9:D12)</f>
        <v>506921.65061000001</v>
      </c>
    </row>
    <row r="9" spans="1:4" x14ac:dyDescent="0.35">
      <c r="A9" s="132" t="s">
        <v>20</v>
      </c>
      <c r="B9" s="132" t="s">
        <v>449</v>
      </c>
      <c r="C9" s="128" t="str">
        <f t="shared" ref="C9:C42" si="3">A9</f>
        <v>Biocrude</v>
      </c>
      <c r="D9" s="131">
        <f>'Experimental_Bckground data'!B31*'mass balances '!D111</f>
        <v>282621.68768797116</v>
      </c>
    </row>
    <row r="10" spans="1:4" x14ac:dyDescent="0.35">
      <c r="A10" s="135" t="s">
        <v>239</v>
      </c>
      <c r="B10" s="135" t="s">
        <v>449</v>
      </c>
      <c r="C10" s="128" t="str">
        <f t="shared" si="3"/>
        <v>Char</v>
      </c>
      <c r="D10" s="131">
        <f>'Experimental_Bckground data'!C31*'mass balances '!D57</f>
        <v>93826.822946104949</v>
      </c>
    </row>
    <row r="11" spans="1:4" x14ac:dyDescent="0.35">
      <c r="A11" s="132" t="s">
        <v>240</v>
      </c>
      <c r="B11" s="132" t="s">
        <v>449</v>
      </c>
      <c r="C11" s="128" t="str">
        <f t="shared" si="3"/>
        <v>Gas</v>
      </c>
      <c r="D11" s="131">
        <f>'[3]Mass balances '!D40*1.8</f>
        <v>0</v>
      </c>
    </row>
    <row r="12" spans="1:4" x14ac:dyDescent="0.35">
      <c r="A12" s="136" t="s">
        <v>494</v>
      </c>
      <c r="B12" s="136" t="s">
        <v>449</v>
      </c>
      <c r="C12" s="128" t="str">
        <f t="shared" si="3"/>
        <v>Aqueous&amp; Losses</v>
      </c>
      <c r="D12" s="137">
        <f>(D3+D4+D5)-SUM(D9:D11)</f>
        <v>130473.13997592393</v>
      </c>
    </row>
    <row r="13" spans="1:4" x14ac:dyDescent="0.35">
      <c r="A13" s="138" t="s">
        <v>495</v>
      </c>
      <c r="B13" s="138" t="s">
        <v>496</v>
      </c>
      <c r="C13" s="128" t="str">
        <f t="shared" si="3"/>
        <v>Aqueous energy content [calculated]</v>
      </c>
      <c r="D13" s="139">
        <f>D12/'[1]Mass balances '!D115</f>
        <v>0.70065468784124774</v>
      </c>
    </row>
    <row r="14" spans="1:4" x14ac:dyDescent="0.35">
      <c r="A14" s="132"/>
      <c r="B14" s="132"/>
      <c r="C14" s="128"/>
      <c r="D14" s="128"/>
    </row>
    <row r="15" spans="1:4" x14ac:dyDescent="0.35">
      <c r="A15" s="134" t="s">
        <v>493</v>
      </c>
      <c r="B15" s="132"/>
      <c r="C15" s="128" t="str">
        <f t="shared" si="3"/>
        <v>Energy Out, Reactor</v>
      </c>
      <c r="D15" s="140">
        <f t="shared" ref="D15" si="4">SUM(D16:D19)</f>
        <v>1</v>
      </c>
    </row>
    <row r="16" spans="1:4" x14ac:dyDescent="0.35">
      <c r="A16" s="132" t="s">
        <v>20</v>
      </c>
      <c r="B16" s="132" t="s">
        <v>215</v>
      </c>
      <c r="C16" s="128" t="str">
        <f t="shared" si="3"/>
        <v>Biocrude</v>
      </c>
      <c r="D16" s="141">
        <f>D9/D8</f>
        <v>0.55752538355361358</v>
      </c>
    </row>
    <row r="17" spans="1:5" x14ac:dyDescent="0.35">
      <c r="A17" s="135" t="s">
        <v>497</v>
      </c>
      <c r="B17" s="132" t="s">
        <v>215</v>
      </c>
      <c r="C17" s="128" t="str">
        <f t="shared" si="3"/>
        <v>Char (Combustible)</v>
      </c>
      <c r="D17" s="141">
        <f>D10/D8</f>
        <v>0.18509137029992545</v>
      </c>
    </row>
    <row r="18" spans="1:5" x14ac:dyDescent="0.35">
      <c r="A18" s="132" t="s">
        <v>498</v>
      </c>
      <c r="B18" s="132" t="s">
        <v>215</v>
      </c>
      <c r="C18" s="128" t="str">
        <f t="shared" si="3"/>
        <v>Gas (Combustible)</v>
      </c>
      <c r="D18" s="141">
        <f>D11/D8</f>
        <v>0</v>
      </c>
    </row>
    <row r="19" spans="1:5" x14ac:dyDescent="0.35">
      <c r="A19" s="136" t="s">
        <v>494</v>
      </c>
      <c r="B19" s="132" t="s">
        <v>215</v>
      </c>
      <c r="C19" s="128" t="str">
        <f t="shared" si="3"/>
        <v>Aqueous&amp; Losses</v>
      </c>
      <c r="D19" s="141">
        <f>D12/D8</f>
        <v>0.25738324614646096</v>
      </c>
    </row>
    <row r="20" spans="1:5" x14ac:dyDescent="0.35">
      <c r="A20" s="132"/>
      <c r="B20" s="132"/>
      <c r="C20" s="128"/>
      <c r="D20" s="141"/>
    </row>
    <row r="21" spans="1:5" x14ac:dyDescent="0.35">
      <c r="A21" s="142" t="s">
        <v>499</v>
      </c>
      <c r="B21" s="143"/>
      <c r="C21" s="128" t="str">
        <f t="shared" si="3"/>
        <v>Orangnics Mass Out, Reactor</v>
      </c>
      <c r="D21" s="144">
        <f>SUM(D22:D26)</f>
        <v>0.98496670962704713</v>
      </c>
    </row>
    <row r="22" spans="1:5" x14ac:dyDescent="0.35">
      <c r="A22" s="143" t="s">
        <v>20</v>
      </c>
      <c r="B22" s="143" t="s">
        <v>215</v>
      </c>
      <c r="C22" s="128" t="str">
        <f t="shared" si="3"/>
        <v>Biocrude</v>
      </c>
      <c r="D22" s="145">
        <f>'mass balances '!D30/(SUM('mass balances '!D21:D23))</f>
        <v>0.2885934136978085</v>
      </c>
      <c r="E22" s="27"/>
    </row>
    <row r="23" spans="1:5" x14ac:dyDescent="0.35">
      <c r="A23" s="146" t="s">
        <v>239</v>
      </c>
      <c r="B23" s="143" t="s">
        <v>215</v>
      </c>
      <c r="C23" s="128" t="str">
        <f t="shared" si="3"/>
        <v>Char</v>
      </c>
      <c r="D23" s="145">
        <f>'mass balances '!D36/(SUM('mass balances '!D21:D23))</f>
        <v>0.1165451978821533</v>
      </c>
    </row>
    <row r="24" spans="1:5" x14ac:dyDescent="0.35">
      <c r="A24" s="143" t="s">
        <v>240</v>
      </c>
      <c r="B24" s="143" t="s">
        <v>215</v>
      </c>
      <c r="C24" s="128" t="str">
        <f t="shared" si="3"/>
        <v>Gas</v>
      </c>
      <c r="D24" s="145">
        <f>'mass balances '!D40/(SUM('mass balances '!D21:D23))</f>
        <v>0.1549279886545297</v>
      </c>
    </row>
    <row r="25" spans="1:5" x14ac:dyDescent="0.35">
      <c r="A25" s="143" t="s">
        <v>333</v>
      </c>
      <c r="B25" s="143" t="s">
        <v>215</v>
      </c>
      <c r="C25" s="128" t="str">
        <f t="shared" si="3"/>
        <v>Aqueous</v>
      </c>
      <c r="D25" s="145">
        <f>'mass balances '!D33/(SUM('mass balances '!D21:D23))</f>
        <v>0.42490010939255568</v>
      </c>
    </row>
    <row r="26" spans="1:5" x14ac:dyDescent="0.35">
      <c r="B26" s="143"/>
      <c r="C26" s="128"/>
      <c r="D26" s="145"/>
      <c r="E26" s="143"/>
    </row>
    <row r="27" spans="1:5" x14ac:dyDescent="0.35">
      <c r="A27" s="132"/>
      <c r="B27" s="132"/>
      <c r="C27" s="128"/>
      <c r="D27" s="131"/>
    </row>
    <row r="28" spans="1:5" x14ac:dyDescent="0.35">
      <c r="A28" s="134" t="s">
        <v>500</v>
      </c>
      <c r="B28" s="132"/>
      <c r="C28" s="128" t="str">
        <f t="shared" si="3"/>
        <v>Energy Out, System</v>
      </c>
      <c r="D28" s="131">
        <f>D29+D30+D41+D42</f>
        <v>502955.55927968037</v>
      </c>
    </row>
    <row r="29" spans="1:5" x14ac:dyDescent="0.35">
      <c r="A29" s="132" t="s">
        <v>382</v>
      </c>
      <c r="B29" s="132" t="s">
        <v>449</v>
      </c>
      <c r="C29" s="128" t="str">
        <f t="shared" si="3"/>
        <v>Biofuel</v>
      </c>
      <c r="D29" s="131">
        <f>E29*'mass balances '!D156</f>
        <v>256634.55609713332</v>
      </c>
      <c r="E29">
        <v>29.8</v>
      </c>
    </row>
    <row r="30" spans="1:5" x14ac:dyDescent="0.35">
      <c r="A30" s="132" t="s">
        <v>501</v>
      </c>
      <c r="B30" s="132" t="s">
        <v>449</v>
      </c>
      <c r="C30" s="128" t="str">
        <f t="shared" si="3"/>
        <v>Biomass Combustion</v>
      </c>
      <c r="D30" s="131">
        <f>'Utilities from Aspen '!C39</f>
        <v>115847.86320662309</v>
      </c>
    </row>
    <row r="31" spans="1:5" x14ac:dyDescent="0.35">
      <c r="A31" s="147" t="s">
        <v>502</v>
      </c>
      <c r="B31" s="133" t="s">
        <v>449</v>
      </c>
      <c r="C31" s="128" t="str">
        <f t="shared" si="3"/>
        <v>of which, internal heat</v>
      </c>
      <c r="D31" s="130">
        <f>'Utilities from Aspen '!C45</f>
        <v>8008.1801558999996</v>
      </c>
    </row>
    <row r="32" spans="1:5" x14ac:dyDescent="0.35">
      <c r="A32" s="147" t="s">
        <v>503</v>
      </c>
      <c r="B32" s="133" t="s">
        <v>449</v>
      </c>
      <c r="C32" s="128" t="str">
        <f t="shared" si="3"/>
        <v>of which, internal electricity</v>
      </c>
      <c r="D32" s="130">
        <f>'Utilities from Aspen '!C44-'Utilities from Aspen '!C46</f>
        <v>6406.5441247199997</v>
      </c>
    </row>
    <row r="33" spans="1:4" x14ac:dyDescent="0.35">
      <c r="A33" s="147" t="s">
        <v>504</v>
      </c>
      <c r="B33" s="133" t="s">
        <v>449</v>
      </c>
      <c r="C33" s="128" t="str">
        <f t="shared" si="3"/>
        <v>of which, salable electricity</v>
      </c>
      <c r="D33" s="130">
        <f>'Utilities from Aspen '!C55*3.6</f>
        <v>20325.102566857055</v>
      </c>
    </row>
    <row r="34" spans="1:4" x14ac:dyDescent="0.35">
      <c r="A34" s="147" t="s">
        <v>505</v>
      </c>
      <c r="B34" s="133" t="s">
        <v>449</v>
      </c>
      <c r="C34" s="128" t="str">
        <f t="shared" si="3"/>
        <v>of which, known losses</v>
      </c>
      <c r="D34" s="130">
        <f>D30-D31-D32-D33</f>
        <v>81108.036359146048</v>
      </c>
    </row>
    <row r="35" spans="1:4" x14ac:dyDescent="0.35">
      <c r="A35" s="148" t="s">
        <v>506</v>
      </c>
      <c r="B35" s="138" t="s">
        <v>449</v>
      </c>
      <c r="C35" s="128" t="str">
        <f t="shared" si="3"/>
        <v xml:space="preserve">sum </v>
      </c>
      <c r="D35" s="149">
        <f t="shared" ref="D35" si="5">SUM(D31:D34)</f>
        <v>115847.86320662309</v>
      </c>
    </row>
    <row r="36" spans="1:4" x14ac:dyDescent="0.35">
      <c r="A36" s="128" t="s">
        <v>507</v>
      </c>
      <c r="B36" s="128" t="s">
        <v>449</v>
      </c>
      <c r="C36" s="128" t="str">
        <f t="shared" si="3"/>
        <v>Natural Gas Combustion</v>
      </c>
      <c r="D36" s="131">
        <f>'[1]utilities demand from Aspen plu'!C53*'[1]utilities demand from Aspen plu'!Q48</f>
        <v>0</v>
      </c>
    </row>
    <row r="37" spans="1:4" x14ac:dyDescent="0.35">
      <c r="A37" s="147" t="s">
        <v>502</v>
      </c>
      <c r="B37" s="133" t="s">
        <v>449</v>
      </c>
      <c r="C37" s="128" t="str">
        <f t="shared" si="3"/>
        <v>of which, internal heat</v>
      </c>
      <c r="D37" s="130">
        <f>'[1]utilities demand from Aspen plu'!C52</f>
        <v>0</v>
      </c>
    </row>
    <row r="38" spans="1:4" x14ac:dyDescent="0.35">
      <c r="A38" s="147" t="s">
        <v>503</v>
      </c>
      <c r="B38" s="133" t="s">
        <v>449</v>
      </c>
      <c r="C38" s="128" t="str">
        <f t="shared" si="3"/>
        <v>of which, internal electricity</v>
      </c>
      <c r="D38" s="130">
        <f>'[1]utilities demand from Aspen plu'!C46</f>
        <v>0</v>
      </c>
    </row>
    <row r="39" spans="1:4" x14ac:dyDescent="0.35">
      <c r="A39" s="147" t="s">
        <v>505</v>
      </c>
      <c r="B39" s="133" t="s">
        <v>449</v>
      </c>
      <c r="C39" s="128" t="str">
        <f t="shared" si="3"/>
        <v>of which, known losses</v>
      </c>
      <c r="D39" s="130">
        <f>D36-D37-D38</f>
        <v>0</v>
      </c>
    </row>
    <row r="40" spans="1:4" x14ac:dyDescent="0.35">
      <c r="A40" s="148" t="s">
        <v>506</v>
      </c>
      <c r="B40" s="138"/>
      <c r="C40" s="128" t="str">
        <f t="shared" si="3"/>
        <v xml:space="preserve">sum </v>
      </c>
      <c r="D40" s="149">
        <f t="shared" ref="D40" si="6">SUM(D37:D39)</f>
        <v>0</v>
      </c>
    </row>
    <row r="41" spans="1:4" x14ac:dyDescent="0.35">
      <c r="A41" s="136" t="s">
        <v>508</v>
      </c>
      <c r="B41" s="136" t="s">
        <v>449</v>
      </c>
      <c r="C41" s="128" t="str">
        <f t="shared" si="3"/>
        <v>Aqueous Waste Purge</v>
      </c>
      <c r="D41" s="137">
        <f>D12*'Process variables '!C87</f>
        <v>32618.284993980982</v>
      </c>
    </row>
    <row r="42" spans="1:4" x14ac:dyDescent="0.35">
      <c r="A42" s="136" t="s">
        <v>509</v>
      </c>
      <c r="B42" s="136" t="s">
        <v>449</v>
      </c>
      <c r="C42" s="128" t="str">
        <f t="shared" si="3"/>
        <v>Aqueous &amp; Other Losses</v>
      </c>
      <c r="D42" s="137">
        <f t="shared" ref="D42" si="7">D12-D41</f>
        <v>97854.854981942946</v>
      </c>
    </row>
    <row r="43" spans="1:4" x14ac:dyDescent="0.35">
      <c r="A43" s="132"/>
      <c r="B43" s="132"/>
      <c r="C43" s="128"/>
      <c r="D43" s="131"/>
    </row>
    <row r="44" spans="1:4" x14ac:dyDescent="0.35">
      <c r="A44" s="136" t="s">
        <v>510</v>
      </c>
      <c r="B44" s="136" t="s">
        <v>449</v>
      </c>
      <c r="C44" s="128" t="s">
        <v>511</v>
      </c>
      <c r="D44" s="150">
        <f t="shared" ref="D44" si="8">D2-D28</f>
        <v>3966.091330319643</v>
      </c>
    </row>
    <row r="45" spans="1:4" x14ac:dyDescent="0.35">
      <c r="A45" s="136"/>
      <c r="B45" s="136"/>
      <c r="C45" s="128"/>
      <c r="D45" s="137"/>
    </row>
    <row r="46" spans="1:4" x14ac:dyDescent="0.35">
      <c r="A46" s="151" t="s">
        <v>512</v>
      </c>
      <c r="B46" s="136"/>
      <c r="C46" s="128"/>
      <c r="D46" s="152"/>
    </row>
    <row r="47" spans="1:4" x14ac:dyDescent="0.35">
      <c r="A47" s="136" t="s">
        <v>382</v>
      </c>
      <c r="B47" s="136"/>
      <c r="C47" s="128" t="str">
        <f t="shared" ref="C47:C53" si="9">A47</f>
        <v>Biofuel</v>
      </c>
      <c r="D47" s="153">
        <f>D29/D$2</f>
        <v>0.5062607915608146</v>
      </c>
    </row>
    <row r="48" spans="1:4" x14ac:dyDescent="0.35">
      <c r="A48" s="136" t="s">
        <v>513</v>
      </c>
      <c r="B48" s="136"/>
      <c r="C48" s="128" t="str">
        <f t="shared" si="9"/>
        <v>Salable Electricity</v>
      </c>
      <c r="D48" s="153">
        <f t="shared" ref="D48" si="10">D33/D2</f>
        <v>4.0095155814313728E-2</v>
      </c>
    </row>
    <row r="49" spans="1:4" x14ac:dyDescent="0.35">
      <c r="A49" s="136" t="s">
        <v>514</v>
      </c>
      <c r="B49" s="136"/>
      <c r="C49" s="128" t="str">
        <f t="shared" si="9"/>
        <v>Process Energy, from Biogas and Char</v>
      </c>
      <c r="D49" s="153">
        <f t="shared" ref="D49" si="11">SUM(D31:D32)/D2</f>
        <v>2.843580317249058E-2</v>
      </c>
    </row>
    <row r="50" spans="1:4" x14ac:dyDescent="0.35">
      <c r="A50" s="136" t="s">
        <v>515</v>
      </c>
      <c r="B50" s="136"/>
      <c r="C50" s="128" t="str">
        <f t="shared" si="9"/>
        <v>Process Energy, from Natural Gas</v>
      </c>
      <c r="D50" s="153">
        <f t="shared" ref="D50" si="12">SUM(D37:D38)/D2</f>
        <v>0</v>
      </c>
    </row>
    <row r="51" spans="1:4" x14ac:dyDescent="0.35">
      <c r="A51" s="136" t="s">
        <v>516</v>
      </c>
      <c r="B51" s="136"/>
      <c r="C51" s="128" t="str">
        <f t="shared" si="9"/>
        <v>Aqueous Recyclate</v>
      </c>
      <c r="D51" s="153">
        <f t="shared" ref="D51" si="13">D42/D2</f>
        <v>0.19303743460984574</v>
      </c>
    </row>
    <row r="52" spans="1:4" x14ac:dyDescent="0.35">
      <c r="A52" s="136" t="s">
        <v>517</v>
      </c>
      <c r="B52" s="136"/>
      <c r="C52" s="128" t="str">
        <f t="shared" si="9"/>
        <v>Combustion Losses</v>
      </c>
      <c r="D52" s="153">
        <f t="shared" ref="D52" si="14">SUM(D34,D39)/D2</f>
        <v>0.16000112889545229</v>
      </c>
    </row>
    <row r="53" spans="1:4" x14ac:dyDescent="0.35">
      <c r="A53" s="136" t="s">
        <v>518</v>
      </c>
      <c r="B53" s="136"/>
      <c r="C53" s="128" t="str">
        <f t="shared" si="9"/>
        <v>Waste Aqueous &amp; Unknown Losses</v>
      </c>
      <c r="D53" s="153">
        <f t="shared" ref="D53" si="15">(D41+D44)/D2</f>
        <v>7.2169685947082979E-2</v>
      </c>
    </row>
    <row r="54" spans="1:4" x14ac:dyDescent="0.35">
      <c r="D54" s="27">
        <f>SUM(D47:D53)</f>
        <v>1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972657-EAE5-410A-B3B4-3760F3CC5D76}">
  <dimension ref="A1:C48"/>
  <sheetViews>
    <sheetView topLeftCell="A16" workbookViewId="0">
      <selection activeCell="C32" sqref="C32"/>
    </sheetView>
  </sheetViews>
  <sheetFormatPr defaultRowHeight="14.5" x14ac:dyDescent="0.35"/>
  <cols>
    <col min="1" max="1" width="20.7265625" customWidth="1"/>
    <col min="2" max="2" width="21" customWidth="1"/>
    <col min="3" max="3" width="33.26953125" customWidth="1"/>
  </cols>
  <sheetData>
    <row r="1" spans="1:3" x14ac:dyDescent="0.35">
      <c r="A1" s="154" t="s">
        <v>519</v>
      </c>
      <c r="B1" s="155"/>
      <c r="C1" s="156"/>
    </row>
    <row r="2" spans="1:3" x14ac:dyDescent="0.35">
      <c r="A2" s="157" t="s">
        <v>520</v>
      </c>
      <c r="B2" s="37" t="s">
        <v>305</v>
      </c>
      <c r="C2" s="158">
        <f>'mass balances '!D5</f>
        <v>31250</v>
      </c>
    </row>
    <row r="3" spans="1:3" x14ac:dyDescent="0.35">
      <c r="A3" s="157" t="s">
        <v>521</v>
      </c>
      <c r="B3" s="37" t="s">
        <v>522</v>
      </c>
      <c r="C3" s="159">
        <f>'mass balances '!D6</f>
        <v>28812.5</v>
      </c>
    </row>
    <row r="4" spans="1:3" x14ac:dyDescent="0.35">
      <c r="A4" s="157" t="s">
        <v>523</v>
      </c>
      <c r="B4" s="37" t="s">
        <v>215</v>
      </c>
      <c r="C4" s="160">
        <f>'Experimental_Bckground data'!B5/100</f>
        <v>3.7900000000000003E-2</v>
      </c>
    </row>
    <row r="5" spans="1:3" x14ac:dyDescent="0.35">
      <c r="A5" s="161"/>
      <c r="B5" s="162"/>
      <c r="C5" s="163"/>
    </row>
    <row r="6" spans="1:3" x14ac:dyDescent="0.35">
      <c r="A6" s="164"/>
      <c r="B6" s="37"/>
      <c r="C6" s="36"/>
    </row>
    <row r="7" spans="1:3" x14ac:dyDescent="0.35">
      <c r="A7" s="165" t="s">
        <v>524</v>
      </c>
      <c r="B7" s="166"/>
      <c r="C7" s="165"/>
    </row>
    <row r="8" spans="1:3" x14ac:dyDescent="0.35">
      <c r="A8" s="167" t="s">
        <v>525</v>
      </c>
      <c r="B8" s="168" t="s">
        <v>526</v>
      </c>
      <c r="C8" s="169">
        <f>'mass balances '!D156/'mass balances '!D6</f>
        <v>0.29889450258077227</v>
      </c>
    </row>
    <row r="9" spans="1:3" x14ac:dyDescent="0.35">
      <c r="A9" s="170" t="s">
        <v>527</v>
      </c>
      <c r="B9" s="37" t="s">
        <v>528</v>
      </c>
      <c r="C9" s="171">
        <f>'mass balances '!D156/'mass balances '!D5</f>
        <v>0.27558073137947203</v>
      </c>
    </row>
    <row r="10" spans="1:3" x14ac:dyDescent="0.35">
      <c r="A10" s="170" t="s">
        <v>529</v>
      </c>
      <c r="B10" s="37" t="s">
        <v>238</v>
      </c>
      <c r="C10" s="171">
        <f>'Energy balance'!E29</f>
        <v>29.8</v>
      </c>
    </row>
    <row r="11" spans="1:3" x14ac:dyDescent="0.35">
      <c r="A11" s="36" t="s">
        <v>530</v>
      </c>
      <c r="B11" s="36" t="s">
        <v>531</v>
      </c>
      <c r="C11" s="172">
        <f>C8*'Energy balance'!E29</f>
        <v>8.9070561769070142</v>
      </c>
    </row>
    <row r="12" spans="1:3" x14ac:dyDescent="0.35">
      <c r="A12" s="36"/>
      <c r="B12" s="37" t="s">
        <v>532</v>
      </c>
      <c r="C12" s="135">
        <f>C11/'Experimental_Bckground data'!B31</f>
        <v>0.29889450258077227</v>
      </c>
    </row>
    <row r="13" spans="1:3" x14ac:dyDescent="0.35">
      <c r="A13" s="36"/>
      <c r="B13" s="37"/>
      <c r="C13" s="132"/>
    </row>
    <row r="14" spans="1:3" x14ac:dyDescent="0.35">
      <c r="A14" s="173" t="s">
        <v>519</v>
      </c>
      <c r="B14" s="37"/>
      <c r="C14" s="36"/>
    </row>
    <row r="15" spans="1:3" x14ac:dyDescent="0.35">
      <c r="A15" s="36" t="s">
        <v>373</v>
      </c>
      <c r="B15" s="37" t="s">
        <v>526</v>
      </c>
      <c r="C15" s="172">
        <f>('mass balances '!D173+'Utilities from Aspen '!C57)/'mass balances '!D6</f>
        <v>3.0874454942799376</v>
      </c>
    </row>
    <row r="16" spans="1:3" x14ac:dyDescent="0.35">
      <c r="A16" s="36" t="s">
        <v>392</v>
      </c>
      <c r="B16" s="37" t="s">
        <v>533</v>
      </c>
      <c r="C16" s="172">
        <f>0</f>
        <v>0</v>
      </c>
    </row>
    <row r="17" spans="1:3" x14ac:dyDescent="0.35">
      <c r="A17" s="36"/>
      <c r="B17" s="37"/>
      <c r="C17" s="36"/>
    </row>
    <row r="18" spans="1:3" x14ac:dyDescent="0.35">
      <c r="A18" s="173" t="s">
        <v>534</v>
      </c>
      <c r="B18" s="37"/>
      <c r="C18" s="36"/>
    </row>
    <row r="19" spans="1:3" x14ac:dyDescent="0.35">
      <c r="A19" s="36" t="s">
        <v>535</v>
      </c>
      <c r="B19" s="37" t="s">
        <v>533</v>
      </c>
      <c r="C19" s="174">
        <f>'Utilities from Aspen '!C55/'mass balances '!D6</f>
        <v>0.19595182036015479</v>
      </c>
    </row>
    <row r="20" spans="1:3" x14ac:dyDescent="0.35">
      <c r="A20" s="36"/>
      <c r="B20" s="37"/>
      <c r="C20" s="36"/>
    </row>
    <row r="21" spans="1:3" x14ac:dyDescent="0.35">
      <c r="A21" s="173" t="s">
        <v>536</v>
      </c>
      <c r="B21" s="37"/>
      <c r="C21" s="36"/>
    </row>
    <row r="22" spans="1:3" x14ac:dyDescent="0.35">
      <c r="A22" s="36" t="s">
        <v>537</v>
      </c>
      <c r="B22" s="37" t="s">
        <v>526</v>
      </c>
      <c r="C22" s="172">
        <f>'mass balances '!D179/'mass balances '!D6</f>
        <v>1.3103249803186756</v>
      </c>
    </row>
    <row r="23" spans="1:3" x14ac:dyDescent="0.35">
      <c r="A23" s="36" t="s">
        <v>538</v>
      </c>
      <c r="B23" s="37" t="s">
        <v>526</v>
      </c>
      <c r="C23" s="172">
        <f>'mass balances '!D180/'mass balances '!D6</f>
        <v>2.6208319353655898</v>
      </c>
    </row>
    <row r="24" spans="1:3" x14ac:dyDescent="0.35">
      <c r="A24" s="36" t="s">
        <v>341</v>
      </c>
      <c r="B24" s="37" t="s">
        <v>526</v>
      </c>
      <c r="C24" s="172">
        <f>'mass balances '!D181/'mass balances '!D6</f>
        <v>4.3492407809110629E-2</v>
      </c>
    </row>
    <row r="25" spans="1:3" x14ac:dyDescent="0.35">
      <c r="A25" s="36"/>
      <c r="B25" s="37"/>
      <c r="C25" s="172"/>
    </row>
    <row r="26" spans="1:3" x14ac:dyDescent="0.35">
      <c r="A26" s="173" t="s">
        <v>539</v>
      </c>
      <c r="B26" s="37"/>
      <c r="C26" s="172"/>
    </row>
    <row r="27" spans="1:3" x14ac:dyDescent="0.35">
      <c r="A27" s="36" t="s">
        <v>540</v>
      </c>
      <c r="B27" s="37" t="s">
        <v>533</v>
      </c>
      <c r="C27" s="172">
        <f>'mass balances '!D5/'mass balances '!D6</f>
        <v>1.0845986984815619</v>
      </c>
    </row>
    <row r="28" spans="1:3" x14ac:dyDescent="0.35">
      <c r="A28" s="36" t="s">
        <v>541</v>
      </c>
      <c r="B28" s="37" t="s">
        <v>526</v>
      </c>
      <c r="C28" s="172">
        <f>'mass balances '!D27/'mass balances '!D6</f>
        <v>10.997904555314534</v>
      </c>
    </row>
    <row r="29" spans="1:3" x14ac:dyDescent="0.35">
      <c r="A29" s="36" t="s">
        <v>542</v>
      </c>
      <c r="B29" s="37" t="s">
        <v>533</v>
      </c>
      <c r="C29" s="172">
        <f>'mass balances '!D53/'mass balances '!D6</f>
        <v>10.997904555314534</v>
      </c>
    </row>
    <row r="30" spans="1:3" x14ac:dyDescent="0.35">
      <c r="A30" s="15" t="s">
        <v>543</v>
      </c>
      <c r="B30" s="37" t="s">
        <v>533</v>
      </c>
      <c r="C30" s="172">
        <f>('mass balances '!D111*24*4*1)/(1000*'mass balances '!D6)</f>
        <v>3.159944913222814E-2</v>
      </c>
    </row>
    <row r="31" spans="1:3" x14ac:dyDescent="0.35">
      <c r="A31" s="36" t="s">
        <v>544</v>
      </c>
      <c r="B31" s="37" t="s">
        <v>526</v>
      </c>
      <c r="C31" s="172">
        <f>'mass balances '!D140/'mass balances '!D6</f>
        <v>0.34597310195227765</v>
      </c>
    </row>
    <row r="32" spans="1:3" x14ac:dyDescent="0.35">
      <c r="A32" s="36" t="s">
        <v>545</v>
      </c>
      <c r="B32" s="37" t="s">
        <v>526</v>
      </c>
      <c r="C32" s="172">
        <f>'mass balances '!D131/'mass balances '!D6</f>
        <v>1.2593783947939263E-2</v>
      </c>
    </row>
    <row r="33" spans="1:3" x14ac:dyDescent="0.35">
      <c r="A33" s="15" t="s">
        <v>546</v>
      </c>
      <c r="B33" s="37" t="s">
        <v>547</v>
      </c>
      <c r="C33" s="172">
        <f>'Utilities from Aspen '!C41/'mass balances '!D6</f>
        <v>0.71480002364173323</v>
      </c>
    </row>
    <row r="34" spans="1:3" x14ac:dyDescent="0.35">
      <c r="A34" s="36"/>
      <c r="B34" s="37"/>
      <c r="C34" s="175"/>
    </row>
    <row r="35" spans="1:3" x14ac:dyDescent="0.35">
      <c r="A35" s="173" t="s">
        <v>548</v>
      </c>
      <c r="B35" s="37"/>
      <c r="C35" s="172"/>
    </row>
    <row r="36" spans="1:3" x14ac:dyDescent="0.35">
      <c r="A36" s="36" t="s">
        <v>392</v>
      </c>
      <c r="B36" s="37" t="s">
        <v>531</v>
      </c>
      <c r="C36" s="172">
        <v>0</v>
      </c>
    </row>
    <row r="37" spans="1:3" x14ac:dyDescent="0.35">
      <c r="A37" s="36" t="s">
        <v>549</v>
      </c>
      <c r="B37" s="37" t="s">
        <v>532</v>
      </c>
      <c r="C37" s="172">
        <v>0</v>
      </c>
    </row>
    <row r="38" spans="1:3" x14ac:dyDescent="0.35">
      <c r="A38" s="36" t="s">
        <v>550</v>
      </c>
      <c r="B38" s="37" t="s">
        <v>532</v>
      </c>
      <c r="C38" s="172">
        <v>0</v>
      </c>
    </row>
    <row r="39" spans="1:3" x14ac:dyDescent="0.35">
      <c r="A39" s="173"/>
      <c r="B39" s="37"/>
      <c r="C39" s="172"/>
    </row>
    <row r="40" spans="1:3" x14ac:dyDescent="0.35">
      <c r="A40" s="176" t="s">
        <v>551</v>
      </c>
      <c r="B40" s="37" t="s">
        <v>552</v>
      </c>
      <c r="C40" s="172">
        <f>('Utilities from Aspen '!C45+'Utilities from Aspen '!C50)/(Yields!C3*Yields!C11)</f>
        <v>0.26213115404172416</v>
      </c>
    </row>
    <row r="41" spans="1:3" x14ac:dyDescent="0.35">
      <c r="A41" s="173"/>
      <c r="B41" s="37"/>
      <c r="C41" s="172"/>
    </row>
    <row r="42" spans="1:3" x14ac:dyDescent="0.35">
      <c r="A42" s="173" t="s">
        <v>553</v>
      </c>
      <c r="B42" s="37"/>
      <c r="C42" s="172"/>
    </row>
    <row r="43" spans="1:3" x14ac:dyDescent="0.35">
      <c r="A43" s="15" t="s">
        <v>26</v>
      </c>
      <c r="B43" s="36" t="s">
        <v>526</v>
      </c>
      <c r="C43" s="172">
        <f>'mass balances '!N202/'mass balances '!D6</f>
        <v>0</v>
      </c>
    </row>
    <row r="44" spans="1:3" x14ac:dyDescent="0.35">
      <c r="A44" s="36"/>
      <c r="B44" s="36"/>
      <c r="C44" s="159"/>
    </row>
    <row r="45" spans="1:3" x14ac:dyDescent="0.35">
      <c r="A45" s="173"/>
      <c r="B45" s="37"/>
      <c r="C45" s="172"/>
    </row>
    <row r="46" spans="1:3" x14ac:dyDescent="0.35">
      <c r="A46" s="36"/>
      <c r="B46" s="37"/>
      <c r="C46" s="172"/>
    </row>
    <row r="47" spans="1:3" x14ac:dyDescent="0.35">
      <c r="A47" s="36"/>
      <c r="B47" s="37"/>
      <c r="C47" s="172"/>
    </row>
    <row r="48" spans="1:3" x14ac:dyDescent="0.35">
      <c r="A48" s="36"/>
      <c r="B48" s="37"/>
      <c r="C48" s="172"/>
    </row>
  </sheetData>
  <conditionalFormatting sqref="A43">
    <cfRule type="cellIs" dxfId="0" priority="1" operator="lessThan">
      <formula>-0.00001</formula>
    </cfRule>
  </conditionalFormatting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540B8-32CB-42DF-8A39-72B62031BAAF}">
  <dimension ref="A1:E10"/>
  <sheetViews>
    <sheetView workbookViewId="0">
      <selection activeCell="C13" sqref="C13"/>
    </sheetView>
  </sheetViews>
  <sheetFormatPr defaultRowHeight="14.5" x14ac:dyDescent="0.35"/>
  <cols>
    <col min="1" max="1" width="50.90625" customWidth="1"/>
  </cols>
  <sheetData>
    <row r="1" spans="1:5" x14ac:dyDescent="0.35">
      <c r="A1" t="s">
        <v>554</v>
      </c>
      <c r="B1">
        <f>'mass balances '!D6*24/1000</f>
        <v>691.5</v>
      </c>
      <c r="C1" t="s">
        <v>555</v>
      </c>
    </row>
    <row r="2" spans="1:5" x14ac:dyDescent="0.35">
      <c r="A2" t="s">
        <v>186</v>
      </c>
      <c r="B2">
        <v>8000</v>
      </c>
    </row>
    <row r="3" spans="1:5" x14ac:dyDescent="0.35">
      <c r="A3" t="s">
        <v>556</v>
      </c>
    </row>
    <row r="4" spans="1:5" x14ac:dyDescent="0.35">
      <c r="A4" t="s">
        <v>557</v>
      </c>
      <c r="B4" t="s">
        <v>558</v>
      </c>
      <c r="C4">
        <f>B1/24*8000</f>
        <v>230500</v>
      </c>
    </row>
    <row r="5" spans="1:5" x14ac:dyDescent="0.35">
      <c r="A5" t="s">
        <v>559</v>
      </c>
      <c r="B5" t="s">
        <v>558</v>
      </c>
      <c r="C5" s="98">
        <f>(B1/(1-('Experimental_Bckground data'!D5/100)))/24*8000</f>
        <v>239236.82368236827</v>
      </c>
      <c r="E5" s="59"/>
    </row>
    <row r="7" spans="1:5" x14ac:dyDescent="0.35">
      <c r="A7" t="s">
        <v>560</v>
      </c>
      <c r="B7">
        <v>0</v>
      </c>
      <c r="C7" t="s">
        <v>561</v>
      </c>
    </row>
    <row r="8" spans="1:5" x14ac:dyDescent="0.35">
      <c r="A8" t="s">
        <v>565</v>
      </c>
      <c r="B8">
        <v>0</v>
      </c>
      <c r="C8" t="s">
        <v>562</v>
      </c>
    </row>
    <row r="9" spans="1:5" x14ac:dyDescent="0.35">
      <c r="A9" t="s">
        <v>563</v>
      </c>
      <c r="B9">
        <v>0</v>
      </c>
      <c r="C9" t="s">
        <v>562</v>
      </c>
    </row>
    <row r="10" spans="1:5" x14ac:dyDescent="0.35">
      <c r="A10" t="s">
        <v>564</v>
      </c>
      <c r="B10">
        <v>20</v>
      </c>
      <c r="C10" t="s">
        <v>562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41BAB-1101-41B5-A900-F736E4205D45}">
  <dimension ref="A1:L84"/>
  <sheetViews>
    <sheetView tabSelected="1" topLeftCell="A34" workbookViewId="0">
      <selection activeCell="G45" sqref="G45"/>
    </sheetView>
  </sheetViews>
  <sheetFormatPr defaultRowHeight="14.5" x14ac:dyDescent="0.35"/>
  <cols>
    <col min="1" max="1" width="36.26953125" customWidth="1"/>
    <col min="2" max="2" width="15.08984375" customWidth="1"/>
    <col min="3" max="3" width="27.81640625" customWidth="1"/>
    <col min="7" max="7" width="18.54296875" customWidth="1"/>
  </cols>
  <sheetData>
    <row r="1" spans="1:5" x14ac:dyDescent="0.35">
      <c r="A1" s="177" t="s">
        <v>566</v>
      </c>
      <c r="B1" s="177"/>
      <c r="C1" s="177"/>
    </row>
    <row r="2" spans="1:5" x14ac:dyDescent="0.35">
      <c r="A2" s="178" t="s">
        <v>567</v>
      </c>
      <c r="B2" s="179"/>
      <c r="C2" s="180"/>
    </row>
    <row r="3" spans="1:5" x14ac:dyDescent="0.35">
      <c r="A3" s="132" t="s">
        <v>568</v>
      </c>
      <c r="B3" s="181" t="s">
        <v>569</v>
      </c>
      <c r="C3" s="182">
        <v>1.5</v>
      </c>
    </row>
    <row r="4" spans="1:5" x14ac:dyDescent="0.35">
      <c r="A4" s="183" t="s">
        <v>570</v>
      </c>
      <c r="B4" s="181" t="s">
        <v>571</v>
      </c>
      <c r="C4" s="183">
        <v>0.34</v>
      </c>
    </row>
    <row r="5" spans="1:5" x14ac:dyDescent="0.35">
      <c r="A5" s="183" t="s">
        <v>572</v>
      </c>
      <c r="B5" s="181" t="s">
        <v>569</v>
      </c>
      <c r="C5" s="183">
        <v>0.23</v>
      </c>
    </row>
    <row r="6" spans="1:5" x14ac:dyDescent="0.35">
      <c r="A6" s="183" t="s">
        <v>573</v>
      </c>
      <c r="B6" s="181" t="s">
        <v>569</v>
      </c>
      <c r="C6" s="183">
        <v>0.5</v>
      </c>
    </row>
    <row r="7" spans="1:5" x14ac:dyDescent="0.35">
      <c r="A7" s="183" t="s">
        <v>574</v>
      </c>
      <c r="B7" s="181" t="s">
        <v>575</v>
      </c>
      <c r="C7" s="183">
        <v>0.2</v>
      </c>
    </row>
    <row r="8" spans="1:5" x14ac:dyDescent="0.35">
      <c r="A8" s="183" t="s">
        <v>576</v>
      </c>
      <c r="B8" s="181" t="s">
        <v>577</v>
      </c>
      <c r="C8" s="183">
        <v>0.1</v>
      </c>
    </row>
    <row r="9" spans="1:5" x14ac:dyDescent="0.35">
      <c r="A9" s="183" t="s">
        <v>578</v>
      </c>
      <c r="B9" s="184" t="s">
        <v>579</v>
      </c>
      <c r="C9" s="183">
        <v>1.2</v>
      </c>
    </row>
    <row r="10" spans="1:5" x14ac:dyDescent="0.35">
      <c r="A10" s="183"/>
      <c r="B10" s="185"/>
      <c r="C10" s="183"/>
    </row>
    <row r="11" spans="1:5" x14ac:dyDescent="0.35">
      <c r="A11" s="178" t="s">
        <v>580</v>
      </c>
      <c r="B11" s="179"/>
      <c r="C11" s="180"/>
    </row>
    <row r="12" spans="1:5" x14ac:dyDescent="0.35">
      <c r="A12" s="186" t="s">
        <v>581</v>
      </c>
      <c r="B12" s="185"/>
      <c r="C12" s="187"/>
    </row>
    <row r="13" spans="1:5" x14ac:dyDescent="0.35">
      <c r="A13" s="183" t="s">
        <v>582</v>
      </c>
      <c r="B13" s="185" t="s">
        <v>583</v>
      </c>
      <c r="C13" s="188">
        <v>0.75</v>
      </c>
    </row>
    <row r="14" spans="1:5" x14ac:dyDescent="0.35">
      <c r="A14" s="183" t="s">
        <v>584</v>
      </c>
      <c r="B14" s="185" t="s">
        <v>583</v>
      </c>
      <c r="C14" s="189">
        <v>0.75</v>
      </c>
    </row>
    <row r="15" spans="1:5" x14ac:dyDescent="0.35">
      <c r="A15" s="183" t="s">
        <v>585</v>
      </c>
      <c r="B15" s="185" t="s">
        <v>583</v>
      </c>
      <c r="C15" s="189">
        <v>0.65</v>
      </c>
    </row>
    <row r="16" spans="1:5" x14ac:dyDescent="0.35">
      <c r="A16" s="183" t="s">
        <v>586</v>
      </c>
      <c r="B16" s="185" t="s">
        <v>583</v>
      </c>
      <c r="C16" s="189">
        <v>0.7</v>
      </c>
    </row>
    <row r="17" spans="1:3" x14ac:dyDescent="0.35">
      <c r="A17" s="183" t="s">
        <v>587</v>
      </c>
      <c r="B17" s="185" t="s">
        <v>583</v>
      </c>
      <c r="C17" s="189">
        <v>0.7</v>
      </c>
    </row>
    <row r="20" spans="1:3" x14ac:dyDescent="0.35">
      <c r="A20" s="190" t="s">
        <v>588</v>
      </c>
      <c r="B20" s="190"/>
      <c r="C20" s="190"/>
    </row>
    <row r="21" spans="1:3" x14ac:dyDescent="0.35">
      <c r="A21" s="36" t="s">
        <v>589</v>
      </c>
      <c r="B21" s="37" t="s">
        <v>215</v>
      </c>
      <c r="C21" s="191">
        <f>SUM(C22:C24)</f>
        <v>0.245</v>
      </c>
    </row>
    <row r="22" spans="1:3" x14ac:dyDescent="0.35">
      <c r="A22" s="192" t="s">
        <v>590</v>
      </c>
      <c r="B22" s="193" t="s">
        <v>215</v>
      </c>
      <c r="C22" s="194">
        <v>7.4999999999999997E-2</v>
      </c>
    </row>
    <row r="23" spans="1:3" x14ac:dyDescent="0.35">
      <c r="A23" s="192" t="s">
        <v>591</v>
      </c>
      <c r="B23" s="193" t="s">
        <v>215</v>
      </c>
      <c r="C23" s="194">
        <v>0.05</v>
      </c>
    </row>
    <row r="24" spans="1:3" x14ac:dyDescent="0.35">
      <c r="A24" s="192" t="s">
        <v>592</v>
      </c>
      <c r="B24" s="193" t="s">
        <v>215</v>
      </c>
      <c r="C24" s="194">
        <v>0.12</v>
      </c>
    </row>
    <row r="25" spans="1:3" x14ac:dyDescent="0.35">
      <c r="A25" s="173"/>
      <c r="B25" s="37"/>
      <c r="C25" s="36"/>
    </row>
    <row r="26" spans="1:3" x14ac:dyDescent="0.35">
      <c r="A26" s="195" t="s">
        <v>593</v>
      </c>
      <c r="B26" s="196"/>
      <c r="C26" s="196"/>
    </row>
    <row r="27" spans="1:3" x14ac:dyDescent="0.35">
      <c r="A27" s="183" t="s">
        <v>594</v>
      </c>
      <c r="B27" s="181" t="s">
        <v>212</v>
      </c>
      <c r="C27" s="183">
        <v>9</v>
      </c>
    </row>
    <row r="28" spans="1:3" x14ac:dyDescent="0.35">
      <c r="A28" s="183" t="s">
        <v>595</v>
      </c>
      <c r="B28" s="181" t="s">
        <v>212</v>
      </c>
      <c r="C28" s="183">
        <v>3</v>
      </c>
    </row>
    <row r="29" spans="1:3" x14ac:dyDescent="0.35">
      <c r="A29" s="183" t="s">
        <v>596</v>
      </c>
      <c r="B29" s="181" t="s">
        <v>212</v>
      </c>
      <c r="C29" s="183">
        <v>8</v>
      </c>
    </row>
    <row r="30" spans="1:3" x14ac:dyDescent="0.35">
      <c r="A30" s="183" t="s">
        <v>597</v>
      </c>
      <c r="B30" s="181"/>
      <c r="C30" s="197">
        <v>0.5</v>
      </c>
    </row>
    <row r="31" spans="1:3" x14ac:dyDescent="0.35">
      <c r="A31" s="195" t="s">
        <v>598</v>
      </c>
      <c r="B31" s="196"/>
      <c r="C31" s="196"/>
    </row>
    <row r="32" spans="1:3" x14ac:dyDescent="0.35">
      <c r="A32" s="183" t="s">
        <v>599</v>
      </c>
      <c r="B32" s="181" t="s">
        <v>600</v>
      </c>
      <c r="C32" s="183">
        <v>0.1</v>
      </c>
    </row>
    <row r="33" spans="1:4" x14ac:dyDescent="0.35">
      <c r="A33" s="183" t="s">
        <v>601</v>
      </c>
      <c r="B33" s="181" t="s">
        <v>602</v>
      </c>
      <c r="C33" s="183">
        <v>0.7</v>
      </c>
    </row>
    <row r="34" spans="1:4" x14ac:dyDescent="0.35">
      <c r="A34" s="183" t="s">
        <v>603</v>
      </c>
      <c r="B34" s="181" t="s">
        <v>604</v>
      </c>
      <c r="C34" s="159">
        <f>C21/(1-POWER((1+C21),-'[4]Process variables '!F2))</f>
        <v>0.24809911857261857</v>
      </c>
    </row>
    <row r="35" spans="1:4" x14ac:dyDescent="0.35">
      <c r="A35" s="183" t="s">
        <v>605</v>
      </c>
      <c r="B35" s="181" t="s">
        <v>600</v>
      </c>
      <c r="C35" s="183">
        <v>1.4999999999999999E-2</v>
      </c>
    </row>
    <row r="36" spans="1:4" x14ac:dyDescent="0.35">
      <c r="A36" s="183" t="s">
        <v>606</v>
      </c>
      <c r="B36" s="181" t="s">
        <v>607</v>
      </c>
      <c r="C36" s="183">
        <v>0.25</v>
      </c>
    </row>
    <row r="37" spans="1:4" x14ac:dyDescent="0.35">
      <c r="A37" s="183" t="s">
        <v>608</v>
      </c>
      <c r="B37" s="181" t="s">
        <v>600</v>
      </c>
      <c r="C37" s="183">
        <v>0.01</v>
      </c>
    </row>
    <row r="38" spans="1:4" x14ac:dyDescent="0.35">
      <c r="A38" s="183" t="s">
        <v>609</v>
      </c>
      <c r="B38" s="181" t="s">
        <v>610</v>
      </c>
      <c r="C38" s="183">
        <v>0.1</v>
      </c>
    </row>
    <row r="39" spans="1:4" x14ac:dyDescent="0.35">
      <c r="A39" s="183" t="s">
        <v>573</v>
      </c>
      <c r="B39" s="181" t="s">
        <v>611</v>
      </c>
      <c r="C39" s="183">
        <v>0.2</v>
      </c>
    </row>
    <row r="43" spans="1:4" x14ac:dyDescent="0.35">
      <c r="A43" s="198" t="s">
        <v>612</v>
      </c>
      <c r="B43" s="198"/>
      <c r="C43" s="198"/>
      <c r="D43" s="198"/>
    </row>
    <row r="44" spans="1:4" x14ac:dyDescent="0.35">
      <c r="A44" s="199" t="s">
        <v>613</v>
      </c>
      <c r="B44" s="200" t="s">
        <v>614</v>
      </c>
      <c r="C44" s="201"/>
      <c r="D44" s="201"/>
    </row>
    <row r="45" spans="1:4" x14ac:dyDescent="0.35">
      <c r="A45" s="36" t="s">
        <v>667</v>
      </c>
      <c r="B45" s="37" t="s">
        <v>615</v>
      </c>
      <c r="C45" s="36">
        <v>46</v>
      </c>
      <c r="D45" s="36"/>
    </row>
    <row r="46" spans="1:4" x14ac:dyDescent="0.35">
      <c r="A46" s="189" t="s">
        <v>934</v>
      </c>
      <c r="B46" s="188"/>
      <c r="C46" s="202">
        <v>22</v>
      </c>
      <c r="D46" s="189"/>
    </row>
    <row r="47" spans="1:4" x14ac:dyDescent="0.35">
      <c r="A47" s="199" t="s">
        <v>616</v>
      </c>
      <c r="B47" s="200" t="s">
        <v>614</v>
      </c>
      <c r="C47" s="201"/>
      <c r="D47" s="201"/>
    </row>
    <row r="48" spans="1:4" x14ac:dyDescent="0.35">
      <c r="A48" s="189" t="s">
        <v>670</v>
      </c>
      <c r="B48" s="37" t="s">
        <v>615</v>
      </c>
      <c r="C48" s="197">
        <f>C46+C45</f>
        <v>68</v>
      </c>
      <c r="D48" s="36"/>
    </row>
    <row r="49" spans="1:12" x14ac:dyDescent="0.35">
      <c r="A49" s="199" t="s">
        <v>617</v>
      </c>
      <c r="B49" s="200"/>
      <c r="C49" s="201"/>
      <c r="D49" s="201"/>
    </row>
    <row r="50" spans="1:12" x14ac:dyDescent="0.35">
      <c r="A50" s="36" t="s">
        <v>618</v>
      </c>
      <c r="B50" s="37" t="s">
        <v>619</v>
      </c>
      <c r="C50" s="203">
        <v>800</v>
      </c>
      <c r="D50" s="203"/>
      <c r="E50" t="s">
        <v>671</v>
      </c>
    </row>
    <row r="51" spans="1:12" x14ac:dyDescent="0.35">
      <c r="A51" s="204" t="s">
        <v>620</v>
      </c>
      <c r="B51" s="205" t="s">
        <v>621</v>
      </c>
      <c r="C51" s="206">
        <f>C50/G52</f>
        <v>19.23076923076923</v>
      </c>
      <c r="D51" s="206"/>
      <c r="F51" t="s">
        <v>622</v>
      </c>
      <c r="G51" t="s">
        <v>623</v>
      </c>
    </row>
    <row r="52" spans="1:12" x14ac:dyDescent="0.35">
      <c r="A52" s="183" t="s">
        <v>624</v>
      </c>
      <c r="B52" s="181" t="s">
        <v>625</v>
      </c>
      <c r="C52" s="207">
        <f>2139/H56</f>
        <v>106.95</v>
      </c>
      <c r="D52" s="207"/>
      <c r="F52" t="s">
        <v>626</v>
      </c>
      <c r="G52">
        <v>41.6</v>
      </c>
      <c r="J52" t="s">
        <v>627</v>
      </c>
      <c r="K52">
        <v>3.6</v>
      </c>
      <c r="L52" t="s">
        <v>628</v>
      </c>
    </row>
    <row r="53" spans="1:12" x14ac:dyDescent="0.35">
      <c r="A53" s="204" t="s">
        <v>629</v>
      </c>
      <c r="B53" s="205" t="s">
        <v>621</v>
      </c>
      <c r="C53" s="206">
        <f>C52/K52</f>
        <v>29.708333333333332</v>
      </c>
      <c r="D53" s="206"/>
      <c r="F53" t="s">
        <v>630</v>
      </c>
      <c r="G53">
        <v>50</v>
      </c>
      <c r="H53" t="s">
        <v>238</v>
      </c>
      <c r="J53" t="s">
        <v>631</v>
      </c>
      <c r="K53">
        <v>3.6</v>
      </c>
      <c r="L53" t="s">
        <v>632</v>
      </c>
    </row>
    <row r="54" spans="1:12" x14ac:dyDescent="0.35">
      <c r="A54" s="132" t="s">
        <v>633</v>
      </c>
      <c r="B54" s="185" t="s">
        <v>619</v>
      </c>
      <c r="C54" s="131">
        <f>600/H55</f>
        <v>565.38167974897056</v>
      </c>
      <c r="D54" s="132"/>
    </row>
    <row r="55" spans="1:12" x14ac:dyDescent="0.35">
      <c r="A55" s="199" t="s">
        <v>634</v>
      </c>
      <c r="B55" s="208"/>
      <c r="C55" s="209"/>
      <c r="D55" s="209"/>
      <c r="G55" t="s">
        <v>637</v>
      </c>
      <c r="H55" s="213">
        <v>1.0612299999999999</v>
      </c>
    </row>
    <row r="56" spans="1:12" x14ac:dyDescent="0.35">
      <c r="A56" s="210" t="s">
        <v>635</v>
      </c>
      <c r="B56" s="211" t="s">
        <v>636</v>
      </c>
      <c r="C56" s="212">
        <f>88/H55</f>
        <v>82.922646363182352</v>
      </c>
      <c r="D56" s="212"/>
      <c r="G56" t="s">
        <v>668</v>
      </c>
      <c r="H56" s="213">
        <v>20</v>
      </c>
    </row>
    <row r="57" spans="1:12" x14ac:dyDescent="0.35">
      <c r="G57" t="s">
        <v>669</v>
      </c>
      <c r="H57">
        <v>19</v>
      </c>
    </row>
    <row r="58" spans="1:12" x14ac:dyDescent="0.35">
      <c r="A58" s="199" t="s">
        <v>638</v>
      </c>
      <c r="B58" s="208"/>
      <c r="C58" s="209"/>
      <c r="D58" s="209"/>
    </row>
    <row r="59" spans="1:12" x14ac:dyDescent="0.35">
      <c r="A59" s="36" t="s">
        <v>639</v>
      </c>
      <c r="B59" s="37" t="s">
        <v>640</v>
      </c>
      <c r="C59" s="214">
        <v>12</v>
      </c>
      <c r="D59" s="215"/>
    </row>
    <row r="60" spans="1:12" x14ac:dyDescent="0.35">
      <c r="A60" s="36" t="s">
        <v>641</v>
      </c>
      <c r="B60" s="37" t="s">
        <v>642</v>
      </c>
      <c r="C60" s="214">
        <f>0.003207843137*C56</f>
        <v>0.2660028420380125</v>
      </c>
      <c r="D60" s="214"/>
    </row>
    <row r="62" spans="1:12" x14ac:dyDescent="0.35">
      <c r="A62" s="178"/>
      <c r="B62" s="179"/>
      <c r="C62" s="180"/>
      <c r="D62" s="180"/>
    </row>
    <row r="63" spans="1:12" x14ac:dyDescent="0.35">
      <c r="A63" s="216" t="s">
        <v>643</v>
      </c>
      <c r="B63" s="217" t="s">
        <v>644</v>
      </c>
      <c r="C63" s="218"/>
      <c r="D63" s="218"/>
    </row>
    <row r="64" spans="1:12" x14ac:dyDescent="0.35">
      <c r="A64" s="183" t="s">
        <v>645</v>
      </c>
      <c r="B64" s="181" t="s">
        <v>640</v>
      </c>
      <c r="C64" s="159">
        <v>6</v>
      </c>
      <c r="D64" s="159"/>
    </row>
    <row r="65" spans="1:11" x14ac:dyDescent="0.35">
      <c r="A65" s="183" t="s">
        <v>646</v>
      </c>
      <c r="B65" s="181" t="s">
        <v>640</v>
      </c>
      <c r="C65" s="159">
        <v>0.3</v>
      </c>
      <c r="D65" s="159"/>
    </row>
    <row r="66" spans="1:11" x14ac:dyDescent="0.35">
      <c r="A66" s="36" t="s">
        <v>647</v>
      </c>
      <c r="B66" s="37" t="s">
        <v>640</v>
      </c>
      <c r="C66" s="219">
        <v>135</v>
      </c>
      <c r="D66" s="220"/>
    </row>
    <row r="67" spans="1:11" x14ac:dyDescent="0.35">
      <c r="A67" s="36" t="s">
        <v>373</v>
      </c>
      <c r="B67" s="37" t="s">
        <v>640</v>
      </c>
      <c r="C67" s="36">
        <v>0.28000000000000003</v>
      </c>
      <c r="D67" s="183"/>
    </row>
    <row r="68" spans="1:11" x14ac:dyDescent="0.35">
      <c r="A68" s="36" t="s">
        <v>392</v>
      </c>
      <c r="B68" s="37" t="s">
        <v>640</v>
      </c>
      <c r="C68" s="219">
        <f>J68*1000</f>
        <v>1388.8888888888891</v>
      </c>
      <c r="D68" s="220"/>
      <c r="F68">
        <v>0.1</v>
      </c>
      <c r="G68" t="s">
        <v>648</v>
      </c>
      <c r="H68">
        <f>F68/K53</f>
        <v>2.777777777777778E-2</v>
      </c>
      <c r="I68" t="s">
        <v>649</v>
      </c>
      <c r="J68">
        <f>H68*G53</f>
        <v>1.3888888888888891</v>
      </c>
      <c r="K68" t="s">
        <v>650</v>
      </c>
    </row>
    <row r="69" spans="1:11" x14ac:dyDescent="0.35">
      <c r="A69" s="221" t="s">
        <v>651</v>
      </c>
      <c r="B69" s="222" t="s">
        <v>621</v>
      </c>
      <c r="C69" s="221">
        <f>C68/'[4]Utilities demand'!Q48</f>
        <v>27.777777777777782</v>
      </c>
      <c r="D69" s="221"/>
    </row>
    <row r="70" spans="1:11" x14ac:dyDescent="0.35">
      <c r="A70" s="36" t="s">
        <v>652</v>
      </c>
      <c r="B70" s="37" t="s">
        <v>653</v>
      </c>
      <c r="C70" s="219">
        <v>12</v>
      </c>
      <c r="D70" s="219"/>
    </row>
    <row r="71" spans="1:11" x14ac:dyDescent="0.35">
      <c r="A71" s="223" t="s">
        <v>654</v>
      </c>
      <c r="B71" s="224" t="s">
        <v>640</v>
      </c>
      <c r="C71" s="223">
        <f>[4]Sheet4!B42*1000/'[4]Expenses variable '!H56</f>
        <v>91657.793315303948</v>
      </c>
      <c r="D71" s="223"/>
      <c r="G71" t="s">
        <v>655</v>
      </c>
      <c r="H71" t="s">
        <v>656</v>
      </c>
    </row>
    <row r="72" spans="1:11" x14ac:dyDescent="0.35">
      <c r="A72" s="36"/>
      <c r="B72" s="37"/>
      <c r="C72" s="132"/>
      <c r="D72" s="132"/>
    </row>
    <row r="73" spans="1:11" x14ac:dyDescent="0.35">
      <c r="A73" s="225" t="s">
        <v>657</v>
      </c>
      <c r="B73" s="226" t="s">
        <v>658</v>
      </c>
      <c r="C73" s="227" t="s">
        <v>659</v>
      </c>
      <c r="D73" s="227"/>
    </row>
    <row r="74" spans="1:11" x14ac:dyDescent="0.35">
      <c r="A74" s="165" t="s">
        <v>582</v>
      </c>
      <c r="B74" s="228" t="s">
        <v>660</v>
      </c>
      <c r="C74" s="229" t="s">
        <v>661</v>
      </c>
      <c r="D74" s="229"/>
    </row>
    <row r="75" spans="1:11" x14ac:dyDescent="0.35">
      <c r="A75" s="183" t="s">
        <v>662</v>
      </c>
      <c r="B75" s="220">
        <f>46.3*60*60*24/1000</f>
        <v>4000.32</v>
      </c>
      <c r="C75" s="197">
        <v>12.6</v>
      </c>
      <c r="D75" s="197"/>
    </row>
    <row r="76" spans="1:11" x14ac:dyDescent="0.35">
      <c r="A76" s="183" t="s">
        <v>663</v>
      </c>
      <c r="B76" s="220">
        <f>281.6*60*60*24/1000</f>
        <v>24330.240000000002</v>
      </c>
      <c r="C76" s="197">
        <v>124.7</v>
      </c>
      <c r="D76" s="197"/>
    </row>
    <row r="77" spans="1:11" ht="16.5" x14ac:dyDescent="0.55000000000000004">
      <c r="A77" s="183" t="s">
        <v>664</v>
      </c>
      <c r="B77" s="220">
        <v>734.4</v>
      </c>
      <c r="C77" s="230">
        <v>23.6</v>
      </c>
      <c r="D77" s="230"/>
    </row>
    <row r="78" spans="1:11" x14ac:dyDescent="0.35">
      <c r="A78" s="165"/>
      <c r="B78" s="166"/>
      <c r="C78" s="165"/>
      <c r="D78" s="165"/>
    </row>
    <row r="79" spans="1:11" x14ac:dyDescent="0.35">
      <c r="A79" s="36"/>
      <c r="B79" s="37"/>
      <c r="C79" s="36"/>
      <c r="D79" s="36"/>
    </row>
    <row r="80" spans="1:11" x14ac:dyDescent="0.35">
      <c r="A80" s="36"/>
      <c r="B80" s="37"/>
      <c r="C80" s="36"/>
      <c r="D80" s="36"/>
    </row>
    <row r="81" spans="1:4" x14ac:dyDescent="0.35">
      <c r="A81" s="36" t="s">
        <v>665</v>
      </c>
      <c r="B81" s="37">
        <v>50</v>
      </c>
      <c r="C81" s="36">
        <f>15.9*1.433/H55</f>
        <v>21.470086597627283</v>
      </c>
      <c r="D81" s="36"/>
    </row>
    <row r="82" spans="1:4" x14ac:dyDescent="0.35">
      <c r="A82" s="36" t="s">
        <v>666</v>
      </c>
      <c r="B82" s="37">
        <v>500</v>
      </c>
      <c r="C82" s="36">
        <f>29.17641*Sheet4!E99/H55</f>
        <v>36.796075939386043</v>
      </c>
      <c r="D82" s="36"/>
    </row>
    <row r="83" spans="1:4" x14ac:dyDescent="0.35">
      <c r="A83" s="36"/>
      <c r="B83" s="37"/>
      <c r="C83" s="36"/>
      <c r="D83" s="36"/>
    </row>
    <row r="84" spans="1:4" x14ac:dyDescent="0.35">
      <c r="A84" s="231"/>
      <c r="B84" s="231"/>
      <c r="C84" s="231"/>
      <c r="D84" s="231"/>
    </row>
  </sheetData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DF8DA2-532B-4651-8AA1-6C9463E52A6C}">
  <dimension ref="A2:G59"/>
  <sheetViews>
    <sheetView workbookViewId="0">
      <selection activeCell="E12" sqref="E12"/>
    </sheetView>
  </sheetViews>
  <sheetFormatPr defaultRowHeight="14.5" x14ac:dyDescent="0.35"/>
  <cols>
    <col min="1" max="1" width="44" customWidth="1"/>
    <col min="2" max="2" width="22.26953125" customWidth="1"/>
    <col min="3" max="3" width="14.90625" customWidth="1"/>
    <col min="4" max="4" width="19.36328125" customWidth="1"/>
    <col min="5" max="5" width="16.81640625" customWidth="1"/>
  </cols>
  <sheetData>
    <row r="2" spans="1:7" x14ac:dyDescent="0.35">
      <c r="A2" s="173" t="s">
        <v>875</v>
      </c>
      <c r="B2" s="287" t="s">
        <v>876</v>
      </c>
      <c r="C2" s="288">
        <f>C3+C10+C11+C12</f>
        <v>242.9596282562315</v>
      </c>
    </row>
    <row r="3" spans="1:7" x14ac:dyDescent="0.35">
      <c r="A3" s="289" t="s">
        <v>877</v>
      </c>
      <c r="B3" s="287" t="s">
        <v>876</v>
      </c>
      <c r="C3" s="290">
        <f>C4+C9</f>
        <v>148.87232123543595</v>
      </c>
    </row>
    <row r="4" spans="1:7" x14ac:dyDescent="0.35">
      <c r="A4" s="291" t="s">
        <v>878</v>
      </c>
      <c r="B4" s="287" t="s">
        <v>876</v>
      </c>
      <c r="C4" s="292">
        <f>SUM(C5:C8)</f>
        <v>59.548928494174383</v>
      </c>
    </row>
    <row r="5" spans="1:7" x14ac:dyDescent="0.35">
      <c r="A5" s="293" t="s">
        <v>879</v>
      </c>
      <c r="B5" s="287" t="s">
        <v>876</v>
      </c>
      <c r="C5" s="294">
        <f>'Expenses variable'!C75*((('Refinery '!C5)/((8000/24)*('Expenses variable'!B75)))^'Expenses variable'!C13)</f>
        <v>3.4734532406568133</v>
      </c>
    </row>
    <row r="6" spans="1:7" x14ac:dyDescent="0.35">
      <c r="A6" s="293" t="s">
        <v>880</v>
      </c>
      <c r="B6" s="287" t="s">
        <v>876</v>
      </c>
      <c r="C6" s="294">
        <f>'Expenses variable'!C76*((Yields!C28*'Refinery '!B1/'Expenses variable'!B76)^0.75)</f>
        <v>52.129463685384707</v>
      </c>
    </row>
    <row r="7" spans="1:7" x14ac:dyDescent="0.35">
      <c r="A7" s="293" t="s">
        <v>881</v>
      </c>
      <c r="B7" s="287" t="s">
        <v>876</v>
      </c>
      <c r="C7" s="294">
        <v>0</v>
      </c>
    </row>
    <row r="8" spans="1:7" x14ac:dyDescent="0.35">
      <c r="A8" s="293" t="s">
        <v>882</v>
      </c>
      <c r="B8" s="287" t="s">
        <v>876</v>
      </c>
      <c r="C8" s="294">
        <f>'Expenses variable'!C82*((Yields!C33*('Refinery '!B1/24)/'Expenses variable'!B82)^0.7)</f>
        <v>3.946011568132862</v>
      </c>
    </row>
    <row r="9" spans="1:7" x14ac:dyDescent="0.35">
      <c r="A9" s="295" t="s">
        <v>883</v>
      </c>
      <c r="B9" s="287" t="s">
        <v>876</v>
      </c>
      <c r="C9" s="292">
        <f>C4*'Expenses variable'!C3</f>
        <v>89.323392741261571</v>
      </c>
    </row>
    <row r="10" spans="1:7" x14ac:dyDescent="0.35">
      <c r="A10" s="296" t="s">
        <v>884</v>
      </c>
      <c r="B10" s="287" t="s">
        <v>876</v>
      </c>
      <c r="C10" s="290">
        <f>C3*'Expenses variable'!C4</f>
        <v>50.616589220048226</v>
      </c>
    </row>
    <row r="11" spans="1:7" x14ac:dyDescent="0.35">
      <c r="A11" s="296" t="s">
        <v>572</v>
      </c>
      <c r="B11" s="287" t="s">
        <v>876</v>
      </c>
      <c r="C11" s="290">
        <f>C4*'Expenses variable'!C5</f>
        <v>13.696253553660108</v>
      </c>
    </row>
    <row r="12" spans="1:7" x14ac:dyDescent="0.35">
      <c r="A12" s="289" t="s">
        <v>885</v>
      </c>
      <c r="B12" s="287" t="s">
        <v>876</v>
      </c>
      <c r="C12" s="290">
        <f>C4*'Expenses variable'!C6</f>
        <v>29.774464247087192</v>
      </c>
      <c r="E12">
        <f>'Expenses variable'!C48</f>
        <v>68</v>
      </c>
      <c r="F12" t="s">
        <v>561</v>
      </c>
      <c r="G12" t="s">
        <v>923</v>
      </c>
    </row>
    <row r="13" spans="1:7" x14ac:dyDescent="0.35">
      <c r="A13" s="173" t="s">
        <v>574</v>
      </c>
      <c r="B13" s="287" t="s">
        <v>876</v>
      </c>
      <c r="C13" s="288">
        <f>C41*'Expenses variable'!C7</f>
        <v>12.14235340125701</v>
      </c>
      <c r="E13">
        <v>2</v>
      </c>
      <c r="F13" t="s">
        <v>650</v>
      </c>
      <c r="G13" t="s">
        <v>157</v>
      </c>
    </row>
    <row r="14" spans="1:7" x14ac:dyDescent="0.35">
      <c r="A14" s="173" t="s">
        <v>886</v>
      </c>
      <c r="B14" s="287" t="s">
        <v>876</v>
      </c>
      <c r="C14" s="297">
        <f>'Expenses variable'!C8*C2</f>
        <v>24.29596282562315</v>
      </c>
      <c r="F14" s="183"/>
    </row>
    <row r="15" spans="1:7" x14ac:dyDescent="0.35">
      <c r="A15" s="298" t="s">
        <v>887</v>
      </c>
      <c r="B15" s="287" t="s">
        <v>876</v>
      </c>
      <c r="C15" s="299">
        <f>C2+C13+C14</f>
        <v>279.39794448311164</v>
      </c>
      <c r="F15" s="183"/>
    </row>
    <row r="16" spans="1:7" x14ac:dyDescent="0.35">
      <c r="A16" s="298" t="s">
        <v>888</v>
      </c>
      <c r="B16" s="287" t="s">
        <v>876</v>
      </c>
      <c r="C16" s="299">
        <f>C15*'Expenses variable'!C9</f>
        <v>335.27753337973394</v>
      </c>
      <c r="F16" s="159"/>
    </row>
    <row r="17" spans="1:6" x14ac:dyDescent="0.35">
      <c r="A17" s="298"/>
      <c r="B17" s="210"/>
      <c r="C17" s="300"/>
      <c r="F17" s="183"/>
    </row>
    <row r="18" spans="1:6" x14ac:dyDescent="0.35">
      <c r="A18" s="173" t="s">
        <v>889</v>
      </c>
      <c r="B18" s="210"/>
      <c r="C18" s="288">
        <f>C19+C28+C31</f>
        <v>53.870841311500051</v>
      </c>
      <c r="F18" s="183"/>
    </row>
    <row r="19" spans="1:6" x14ac:dyDescent="0.35">
      <c r="A19" s="289" t="s">
        <v>890</v>
      </c>
      <c r="B19" s="204" t="s">
        <v>891</v>
      </c>
      <c r="C19" s="290">
        <f>SUM(C20:C27)+B58</f>
        <v>23.419685920752272</v>
      </c>
      <c r="F19" s="183"/>
    </row>
    <row r="20" spans="1:6" x14ac:dyDescent="0.35">
      <c r="A20" s="293" t="s">
        <v>892</v>
      </c>
      <c r="B20" s="301" t="s">
        <v>891</v>
      </c>
      <c r="C20" s="294">
        <f>E12*'Refinery '!C5/1000000</f>
        <v>16.268104010401043</v>
      </c>
      <c r="F20" s="183"/>
    </row>
    <row r="21" spans="1:6" x14ac:dyDescent="0.35">
      <c r="A21" s="293" t="s">
        <v>893</v>
      </c>
      <c r="B21" s="301" t="s">
        <v>891</v>
      </c>
      <c r="C21" s="302">
        <v>0</v>
      </c>
      <c r="F21" s="183"/>
    </row>
    <row r="22" spans="1:6" x14ac:dyDescent="0.35">
      <c r="A22" s="293" t="s">
        <v>894</v>
      </c>
      <c r="B22" s="301" t="s">
        <v>891</v>
      </c>
      <c r="C22" s="294">
        <f>'Expenses variable'!C65*Yields!C23*'Refinery '!C4/1000000</f>
        <v>0.18123052833053049</v>
      </c>
      <c r="F22" s="183"/>
    </row>
    <row r="23" spans="1:6" x14ac:dyDescent="0.35">
      <c r="A23" s="293" t="s">
        <v>895</v>
      </c>
      <c r="B23" s="301" t="s">
        <v>891</v>
      </c>
      <c r="C23" s="294">
        <f>Yields!C22*'Refinery '!C4*'Expenses variable'!C64/1000000</f>
        <v>1.8121794477807283</v>
      </c>
    </row>
    <row r="24" spans="1:6" x14ac:dyDescent="0.35">
      <c r="A24" s="293" t="s">
        <v>896</v>
      </c>
      <c r="B24" s="301" t="s">
        <v>891</v>
      </c>
      <c r="C24" s="171">
        <f>'Expenses variable'!C66*'Refinery '!C4*Yields!C24/1000000</f>
        <v>1.353375</v>
      </c>
    </row>
    <row r="25" spans="1:6" ht="15" customHeight="1" x14ac:dyDescent="0.35">
      <c r="A25" s="293" t="s">
        <v>897</v>
      </c>
      <c r="B25" s="301" t="s">
        <v>891</v>
      </c>
      <c r="C25" s="171">
        <f>('mass balances '!D6*0.05*(8000/1000)*Sheet4!B43/('Expenses variable'!H55*1000000))</f>
        <v>3.6055332020391431</v>
      </c>
    </row>
    <row r="26" spans="1:6" x14ac:dyDescent="0.35">
      <c r="A26" s="293" t="s">
        <v>898</v>
      </c>
      <c r="B26" s="301" t="s">
        <v>891</v>
      </c>
      <c r="C26" s="294">
        <f>'Expenses variable'!C68*'Refinery '!C4*Yields!C36/1000000</f>
        <v>0</v>
      </c>
    </row>
    <row r="27" spans="1:6" x14ac:dyDescent="0.35">
      <c r="A27" s="293" t="s">
        <v>899</v>
      </c>
      <c r="B27" s="301" t="s">
        <v>891</v>
      </c>
      <c r="C27" s="294">
        <f>'Expenses variable'!C67*'Refinery '!C4*Yields!C15/1000000</f>
        <v>0.19926373220082719</v>
      </c>
    </row>
    <row r="28" spans="1:6" x14ac:dyDescent="0.35">
      <c r="A28" s="289" t="s">
        <v>900</v>
      </c>
      <c r="B28" s="204" t="s">
        <v>891</v>
      </c>
      <c r="C28" s="303">
        <f t="shared" ref="C28" si="0">SUM(C29:C30)</f>
        <v>1.296</v>
      </c>
    </row>
    <row r="29" spans="1:6" x14ac:dyDescent="0.35">
      <c r="A29" s="293" t="s">
        <v>901</v>
      </c>
      <c r="B29" s="301" t="s">
        <v>891</v>
      </c>
      <c r="C29" s="171">
        <f>'Expenses variable'!C29*'Expenses variable'!C28*'Expenses variable'!C27*(8000/24)*'Expenses variable'!C70/1000000</f>
        <v>0.86399999999999999</v>
      </c>
    </row>
    <row r="30" spans="1:6" x14ac:dyDescent="0.35">
      <c r="A30" s="293" t="s">
        <v>902</v>
      </c>
      <c r="B30" s="301" t="s">
        <v>891</v>
      </c>
      <c r="C30" s="171">
        <f>C29*'Expenses variable'!C30</f>
        <v>0.432</v>
      </c>
    </row>
    <row r="31" spans="1:6" x14ac:dyDescent="0.35">
      <c r="A31" s="289" t="s">
        <v>599</v>
      </c>
      <c r="B31" s="204" t="s">
        <v>891</v>
      </c>
      <c r="C31" s="290">
        <f>'Expenses variable'!C32*'Expenses variable'!C9*C2</f>
        <v>29.15515539074778</v>
      </c>
    </row>
    <row r="32" spans="1:6" x14ac:dyDescent="0.35">
      <c r="A32" s="173" t="s">
        <v>601</v>
      </c>
      <c r="B32" s="152" t="s">
        <v>891</v>
      </c>
      <c r="C32" s="288">
        <f>'Expenses variable'!C33*C28</f>
        <v>0.90720000000000001</v>
      </c>
    </row>
    <row r="33" spans="1:4" x14ac:dyDescent="0.35">
      <c r="A33" s="173" t="s">
        <v>885</v>
      </c>
      <c r="B33" s="152" t="s">
        <v>891</v>
      </c>
      <c r="C33" s="288">
        <f>'Expenses variable'!C39*C18</f>
        <v>10.774168262300011</v>
      </c>
    </row>
    <row r="34" spans="1:4" x14ac:dyDescent="0.35">
      <c r="A34" s="173" t="s">
        <v>903</v>
      </c>
      <c r="B34" s="152" t="s">
        <v>891</v>
      </c>
      <c r="C34" s="288">
        <f t="shared" ref="C34" si="1">SUM(C35:C37)</f>
        <v>90.470849356400635</v>
      </c>
    </row>
    <row r="35" spans="1:4" x14ac:dyDescent="0.35">
      <c r="A35" s="289" t="s">
        <v>605</v>
      </c>
      <c r="B35" s="204" t="s">
        <v>891</v>
      </c>
      <c r="C35" s="290">
        <f>C2*'Expenses variable'!C35*'Expenses variable'!C9</f>
        <v>4.3732733086121671</v>
      </c>
    </row>
    <row r="36" spans="1:4" x14ac:dyDescent="0.35">
      <c r="A36" s="289" t="s">
        <v>608</v>
      </c>
      <c r="B36" s="204" t="s">
        <v>891</v>
      </c>
      <c r="C36" s="290">
        <f>'Expenses variable'!C37*C2*'Expenses variable'!C9</f>
        <v>2.9155155390747778</v>
      </c>
    </row>
    <row r="37" spans="1:4" x14ac:dyDescent="0.35">
      <c r="A37" s="289" t="s">
        <v>603</v>
      </c>
      <c r="B37" s="204" t="s">
        <v>891</v>
      </c>
      <c r="C37" s="290">
        <f>'Expenses variable'!C34*C16</f>
        <v>83.18206050871369</v>
      </c>
    </row>
    <row r="38" spans="1:4" x14ac:dyDescent="0.35">
      <c r="A38" s="173" t="s">
        <v>904</v>
      </c>
      <c r="B38" s="152" t="s">
        <v>891</v>
      </c>
      <c r="C38" s="288">
        <f>C41*'Expenses variable'!C38</f>
        <v>6.0711767006285049</v>
      </c>
    </row>
    <row r="39" spans="1:4" x14ac:dyDescent="0.35">
      <c r="A39" s="298" t="s">
        <v>905</v>
      </c>
      <c r="B39" s="304" t="s">
        <v>906</v>
      </c>
      <c r="C39" s="299">
        <f>SUM(C38+C34+C32+C18+C33)</f>
        <v>162.09423563082919</v>
      </c>
      <c r="D39">
        <f>(C39*1000000)/('mass balances '!D136*(8000/1000))</f>
        <v>2136.4284979837289</v>
      </c>
    </row>
    <row r="40" spans="1:4" x14ac:dyDescent="0.35">
      <c r="A40" s="298"/>
      <c r="B40" s="210"/>
      <c r="C40" s="287"/>
    </row>
    <row r="41" spans="1:4" x14ac:dyDescent="0.35">
      <c r="A41" s="152" t="s">
        <v>907</v>
      </c>
      <c r="B41" s="152" t="s">
        <v>891</v>
      </c>
      <c r="C41" s="288">
        <f>SUM(C42:C44)+C50+C51</f>
        <v>60.711767006285044</v>
      </c>
    </row>
    <row r="42" spans="1:4" x14ac:dyDescent="0.35">
      <c r="A42" s="305" t="s">
        <v>908</v>
      </c>
      <c r="B42" s="301" t="s">
        <v>891</v>
      </c>
      <c r="C42" s="294">
        <f>'mass balances '!D136*(8000/1000)*'Expenses variable'!C50/1000000</f>
        <v>60.697275208154878</v>
      </c>
    </row>
    <row r="43" spans="1:4" x14ac:dyDescent="0.35">
      <c r="A43" s="306" t="s">
        <v>909</v>
      </c>
      <c r="B43" s="307" t="s">
        <v>910</v>
      </c>
      <c r="C43" s="294">
        <v>0</v>
      </c>
    </row>
    <row r="44" spans="1:4" x14ac:dyDescent="0.35">
      <c r="A44" s="305" t="s">
        <v>911</v>
      </c>
      <c r="B44" s="301" t="s">
        <v>891</v>
      </c>
      <c r="C44" s="171">
        <f>Yields!C19*'Refinery '!B1*'Expenses variable'!C52/1000000</f>
        <v>1.4491798130169084E-2</v>
      </c>
    </row>
    <row r="45" spans="1:4" x14ac:dyDescent="0.35">
      <c r="A45" s="152" t="s">
        <v>912</v>
      </c>
      <c r="B45" s="152" t="s">
        <v>891</v>
      </c>
      <c r="C45" s="288">
        <f>C41-C19</f>
        <v>37.292081085532772</v>
      </c>
    </row>
    <row r="46" spans="1:4" x14ac:dyDescent="0.35">
      <c r="A46" s="152" t="s">
        <v>913</v>
      </c>
      <c r="B46" s="152" t="s">
        <v>891</v>
      </c>
      <c r="C46" s="288">
        <f t="shared" ref="C46" si="2">C41-C39</f>
        <v>-101.38246862454415</v>
      </c>
    </row>
    <row r="47" spans="1:4" x14ac:dyDescent="0.35">
      <c r="A47" s="308" t="s">
        <v>914</v>
      </c>
      <c r="B47" s="308" t="s">
        <v>813</v>
      </c>
      <c r="C47" s="288">
        <f>(C39-C44-C50-C51)*1000000/((8000/24)*'mass balances '!G186*'Refinery '!B1)</f>
        <v>2136.2374937176501</v>
      </c>
    </row>
    <row r="48" spans="1:4" x14ac:dyDescent="0.35">
      <c r="A48" s="152" t="s">
        <v>915</v>
      </c>
      <c r="C48">
        <f>C47/'Expenses variable'!C50</f>
        <v>2.6702968671470626</v>
      </c>
    </row>
    <row r="50" spans="1:5" x14ac:dyDescent="0.35">
      <c r="B50" t="s">
        <v>916</v>
      </c>
      <c r="C50">
        <v>0</v>
      </c>
    </row>
    <row r="51" spans="1:5" x14ac:dyDescent="0.35">
      <c r="B51" t="s">
        <v>917</v>
      </c>
      <c r="C51">
        <v>0</v>
      </c>
    </row>
    <row r="55" spans="1:5" x14ac:dyDescent="0.35">
      <c r="A55" t="s">
        <v>918</v>
      </c>
      <c r="B55">
        <v>0</v>
      </c>
      <c r="D55" t="s">
        <v>919</v>
      </c>
      <c r="E55">
        <v>0</v>
      </c>
    </row>
    <row r="56" spans="1:5" x14ac:dyDescent="0.35">
      <c r="A56" t="s">
        <v>920</v>
      </c>
      <c r="B56">
        <v>0</v>
      </c>
    </row>
    <row r="57" spans="1:5" x14ac:dyDescent="0.35">
      <c r="A57" t="s">
        <v>921</v>
      </c>
      <c r="B57">
        <v>0</v>
      </c>
    </row>
    <row r="58" spans="1:5" x14ac:dyDescent="0.35">
      <c r="A58" t="s">
        <v>922</v>
      </c>
      <c r="B58">
        <v>0</v>
      </c>
    </row>
    <row r="59" spans="1:5" x14ac:dyDescent="0.35">
      <c r="B59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Experimental_Bckground data</vt:lpstr>
      <vt:lpstr>Process variables </vt:lpstr>
      <vt:lpstr>mass balances </vt:lpstr>
      <vt:lpstr>Utilities from Aspen </vt:lpstr>
      <vt:lpstr>Energy balance</vt:lpstr>
      <vt:lpstr>Yields</vt:lpstr>
      <vt:lpstr>Refinery </vt:lpstr>
      <vt:lpstr>Expenses variable</vt:lpstr>
      <vt:lpstr>expenses_full_fue_HTL</vt:lpstr>
      <vt:lpstr>expenses_full_fue_HTL_CoUp_fra</vt:lpstr>
      <vt:lpstr>Sheet4</vt:lpstr>
      <vt:lpstr>Emission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Sivaramakrishnan Chandrasekaran</dc:creator>
  <cp:lastModifiedBy>Sivaramakrishnan Chandrasekaran</cp:lastModifiedBy>
  <dcterms:created xsi:type="dcterms:W3CDTF">2023-05-04T11:28:05Z</dcterms:created>
  <dcterms:modified xsi:type="dcterms:W3CDTF">2025-06-03T22:55:18Z</dcterms:modified>
</cp:coreProperties>
</file>