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160" windowHeight="0" activeTab="1"/>
  </bookViews>
  <sheets>
    <sheet name="Readme" sheetId="3" r:id="rId1"/>
    <sheet name="DATA" sheetId="1" r:id="rId2"/>
    <sheet name="Strategie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22" i="1" l="1"/>
  <c r="CQ40" i="1"/>
  <c r="CQ41" i="1"/>
  <c r="CQ45" i="1"/>
  <c r="CQ53" i="1"/>
  <c r="CQ55" i="1"/>
  <c r="CQ57" i="1"/>
  <c r="CQ58" i="1"/>
  <c r="CQ79" i="1"/>
  <c r="CQ88" i="1"/>
  <c r="CQ89" i="1"/>
  <c r="CQ90" i="1"/>
  <c r="CQ91" i="1"/>
  <c r="CQ92" i="1"/>
  <c r="CQ93" i="1"/>
  <c r="CQ94" i="1"/>
  <c r="CQ95" i="1"/>
  <c r="CQ98" i="1"/>
  <c r="CQ99" i="1"/>
  <c r="CQ101" i="1"/>
  <c r="BT35" i="1" l="1"/>
  <c r="BW35" i="1" s="1"/>
  <c r="CP56" i="1" l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80" i="1"/>
  <c r="CP81" i="1"/>
  <c r="CP82" i="1"/>
  <c r="CP83" i="1"/>
  <c r="CP84" i="1"/>
  <c r="CP85" i="1"/>
  <c r="CP86" i="1"/>
  <c r="CP87" i="1"/>
  <c r="CP93" i="1"/>
  <c r="CP95" i="1"/>
  <c r="CP96" i="1"/>
  <c r="CP97" i="1"/>
  <c r="CP98" i="1"/>
  <c r="CP99" i="1"/>
  <c r="CP100" i="1"/>
  <c r="CP101" i="1"/>
  <c r="CP102" i="1"/>
  <c r="CP55" i="1"/>
  <c r="CP53" i="1"/>
  <c r="CP36" i="1"/>
  <c r="CP37" i="1"/>
  <c r="CP38" i="1"/>
  <c r="CP35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" i="1"/>
  <c r="CN36" i="1"/>
  <c r="CN37" i="1"/>
  <c r="CQ37" i="1" s="1"/>
  <c r="CN38" i="1"/>
  <c r="CN35" i="1"/>
  <c r="CN24" i="1"/>
  <c r="CN25" i="1"/>
  <c r="CN26" i="1"/>
  <c r="CQ26" i="1" s="1"/>
  <c r="CN27" i="1"/>
  <c r="CQ27" i="1" s="1"/>
  <c r="CN28" i="1"/>
  <c r="CN29" i="1"/>
  <c r="CN30" i="1"/>
  <c r="CN31" i="1"/>
  <c r="CN23" i="1"/>
  <c r="CN3" i="1"/>
  <c r="CN4" i="1"/>
  <c r="CN5" i="1"/>
  <c r="CN6" i="1"/>
  <c r="CN7" i="1"/>
  <c r="CQ7" i="1" s="1"/>
  <c r="CN8" i="1"/>
  <c r="CN9" i="1"/>
  <c r="CN10" i="1"/>
  <c r="CQ10" i="1" s="1"/>
  <c r="CN11" i="1"/>
  <c r="CN12" i="1"/>
  <c r="CN13" i="1"/>
  <c r="CN14" i="1"/>
  <c r="CN15" i="1"/>
  <c r="CQ15" i="1" s="1"/>
  <c r="CN16" i="1"/>
  <c r="CN17" i="1"/>
  <c r="CN18" i="1"/>
  <c r="CQ18" i="1" s="1"/>
  <c r="CN19" i="1"/>
  <c r="CN2" i="1"/>
  <c r="CN81" i="1"/>
  <c r="CN82" i="1"/>
  <c r="CN83" i="1"/>
  <c r="CQ83" i="1" s="1"/>
  <c r="CN84" i="1"/>
  <c r="CN85" i="1"/>
  <c r="CQ85" i="1" s="1"/>
  <c r="CN86" i="1"/>
  <c r="CN87" i="1"/>
  <c r="CQ87" i="1" s="1"/>
  <c r="CN80" i="1"/>
  <c r="CN60" i="1"/>
  <c r="CN61" i="1"/>
  <c r="CQ61" i="1" s="1"/>
  <c r="CN62" i="1"/>
  <c r="CQ62" i="1" s="1"/>
  <c r="CN63" i="1"/>
  <c r="CN64" i="1"/>
  <c r="CN65" i="1"/>
  <c r="CQ65" i="1" s="1"/>
  <c r="CN66" i="1"/>
  <c r="CQ66" i="1" s="1"/>
  <c r="CN67" i="1"/>
  <c r="CN68" i="1"/>
  <c r="CN69" i="1"/>
  <c r="CQ69" i="1" s="1"/>
  <c r="CN70" i="1"/>
  <c r="CQ70" i="1" s="1"/>
  <c r="CN71" i="1"/>
  <c r="CN72" i="1"/>
  <c r="CN73" i="1"/>
  <c r="CQ73" i="1" s="1"/>
  <c r="CN74" i="1"/>
  <c r="CQ74" i="1" s="1"/>
  <c r="CN75" i="1"/>
  <c r="CN76" i="1"/>
  <c r="CN78" i="1"/>
  <c r="CN59" i="1"/>
  <c r="CN43" i="1"/>
  <c r="CQ43" i="1" s="1"/>
  <c r="CP54" i="1"/>
  <c r="CP48" i="1"/>
  <c r="CP49" i="1"/>
  <c r="CP50" i="1"/>
  <c r="CP51" i="1"/>
  <c r="CP52" i="1"/>
  <c r="CP47" i="1"/>
  <c r="CN102" i="1"/>
  <c r="CN97" i="1"/>
  <c r="CN96" i="1"/>
  <c r="CO88" i="1"/>
  <c r="CN56" i="1"/>
  <c r="CN54" i="1"/>
  <c r="CQ54" i="1" s="1"/>
  <c r="CN52" i="1"/>
  <c r="CN51" i="1"/>
  <c r="CQ51" i="1" s="1"/>
  <c r="CN50" i="1"/>
  <c r="CN49" i="1"/>
  <c r="CN48" i="1"/>
  <c r="CQ48" i="1" s="1"/>
  <c r="CN47" i="1"/>
  <c r="CN46" i="1"/>
  <c r="CP46" i="1"/>
  <c r="CP44" i="1"/>
  <c r="CN44" i="1"/>
  <c r="CP42" i="1"/>
  <c r="CP43" i="1"/>
  <c r="CN42" i="1"/>
  <c r="CP39" i="1"/>
  <c r="CN39" i="1"/>
  <c r="CQ39" i="1" s="1"/>
  <c r="CP34" i="1"/>
  <c r="CN34" i="1"/>
  <c r="CP33" i="1"/>
  <c r="CN33" i="1"/>
  <c r="CN32" i="1"/>
  <c r="CQ32" i="1" s="1"/>
  <c r="CN21" i="1"/>
  <c r="CQ21" i="1" s="1"/>
  <c r="CN20" i="1"/>
  <c r="CQ20" i="1" s="1"/>
  <c r="CO101" i="1"/>
  <c r="CO99" i="1"/>
  <c r="CO98" i="1"/>
  <c r="CO95" i="1"/>
  <c r="CO94" i="1"/>
  <c r="CO93" i="1"/>
  <c r="CO92" i="1"/>
  <c r="CO91" i="1"/>
  <c r="CO90" i="1"/>
  <c r="CO89" i="1"/>
  <c r="CO79" i="1"/>
  <c r="CO58" i="1"/>
  <c r="CO57" i="1"/>
  <c r="CO55" i="1"/>
  <c r="CO53" i="1"/>
  <c r="CO45" i="1"/>
  <c r="CO41" i="1"/>
  <c r="CO40" i="1"/>
  <c r="CO22" i="1"/>
  <c r="CO20" i="1"/>
  <c r="CO51" i="1" l="1"/>
  <c r="CO48" i="1"/>
  <c r="CO69" i="1"/>
  <c r="CO21" i="1"/>
  <c r="CO32" i="1"/>
  <c r="CO54" i="1"/>
  <c r="CO39" i="1"/>
  <c r="CO61" i="1"/>
  <c r="CO43" i="1"/>
  <c r="CO74" i="1"/>
  <c r="CO87" i="1"/>
  <c r="CO73" i="1"/>
  <c r="CO65" i="1"/>
  <c r="CO83" i="1"/>
  <c r="CO66" i="1"/>
  <c r="CO70" i="1"/>
  <c r="CO62" i="1"/>
  <c r="CO26" i="1"/>
  <c r="CO15" i="1"/>
  <c r="CO46" i="1"/>
  <c r="CQ46" i="1"/>
  <c r="CO56" i="1"/>
  <c r="CQ56" i="1"/>
  <c r="CO72" i="1"/>
  <c r="CQ72" i="1"/>
  <c r="CO64" i="1"/>
  <c r="CQ64" i="1"/>
  <c r="CO60" i="1"/>
  <c r="CQ60" i="1"/>
  <c r="CO81" i="1"/>
  <c r="CQ81" i="1"/>
  <c r="CQ9" i="1"/>
  <c r="CQ5" i="1"/>
  <c r="CQ75" i="1"/>
  <c r="CO63" i="1"/>
  <c r="CQ63" i="1"/>
  <c r="CO84" i="1"/>
  <c r="CQ84" i="1"/>
  <c r="CO16" i="1"/>
  <c r="CQ16" i="1"/>
  <c r="CO28" i="1"/>
  <c r="CQ28" i="1"/>
  <c r="CO36" i="1"/>
  <c r="CQ36" i="1"/>
  <c r="CO44" i="1"/>
  <c r="CQ44" i="1"/>
  <c r="CO96" i="1"/>
  <c r="CQ96" i="1"/>
  <c r="CO78" i="1"/>
  <c r="CQ78" i="1"/>
  <c r="CO19" i="1"/>
  <c r="CQ19" i="1"/>
  <c r="CO11" i="1"/>
  <c r="CQ11" i="1"/>
  <c r="CQ3" i="1"/>
  <c r="CO31" i="1"/>
  <c r="CQ31" i="1"/>
  <c r="CO35" i="1"/>
  <c r="CQ35" i="1"/>
  <c r="CO37" i="1"/>
  <c r="CO50" i="1"/>
  <c r="CQ50" i="1"/>
  <c r="CO102" i="1"/>
  <c r="CQ102" i="1"/>
  <c r="CQ76" i="1"/>
  <c r="CO68" i="1"/>
  <c r="CQ68" i="1"/>
  <c r="CO17" i="1"/>
  <c r="CQ17" i="1"/>
  <c r="CO13" i="1"/>
  <c r="CQ13" i="1"/>
  <c r="CO29" i="1"/>
  <c r="CQ29" i="1"/>
  <c r="CO25" i="1"/>
  <c r="CQ25" i="1"/>
  <c r="CO33" i="1"/>
  <c r="CQ33" i="1"/>
  <c r="CO47" i="1"/>
  <c r="CQ47" i="1"/>
  <c r="CO59" i="1"/>
  <c r="CQ59" i="1"/>
  <c r="CO71" i="1"/>
  <c r="CQ71" i="1"/>
  <c r="CO67" i="1"/>
  <c r="CQ67" i="1"/>
  <c r="CO80" i="1"/>
  <c r="CQ80" i="1"/>
  <c r="CQ2" i="1"/>
  <c r="CO12" i="1"/>
  <c r="CQ12" i="1"/>
  <c r="CQ8" i="1"/>
  <c r="CQ4" i="1"/>
  <c r="CO23" i="1"/>
  <c r="CQ23" i="1"/>
  <c r="CO24" i="1"/>
  <c r="CQ24" i="1"/>
  <c r="CO52" i="1"/>
  <c r="CQ52" i="1"/>
  <c r="CO34" i="1"/>
  <c r="CQ34" i="1"/>
  <c r="CO42" i="1"/>
  <c r="CQ42" i="1"/>
  <c r="CO49" i="1"/>
  <c r="CQ49" i="1"/>
  <c r="CO97" i="1"/>
  <c r="CQ97" i="1"/>
  <c r="CO85" i="1"/>
  <c r="CO86" i="1"/>
  <c r="CQ86" i="1"/>
  <c r="CO82" i="1"/>
  <c r="CQ82" i="1"/>
  <c r="CO14" i="1"/>
  <c r="CQ14" i="1"/>
  <c r="CQ6" i="1"/>
  <c r="CO18" i="1"/>
  <c r="CO27" i="1"/>
  <c r="CO30" i="1"/>
  <c r="CQ30" i="1"/>
  <c r="CO38" i="1"/>
  <c r="CQ38" i="1"/>
  <c r="CJ77" i="1"/>
  <c r="BK45" i="1" l="1"/>
  <c r="BK74" i="1" l="1"/>
  <c r="BH74" i="1"/>
  <c r="BL100" i="1"/>
  <c r="BO100" i="1" s="1"/>
  <c r="BL77" i="1"/>
  <c r="BO77" i="1"/>
  <c r="AY77" i="1" l="1"/>
  <c r="AV77" i="1"/>
  <c r="AZ77" i="1"/>
  <c r="BC77" i="1" s="1"/>
  <c r="BG77" i="1"/>
  <c r="BD77" i="1"/>
  <c r="AY100" i="1" l="1"/>
  <c r="AV100" i="1"/>
  <c r="AE19" i="1"/>
  <c r="AM74" i="1"/>
  <c r="AM100" i="1"/>
  <c r="AJ100" i="1"/>
  <c r="CK102" i="1" l="1"/>
  <c r="CG102" i="1"/>
  <c r="CC102" i="1"/>
  <c r="BY102" i="1"/>
  <c r="BU102" i="1"/>
  <c r="BQ102" i="1"/>
  <c r="BM102" i="1"/>
  <c r="BI102" i="1"/>
  <c r="BE102" i="1"/>
  <c r="BA102" i="1"/>
  <c r="AW102" i="1"/>
  <c r="AS102" i="1"/>
  <c r="AO102" i="1"/>
  <c r="AK102" i="1"/>
  <c r="AG102" i="1"/>
  <c r="AC102" i="1"/>
  <c r="Y102" i="1"/>
  <c r="U102" i="1"/>
  <c r="Q102" i="1"/>
  <c r="J102" i="1"/>
  <c r="G102" i="1"/>
  <c r="CK101" i="1"/>
  <c r="CG101" i="1"/>
  <c r="CC101" i="1"/>
  <c r="BY101" i="1"/>
  <c r="BU101" i="1"/>
  <c r="BQ101" i="1"/>
  <c r="BM101" i="1"/>
  <c r="BI101" i="1"/>
  <c r="BE101" i="1"/>
  <c r="BA101" i="1"/>
  <c r="AW101" i="1"/>
  <c r="AS101" i="1"/>
  <c r="AO101" i="1"/>
  <c r="AK101" i="1"/>
  <c r="AG101" i="1"/>
  <c r="AC101" i="1"/>
  <c r="Y101" i="1"/>
  <c r="U101" i="1"/>
  <c r="Q101" i="1"/>
  <c r="J101" i="1"/>
  <c r="G101" i="1"/>
  <c r="F101" i="1"/>
  <c r="CE100" i="1"/>
  <c r="CB100" i="1"/>
  <c r="BX100" i="1"/>
  <c r="AR100" i="1"/>
  <c r="AU100" i="1" s="1"/>
  <c r="W100" i="1"/>
  <c r="T100" i="1"/>
  <c r="P100" i="1"/>
  <c r="M100" i="1"/>
  <c r="BA100" i="1" s="1"/>
  <c r="J100" i="1"/>
  <c r="CK99" i="1"/>
  <c r="CG99" i="1"/>
  <c r="CC99" i="1"/>
  <c r="BY99" i="1"/>
  <c r="BU99" i="1"/>
  <c r="BQ99" i="1"/>
  <c r="BM99" i="1"/>
  <c r="BI99" i="1"/>
  <c r="BE99" i="1"/>
  <c r="BA99" i="1"/>
  <c r="AW99" i="1"/>
  <c r="AS99" i="1"/>
  <c r="AO99" i="1"/>
  <c r="AK99" i="1"/>
  <c r="AG99" i="1"/>
  <c r="AC99" i="1"/>
  <c r="Y99" i="1"/>
  <c r="U99" i="1"/>
  <c r="Q99" i="1"/>
  <c r="I99" i="1"/>
  <c r="J99" i="1" s="1"/>
  <c r="CK98" i="1"/>
  <c r="CG98" i="1"/>
  <c r="CC98" i="1"/>
  <c r="BY98" i="1"/>
  <c r="BU98" i="1"/>
  <c r="BQ98" i="1"/>
  <c r="BM98" i="1"/>
  <c r="BI98" i="1"/>
  <c r="BE98" i="1"/>
  <c r="BA98" i="1"/>
  <c r="AW98" i="1"/>
  <c r="AS98" i="1"/>
  <c r="AO98" i="1"/>
  <c r="AK98" i="1"/>
  <c r="AG98" i="1"/>
  <c r="AC98" i="1"/>
  <c r="Y98" i="1"/>
  <c r="U98" i="1"/>
  <c r="Q98" i="1"/>
  <c r="I98" i="1"/>
  <c r="J98" i="1" s="1"/>
  <c r="CK97" i="1"/>
  <c r="CG97" i="1"/>
  <c r="CC97" i="1"/>
  <c r="BY97" i="1"/>
  <c r="BU97" i="1"/>
  <c r="BQ97" i="1"/>
  <c r="BM97" i="1"/>
  <c r="BI97" i="1"/>
  <c r="BE97" i="1"/>
  <c r="BA97" i="1"/>
  <c r="AW97" i="1"/>
  <c r="AS97" i="1"/>
  <c r="AO97" i="1"/>
  <c r="AK97" i="1"/>
  <c r="AG97" i="1"/>
  <c r="AC97" i="1"/>
  <c r="Y97" i="1"/>
  <c r="U97" i="1"/>
  <c r="Q97" i="1"/>
  <c r="I97" i="1"/>
  <c r="J97" i="1" s="1"/>
  <c r="CK96" i="1"/>
  <c r="CG96" i="1"/>
  <c r="CC96" i="1"/>
  <c r="BY96" i="1"/>
  <c r="BU96" i="1"/>
  <c r="BQ96" i="1"/>
  <c r="BM96" i="1"/>
  <c r="BI96" i="1"/>
  <c r="BE96" i="1"/>
  <c r="BA96" i="1"/>
  <c r="AW96" i="1"/>
  <c r="AS96" i="1"/>
  <c r="AO96" i="1"/>
  <c r="AK96" i="1"/>
  <c r="AG96" i="1"/>
  <c r="AC96" i="1"/>
  <c r="Y96" i="1"/>
  <c r="U96" i="1"/>
  <c r="Q96" i="1"/>
  <c r="I96" i="1"/>
  <c r="J96" i="1" s="1"/>
  <c r="CK95" i="1"/>
  <c r="CG95" i="1"/>
  <c r="CC95" i="1"/>
  <c r="BY95" i="1"/>
  <c r="BU95" i="1"/>
  <c r="BQ95" i="1"/>
  <c r="BM95" i="1"/>
  <c r="BI95" i="1"/>
  <c r="BE95" i="1"/>
  <c r="BA95" i="1"/>
  <c r="AW95" i="1"/>
  <c r="AS95" i="1"/>
  <c r="AO95" i="1"/>
  <c r="AK95" i="1"/>
  <c r="AG95" i="1"/>
  <c r="AC95" i="1"/>
  <c r="Y95" i="1"/>
  <c r="U95" i="1"/>
  <c r="Q95" i="1"/>
  <c r="I95" i="1"/>
  <c r="J95" i="1" s="1"/>
  <c r="CK94" i="1"/>
  <c r="CG94" i="1"/>
  <c r="CC94" i="1"/>
  <c r="BY94" i="1"/>
  <c r="BU94" i="1"/>
  <c r="BQ94" i="1"/>
  <c r="BM94" i="1"/>
  <c r="BI94" i="1"/>
  <c r="BE94" i="1"/>
  <c r="BA94" i="1"/>
  <c r="AW94" i="1"/>
  <c r="AS94" i="1"/>
  <c r="AO94" i="1"/>
  <c r="AK94" i="1"/>
  <c r="AG94" i="1"/>
  <c r="AC94" i="1"/>
  <c r="Y94" i="1"/>
  <c r="U94" i="1"/>
  <c r="Q94" i="1"/>
  <c r="I94" i="1"/>
  <c r="J94" i="1" s="1"/>
  <c r="CK93" i="1"/>
  <c r="CG93" i="1"/>
  <c r="CC93" i="1"/>
  <c r="BY93" i="1"/>
  <c r="BU93" i="1"/>
  <c r="BQ93" i="1"/>
  <c r="BM93" i="1"/>
  <c r="BI93" i="1"/>
  <c r="BE93" i="1"/>
  <c r="BA93" i="1"/>
  <c r="AW93" i="1"/>
  <c r="AS93" i="1"/>
  <c r="AO93" i="1"/>
  <c r="AK93" i="1"/>
  <c r="AG93" i="1"/>
  <c r="AC93" i="1"/>
  <c r="Y93" i="1"/>
  <c r="U93" i="1"/>
  <c r="Q93" i="1"/>
  <c r="I93" i="1"/>
  <c r="J93" i="1" s="1"/>
  <c r="CK92" i="1"/>
  <c r="CG92" i="1"/>
  <c r="CC92" i="1"/>
  <c r="BY92" i="1"/>
  <c r="BU92" i="1"/>
  <c r="BQ92" i="1"/>
  <c r="BM92" i="1"/>
  <c r="BI92" i="1"/>
  <c r="BE92" i="1"/>
  <c r="BA92" i="1"/>
  <c r="AW92" i="1"/>
  <c r="AS92" i="1"/>
  <c r="AO92" i="1"/>
  <c r="AK92" i="1"/>
  <c r="AG92" i="1"/>
  <c r="AC92" i="1"/>
  <c r="Y92" i="1"/>
  <c r="U92" i="1"/>
  <c r="Q92" i="1"/>
  <c r="I92" i="1"/>
  <c r="J92" i="1" s="1"/>
  <c r="CK91" i="1"/>
  <c r="CG91" i="1"/>
  <c r="CC91" i="1"/>
  <c r="BY91" i="1"/>
  <c r="BU91" i="1"/>
  <c r="BQ91" i="1"/>
  <c r="BM91" i="1"/>
  <c r="BI91" i="1"/>
  <c r="BE91" i="1"/>
  <c r="BA91" i="1"/>
  <c r="AW91" i="1"/>
  <c r="AS91" i="1"/>
  <c r="AO91" i="1"/>
  <c r="AK91" i="1"/>
  <c r="AG91" i="1"/>
  <c r="AC91" i="1"/>
  <c r="Y91" i="1"/>
  <c r="U91" i="1"/>
  <c r="Q91" i="1"/>
  <c r="H91" i="1"/>
  <c r="I91" i="1" s="1"/>
  <c r="CK90" i="1"/>
  <c r="CG90" i="1"/>
  <c r="CC90" i="1"/>
  <c r="BY90" i="1"/>
  <c r="BU90" i="1"/>
  <c r="BQ90" i="1"/>
  <c r="BM90" i="1"/>
  <c r="BI90" i="1"/>
  <c r="BE90" i="1"/>
  <c r="BA90" i="1"/>
  <c r="AW90" i="1"/>
  <c r="AS90" i="1"/>
  <c r="AO90" i="1"/>
  <c r="AK90" i="1"/>
  <c r="AG90" i="1"/>
  <c r="AC90" i="1"/>
  <c r="Y90" i="1"/>
  <c r="U90" i="1"/>
  <c r="Q90" i="1"/>
  <c r="I90" i="1"/>
  <c r="CK89" i="1"/>
  <c r="CG89" i="1"/>
  <c r="CC89" i="1"/>
  <c r="BY89" i="1"/>
  <c r="BU89" i="1"/>
  <c r="BQ89" i="1"/>
  <c r="BM89" i="1"/>
  <c r="BI89" i="1"/>
  <c r="BE89" i="1"/>
  <c r="BA89" i="1"/>
  <c r="AW89" i="1"/>
  <c r="AS89" i="1"/>
  <c r="AO89" i="1"/>
  <c r="AK89" i="1"/>
  <c r="AG89" i="1"/>
  <c r="AC89" i="1"/>
  <c r="Y89" i="1"/>
  <c r="U89" i="1"/>
  <c r="Q89" i="1"/>
  <c r="H89" i="1"/>
  <c r="I89" i="1" s="1"/>
  <c r="CK88" i="1"/>
  <c r="CG88" i="1"/>
  <c r="CC88" i="1"/>
  <c r="BY88" i="1"/>
  <c r="BU88" i="1"/>
  <c r="BQ88" i="1"/>
  <c r="BM88" i="1"/>
  <c r="BI88" i="1"/>
  <c r="BE88" i="1"/>
  <c r="BA88" i="1"/>
  <c r="AW88" i="1"/>
  <c r="AS88" i="1"/>
  <c r="AO88" i="1"/>
  <c r="AK88" i="1"/>
  <c r="AG88" i="1"/>
  <c r="AC88" i="1"/>
  <c r="Y88" i="1"/>
  <c r="U88" i="1"/>
  <c r="Q88" i="1"/>
  <c r="I88" i="1"/>
  <c r="CK87" i="1"/>
  <c r="CG87" i="1"/>
  <c r="CC87" i="1"/>
  <c r="BY87" i="1"/>
  <c r="BU87" i="1"/>
  <c r="BQ87" i="1"/>
  <c r="BM87" i="1"/>
  <c r="BI87" i="1"/>
  <c r="BE87" i="1"/>
  <c r="BA87" i="1"/>
  <c r="AW87" i="1"/>
  <c r="AS87" i="1"/>
  <c r="AO87" i="1"/>
  <c r="AK87" i="1"/>
  <c r="AG87" i="1"/>
  <c r="AC87" i="1"/>
  <c r="Y87" i="1"/>
  <c r="U87" i="1"/>
  <c r="Q87" i="1"/>
  <c r="J87" i="1"/>
  <c r="CK86" i="1"/>
  <c r="CG86" i="1"/>
  <c r="CC86" i="1"/>
  <c r="BY86" i="1"/>
  <c r="BU86" i="1"/>
  <c r="BQ86" i="1"/>
  <c r="BM86" i="1"/>
  <c r="BI86" i="1"/>
  <c r="BE86" i="1"/>
  <c r="BA86" i="1"/>
  <c r="AW86" i="1"/>
  <c r="AS86" i="1"/>
  <c r="AO86" i="1"/>
  <c r="AK86" i="1"/>
  <c r="AG86" i="1"/>
  <c r="AC86" i="1"/>
  <c r="Y86" i="1"/>
  <c r="U86" i="1"/>
  <c r="Q86" i="1"/>
  <c r="J86" i="1"/>
  <c r="CK85" i="1"/>
  <c r="CG85" i="1"/>
  <c r="CC85" i="1"/>
  <c r="BY85" i="1"/>
  <c r="BU85" i="1"/>
  <c r="BQ85" i="1"/>
  <c r="BM85" i="1"/>
  <c r="BI85" i="1"/>
  <c r="BE85" i="1"/>
  <c r="BA85" i="1"/>
  <c r="AW85" i="1"/>
  <c r="AS85" i="1"/>
  <c r="AO85" i="1"/>
  <c r="AK85" i="1"/>
  <c r="AG85" i="1"/>
  <c r="AC85" i="1"/>
  <c r="Y85" i="1"/>
  <c r="U85" i="1"/>
  <c r="Q85" i="1"/>
  <c r="J85" i="1"/>
  <c r="CK84" i="1"/>
  <c r="CG84" i="1"/>
  <c r="CC84" i="1"/>
  <c r="BY84" i="1"/>
  <c r="BU84" i="1"/>
  <c r="BQ84" i="1"/>
  <c r="BM84" i="1"/>
  <c r="BI84" i="1"/>
  <c r="BE84" i="1"/>
  <c r="BA84" i="1"/>
  <c r="AW84" i="1"/>
  <c r="AS84" i="1"/>
  <c r="AO84" i="1"/>
  <c r="AK84" i="1"/>
  <c r="AG84" i="1"/>
  <c r="AC84" i="1"/>
  <c r="Y84" i="1"/>
  <c r="U84" i="1"/>
  <c r="Q84" i="1"/>
  <c r="J84" i="1"/>
  <c r="CK83" i="1"/>
  <c r="CG83" i="1"/>
  <c r="CC83" i="1"/>
  <c r="BY83" i="1"/>
  <c r="BU83" i="1"/>
  <c r="BQ83" i="1"/>
  <c r="BM83" i="1"/>
  <c r="BI83" i="1"/>
  <c r="BE83" i="1"/>
  <c r="BA83" i="1"/>
  <c r="AW83" i="1"/>
  <c r="AS83" i="1"/>
  <c r="AO83" i="1"/>
  <c r="AK83" i="1"/>
  <c r="AG83" i="1"/>
  <c r="AC83" i="1"/>
  <c r="Y83" i="1"/>
  <c r="U83" i="1"/>
  <c r="Q83" i="1"/>
  <c r="J83" i="1"/>
  <c r="CK82" i="1"/>
  <c r="CG82" i="1"/>
  <c r="CC82" i="1"/>
  <c r="BY82" i="1"/>
  <c r="BU82" i="1"/>
  <c r="BQ82" i="1"/>
  <c r="BM82" i="1"/>
  <c r="BI82" i="1"/>
  <c r="BE82" i="1"/>
  <c r="BA82" i="1"/>
  <c r="AW82" i="1"/>
  <c r="AS82" i="1"/>
  <c r="AO82" i="1"/>
  <c r="AK82" i="1"/>
  <c r="AG82" i="1"/>
  <c r="AC82" i="1"/>
  <c r="Y82" i="1"/>
  <c r="U82" i="1"/>
  <c r="Q82" i="1"/>
  <c r="J82" i="1"/>
  <c r="CK81" i="1"/>
  <c r="CG81" i="1"/>
  <c r="CC81" i="1"/>
  <c r="BY81" i="1"/>
  <c r="BU81" i="1"/>
  <c r="BQ81" i="1"/>
  <c r="BM81" i="1"/>
  <c r="BI81" i="1"/>
  <c r="BE81" i="1"/>
  <c r="BA81" i="1"/>
  <c r="AW81" i="1"/>
  <c r="AS81" i="1"/>
  <c r="AO81" i="1"/>
  <c r="AK81" i="1"/>
  <c r="AG81" i="1"/>
  <c r="AC81" i="1"/>
  <c r="Y81" i="1"/>
  <c r="U81" i="1"/>
  <c r="Q81" i="1"/>
  <c r="J81" i="1"/>
  <c r="CK80" i="1"/>
  <c r="CG80" i="1"/>
  <c r="CC80" i="1"/>
  <c r="BY80" i="1"/>
  <c r="BU80" i="1"/>
  <c r="BQ80" i="1"/>
  <c r="BM80" i="1"/>
  <c r="BI80" i="1"/>
  <c r="BE80" i="1"/>
  <c r="BA80" i="1"/>
  <c r="AW80" i="1"/>
  <c r="AS80" i="1"/>
  <c r="AO80" i="1"/>
  <c r="AK80" i="1"/>
  <c r="AG80" i="1"/>
  <c r="AC80" i="1"/>
  <c r="Y80" i="1"/>
  <c r="U80" i="1"/>
  <c r="Q80" i="1"/>
  <c r="J80" i="1"/>
  <c r="CK79" i="1"/>
  <c r="CG79" i="1"/>
  <c r="CC79" i="1"/>
  <c r="BY79" i="1"/>
  <c r="BU79" i="1"/>
  <c r="BQ79" i="1"/>
  <c r="BM79" i="1"/>
  <c r="BI79" i="1"/>
  <c r="BD79" i="1"/>
  <c r="AZ79" i="1"/>
  <c r="AW79" i="1"/>
  <c r="AS79" i="1"/>
  <c r="AO79" i="1"/>
  <c r="AJ79" i="1"/>
  <c r="AK79" i="1" s="1"/>
  <c r="AG79" i="1"/>
  <c r="AB79" i="1"/>
  <c r="AC79" i="1" s="1"/>
  <c r="Y79" i="1"/>
  <c r="U79" i="1"/>
  <c r="Q79" i="1"/>
  <c r="J79" i="1"/>
  <c r="CK78" i="1"/>
  <c r="CG78" i="1"/>
  <c r="CC78" i="1"/>
  <c r="BY78" i="1"/>
  <c r="BU78" i="1"/>
  <c r="BQ78" i="1"/>
  <c r="BM78" i="1"/>
  <c r="BI78" i="1"/>
  <c r="BE78" i="1"/>
  <c r="BA78" i="1"/>
  <c r="AW78" i="1"/>
  <c r="AS78" i="1"/>
  <c r="AQ78" i="1"/>
  <c r="AO78" i="1"/>
  <c r="AK78" i="1"/>
  <c r="AG78" i="1"/>
  <c r="AC78" i="1"/>
  <c r="Y78" i="1"/>
  <c r="U78" i="1"/>
  <c r="Q78" i="1"/>
  <c r="J78" i="1"/>
  <c r="CF77" i="1"/>
  <c r="CE77" i="1"/>
  <c r="CB77" i="1"/>
  <c r="CN77" i="1" s="1"/>
  <c r="CQ77" i="1" s="1"/>
  <c r="CA77" i="1"/>
  <c r="BX77" i="1"/>
  <c r="BT77" i="1"/>
  <c r="BP77" i="1"/>
  <c r="BH77" i="1"/>
  <c r="AR77" i="1"/>
  <c r="AN77" i="1"/>
  <c r="AM77" i="1"/>
  <c r="AJ77" i="1"/>
  <c r="AF77" i="1"/>
  <c r="AI77" i="1" s="1"/>
  <c r="AB77" i="1"/>
  <c r="AE77" i="1" s="1"/>
  <c r="X77" i="1"/>
  <c r="W77" i="1"/>
  <c r="T77" i="1"/>
  <c r="S77" i="1"/>
  <c r="P77" i="1"/>
  <c r="M77" i="1"/>
  <c r="AW77" i="1" s="1"/>
  <c r="H77" i="1"/>
  <c r="J77" i="1" s="1"/>
  <c r="AQ76" i="1"/>
  <c r="M76" i="1"/>
  <c r="AW76" i="1" s="1"/>
  <c r="J76" i="1"/>
  <c r="M75" i="1"/>
  <c r="CK75" i="1" s="1"/>
  <c r="J75" i="1"/>
  <c r="G75" i="1"/>
  <c r="CK74" i="1"/>
  <c r="CG74" i="1"/>
  <c r="CC74" i="1"/>
  <c r="BY74" i="1"/>
  <c r="BU74" i="1"/>
  <c r="BQ74" i="1"/>
  <c r="BM74" i="1"/>
  <c r="BI74" i="1"/>
  <c r="BE74" i="1"/>
  <c r="BA74" i="1"/>
  <c r="AV74" i="1"/>
  <c r="AW74" i="1" s="1"/>
  <c r="AS74" i="1"/>
  <c r="AO74" i="1"/>
  <c r="AK74" i="1"/>
  <c r="AG74" i="1"/>
  <c r="AB74" i="1"/>
  <c r="Y74" i="1"/>
  <c r="U74" i="1"/>
  <c r="S74" i="1"/>
  <c r="P74" i="1"/>
  <c r="Q74" i="1" s="1"/>
  <c r="J74" i="1"/>
  <c r="CM73" i="1"/>
  <c r="CL73" i="1"/>
  <c r="CK73" i="1"/>
  <c r="CG73" i="1"/>
  <c r="CC73" i="1"/>
  <c r="BY73" i="1"/>
  <c r="BU73" i="1"/>
  <c r="BQ73" i="1"/>
  <c r="BM73" i="1"/>
  <c r="BI73" i="1"/>
  <c r="BE73" i="1"/>
  <c r="BA73" i="1"/>
  <c r="AW73" i="1"/>
  <c r="AS73" i="1"/>
  <c r="AO73" i="1"/>
  <c r="AK73" i="1"/>
  <c r="AG73" i="1"/>
  <c r="AC73" i="1"/>
  <c r="Y73" i="1"/>
  <c r="U73" i="1"/>
  <c r="Q73" i="1"/>
  <c r="J73" i="1"/>
  <c r="CM72" i="1"/>
  <c r="CL72" i="1"/>
  <c r="CK72" i="1"/>
  <c r="CG72" i="1"/>
  <c r="CC72" i="1"/>
  <c r="BY72" i="1"/>
  <c r="BU72" i="1"/>
  <c r="BQ72" i="1"/>
  <c r="BM72" i="1"/>
  <c r="BI72" i="1"/>
  <c r="BE72" i="1"/>
  <c r="BA72" i="1"/>
  <c r="AW72" i="1"/>
  <c r="AS72" i="1"/>
  <c r="AO72" i="1"/>
  <c r="AK72" i="1"/>
  <c r="AG72" i="1"/>
  <c r="AC72" i="1"/>
  <c r="Y72" i="1"/>
  <c r="U72" i="1"/>
  <c r="Q72" i="1"/>
  <c r="J72" i="1"/>
  <c r="CM71" i="1"/>
  <c r="CL71" i="1"/>
  <c r="CK71" i="1"/>
  <c r="CG71" i="1"/>
  <c r="CC71" i="1"/>
  <c r="BY71" i="1"/>
  <c r="BU71" i="1"/>
  <c r="BQ71" i="1"/>
  <c r="BM71" i="1"/>
  <c r="BI71" i="1"/>
  <c r="BE71" i="1"/>
  <c r="BA71" i="1"/>
  <c r="AW71" i="1"/>
  <c r="AS71" i="1"/>
  <c r="AO71" i="1"/>
  <c r="AK71" i="1"/>
  <c r="AG71" i="1"/>
  <c r="AC71" i="1"/>
  <c r="Y71" i="1"/>
  <c r="U71" i="1"/>
  <c r="Q71" i="1"/>
  <c r="J71" i="1"/>
  <c r="CM70" i="1"/>
  <c r="CL70" i="1"/>
  <c r="CK70" i="1"/>
  <c r="CG70" i="1"/>
  <c r="CC70" i="1"/>
  <c r="BY70" i="1"/>
  <c r="BU70" i="1"/>
  <c r="BQ70" i="1"/>
  <c r="BM70" i="1"/>
  <c r="BI70" i="1"/>
  <c r="BE70" i="1"/>
  <c r="BA70" i="1"/>
  <c r="AW70" i="1"/>
  <c r="AS70" i="1"/>
  <c r="AO70" i="1"/>
  <c r="AK70" i="1"/>
  <c r="AG70" i="1"/>
  <c r="AC70" i="1"/>
  <c r="Y70" i="1"/>
  <c r="U70" i="1"/>
  <c r="Q70" i="1"/>
  <c r="J70" i="1"/>
  <c r="CM69" i="1"/>
  <c r="CL69" i="1"/>
  <c r="CK69" i="1"/>
  <c r="CG69" i="1"/>
  <c r="CC69" i="1"/>
  <c r="BY69" i="1"/>
  <c r="BU69" i="1"/>
  <c r="BQ69" i="1"/>
  <c r="BM69" i="1"/>
  <c r="BI69" i="1"/>
  <c r="BE69" i="1"/>
  <c r="BA69" i="1"/>
  <c r="AW69" i="1"/>
  <c r="AS69" i="1"/>
  <c r="AO69" i="1"/>
  <c r="AK69" i="1"/>
  <c r="AG69" i="1"/>
  <c r="AC69" i="1"/>
  <c r="Y69" i="1"/>
  <c r="U69" i="1"/>
  <c r="Q69" i="1"/>
  <c r="J69" i="1"/>
  <c r="CM68" i="1"/>
  <c r="CL68" i="1"/>
  <c r="CK68" i="1"/>
  <c r="CG68" i="1"/>
  <c r="CC68" i="1"/>
  <c r="BY68" i="1"/>
  <c r="BU68" i="1"/>
  <c r="BQ68" i="1"/>
  <c r="BM68" i="1"/>
  <c r="BI68" i="1"/>
  <c r="BE68" i="1"/>
  <c r="BA68" i="1"/>
  <c r="AW68" i="1"/>
  <c r="AS68" i="1"/>
  <c r="AO68" i="1"/>
  <c r="AK68" i="1"/>
  <c r="AG68" i="1"/>
  <c r="AC68" i="1"/>
  <c r="Y68" i="1"/>
  <c r="U68" i="1"/>
  <c r="Q68" i="1"/>
  <c r="J68" i="1"/>
  <c r="CM67" i="1"/>
  <c r="CL67" i="1"/>
  <c r="CK67" i="1"/>
  <c r="CG67" i="1"/>
  <c r="CC67" i="1"/>
  <c r="BY67" i="1"/>
  <c r="BU67" i="1"/>
  <c r="BQ67" i="1"/>
  <c r="BM67" i="1"/>
  <c r="BI67" i="1"/>
  <c r="BE67" i="1"/>
  <c r="BA67" i="1"/>
  <c r="AW67" i="1"/>
  <c r="AS67" i="1"/>
  <c r="AO67" i="1"/>
  <c r="AK67" i="1"/>
  <c r="AG67" i="1"/>
  <c r="AC67" i="1"/>
  <c r="Y67" i="1"/>
  <c r="U67" i="1"/>
  <c r="Q67" i="1"/>
  <c r="J67" i="1"/>
  <c r="CM66" i="1"/>
  <c r="CL66" i="1"/>
  <c r="CK66" i="1"/>
  <c r="CG66" i="1"/>
  <c r="CC66" i="1"/>
  <c r="BY66" i="1"/>
  <c r="BU66" i="1"/>
  <c r="BQ66" i="1"/>
  <c r="BM66" i="1"/>
  <c r="BI66" i="1"/>
  <c r="BE66" i="1"/>
  <c r="BA66" i="1"/>
  <c r="AW66" i="1"/>
  <c r="AS66" i="1"/>
  <c r="AO66" i="1"/>
  <c r="AK66" i="1"/>
  <c r="AG66" i="1"/>
  <c r="AC66" i="1"/>
  <c r="Y66" i="1"/>
  <c r="U66" i="1"/>
  <c r="Q66" i="1"/>
  <c r="J66" i="1"/>
  <c r="CM65" i="1"/>
  <c r="CL65" i="1"/>
  <c r="CK65" i="1"/>
  <c r="CG65" i="1"/>
  <c r="CC65" i="1"/>
  <c r="BY65" i="1"/>
  <c r="BU65" i="1"/>
  <c r="BQ65" i="1"/>
  <c r="BM65" i="1"/>
  <c r="BI65" i="1"/>
  <c r="BE65" i="1"/>
  <c r="BA65" i="1"/>
  <c r="AW65" i="1"/>
  <c r="AS65" i="1"/>
  <c r="AO65" i="1"/>
  <c r="AK65" i="1"/>
  <c r="AG65" i="1"/>
  <c r="AC65" i="1"/>
  <c r="Y65" i="1"/>
  <c r="U65" i="1"/>
  <c r="Q65" i="1"/>
  <c r="J65" i="1"/>
  <c r="CM64" i="1"/>
  <c r="CL64" i="1"/>
  <c r="CK64" i="1"/>
  <c r="CG64" i="1"/>
  <c r="CC64" i="1"/>
  <c r="BY64" i="1"/>
  <c r="BU64" i="1"/>
  <c r="BQ64" i="1"/>
  <c r="BM64" i="1"/>
  <c r="BI64" i="1"/>
  <c r="BE64" i="1"/>
  <c r="BA64" i="1"/>
  <c r="AW64" i="1"/>
  <c r="AS64" i="1"/>
  <c r="AO64" i="1"/>
  <c r="AK64" i="1"/>
  <c r="AG64" i="1"/>
  <c r="AC64" i="1"/>
  <c r="Y64" i="1"/>
  <c r="U64" i="1"/>
  <c r="Q64" i="1"/>
  <c r="J64" i="1"/>
  <c r="CM63" i="1"/>
  <c r="CL63" i="1"/>
  <c r="CK63" i="1"/>
  <c r="CG63" i="1"/>
  <c r="CC63" i="1"/>
  <c r="BY63" i="1"/>
  <c r="BU63" i="1"/>
  <c r="BQ63" i="1"/>
  <c r="BM63" i="1"/>
  <c r="BI63" i="1"/>
  <c r="BE63" i="1"/>
  <c r="BA63" i="1"/>
  <c r="AW63" i="1"/>
  <c r="AS63" i="1"/>
  <c r="AO63" i="1"/>
  <c r="AK63" i="1"/>
  <c r="AG63" i="1"/>
  <c r="AC63" i="1"/>
  <c r="Y63" i="1"/>
  <c r="U63" i="1"/>
  <c r="Q63" i="1"/>
  <c r="J63" i="1"/>
  <c r="CM62" i="1"/>
  <c r="CL62" i="1"/>
  <c r="CK62" i="1"/>
  <c r="CG62" i="1"/>
  <c r="CC62" i="1"/>
  <c r="BY62" i="1"/>
  <c r="BU62" i="1"/>
  <c r="BQ62" i="1"/>
  <c r="BM62" i="1"/>
  <c r="BI62" i="1"/>
  <c r="BE62" i="1"/>
  <c r="BA62" i="1"/>
  <c r="AW62" i="1"/>
  <c r="AS62" i="1"/>
  <c r="AO62" i="1"/>
  <c r="AK62" i="1"/>
  <c r="AG62" i="1"/>
  <c r="AC62" i="1"/>
  <c r="Y62" i="1"/>
  <c r="U62" i="1"/>
  <c r="Q62" i="1"/>
  <c r="J62" i="1"/>
  <c r="CM61" i="1"/>
  <c r="CL61" i="1"/>
  <c r="CK61" i="1"/>
  <c r="CG61" i="1"/>
  <c r="CC61" i="1"/>
  <c r="BY61" i="1"/>
  <c r="BU61" i="1"/>
  <c r="BQ61" i="1"/>
  <c r="BM61" i="1"/>
  <c r="BI61" i="1"/>
  <c r="BE61" i="1"/>
  <c r="BA61" i="1"/>
  <c r="AW61" i="1"/>
  <c r="AS61" i="1"/>
  <c r="AO61" i="1"/>
  <c r="AK61" i="1"/>
  <c r="AG61" i="1"/>
  <c r="AC61" i="1"/>
  <c r="Y61" i="1"/>
  <c r="U61" i="1"/>
  <c r="Q61" i="1"/>
  <c r="J61" i="1"/>
  <c r="CM60" i="1"/>
  <c r="CL60" i="1"/>
  <c r="CK60" i="1"/>
  <c r="CG60" i="1"/>
  <c r="CC60" i="1"/>
  <c r="BY60" i="1"/>
  <c r="BU60" i="1"/>
  <c r="BQ60" i="1"/>
  <c r="BM60" i="1"/>
  <c r="BI60" i="1"/>
  <c r="BE60" i="1"/>
  <c r="BA60" i="1"/>
  <c r="AW60" i="1"/>
  <c r="AS60" i="1"/>
  <c r="AO60" i="1"/>
  <c r="AK60" i="1"/>
  <c r="AG60" i="1"/>
  <c r="AC60" i="1"/>
  <c r="Y60" i="1"/>
  <c r="U60" i="1"/>
  <c r="Q60" i="1"/>
  <c r="J60" i="1"/>
  <c r="CM59" i="1"/>
  <c r="CL59" i="1"/>
  <c r="CK59" i="1"/>
  <c r="CG59" i="1"/>
  <c r="CC59" i="1"/>
  <c r="BY59" i="1"/>
  <c r="BU59" i="1"/>
  <c r="BQ59" i="1"/>
  <c r="BM59" i="1"/>
  <c r="BI59" i="1"/>
  <c r="BE59" i="1"/>
  <c r="BA59" i="1"/>
  <c r="AW59" i="1"/>
  <c r="AS59" i="1"/>
  <c r="AO59" i="1"/>
  <c r="AK59" i="1"/>
  <c r="AG59" i="1"/>
  <c r="AC59" i="1"/>
  <c r="Y59" i="1"/>
  <c r="U59" i="1"/>
  <c r="Q59" i="1"/>
  <c r="J59" i="1"/>
  <c r="CK58" i="1"/>
  <c r="CG58" i="1"/>
  <c r="CC58" i="1"/>
  <c r="BY58" i="1"/>
  <c r="BU58" i="1"/>
  <c r="BQ58" i="1"/>
  <c r="BM58" i="1"/>
  <c r="BI58" i="1"/>
  <c r="BE58" i="1"/>
  <c r="BA58" i="1"/>
  <c r="AW58" i="1"/>
  <c r="AS58" i="1"/>
  <c r="AO58" i="1"/>
  <c r="AK58" i="1"/>
  <c r="AG58" i="1"/>
  <c r="AC58" i="1"/>
  <c r="Y58" i="1"/>
  <c r="U58" i="1"/>
  <c r="Q58" i="1"/>
  <c r="J58" i="1"/>
  <c r="CK57" i="1"/>
  <c r="CG57" i="1"/>
  <c r="CC57" i="1"/>
  <c r="BY57" i="1"/>
  <c r="BU57" i="1"/>
  <c r="BQ57" i="1"/>
  <c r="BM57" i="1"/>
  <c r="BI57" i="1"/>
  <c r="BE57" i="1"/>
  <c r="BA57" i="1"/>
  <c r="AW57" i="1"/>
  <c r="AS57" i="1"/>
  <c r="AO57" i="1"/>
  <c r="AK57" i="1"/>
  <c r="AG57" i="1"/>
  <c r="AC57" i="1"/>
  <c r="Y57" i="1"/>
  <c r="U57" i="1"/>
  <c r="Q57" i="1"/>
  <c r="J57" i="1"/>
  <c r="CK56" i="1"/>
  <c r="CG56" i="1"/>
  <c r="CC56" i="1"/>
  <c r="BY56" i="1"/>
  <c r="BU56" i="1"/>
  <c r="BQ56" i="1"/>
  <c r="BM56" i="1"/>
  <c r="BI56" i="1"/>
  <c r="BE56" i="1"/>
  <c r="BA56" i="1"/>
  <c r="AW56" i="1"/>
  <c r="AS56" i="1"/>
  <c r="AO56" i="1"/>
  <c r="AK56" i="1"/>
  <c r="AG56" i="1"/>
  <c r="AC56" i="1"/>
  <c r="Y56" i="1"/>
  <c r="U56" i="1"/>
  <c r="Q56" i="1"/>
  <c r="J56" i="1"/>
  <c r="CK55" i="1"/>
  <c r="CG55" i="1"/>
  <c r="CC55" i="1"/>
  <c r="BY55" i="1"/>
  <c r="BU55" i="1"/>
  <c r="BQ55" i="1"/>
  <c r="BM55" i="1"/>
  <c r="BI55" i="1"/>
  <c r="BE55" i="1"/>
  <c r="BA55" i="1"/>
  <c r="AW55" i="1"/>
  <c r="AS55" i="1"/>
  <c r="AO55" i="1"/>
  <c r="AK55" i="1"/>
  <c r="AG55" i="1"/>
  <c r="AC55" i="1"/>
  <c r="Y55" i="1"/>
  <c r="U55" i="1"/>
  <c r="Q55" i="1"/>
  <c r="J55" i="1"/>
  <c r="CK54" i="1"/>
  <c r="CG54" i="1"/>
  <c r="CC54" i="1"/>
  <c r="BY54" i="1"/>
  <c r="BU54" i="1"/>
  <c r="BQ54" i="1"/>
  <c r="BM54" i="1"/>
  <c r="BI54" i="1"/>
  <c r="BE54" i="1"/>
  <c r="BA54" i="1"/>
  <c r="AW54" i="1"/>
  <c r="AS54" i="1"/>
  <c r="AO54" i="1"/>
  <c r="AK54" i="1"/>
  <c r="AG54" i="1"/>
  <c r="AC54" i="1"/>
  <c r="Y54" i="1"/>
  <c r="U54" i="1"/>
  <c r="Q54" i="1"/>
  <c r="J54" i="1"/>
  <c r="F54" i="1"/>
  <c r="CK53" i="1"/>
  <c r="CG53" i="1"/>
  <c r="CC53" i="1"/>
  <c r="BY53" i="1"/>
  <c r="BU53" i="1"/>
  <c r="BQ53" i="1"/>
  <c r="BM53" i="1"/>
  <c r="BI53" i="1"/>
  <c r="BE53" i="1"/>
  <c r="BA53" i="1"/>
  <c r="AW53" i="1"/>
  <c r="AS53" i="1"/>
  <c r="AO53" i="1"/>
  <c r="AK53" i="1"/>
  <c r="AG53" i="1"/>
  <c r="AC53" i="1"/>
  <c r="Y53" i="1"/>
  <c r="U53" i="1"/>
  <c r="Q53" i="1"/>
  <c r="J53" i="1"/>
  <c r="F53" i="1"/>
  <c r="CK52" i="1"/>
  <c r="CG52" i="1"/>
  <c r="CC52" i="1"/>
  <c r="BY52" i="1"/>
  <c r="BU52" i="1"/>
  <c r="BQ52" i="1"/>
  <c r="BM52" i="1"/>
  <c r="BI52" i="1"/>
  <c r="BE52" i="1"/>
  <c r="BA52" i="1"/>
  <c r="AW52" i="1"/>
  <c r="AS52" i="1"/>
  <c r="AO52" i="1"/>
  <c r="AK52" i="1"/>
  <c r="AG52" i="1"/>
  <c r="AC52" i="1"/>
  <c r="Y52" i="1"/>
  <c r="U52" i="1"/>
  <c r="Q52" i="1"/>
  <c r="J52" i="1"/>
  <c r="CK51" i="1"/>
  <c r="CG51" i="1"/>
  <c r="CC51" i="1"/>
  <c r="BY51" i="1"/>
  <c r="BU51" i="1"/>
  <c r="BQ51" i="1"/>
  <c r="BM51" i="1"/>
  <c r="BI51" i="1"/>
  <c r="BE51" i="1"/>
  <c r="BA51" i="1"/>
  <c r="AW51" i="1"/>
  <c r="AS51" i="1"/>
  <c r="AO51" i="1"/>
  <c r="AK51" i="1"/>
  <c r="AG51" i="1"/>
  <c r="AC51" i="1"/>
  <c r="Y51" i="1"/>
  <c r="U51" i="1"/>
  <c r="Q51" i="1"/>
  <c r="J51" i="1"/>
  <c r="F51" i="1"/>
  <c r="CK50" i="1"/>
  <c r="CG50" i="1"/>
  <c r="CC50" i="1"/>
  <c r="BY50" i="1"/>
  <c r="BU50" i="1"/>
  <c r="BQ50" i="1"/>
  <c r="BM50" i="1"/>
  <c r="BI50" i="1"/>
  <c r="BE50" i="1"/>
  <c r="BA50" i="1"/>
  <c r="AW50" i="1"/>
  <c r="AS50" i="1"/>
  <c r="AO50" i="1"/>
  <c r="AK50" i="1"/>
  <c r="AG50" i="1"/>
  <c r="AC50" i="1"/>
  <c r="Y50" i="1"/>
  <c r="U50" i="1"/>
  <c r="Q50" i="1"/>
  <c r="J50" i="1"/>
  <c r="CK49" i="1"/>
  <c r="CG49" i="1"/>
  <c r="CC49" i="1"/>
  <c r="BY49" i="1"/>
  <c r="BU49" i="1"/>
  <c r="BQ49" i="1"/>
  <c r="BM49" i="1"/>
  <c r="BI49" i="1"/>
  <c r="BE49" i="1"/>
  <c r="BA49" i="1"/>
  <c r="AW49" i="1"/>
  <c r="AS49" i="1"/>
  <c r="AO49" i="1"/>
  <c r="AK49" i="1"/>
  <c r="AG49" i="1"/>
  <c r="AC49" i="1"/>
  <c r="Y49" i="1"/>
  <c r="U49" i="1"/>
  <c r="Q49" i="1"/>
  <c r="J49" i="1"/>
  <c r="CK48" i="1"/>
  <c r="CG48" i="1"/>
  <c r="CC48" i="1"/>
  <c r="BY48" i="1"/>
  <c r="BU48" i="1"/>
  <c r="BQ48" i="1"/>
  <c r="BM48" i="1"/>
  <c r="BI48" i="1"/>
  <c r="BE48" i="1"/>
  <c r="BA48" i="1"/>
  <c r="AW48" i="1"/>
  <c r="AS48" i="1"/>
  <c r="AO48" i="1"/>
  <c r="AK48" i="1"/>
  <c r="AG48" i="1"/>
  <c r="AC48" i="1"/>
  <c r="Y48" i="1"/>
  <c r="U48" i="1"/>
  <c r="Q48" i="1"/>
  <c r="J48" i="1"/>
  <c r="F48" i="1"/>
  <c r="CK47" i="1"/>
  <c r="CG47" i="1"/>
  <c r="CC47" i="1"/>
  <c r="BY47" i="1"/>
  <c r="BU47" i="1"/>
  <c r="BQ47" i="1"/>
  <c r="BM47" i="1"/>
  <c r="BI47" i="1"/>
  <c r="BE47" i="1"/>
  <c r="BA47" i="1"/>
  <c r="AW47" i="1"/>
  <c r="AS47" i="1"/>
  <c r="AO47" i="1"/>
  <c r="AK47" i="1"/>
  <c r="AG47" i="1"/>
  <c r="AC47" i="1"/>
  <c r="Y47" i="1"/>
  <c r="U47" i="1"/>
  <c r="Q47" i="1"/>
  <c r="J47" i="1"/>
  <c r="F47" i="1"/>
  <c r="CK46" i="1"/>
  <c r="CG46" i="1"/>
  <c r="CC46" i="1"/>
  <c r="BY46" i="1"/>
  <c r="BU46" i="1"/>
  <c r="BQ46" i="1"/>
  <c r="BM46" i="1"/>
  <c r="BI46" i="1"/>
  <c r="BE46" i="1"/>
  <c r="BA46" i="1"/>
  <c r="AW46" i="1"/>
  <c r="AS46" i="1"/>
  <c r="AO46" i="1"/>
  <c r="AK46" i="1"/>
  <c r="AG46" i="1"/>
  <c r="AC46" i="1"/>
  <c r="Y46" i="1"/>
  <c r="U46" i="1"/>
  <c r="Q46" i="1"/>
  <c r="J46" i="1"/>
  <c r="F46" i="1"/>
  <c r="CK45" i="1"/>
  <c r="CG45" i="1"/>
  <c r="CC45" i="1"/>
  <c r="BY45" i="1"/>
  <c r="BU45" i="1"/>
  <c r="BQ45" i="1"/>
  <c r="BM45" i="1"/>
  <c r="BI45" i="1"/>
  <c r="BE45" i="1"/>
  <c r="BA45" i="1"/>
  <c r="AW45" i="1"/>
  <c r="AS45" i="1"/>
  <c r="AO45" i="1"/>
  <c r="AK45" i="1"/>
  <c r="AG45" i="1"/>
  <c r="AC45" i="1"/>
  <c r="Y45" i="1"/>
  <c r="U45" i="1"/>
  <c r="Q45" i="1"/>
  <c r="J45" i="1"/>
  <c r="CK44" i="1"/>
  <c r="CG44" i="1"/>
  <c r="CC44" i="1"/>
  <c r="BY44" i="1"/>
  <c r="BU44" i="1"/>
  <c r="BQ44" i="1"/>
  <c r="BM44" i="1"/>
  <c r="BI44" i="1"/>
  <c r="BE44" i="1"/>
  <c r="BA44" i="1"/>
  <c r="AW44" i="1"/>
  <c r="AS44" i="1"/>
  <c r="AO44" i="1"/>
  <c r="AK44" i="1"/>
  <c r="AG44" i="1"/>
  <c r="AC44" i="1"/>
  <c r="Y44" i="1"/>
  <c r="U44" i="1"/>
  <c r="Q44" i="1"/>
  <c r="J44" i="1"/>
  <c r="F44" i="1"/>
  <c r="CK43" i="1"/>
  <c r="CG43" i="1"/>
  <c r="CC43" i="1"/>
  <c r="BY43" i="1"/>
  <c r="BU43" i="1"/>
  <c r="BQ43" i="1"/>
  <c r="BM43" i="1"/>
  <c r="BI43" i="1"/>
  <c r="BE43" i="1"/>
  <c r="BA43" i="1"/>
  <c r="AW43" i="1"/>
  <c r="AS43" i="1"/>
  <c r="AO43" i="1"/>
  <c r="AK43" i="1"/>
  <c r="AG43" i="1"/>
  <c r="AC43" i="1"/>
  <c r="Y43" i="1"/>
  <c r="U43" i="1"/>
  <c r="Q43" i="1"/>
  <c r="J43" i="1"/>
  <c r="F43" i="1"/>
  <c r="CK42" i="1"/>
  <c r="CG42" i="1"/>
  <c r="CC42" i="1"/>
  <c r="BY42" i="1"/>
  <c r="BU42" i="1"/>
  <c r="BQ42" i="1"/>
  <c r="BM42" i="1"/>
  <c r="BI42" i="1"/>
  <c r="BE42" i="1"/>
  <c r="BA42" i="1"/>
  <c r="AW42" i="1"/>
  <c r="AS42" i="1"/>
  <c r="AO42" i="1"/>
  <c r="AK42" i="1"/>
  <c r="AG42" i="1"/>
  <c r="AC42" i="1"/>
  <c r="Y42" i="1"/>
  <c r="U42" i="1"/>
  <c r="Q42" i="1"/>
  <c r="J42" i="1"/>
  <c r="F42" i="1"/>
  <c r="CK41" i="1"/>
  <c r="CG41" i="1"/>
  <c r="CC41" i="1"/>
  <c r="BY41" i="1"/>
  <c r="BU41" i="1"/>
  <c r="BQ41" i="1"/>
  <c r="BM41" i="1"/>
  <c r="BI41" i="1"/>
  <c r="BE41" i="1"/>
  <c r="BA41" i="1"/>
  <c r="AW41" i="1"/>
  <c r="AS41" i="1"/>
  <c r="AO41" i="1"/>
  <c r="AK41" i="1"/>
  <c r="AG41" i="1"/>
  <c r="AC41" i="1"/>
  <c r="Y41" i="1"/>
  <c r="U41" i="1"/>
  <c r="Q41" i="1"/>
  <c r="J41" i="1"/>
  <c r="F41" i="1"/>
  <c r="CK40" i="1"/>
  <c r="CG40" i="1"/>
  <c r="CC40" i="1"/>
  <c r="BY40" i="1"/>
  <c r="BU40" i="1"/>
  <c r="BQ40" i="1"/>
  <c r="BM40" i="1"/>
  <c r="BI40" i="1"/>
  <c r="BE40" i="1"/>
  <c r="BA40" i="1"/>
  <c r="AW40" i="1"/>
  <c r="AS40" i="1"/>
  <c r="AO40" i="1"/>
  <c r="AK40" i="1"/>
  <c r="AG40" i="1"/>
  <c r="AC40" i="1"/>
  <c r="Y40" i="1"/>
  <c r="U40" i="1"/>
  <c r="Q40" i="1"/>
  <c r="J40" i="1"/>
  <c r="F40" i="1"/>
  <c r="CK39" i="1"/>
  <c r="CG39" i="1"/>
  <c r="CC39" i="1"/>
  <c r="BY39" i="1"/>
  <c r="BU39" i="1"/>
  <c r="BQ39" i="1"/>
  <c r="BM39" i="1"/>
  <c r="BI39" i="1"/>
  <c r="BE39" i="1"/>
  <c r="BA39" i="1"/>
  <c r="AW39" i="1"/>
  <c r="AS39" i="1"/>
  <c r="AO39" i="1"/>
  <c r="AK39" i="1"/>
  <c r="AG39" i="1"/>
  <c r="AC39" i="1"/>
  <c r="Y39" i="1"/>
  <c r="U39" i="1"/>
  <c r="Q39" i="1"/>
  <c r="J39" i="1"/>
  <c r="F39" i="1"/>
  <c r="CK38" i="1"/>
  <c r="CG38" i="1"/>
  <c r="CC38" i="1"/>
  <c r="BY38" i="1"/>
  <c r="BU38" i="1"/>
  <c r="BQ38" i="1"/>
  <c r="BM38" i="1"/>
  <c r="BI38" i="1"/>
  <c r="BE38" i="1"/>
  <c r="BA38" i="1"/>
  <c r="AW38" i="1"/>
  <c r="AS38" i="1"/>
  <c r="AO38" i="1"/>
  <c r="AK38" i="1"/>
  <c r="AG38" i="1"/>
  <c r="AC38" i="1"/>
  <c r="Y38" i="1"/>
  <c r="U38" i="1"/>
  <c r="Q38" i="1"/>
  <c r="J38" i="1"/>
  <c r="CK37" i="1"/>
  <c r="CG37" i="1"/>
  <c r="CC37" i="1"/>
  <c r="BY37" i="1"/>
  <c r="BU37" i="1"/>
  <c r="BQ37" i="1"/>
  <c r="BM37" i="1"/>
  <c r="BI37" i="1"/>
  <c r="BE37" i="1"/>
  <c r="BA37" i="1"/>
  <c r="AW37" i="1"/>
  <c r="AS37" i="1"/>
  <c r="AO37" i="1"/>
  <c r="AK37" i="1"/>
  <c r="AG37" i="1"/>
  <c r="AC37" i="1"/>
  <c r="Y37" i="1"/>
  <c r="U37" i="1"/>
  <c r="Q37" i="1"/>
  <c r="J37" i="1"/>
  <c r="CK36" i="1"/>
  <c r="CG36" i="1"/>
  <c r="CC36" i="1"/>
  <c r="BY36" i="1"/>
  <c r="BU36" i="1"/>
  <c r="BQ36" i="1"/>
  <c r="BM36" i="1"/>
  <c r="BI36" i="1"/>
  <c r="BE36" i="1"/>
  <c r="BA36" i="1"/>
  <c r="AW36" i="1"/>
  <c r="AS36" i="1"/>
  <c r="AO36" i="1"/>
  <c r="AK36" i="1"/>
  <c r="AG36" i="1"/>
  <c r="AC36" i="1"/>
  <c r="Y36" i="1"/>
  <c r="U36" i="1"/>
  <c r="Q36" i="1"/>
  <c r="J36" i="1"/>
  <c r="CK35" i="1"/>
  <c r="CG35" i="1"/>
  <c r="CC35" i="1"/>
  <c r="BY35" i="1"/>
  <c r="BU35" i="1"/>
  <c r="BQ35" i="1"/>
  <c r="BM35" i="1"/>
  <c r="BI35" i="1"/>
  <c r="BE35" i="1"/>
  <c r="BA35" i="1"/>
  <c r="AW35" i="1"/>
  <c r="AS35" i="1"/>
  <c r="AO35" i="1"/>
  <c r="AK35" i="1"/>
  <c r="AG35" i="1"/>
  <c r="AC35" i="1"/>
  <c r="Y35" i="1"/>
  <c r="U35" i="1"/>
  <c r="Q35" i="1"/>
  <c r="J35" i="1"/>
  <c r="G35" i="1"/>
  <c r="CK34" i="1"/>
  <c r="CG34" i="1"/>
  <c r="CC34" i="1"/>
  <c r="BY34" i="1"/>
  <c r="BU34" i="1"/>
  <c r="BQ34" i="1"/>
  <c r="BM34" i="1"/>
  <c r="BI34" i="1"/>
  <c r="BE34" i="1"/>
  <c r="BA34" i="1"/>
  <c r="AW34" i="1"/>
  <c r="AS34" i="1"/>
  <c r="AO34" i="1"/>
  <c r="AK34" i="1"/>
  <c r="AG34" i="1"/>
  <c r="AC34" i="1"/>
  <c r="Y34" i="1"/>
  <c r="U34" i="1"/>
  <c r="S34" i="1"/>
  <c r="P34" i="1"/>
  <c r="Q34" i="1" s="1"/>
  <c r="J34" i="1"/>
  <c r="CK33" i="1"/>
  <c r="CG33" i="1"/>
  <c r="CC33" i="1"/>
  <c r="BY33" i="1"/>
  <c r="BU33" i="1"/>
  <c r="BQ33" i="1"/>
  <c r="BM33" i="1"/>
  <c r="BI33" i="1"/>
  <c r="BE33" i="1"/>
  <c r="BA33" i="1"/>
  <c r="AW33" i="1"/>
  <c r="AS33" i="1"/>
  <c r="AO33" i="1"/>
  <c r="AK33" i="1"/>
  <c r="AG33" i="1"/>
  <c r="AC33" i="1"/>
  <c r="Y33" i="1"/>
  <c r="U33" i="1"/>
  <c r="S33" i="1"/>
  <c r="P33" i="1"/>
  <c r="Q33" i="1" s="1"/>
  <c r="J33" i="1"/>
  <c r="CK32" i="1"/>
  <c r="CG32" i="1"/>
  <c r="CC32" i="1"/>
  <c r="BY32" i="1"/>
  <c r="BU32" i="1"/>
  <c r="BQ32" i="1"/>
  <c r="BM32" i="1"/>
  <c r="BI32" i="1"/>
  <c r="BE32" i="1"/>
  <c r="BA32" i="1"/>
  <c r="AW32" i="1"/>
  <c r="AS32" i="1"/>
  <c r="AO32" i="1"/>
  <c r="AK32" i="1"/>
  <c r="AG32" i="1"/>
  <c r="AC32" i="1"/>
  <c r="Y32" i="1"/>
  <c r="U32" i="1"/>
  <c r="S32" i="1"/>
  <c r="P32" i="1"/>
  <c r="Q32" i="1" s="1"/>
  <c r="J32" i="1"/>
  <c r="CK31" i="1"/>
  <c r="CG31" i="1"/>
  <c r="CC31" i="1"/>
  <c r="BY31" i="1"/>
  <c r="BU31" i="1"/>
  <c r="BQ31" i="1"/>
  <c r="BM31" i="1"/>
  <c r="BI31" i="1"/>
  <c r="BE31" i="1"/>
  <c r="BA31" i="1"/>
  <c r="AW31" i="1"/>
  <c r="AS31" i="1"/>
  <c r="AO31" i="1"/>
  <c r="AK31" i="1"/>
  <c r="AG31" i="1"/>
  <c r="AC31" i="1"/>
  <c r="Y31" i="1"/>
  <c r="U31" i="1"/>
  <c r="Q31" i="1"/>
  <c r="J31" i="1"/>
  <c r="CK30" i="1"/>
  <c r="CG30" i="1"/>
  <c r="CC30" i="1"/>
  <c r="BY30" i="1"/>
  <c r="BU30" i="1"/>
  <c r="BQ30" i="1"/>
  <c r="BM30" i="1"/>
  <c r="BI30" i="1"/>
  <c r="BE30" i="1"/>
  <c r="BA30" i="1"/>
  <c r="AW30" i="1"/>
  <c r="AS30" i="1"/>
  <c r="AO30" i="1"/>
  <c r="AK30" i="1"/>
  <c r="AG30" i="1"/>
  <c r="AC30" i="1"/>
  <c r="Y30" i="1"/>
  <c r="U30" i="1"/>
  <c r="Q30" i="1"/>
  <c r="J30" i="1"/>
  <c r="CK29" i="1"/>
  <c r="CG29" i="1"/>
  <c r="CC29" i="1"/>
  <c r="BY29" i="1"/>
  <c r="BU29" i="1"/>
  <c r="BQ29" i="1"/>
  <c r="BM29" i="1"/>
  <c r="BI29" i="1"/>
  <c r="BE29" i="1"/>
  <c r="BA29" i="1"/>
  <c r="AW29" i="1"/>
  <c r="AS29" i="1"/>
  <c r="AO29" i="1"/>
  <c r="AK29" i="1"/>
  <c r="AG29" i="1"/>
  <c r="AC29" i="1"/>
  <c r="Y29" i="1"/>
  <c r="U29" i="1"/>
  <c r="Q29" i="1"/>
  <c r="J29" i="1"/>
  <c r="CK28" i="1"/>
  <c r="CG28" i="1"/>
  <c r="CC28" i="1"/>
  <c r="BY28" i="1"/>
  <c r="BU28" i="1"/>
  <c r="BQ28" i="1"/>
  <c r="BM28" i="1"/>
  <c r="BI28" i="1"/>
  <c r="BE28" i="1"/>
  <c r="BA28" i="1"/>
  <c r="AW28" i="1"/>
  <c r="AS28" i="1"/>
  <c r="AO28" i="1"/>
  <c r="AK28" i="1"/>
  <c r="AG28" i="1"/>
  <c r="AC28" i="1"/>
  <c r="Y28" i="1"/>
  <c r="U28" i="1"/>
  <c r="Q28" i="1"/>
  <c r="J28" i="1"/>
  <c r="CK27" i="1"/>
  <c r="CG27" i="1"/>
  <c r="CC27" i="1"/>
  <c r="BY27" i="1"/>
  <c r="BU27" i="1"/>
  <c r="BQ27" i="1"/>
  <c r="BM27" i="1"/>
  <c r="BI27" i="1"/>
  <c r="BE27" i="1"/>
  <c r="BA27" i="1"/>
  <c r="AW27" i="1"/>
  <c r="AS27" i="1"/>
  <c r="AO27" i="1"/>
  <c r="AK27" i="1"/>
  <c r="AG27" i="1"/>
  <c r="AC27" i="1"/>
  <c r="Y27" i="1"/>
  <c r="U27" i="1"/>
  <c r="Q27" i="1"/>
  <c r="J27" i="1"/>
  <c r="CK26" i="1"/>
  <c r="CG26" i="1"/>
  <c r="CC26" i="1"/>
  <c r="BY26" i="1"/>
  <c r="BU26" i="1"/>
  <c r="BQ26" i="1"/>
  <c r="BM26" i="1"/>
  <c r="BI26" i="1"/>
  <c r="BE26" i="1"/>
  <c r="BA26" i="1"/>
  <c r="AW26" i="1"/>
  <c r="AS26" i="1"/>
  <c r="AO26" i="1"/>
  <c r="AK26" i="1"/>
  <c r="AG26" i="1"/>
  <c r="AC26" i="1"/>
  <c r="Y26" i="1"/>
  <c r="U26" i="1"/>
  <c r="Q26" i="1"/>
  <c r="J26" i="1"/>
  <c r="CK25" i="1"/>
  <c r="CG25" i="1"/>
  <c r="CC25" i="1"/>
  <c r="BY25" i="1"/>
  <c r="BU25" i="1"/>
  <c r="BQ25" i="1"/>
  <c r="BM25" i="1"/>
  <c r="BI25" i="1"/>
  <c r="BE25" i="1"/>
  <c r="BA25" i="1"/>
  <c r="AW25" i="1"/>
  <c r="AS25" i="1"/>
  <c r="AO25" i="1"/>
  <c r="AK25" i="1"/>
  <c r="AG25" i="1"/>
  <c r="AC25" i="1"/>
  <c r="Y25" i="1"/>
  <c r="U25" i="1"/>
  <c r="Q25" i="1"/>
  <c r="J25" i="1"/>
  <c r="CK24" i="1"/>
  <c r="CG24" i="1"/>
  <c r="CC24" i="1"/>
  <c r="BY24" i="1"/>
  <c r="BU24" i="1"/>
  <c r="BQ24" i="1"/>
  <c r="BM24" i="1"/>
  <c r="BI24" i="1"/>
  <c r="BE24" i="1"/>
  <c r="BA24" i="1"/>
  <c r="AW24" i="1"/>
  <c r="AS24" i="1"/>
  <c r="AO24" i="1"/>
  <c r="AK24" i="1"/>
  <c r="AG24" i="1"/>
  <c r="AC24" i="1"/>
  <c r="Y24" i="1"/>
  <c r="U24" i="1"/>
  <c r="Q24" i="1"/>
  <c r="H24" i="1"/>
  <c r="J24" i="1" s="1"/>
  <c r="CK23" i="1"/>
  <c r="CG23" i="1"/>
  <c r="CC23" i="1"/>
  <c r="BY23" i="1"/>
  <c r="BU23" i="1"/>
  <c r="BQ23" i="1"/>
  <c r="BM23" i="1"/>
  <c r="BI23" i="1"/>
  <c r="BE23" i="1"/>
  <c r="BA23" i="1"/>
  <c r="AW23" i="1"/>
  <c r="AS23" i="1"/>
  <c r="AO23" i="1"/>
  <c r="AK23" i="1"/>
  <c r="AG23" i="1"/>
  <c r="AC23" i="1"/>
  <c r="Y23" i="1"/>
  <c r="U23" i="1"/>
  <c r="Q23" i="1"/>
  <c r="H23" i="1"/>
  <c r="J23" i="1" s="1"/>
  <c r="CK22" i="1"/>
  <c r="CG22" i="1"/>
  <c r="CC22" i="1"/>
  <c r="BY22" i="1"/>
  <c r="BU22" i="1"/>
  <c r="BQ22" i="1"/>
  <c r="BM22" i="1"/>
  <c r="BI22" i="1"/>
  <c r="BE22" i="1"/>
  <c r="BA22" i="1"/>
  <c r="AW22" i="1"/>
  <c r="AS22" i="1"/>
  <c r="AO22" i="1"/>
  <c r="AK22" i="1"/>
  <c r="AG22" i="1"/>
  <c r="AC22" i="1"/>
  <c r="Y22" i="1"/>
  <c r="U22" i="1"/>
  <c r="S22" i="1"/>
  <c r="P22" i="1"/>
  <c r="Q22" i="1" s="1"/>
  <c r="J22" i="1"/>
  <c r="CK21" i="1"/>
  <c r="CG21" i="1"/>
  <c r="CC21" i="1"/>
  <c r="BY21" i="1"/>
  <c r="BU21" i="1"/>
  <c r="BQ21" i="1"/>
  <c r="BM21" i="1"/>
  <c r="BI21" i="1"/>
  <c r="BE21" i="1"/>
  <c r="BA21" i="1"/>
  <c r="AW21" i="1"/>
  <c r="AS21" i="1"/>
  <c r="AO21" i="1"/>
  <c r="AK21" i="1"/>
  <c r="AG21" i="1"/>
  <c r="AC21" i="1"/>
  <c r="Y21" i="1"/>
  <c r="U21" i="1"/>
  <c r="S21" i="1"/>
  <c r="P21" i="1"/>
  <c r="Q21" i="1" s="1"/>
  <c r="J21" i="1"/>
  <c r="CK20" i="1"/>
  <c r="CG20" i="1"/>
  <c r="CC20" i="1"/>
  <c r="BY20" i="1"/>
  <c r="BU20" i="1"/>
  <c r="BQ20" i="1"/>
  <c r="BM20" i="1"/>
  <c r="BI20" i="1"/>
  <c r="BE20" i="1"/>
  <c r="BA20" i="1"/>
  <c r="AW20" i="1"/>
  <c r="AS20" i="1"/>
  <c r="AO20" i="1"/>
  <c r="AK20" i="1"/>
  <c r="AG20" i="1"/>
  <c r="AC20" i="1"/>
  <c r="Y20" i="1"/>
  <c r="U20" i="1"/>
  <c r="S20" i="1"/>
  <c r="P20" i="1"/>
  <c r="Q20" i="1" s="1"/>
  <c r="J20" i="1"/>
  <c r="CK19" i="1"/>
  <c r="CG19" i="1"/>
  <c r="CC19" i="1"/>
  <c r="BY19" i="1"/>
  <c r="BU19" i="1"/>
  <c r="BQ19" i="1"/>
  <c r="BM19" i="1"/>
  <c r="BI19" i="1"/>
  <c r="BE19" i="1"/>
  <c r="BC19" i="1"/>
  <c r="BB19" i="1"/>
  <c r="BA19" i="1"/>
  <c r="AW19" i="1"/>
  <c r="AS19" i="1"/>
  <c r="AO19" i="1"/>
  <c r="AK19" i="1"/>
  <c r="AG19" i="1"/>
  <c r="AC19" i="1"/>
  <c r="Y19" i="1"/>
  <c r="U19" i="1"/>
  <c r="P19" i="1"/>
  <c r="S19" i="1" s="1"/>
  <c r="J19" i="1"/>
  <c r="CK18" i="1"/>
  <c r="CG18" i="1"/>
  <c r="CC18" i="1"/>
  <c r="BY18" i="1"/>
  <c r="BU18" i="1"/>
  <c r="BQ18" i="1"/>
  <c r="BM18" i="1"/>
  <c r="BI18" i="1"/>
  <c r="BE18" i="1"/>
  <c r="BC18" i="1"/>
  <c r="BB18" i="1"/>
  <c r="BA18" i="1"/>
  <c r="AW18" i="1"/>
  <c r="AS18" i="1"/>
  <c r="AO18" i="1"/>
  <c r="AK18" i="1"/>
  <c r="AG18" i="1"/>
  <c r="AC18" i="1"/>
  <c r="Y18" i="1"/>
  <c r="U18" i="1"/>
  <c r="Q18" i="1"/>
  <c r="J18" i="1"/>
  <c r="CK17" i="1"/>
  <c r="CG17" i="1"/>
  <c r="CC17" i="1"/>
  <c r="BY17" i="1"/>
  <c r="BU17" i="1"/>
  <c r="BQ17" i="1"/>
  <c r="BM17" i="1"/>
  <c r="BI17" i="1"/>
  <c r="BE17" i="1"/>
  <c r="BA17" i="1"/>
  <c r="AW17" i="1"/>
  <c r="AS17" i="1"/>
  <c r="AO17" i="1"/>
  <c r="AK17" i="1"/>
  <c r="AG17" i="1"/>
  <c r="AC17" i="1"/>
  <c r="Y17" i="1"/>
  <c r="U17" i="1"/>
  <c r="Q17" i="1"/>
  <c r="J17" i="1"/>
  <c r="CK16" i="1"/>
  <c r="CG16" i="1"/>
  <c r="CC16" i="1"/>
  <c r="BY16" i="1"/>
  <c r="BU16" i="1"/>
  <c r="BQ16" i="1"/>
  <c r="BM16" i="1"/>
  <c r="BI16" i="1"/>
  <c r="BE16" i="1"/>
  <c r="BA16" i="1"/>
  <c r="AW16" i="1"/>
  <c r="AS16" i="1"/>
  <c r="AO16" i="1"/>
  <c r="AK16" i="1"/>
  <c r="AG16" i="1"/>
  <c r="AC16" i="1"/>
  <c r="Y16" i="1"/>
  <c r="U16" i="1"/>
  <c r="Q16" i="1"/>
  <c r="J16" i="1"/>
  <c r="CK15" i="1"/>
  <c r="CG15" i="1"/>
  <c r="CC15" i="1"/>
  <c r="BY15" i="1"/>
  <c r="BU15" i="1"/>
  <c r="BQ15" i="1"/>
  <c r="BM15" i="1"/>
  <c r="BI15" i="1"/>
  <c r="BE15" i="1"/>
  <c r="BA15" i="1"/>
  <c r="AW15" i="1"/>
  <c r="AS15" i="1"/>
  <c r="AO15" i="1"/>
  <c r="AK15" i="1"/>
  <c r="AG15" i="1"/>
  <c r="AC15" i="1"/>
  <c r="Y15" i="1"/>
  <c r="U15" i="1"/>
  <c r="Q15" i="1"/>
  <c r="J15" i="1"/>
  <c r="CK14" i="1"/>
  <c r="CG14" i="1"/>
  <c r="CC14" i="1"/>
  <c r="BY14" i="1"/>
  <c r="BU14" i="1"/>
  <c r="BQ14" i="1"/>
  <c r="BM14" i="1"/>
  <c r="BI14" i="1"/>
  <c r="BE14" i="1"/>
  <c r="BA14" i="1"/>
  <c r="AW14" i="1"/>
  <c r="AS14" i="1"/>
  <c r="AO14" i="1"/>
  <c r="AK14" i="1"/>
  <c r="AG14" i="1"/>
  <c r="AC14" i="1"/>
  <c r="Y14" i="1"/>
  <c r="U14" i="1"/>
  <c r="Q14" i="1"/>
  <c r="J14" i="1"/>
  <c r="CK13" i="1"/>
  <c r="CG13" i="1"/>
  <c r="CC13" i="1"/>
  <c r="BY13" i="1"/>
  <c r="BU13" i="1"/>
  <c r="BQ13" i="1"/>
  <c r="BM13" i="1"/>
  <c r="BI13" i="1"/>
  <c r="BE13" i="1"/>
  <c r="BA13" i="1"/>
  <c r="AW13" i="1"/>
  <c r="AS13" i="1"/>
  <c r="AO13" i="1"/>
  <c r="AK13" i="1"/>
  <c r="AG13" i="1"/>
  <c r="AC13" i="1"/>
  <c r="Y13" i="1"/>
  <c r="U13" i="1"/>
  <c r="Q13" i="1"/>
  <c r="J13" i="1"/>
  <c r="CK12" i="1"/>
  <c r="CG12" i="1"/>
  <c r="CC12" i="1"/>
  <c r="BY12" i="1"/>
  <c r="BU12" i="1"/>
  <c r="BQ12" i="1"/>
  <c r="BM12" i="1"/>
  <c r="BI12" i="1"/>
  <c r="BE12" i="1"/>
  <c r="BA12" i="1"/>
  <c r="AW12" i="1"/>
  <c r="AS12" i="1"/>
  <c r="AO12" i="1"/>
  <c r="AK12" i="1"/>
  <c r="AG12" i="1"/>
  <c r="AC12" i="1"/>
  <c r="Y12" i="1"/>
  <c r="U12" i="1"/>
  <c r="Q12" i="1"/>
  <c r="H12" i="1"/>
  <c r="J12" i="1" s="1"/>
  <c r="CK11" i="1"/>
  <c r="CG11" i="1"/>
  <c r="CC11" i="1"/>
  <c r="BY11" i="1"/>
  <c r="BU11" i="1"/>
  <c r="BQ11" i="1"/>
  <c r="BM11" i="1"/>
  <c r="BI11" i="1"/>
  <c r="BE11" i="1"/>
  <c r="BA11" i="1"/>
  <c r="AW11" i="1"/>
  <c r="AS11" i="1"/>
  <c r="AO11" i="1"/>
  <c r="AK11" i="1"/>
  <c r="AG11" i="1"/>
  <c r="AC11" i="1"/>
  <c r="Y11" i="1"/>
  <c r="U11" i="1"/>
  <c r="Q11" i="1"/>
  <c r="H11" i="1"/>
  <c r="J11" i="1" s="1"/>
  <c r="AE10" i="1"/>
  <c r="S10" i="1"/>
  <c r="M10" i="1"/>
  <c r="CO10" i="1" s="1"/>
  <c r="J10" i="1"/>
  <c r="AE9" i="1"/>
  <c r="S9" i="1"/>
  <c r="M9" i="1"/>
  <c r="CO9" i="1" s="1"/>
  <c r="J9" i="1"/>
  <c r="AE8" i="1"/>
  <c r="S8" i="1"/>
  <c r="M8" i="1"/>
  <c r="CC8" i="1" s="1"/>
  <c r="J8" i="1"/>
  <c r="S7" i="1"/>
  <c r="M7" i="1"/>
  <c r="BE7" i="1" s="1"/>
  <c r="J7" i="1"/>
  <c r="AE6" i="1"/>
  <c r="S6" i="1"/>
  <c r="M6" i="1"/>
  <c r="CO6" i="1" s="1"/>
  <c r="J6" i="1"/>
  <c r="AE5" i="1"/>
  <c r="S5" i="1"/>
  <c r="M5" i="1"/>
  <c r="BI5" i="1" s="1"/>
  <c r="J5" i="1"/>
  <c r="AE4" i="1"/>
  <c r="S4" i="1"/>
  <c r="M4" i="1"/>
  <c r="CC4" i="1" s="1"/>
  <c r="J4" i="1"/>
  <c r="AE3" i="1"/>
  <c r="S3" i="1"/>
  <c r="M3" i="1"/>
  <c r="CO3" i="1" s="1"/>
  <c r="J3" i="1"/>
  <c r="AE2" i="1"/>
  <c r="S2" i="1"/>
  <c r="M2" i="1"/>
  <c r="BQ2" i="1" s="1"/>
  <c r="J2" i="1"/>
  <c r="U9" i="1" l="1"/>
  <c r="Y9" i="1"/>
  <c r="AC100" i="1"/>
  <c r="Y75" i="1"/>
  <c r="AG77" i="1"/>
  <c r="AW75" i="1"/>
  <c r="AK9" i="1"/>
  <c r="BQ75" i="1"/>
  <c r="Q76" i="1"/>
  <c r="BM76" i="1"/>
  <c r="AG76" i="1"/>
  <c r="CC76" i="1"/>
  <c r="AS76" i="1"/>
  <c r="BI8" i="1"/>
  <c r="AO4" i="1"/>
  <c r="AS5" i="1"/>
  <c r="AG6" i="1"/>
  <c r="AW9" i="1"/>
  <c r="BU10" i="1"/>
  <c r="BY76" i="1"/>
  <c r="Q77" i="1"/>
  <c r="BI4" i="1"/>
  <c r="AW5" i="1"/>
  <c r="AK6" i="1"/>
  <c r="CC9" i="1"/>
  <c r="Y10" i="1"/>
  <c r="U4" i="1"/>
  <c r="U5" i="1"/>
  <c r="BY5" i="1"/>
  <c r="U6" i="1"/>
  <c r="BQ6" i="1"/>
  <c r="Y7" i="1"/>
  <c r="AC10" i="1"/>
  <c r="U76" i="1"/>
  <c r="BM2" i="1"/>
  <c r="AK3" i="1"/>
  <c r="AW100" i="1"/>
  <c r="Q2" i="1"/>
  <c r="AG2" i="1"/>
  <c r="AO3" i="1"/>
  <c r="CG4" i="1"/>
  <c r="CO4" i="1"/>
  <c r="AC4" i="1"/>
  <c r="AS4" i="1"/>
  <c r="BM4" i="1"/>
  <c r="CK4" i="1"/>
  <c r="CC5" i="1"/>
  <c r="CC6" i="1"/>
  <c r="CK8" i="1"/>
  <c r="CO8" i="1"/>
  <c r="AG8" i="1"/>
  <c r="BM8" i="1"/>
  <c r="BY75" i="1"/>
  <c r="CO75" i="1"/>
  <c r="AG75" i="1"/>
  <c r="BA75" i="1"/>
  <c r="BU75" i="1"/>
  <c r="BM77" i="1"/>
  <c r="CK77" i="1"/>
  <c r="Q100" i="1"/>
  <c r="AG100" i="1"/>
  <c r="BY100" i="1"/>
  <c r="CO2" i="1"/>
  <c r="BE2" i="1"/>
  <c r="CG100" i="1"/>
  <c r="BQ100" i="1"/>
  <c r="AK2" i="1"/>
  <c r="CG2" i="1"/>
  <c r="Y3" i="1"/>
  <c r="BQ3" i="1"/>
  <c r="Q4" i="1"/>
  <c r="AW4" i="1"/>
  <c r="BU4" i="1"/>
  <c r="Y6" i="1"/>
  <c r="AW6" i="1"/>
  <c r="AS8" i="1"/>
  <c r="BQ8" i="1"/>
  <c r="BM9" i="1"/>
  <c r="Q75" i="1"/>
  <c r="AK75" i="1"/>
  <c r="BE75" i="1"/>
  <c r="CC75" i="1"/>
  <c r="CK76" i="1"/>
  <c r="CO76" i="1"/>
  <c r="AK76" i="1"/>
  <c r="BI76" i="1"/>
  <c r="AK77" i="1"/>
  <c r="U100" i="1"/>
  <c r="AK100" i="1"/>
  <c r="BI100" i="1"/>
  <c r="CC100" i="1"/>
  <c r="CN100" i="1"/>
  <c r="CQ100" i="1" s="1"/>
  <c r="CK100" i="1"/>
  <c r="U2" i="1"/>
  <c r="BA2" i="1"/>
  <c r="BU3" i="1"/>
  <c r="AG4" i="1"/>
  <c r="BE4" i="1"/>
  <c r="BY4" i="1"/>
  <c r="CK5" i="1"/>
  <c r="CO5" i="1"/>
  <c r="AG5" i="1"/>
  <c r="BM5" i="1"/>
  <c r="BM6" i="1"/>
  <c r="AC7" i="1"/>
  <c r="CO7" i="1"/>
  <c r="CK7" i="1"/>
  <c r="U8" i="1"/>
  <c r="AW8" i="1"/>
  <c r="BY8" i="1"/>
  <c r="AG9" i="1"/>
  <c r="BQ9" i="1"/>
  <c r="AO10" i="1"/>
  <c r="U75" i="1"/>
  <c r="AO75" i="1"/>
  <c r="BM75" i="1"/>
  <c r="CG75" i="1"/>
  <c r="BA77" i="1"/>
  <c r="CO77" i="1"/>
  <c r="BE77" i="1"/>
  <c r="BM100" i="1"/>
  <c r="CC10" i="1"/>
  <c r="BM10" i="1"/>
  <c r="AW10" i="1"/>
  <c r="AG10" i="1"/>
  <c r="U10" i="1"/>
  <c r="BI10" i="1"/>
  <c r="AS10" i="1"/>
  <c r="BY10" i="1"/>
  <c r="CG10" i="1"/>
  <c r="CG7" i="1"/>
  <c r="BQ7" i="1"/>
  <c r="BA7" i="1"/>
  <c r="AK7" i="1"/>
  <c r="U7" i="1"/>
  <c r="CC7" i="1"/>
  <c r="BM7" i="1"/>
  <c r="AW7" i="1"/>
  <c r="AG7" i="1"/>
  <c r="BI7" i="1"/>
  <c r="BA10" i="1"/>
  <c r="CC3" i="1"/>
  <c r="BM3" i="1"/>
  <c r="AW3" i="1"/>
  <c r="AG3" i="1"/>
  <c r="U3" i="1"/>
  <c r="BY3" i="1"/>
  <c r="BI3" i="1"/>
  <c r="AS3" i="1"/>
  <c r="AC3" i="1"/>
  <c r="BA3" i="1"/>
  <c r="CG3" i="1"/>
  <c r="Q7" i="1"/>
  <c r="AO7" i="1"/>
  <c r="BU7" i="1"/>
  <c r="Q10" i="1"/>
  <c r="BE10" i="1"/>
  <c r="CK10" i="1"/>
  <c r="BY2" i="1"/>
  <c r="BI2" i="1"/>
  <c r="AS2" i="1"/>
  <c r="CK2" i="1"/>
  <c r="BU2" i="1"/>
  <c r="AO2" i="1"/>
  <c r="AC2" i="1"/>
  <c r="Y2" i="1"/>
  <c r="AW2" i="1"/>
  <c r="CC2" i="1"/>
  <c r="Q3" i="1"/>
  <c r="BE3" i="1"/>
  <c r="CK3" i="1"/>
  <c r="BY6" i="1"/>
  <c r="BI6" i="1"/>
  <c r="AS6" i="1"/>
  <c r="CK6" i="1"/>
  <c r="BU6" i="1"/>
  <c r="BE6" i="1"/>
  <c r="AO6" i="1"/>
  <c r="AC6" i="1"/>
  <c r="Q6" i="1"/>
  <c r="BA6" i="1"/>
  <c r="CG6" i="1"/>
  <c r="AS7" i="1"/>
  <c r="BY7" i="1"/>
  <c r="BY9" i="1"/>
  <c r="BI9" i="1"/>
  <c r="AS9" i="1"/>
  <c r="CK9" i="1"/>
  <c r="BE9" i="1"/>
  <c r="AC9" i="1"/>
  <c r="BU9" i="1"/>
  <c r="AO9" i="1"/>
  <c r="Q9" i="1"/>
  <c r="BA9" i="1"/>
  <c r="CG9" i="1"/>
  <c r="AK10" i="1"/>
  <c r="BQ10" i="1"/>
  <c r="AC75" i="1"/>
  <c r="AS75" i="1"/>
  <c r="BI75" i="1"/>
  <c r="Y76" i="1"/>
  <c r="AO76" i="1"/>
  <c r="BA76" i="1"/>
  <c r="BQ76" i="1"/>
  <c r="CG76" i="1"/>
  <c r="U77" i="1"/>
  <c r="BQ77" i="1"/>
  <c r="CC77" i="1"/>
  <c r="Y5" i="1"/>
  <c r="AK5" i="1"/>
  <c r="BA5" i="1"/>
  <c r="BQ5" i="1"/>
  <c r="CG5" i="1"/>
  <c r="Y8" i="1"/>
  <c r="AK8" i="1"/>
  <c r="BA8" i="1"/>
  <c r="CG8" i="1"/>
  <c r="Y4" i="1"/>
  <c r="AK4" i="1"/>
  <c r="BA4" i="1"/>
  <c r="BQ4" i="1"/>
  <c r="Q5" i="1"/>
  <c r="AC5" i="1"/>
  <c r="AO5" i="1"/>
  <c r="BE5" i="1"/>
  <c r="BU5" i="1"/>
  <c r="Q8" i="1"/>
  <c r="AC8" i="1"/>
  <c r="AO8" i="1"/>
  <c r="BE8" i="1"/>
  <c r="BU8" i="1"/>
  <c r="AC76" i="1"/>
  <c r="BE76" i="1"/>
  <c r="BU76" i="1"/>
  <c r="Y100" i="1"/>
  <c r="AO100" i="1"/>
  <c r="BE100" i="1"/>
  <c r="BU100" i="1"/>
  <c r="CG77" i="1"/>
  <c r="BA79" i="1"/>
  <c r="Q19" i="1"/>
  <c r="AC74" i="1"/>
  <c r="AC77" i="1"/>
  <c r="AS77" i="1"/>
  <c r="S100" i="1"/>
  <c r="BK77" i="1"/>
  <c r="BU77" i="1"/>
  <c r="CA100" i="1"/>
  <c r="Y77" i="1"/>
  <c r="AO77" i="1"/>
  <c r="AU77" i="1"/>
  <c r="AS100" i="1"/>
  <c r="AA77" i="1"/>
  <c r="AQ77" i="1"/>
  <c r="BI77" i="1"/>
  <c r="BY77" i="1"/>
  <c r="BE79" i="1"/>
  <c r="J88" i="1"/>
  <c r="J91" i="1"/>
  <c r="J90" i="1"/>
  <c r="J89" i="1"/>
  <c r="CO100" i="1" l="1"/>
</calcChain>
</file>

<file path=xl/sharedStrings.xml><?xml version="1.0" encoding="utf-8"?>
<sst xmlns="http://schemas.openxmlformats.org/spreadsheetml/2006/main" count="1006" uniqueCount="294">
  <si>
    <t>Code</t>
  </si>
  <si>
    <t>year</t>
  </si>
  <si>
    <t>VS-OA2</t>
  </si>
  <si>
    <t>VS-OA3</t>
  </si>
  <si>
    <t>failure</t>
  </si>
  <si>
    <t>VS-A1</t>
  </si>
  <si>
    <t>VS-A2</t>
  </si>
  <si>
    <t>VS-A3</t>
  </si>
  <si>
    <t>VS-B1</t>
  </si>
  <si>
    <t>VS-B2</t>
  </si>
  <si>
    <t>VS-B3</t>
  </si>
  <si>
    <t>VS-C1</t>
  </si>
  <si>
    <t>VS-C2</t>
  </si>
  <si>
    <t>VS-C3</t>
  </si>
  <si>
    <t>BS-OA1</t>
  </si>
  <si>
    <t>BS-OA2</t>
  </si>
  <si>
    <t>BS-OA3</t>
  </si>
  <si>
    <t>BS-A1</t>
  </si>
  <si>
    <t>BS-A2</t>
  </si>
  <si>
    <t>BS-A3</t>
  </si>
  <si>
    <t>BS-B1</t>
  </si>
  <si>
    <t>BS-B2</t>
  </si>
  <si>
    <t>BS-B3</t>
  </si>
  <si>
    <t>BS-C1</t>
  </si>
  <si>
    <t>BS-C2</t>
  </si>
  <si>
    <t>BS-C3</t>
  </si>
  <si>
    <t>Pu(kN)</t>
  </si>
  <si>
    <t>SE50A-45</t>
  </si>
  <si>
    <t>F</t>
  </si>
  <si>
    <t>S</t>
  </si>
  <si>
    <t>RB2</t>
  </si>
  <si>
    <t>A122B1</t>
  </si>
  <si>
    <t>Yang</t>
  </si>
  <si>
    <t>A121A3</t>
  </si>
  <si>
    <t>A121A1</t>
  </si>
  <si>
    <t>A123B1</t>
  </si>
  <si>
    <t>A901A1</t>
  </si>
  <si>
    <t>A901A3</t>
  </si>
  <si>
    <t>A902A1</t>
  </si>
  <si>
    <t>C751A1</t>
  </si>
  <si>
    <t>Choulli</t>
  </si>
  <si>
    <t>Prestressed</t>
  </si>
  <si>
    <t>HCP2TE</t>
  </si>
  <si>
    <t>HCP2TW</t>
  </si>
  <si>
    <t>HCP1TE</t>
  </si>
  <si>
    <t>HCP1TW</t>
  </si>
  <si>
    <t>HAP2TE</t>
  </si>
  <si>
    <t>HAP2TW</t>
  </si>
  <si>
    <t>HAP2E</t>
  </si>
  <si>
    <t>HAP1W</t>
  </si>
  <si>
    <t>Foster/Gilbert</t>
  </si>
  <si>
    <t>B3.0A-4</t>
  </si>
  <si>
    <t>B2.0-1</t>
  </si>
  <si>
    <t>B2.0A-4</t>
  </si>
  <si>
    <t>B3.0-1</t>
  </si>
  <si>
    <t>PB1</t>
  </si>
  <si>
    <t>PB2</t>
  </si>
  <si>
    <t>PB4</t>
  </si>
  <si>
    <t>Koch et al</t>
  </si>
  <si>
    <t>Sun and Kuchma</t>
  </si>
  <si>
    <t>Koch en Rostacy</t>
  </si>
  <si>
    <t>Rashid &amp; Mansur</t>
  </si>
  <si>
    <t>A111</t>
  </si>
  <si>
    <t>A211</t>
  </si>
  <si>
    <t>B211a</t>
  </si>
  <si>
    <t>B311</t>
  </si>
  <si>
    <t>B312</t>
  </si>
  <si>
    <t>B313</t>
  </si>
  <si>
    <t>B411</t>
  </si>
  <si>
    <t>C211</t>
  </si>
  <si>
    <t>C311</t>
  </si>
  <si>
    <t>C411</t>
  </si>
  <si>
    <t>C511</t>
  </si>
  <si>
    <t>D211</t>
  </si>
  <si>
    <t>E211</t>
  </si>
  <si>
    <t>B321</t>
  </si>
  <si>
    <t>B331</t>
  </si>
  <si>
    <t>B-N2</t>
  </si>
  <si>
    <t>B-N3</t>
  </si>
  <si>
    <t>B-M2</t>
  </si>
  <si>
    <t>B-M3</t>
  </si>
  <si>
    <t>B-M4</t>
  </si>
  <si>
    <t>B-H2</t>
  </si>
  <si>
    <t>B-H3</t>
  </si>
  <si>
    <t>B-H4</t>
  </si>
  <si>
    <t>Ashour</t>
  </si>
  <si>
    <t>Bresler-Scordelis</t>
  </si>
  <si>
    <t>Vecchio &amp; Shim</t>
  </si>
  <si>
    <t>Paper</t>
  </si>
  <si>
    <t>Graph</t>
  </si>
  <si>
    <t>y</t>
  </si>
  <si>
    <t>n</t>
  </si>
  <si>
    <t>Experimental and Analytical Reexamination of Classic Concrete Beam Tests</t>
  </si>
  <si>
    <t>Measurement Report on the Transition between Flexural and Shear Failure of RC Beams without Shear Reinforcement</t>
  </si>
  <si>
    <t>Shear Behavior of Prestressed I-Beams made with High-Strength Self Compacting Concrete</t>
  </si>
  <si>
    <t>Experimental studies on high strength concrete deep beams</t>
  </si>
  <si>
    <t>Effect of compressive strength and tensile reinforcement ratio on ﬂexural behavior of high-strength concrete beam</t>
  </si>
  <si>
    <t>Reinforced High-Strength Concrete Beams in Flexure</t>
  </si>
  <si>
    <t>B701A1</t>
  </si>
  <si>
    <t>B701A2</t>
  </si>
  <si>
    <t>B701A3</t>
  </si>
  <si>
    <t>B701B1</t>
  </si>
  <si>
    <t>B701B2</t>
  </si>
  <si>
    <t>B702A1</t>
  </si>
  <si>
    <t>B501B1</t>
  </si>
  <si>
    <t>B502A1</t>
  </si>
  <si>
    <t>C751B1</t>
  </si>
  <si>
    <t>C901A3</t>
  </si>
  <si>
    <t>C451B1</t>
  </si>
  <si>
    <t>C451A2</t>
  </si>
  <si>
    <t>RTD 1016-3B(2017) version 1.0 Validation of the guidelines for NLFEA of RC structures Part Pre-stressed beams</t>
  </si>
  <si>
    <t>RTD 1016-3A(2017) version 1.0 Validation of the guidelines for NLFEA of RC structures Part Reinforced beams</t>
  </si>
  <si>
    <t>Mesh</t>
  </si>
  <si>
    <t>Tensile</t>
  </si>
  <si>
    <t>Crack</t>
  </si>
  <si>
    <t>h/20</t>
  </si>
  <si>
    <t>rotate</t>
  </si>
  <si>
    <t>Step</t>
  </si>
  <si>
    <t>P/50</t>
  </si>
  <si>
    <t>Conv</t>
  </si>
  <si>
    <t>AL+LS</t>
  </si>
  <si>
    <t>rNR40</t>
  </si>
  <si>
    <t>fixed(dmg)</t>
  </si>
  <si>
    <t>h/10</t>
  </si>
  <si>
    <t>fctm</t>
  </si>
  <si>
    <t>Author</t>
  </si>
  <si>
    <t>Model</t>
  </si>
  <si>
    <t>B-N4</t>
  </si>
  <si>
    <t>h [mm]</t>
  </si>
  <si>
    <t>ShearReinfo</t>
  </si>
  <si>
    <t>N</t>
  </si>
  <si>
    <t>Y</t>
  </si>
  <si>
    <t>N90NORTH</t>
  </si>
  <si>
    <t>N155NORTH</t>
  </si>
  <si>
    <t>N220NORTH</t>
  </si>
  <si>
    <t>N350NORTH</t>
  </si>
  <si>
    <t>N485NORTH</t>
  </si>
  <si>
    <t>N960NORTH</t>
  </si>
  <si>
    <t>Ghannoum</t>
  </si>
  <si>
    <t>SIZE EFFECT ON SHEAR STRENGTH OF REINFORCED CONCRETE BEAMS</t>
  </si>
  <si>
    <t>N90SOUTH</t>
  </si>
  <si>
    <t>N155SOUTH</t>
  </si>
  <si>
    <t>N220SOUTH</t>
  </si>
  <si>
    <t>N350SOUTH</t>
  </si>
  <si>
    <t>N485SOUTH</t>
  </si>
  <si>
    <t>N960SOUTH</t>
  </si>
  <si>
    <t>a[mm]</t>
  </si>
  <si>
    <t>f'c [Mpa]</t>
  </si>
  <si>
    <t>d[mm]</t>
  </si>
  <si>
    <t>a/d</t>
  </si>
  <si>
    <t>Norm</t>
  </si>
  <si>
    <t>E0001/F001</t>
  </si>
  <si>
    <t>E3</t>
  </si>
  <si>
    <t>E6</t>
  </si>
  <si>
    <t>Schubversuche an einfeldrigen Stahlbetonbalken mit und ohne Schubbewehrung</t>
  </si>
  <si>
    <t>Fritz Leonhardt and René Walther</t>
  </si>
  <si>
    <t>H123</t>
  </si>
  <si>
    <t>H352</t>
  </si>
  <si>
    <t>The Influence of Concrete Strength, Distribution of Longitudinal Reinforcement, Amount of Transverse Reinforcement and Member Size on Shear Strength of Reinforced Concrete Members</t>
  </si>
  <si>
    <t>Bogdan A. Podgorniak-Stanik</t>
  </si>
  <si>
    <t>ftcm</t>
  </si>
  <si>
    <t>E00001/F001</t>
  </si>
  <si>
    <t>2D TSC PS</t>
  </si>
  <si>
    <t>FIB</t>
  </si>
  <si>
    <t>h/30</t>
  </si>
  <si>
    <t>E001/F01</t>
  </si>
  <si>
    <t>h/40</t>
  </si>
  <si>
    <t>rNR100</t>
  </si>
  <si>
    <t>E00001+F001</t>
  </si>
  <si>
    <t>BM100</t>
  </si>
  <si>
    <t>Bondslip model</t>
  </si>
  <si>
    <t>Reinfomodel</t>
  </si>
  <si>
    <t>BEAM</t>
  </si>
  <si>
    <t>Shima</t>
  </si>
  <si>
    <t>TRUSS</t>
  </si>
  <si>
    <t>VS-OA1</t>
  </si>
  <si>
    <t>F1</t>
  </si>
  <si>
    <t>UCT_F1</t>
  </si>
  <si>
    <t>DUCTIL_F1</t>
  </si>
  <si>
    <t>MAX_F1</t>
  </si>
  <si>
    <t>P_F1</t>
  </si>
  <si>
    <t>R1</t>
  </si>
  <si>
    <t>This dataset is a supplement to the master thesis 'Towards a unfiform and optimal approach for safe NLFEA of reinforced concrete beams'</t>
  </si>
  <si>
    <t>The tab DATA contains the gathered data for all benchmarked solution strategies</t>
  </si>
  <si>
    <t>Each solution strategy has FOUR columns:</t>
  </si>
  <si>
    <t>P</t>
  </si>
  <si>
    <t>UCT</t>
  </si>
  <si>
    <t>MAX</t>
  </si>
  <si>
    <r>
      <t xml:space="preserve">The maxium load in a </t>
    </r>
    <r>
      <rPr>
        <b/>
        <sz val="11"/>
        <color theme="1"/>
        <rFont val="Calibri"/>
        <family val="2"/>
        <scheme val="minor"/>
      </rPr>
      <t>converged step</t>
    </r>
  </si>
  <si>
    <t>The calculated model uncertainty</t>
  </si>
  <si>
    <t>DUCTIl</t>
  </si>
  <si>
    <t>the logged ductility index</t>
  </si>
  <si>
    <t>Properties of the strategies are listed in the tab 'strategies'</t>
  </si>
  <si>
    <t>The maximum recorded load</t>
  </si>
  <si>
    <t>The calculated model uncertainties are color-coded, yellow means an underprediction of more than 20%,  red an overprediction of 20%</t>
  </si>
  <si>
    <t>P_R1</t>
  </si>
  <si>
    <t>UCT_R1</t>
  </si>
  <si>
    <t>DUCTIL_R1</t>
  </si>
  <si>
    <t>MAX_R1</t>
  </si>
  <si>
    <t>P_F2</t>
  </si>
  <si>
    <t>DUCTIL_F2</t>
  </si>
  <si>
    <t>UCT_F2</t>
  </si>
  <si>
    <t>MAX_F2</t>
  </si>
  <si>
    <t>P_R2</t>
  </si>
  <si>
    <t>UCT_R2</t>
  </si>
  <si>
    <t>DUCTIL_R2</t>
  </si>
  <si>
    <t>MAX_R2</t>
  </si>
  <si>
    <t>P_F3</t>
  </si>
  <si>
    <t>UCT_F3</t>
  </si>
  <si>
    <t>DUCTIL_F3</t>
  </si>
  <si>
    <t>MAX_F3</t>
  </si>
  <si>
    <t>P_R3</t>
  </si>
  <si>
    <t>UCT_R3</t>
  </si>
  <si>
    <t>DUCTIL_F32</t>
  </si>
  <si>
    <t>MAX_R3</t>
  </si>
  <si>
    <t>P_R4</t>
  </si>
  <si>
    <t>UCT_R4</t>
  </si>
  <si>
    <t>DUCTIL_R4</t>
  </si>
  <si>
    <t>MAX_R4</t>
  </si>
  <si>
    <t>P_F4</t>
  </si>
  <si>
    <t>UCT_R42</t>
  </si>
  <si>
    <t>DUCTIL_R42</t>
  </si>
  <si>
    <t>MAX_R42</t>
  </si>
  <si>
    <t>P_F5</t>
  </si>
  <si>
    <t>UCT_F5</t>
  </si>
  <si>
    <t>DUCTIL_F5</t>
  </si>
  <si>
    <t>MAX_F5</t>
  </si>
  <si>
    <t>P_R5</t>
  </si>
  <si>
    <t>UCT_R5</t>
  </si>
  <si>
    <t>DUCTIL_R5</t>
  </si>
  <si>
    <t>MAX_R5</t>
  </si>
  <si>
    <t>P_F6</t>
  </si>
  <si>
    <t>UCT_F6</t>
  </si>
  <si>
    <t>DUCTIL_F6</t>
  </si>
  <si>
    <t>MAX_F6</t>
  </si>
  <si>
    <t>P_R6</t>
  </si>
  <si>
    <t>UCT_R6</t>
  </si>
  <si>
    <t>DUCTIL_R6</t>
  </si>
  <si>
    <t>MAX_R6</t>
  </si>
  <si>
    <t>P_F7</t>
  </si>
  <si>
    <t>UCT_F7</t>
  </si>
  <si>
    <t>DUCTIL_F7</t>
  </si>
  <si>
    <t>MAX_F7</t>
  </si>
  <si>
    <t>P_F8</t>
  </si>
  <si>
    <t>UCT_F8</t>
  </si>
  <si>
    <t>DUCTIL_F8</t>
  </si>
  <si>
    <t>MAX_F8</t>
  </si>
  <si>
    <t>P_R7</t>
  </si>
  <si>
    <t>UCT_R7</t>
  </si>
  <si>
    <t>DUCTIL_R7</t>
  </si>
  <si>
    <t>MAX_R7</t>
  </si>
  <si>
    <t>P_R8</t>
  </si>
  <si>
    <t>DUCTIL_R8</t>
  </si>
  <si>
    <t>UCT_F9</t>
  </si>
  <si>
    <t>P_F9</t>
  </si>
  <si>
    <t>DUCTIL_F9</t>
  </si>
  <si>
    <t>MAX_F9</t>
  </si>
  <si>
    <t>UCT_R8</t>
  </si>
  <si>
    <t>MAX_R8</t>
  </si>
  <si>
    <t>P_R9</t>
  </si>
  <si>
    <t>UCT_R9</t>
  </si>
  <si>
    <t>DUCTIL_R9</t>
  </si>
  <si>
    <t>MAX_R9</t>
  </si>
  <si>
    <t>P_F10</t>
  </si>
  <si>
    <t>UCT_F10</t>
  </si>
  <si>
    <t>DUCTIL_F10</t>
  </si>
  <si>
    <t>MAX_F10</t>
  </si>
  <si>
    <t>P_R8_2</t>
  </si>
  <si>
    <t>UCT_R8_2</t>
  </si>
  <si>
    <t>DUCTIL_R8_2</t>
  </si>
  <si>
    <t>MAX_R8_2</t>
  </si>
  <si>
    <t>(results R8 corrected for overrotation)</t>
  </si>
  <si>
    <t>rho [%]</t>
  </si>
  <si>
    <t>F2</t>
  </si>
  <si>
    <t>R2</t>
  </si>
  <si>
    <t>F3</t>
  </si>
  <si>
    <t>R3</t>
  </si>
  <si>
    <t>R4</t>
  </si>
  <si>
    <t>F4</t>
  </si>
  <si>
    <t>F5</t>
  </si>
  <si>
    <t>R5</t>
  </si>
  <si>
    <t>F6</t>
  </si>
  <si>
    <t>R6</t>
  </si>
  <si>
    <t>F7</t>
  </si>
  <si>
    <t>F8</t>
  </si>
  <si>
    <t>R7</t>
  </si>
  <si>
    <t>F9</t>
  </si>
  <si>
    <t>R8</t>
  </si>
  <si>
    <t>R9</t>
  </si>
  <si>
    <t>F10</t>
  </si>
  <si>
    <t>Iterations</t>
  </si>
  <si>
    <t>Embedded truss</t>
  </si>
  <si>
    <t>Fully bonded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</si>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</sst>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00E+00"/>
    <numFmt numFmtId="167" formatCode="0.0000000000E+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0" fillId="0" borderId="0" xfId="0" applyNumberFormat="1"/>
    <xf numFmtId="0" fontId="0" fillId="0" borderId="0" xfId="0" applyNumberFormat="1"/>
    <xf numFmtId="0" fontId="1" fillId="0" borderId="0" xfId="0" applyFont="1" applyFill="1"/>
    <xf numFmtId="0" fontId="2" fillId="0" borderId="0" xfId="0" applyFont="1" applyFill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NumberFormat="1" applyBorder="1"/>
    <xf numFmtId="0" fontId="0" fillId="0" borderId="2" xfId="0" applyNumberFormat="1" applyBorder="1"/>
    <xf numFmtId="0" fontId="0" fillId="0" borderId="1" xfId="0" applyNumberFormat="1" applyBorder="1"/>
    <xf numFmtId="11" fontId="0" fillId="0" borderId="0" xfId="0" applyNumberFormat="1"/>
    <xf numFmtId="1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2" borderId="3" xfId="0" applyFont="1" applyFill="1" applyBorder="1"/>
    <xf numFmtId="0" fontId="0" fillId="3" borderId="3" xfId="0" applyFont="1" applyFill="1" applyBorder="1"/>
    <xf numFmtId="0" fontId="0" fillId="3" borderId="3" xfId="0" applyNumberFormat="1" applyFont="1" applyFill="1" applyBorder="1"/>
    <xf numFmtId="0" fontId="0" fillId="0" borderId="3" xfId="0" applyFont="1" applyBorder="1"/>
    <xf numFmtId="0" fontId="0" fillId="0" borderId="3" xfId="0" applyNumberFormat="1" applyFont="1" applyBorder="1"/>
    <xf numFmtId="2" fontId="0" fillId="3" borderId="3" xfId="0" applyNumberFormat="1" applyFont="1" applyFill="1" applyBorder="1"/>
    <xf numFmtId="2" fontId="0" fillId="0" borderId="3" xfId="0" applyNumberFormat="1" applyFont="1" applyBorder="1"/>
    <xf numFmtId="164" fontId="0" fillId="0" borderId="3" xfId="0" applyNumberFormat="1" applyFont="1" applyBorder="1"/>
    <xf numFmtId="0" fontId="4" fillId="2" borderId="4" xfId="0" applyFont="1" applyFill="1" applyBorder="1"/>
    <xf numFmtId="0" fontId="0" fillId="3" borderId="4" xfId="0" applyFont="1" applyFill="1" applyBorder="1"/>
    <xf numFmtId="0" fontId="0" fillId="0" borderId="4" xfId="0" applyFont="1" applyBorder="1"/>
    <xf numFmtId="164" fontId="0" fillId="3" borderId="3" xfId="0" applyNumberFormat="1" applyFont="1" applyFill="1" applyBorder="1"/>
    <xf numFmtId="0" fontId="0" fillId="3" borderId="5" xfId="0" applyFont="1" applyFill="1" applyBorder="1"/>
    <xf numFmtId="0" fontId="0" fillId="0" borderId="5" xfId="0" applyFont="1" applyBorder="1"/>
    <xf numFmtId="0" fontId="5" fillId="3" borderId="3" xfId="0" applyFont="1" applyFill="1" applyBorder="1"/>
    <xf numFmtId="0" fontId="5" fillId="0" borderId="3" xfId="0" applyFont="1" applyBorder="1"/>
    <xf numFmtId="0" fontId="0" fillId="0" borderId="0" xfId="0" applyFill="1"/>
    <xf numFmtId="0" fontId="0" fillId="0" borderId="1" xfId="0" applyFill="1" applyBorder="1"/>
    <xf numFmtId="0" fontId="6" fillId="3" borderId="3" xfId="0" applyFont="1" applyFill="1" applyBorder="1"/>
    <xf numFmtId="0" fontId="6" fillId="0" borderId="3" xfId="0" applyFont="1" applyBorder="1"/>
    <xf numFmtId="0" fontId="6" fillId="3" borderId="6" xfId="0" applyFont="1" applyFill="1" applyBorder="1"/>
    <xf numFmtId="0" fontId="8" fillId="4" borderId="0" xfId="0" applyFont="1" applyFill="1"/>
    <xf numFmtId="0" fontId="8" fillId="4" borderId="1" xfId="0" applyFont="1" applyFill="1" applyBorder="1"/>
  </cellXfs>
  <cellStyles count="1">
    <cellStyle name="Normal" xfId="0" builtinId="0"/>
  </cellStyles>
  <dxfs count="160">
    <dxf>
      <font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numFmt numFmtId="2" formatCode="0.00"/>
    </dxf>
    <dxf>
      <numFmt numFmtId="0" formatCode="General"/>
    </dxf>
    <dxf>
      <numFmt numFmtId="2" formatCode="0.0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numFmt numFmtId="164" formatCode="0.0"/>
    </dxf>
    <dxf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CQ103" totalsRowCount="1">
  <autoFilter ref="A1:CQ102"/>
  <sortState ref="A2:CP105">
    <sortCondition ref="B1:B105"/>
  </sortState>
  <tableColumns count="95">
    <tableColumn id="1" name="Code" dataDxfId="119" totalsRowDxfId="118"/>
    <tableColumn id="2" name="Paper" dataDxfId="117" totalsRowDxfId="116"/>
    <tableColumn id="3" name="Author" dataDxfId="115" totalsRowDxfId="114"/>
    <tableColumn id="4" name="year" dataDxfId="113" totalsRowDxfId="112"/>
    <tableColumn id="5" name="Graph" dataDxfId="111" totalsRowDxfId="110"/>
    <tableColumn id="49" name="f'c [Mpa]" dataDxfId="109" totalsRowDxfId="108"/>
    <tableColumn id="48" name="rho [%]" dataDxfId="107" totalsRowDxfId="106"/>
    <tableColumn id="47" name="a[mm]" dataDxfId="105" totalsRowDxfId="104"/>
    <tableColumn id="50" name="d[mm]" dataDxfId="103" totalsRowDxfId="102"/>
    <tableColumn id="51" name="a/d" dataDxfId="101" totalsRowDxfId="100">
      <calculatedColumnFormula>Table1[[#This Row],[a'[mm']]]/Table1[[#This Row],[d'[mm']]]</calculatedColumnFormula>
    </tableColumn>
    <tableColumn id="26" name="h [mm]" dataDxfId="99" totalsRowDxfId="98"/>
    <tableColumn id="6" name="failure" dataDxfId="97" totalsRowDxfId="96"/>
    <tableColumn id="7" name="Pu(kN)" dataDxfId="95" totalsRowDxfId="94"/>
    <tableColumn id="8" name="Prestressed" dataDxfId="93" totalsRowDxfId="92"/>
    <tableColumn id="9" name="ShearReinfo" dataDxfId="91" totalsRowDxfId="90"/>
    <tableColumn id="10" name="P_F1" dataDxfId="89"/>
    <tableColumn id="11" name="UCT_F1" dataDxfId="88" totalsRowDxfId="87">
      <calculatedColumnFormula>IF(Table1[[#This Row],[P_F1]]="","",Table1[Pu(kN)]/Table1[[#This Row],[P_F1]])</calculatedColumnFormula>
    </tableColumn>
    <tableColumn id="53" name="DUCTIL_F1" dataDxfId="86" totalsRowDxfId="85"/>
    <tableColumn id="92" name="MAX_F1" dataDxfId="84" totalsRowDxfId="83"/>
    <tableColumn id="12" name="P_R1" dataDxfId="82"/>
    <tableColumn id="13" name="UCT_R1" dataDxfId="81" totalsRowDxfId="80">
      <calculatedColumnFormula>IF(Table1[[#This Row],[P_R1]]="","",Table1[Pu(kN)]/Table1[[#This Row],[P_R1]])</calculatedColumnFormula>
    </tableColumn>
    <tableColumn id="55" name="DUCTIL_R1" totalsRowDxfId="79" dataCellStyle="Normal"/>
    <tableColumn id="93" name="MAX_R1" totalsRowDxfId="78" dataCellStyle="Normal"/>
    <tableColumn id="14" name="P_F2" dataDxfId="77" totalsRowDxfId="76"/>
    <tableColumn id="15" name="UCT_F2" dataDxfId="75" totalsRowDxfId="74">
      <calculatedColumnFormula>IF(Table1[[#This Row],[P_F2]]="","",Table1[Pu(kN)]/Table1[[#This Row],[P_F2]])</calculatedColumnFormula>
    </tableColumn>
    <tableColumn id="56" name="DUCTIL_F2" totalsRowDxfId="73" dataCellStyle="Normal"/>
    <tableColumn id="94" name="MAX_F2" totalsRowDxfId="72" dataCellStyle="Normal"/>
    <tableColumn id="16" name="P_R2" dataDxfId="71" totalsRowDxfId="70"/>
    <tableColumn id="17" name="UCT_R2" dataDxfId="69" totalsRowDxfId="68">
      <calculatedColumnFormula>IF(Table1[[#This Row],[P_R2]]="","",Table1[Pu(kN)]/Table1[[#This Row],[P_R2]])</calculatedColumnFormula>
    </tableColumn>
    <tableColumn id="57" name="DUCTIL_R2" dataDxfId="67" totalsRowDxfId="66"/>
    <tableColumn id="95" name="MAX_R2" dataDxfId="65" totalsRowDxfId="64"/>
    <tableColumn id="18" name="P_F3" dataDxfId="63" totalsRowDxfId="62"/>
    <tableColumn id="19" name="UCT_F3" dataDxfId="61" totalsRowDxfId="60">
      <calculatedColumnFormula>IF(Table1[[#This Row],[P_F3]]="","",Table1[Pu(kN)]/Table1[[#This Row],[P_F3]])</calculatedColumnFormula>
    </tableColumn>
    <tableColumn id="91" name="DUCTIL_F3" dataDxfId="59" totalsRowDxfId="58"/>
    <tableColumn id="58" name="MAX_F3" dataDxfId="57" totalsRowDxfId="56"/>
    <tableColumn id="20" name="P_R3" dataDxfId="55" totalsRowDxfId="54"/>
    <tableColumn id="21" name="UCT_R3" dataDxfId="53" totalsRowDxfId="52">
      <calculatedColumnFormula>IF(Table1[[#This Row],[P_R3]]="","",Table1[Pu(kN)]/Table1[[#This Row],[P_R3]])</calculatedColumnFormula>
    </tableColumn>
    <tableColumn id="96" name="DUCTIL_F32" dataDxfId="51" totalsRowDxfId="50"/>
    <tableColumn id="59" name="MAX_R3" dataDxfId="49" totalsRowDxfId="48"/>
    <tableColumn id="22" name="P_R4" dataDxfId="47" totalsRowDxfId="46"/>
    <tableColumn id="23" name="UCT_R4" dataDxfId="45" totalsRowDxfId="44">
      <calculatedColumnFormula>IF(Table1[[#This Row],[P_R4]]="","",Table1[Pu(kN)]/Table1[[#This Row],[P_R4]])</calculatedColumnFormula>
    </tableColumn>
    <tableColumn id="97" name="DUCTIL_R4" dataDxfId="43" totalsRowDxfId="42"/>
    <tableColumn id="60" name="MAX_R4" dataDxfId="41" totalsRowDxfId="40"/>
    <tableColumn id="24" name="P_F4" totalsRowDxfId="39" dataCellStyle="Normal"/>
    <tableColumn id="25" name="UCT_R42" totalsRowDxfId="38" dataCellStyle="Normal">
      <calculatedColumnFormula>IF(Table1[[#This Row],[P_F4]]="","",Table1[Pu(kN)]/Table1[[#This Row],[P_F4]])</calculatedColumnFormula>
    </tableColumn>
    <tableColumn id="61" name="DUCTIL_R42" totalsRowDxfId="37" dataCellStyle="Normal"/>
    <tableColumn id="98" name="MAX_R42" dataDxfId="36" totalsRowDxfId="35" dataCellStyle="Normal"/>
    <tableColumn id="28" name="P_F5" totalsRowDxfId="34" dataCellStyle="Normal"/>
    <tableColumn id="29" name="UCT_F5" totalsRowDxfId="33" dataCellStyle="Normal">
      <calculatedColumnFormula>IF(Table1[[#This Row],[P_F5]]="","",Table1[Pu(kN)]/Table1[[#This Row],[P_F5]])</calculatedColumnFormula>
    </tableColumn>
    <tableColumn id="75" name="DUCTIL_F5" totalsRowDxfId="32" dataCellStyle="Normal"/>
    <tableColumn id="99" name="MAX_F5" dataDxfId="31" totalsRowDxfId="30"/>
    <tableColumn id="30" name="P_R5" totalsRowDxfId="29" dataCellStyle="Normal"/>
    <tableColumn id="31" name="UCT_R5" totalsRowDxfId="28" dataCellStyle="Normal">
      <calculatedColumnFormula>IF(Table1[[#This Row],[P_R5]]="","",Table1[Pu(kN)]/Table1[[#This Row],[P_R5]])</calculatedColumnFormula>
    </tableColumn>
    <tableColumn id="74" name="DUCTIL_R5" totalsRowDxfId="27" dataCellStyle="Normal"/>
    <tableColumn id="100" name="MAX_R5" totalsRowDxfId="26"/>
    <tableColumn id="32" name="P_F6" dataDxfId="25" totalsRowDxfId="24" dataCellStyle="Normal"/>
    <tableColumn id="33" name="UCT_F6" totalsRowDxfId="23" dataCellStyle="Normal">
      <calculatedColumnFormula>IF(Table1[[#This Row],[P_F6]]="","",Table1[Pu(kN)]/Table1[[#This Row],[P_F6]])</calculatedColumnFormula>
    </tableColumn>
    <tableColumn id="73" name="DUCTIL_F6" totalsRowDxfId="22" dataCellStyle="Normal"/>
    <tableColumn id="105" name="MAX_F6" totalsRowDxfId="21"/>
    <tableColumn id="34" name="P_R6" dataDxfId="20" totalsRowDxfId="19" dataCellStyle="Normal"/>
    <tableColumn id="35" name="UCT_R6" totalsRowDxfId="18" dataCellStyle="Normal">
      <calculatedColumnFormula>IF(Table1[[#This Row],[P_R6]]="","",Table1[Pu(kN)]/Table1[[#This Row],[P_R6]])</calculatedColumnFormula>
    </tableColumn>
    <tableColumn id="72" name="DUCTIL_R6" totalsRowDxfId="17" dataCellStyle="Normal"/>
    <tableColumn id="102" name="MAX_R6" totalsRowDxfId="16"/>
    <tableColumn id="36" name="P_F7" dataDxfId="15" totalsRowDxfId="14" dataCellStyle="Normal"/>
    <tableColumn id="37" name="UCT_F7" totalsRowDxfId="13" dataCellStyle="Normal">
      <calculatedColumnFormula>IF(Table1[[#This Row],[P_F7]]="","",Table1[Pu(kN)]/Table1[[#This Row],[P_F7]])</calculatedColumnFormula>
    </tableColumn>
    <tableColumn id="71" name="DUCTIL_F7" totalsRowDxfId="12" dataCellStyle="Normal"/>
    <tableColumn id="103" name="MAX_F7" totalsRowDxfId="11"/>
    <tableColumn id="27" name="P_F8" dataDxfId="10" dataCellStyle="Normal"/>
    <tableColumn id="38" name="UCT_F8" dataCellStyle="Normal">
      <calculatedColumnFormula>IF(Table1[[#This Row],[P_F8]]="","",Table1[Pu(kN)]/Table1[[#This Row],[P_F8]])</calculatedColumnFormula>
    </tableColumn>
    <tableColumn id="70" name="DUCTIL_F8" dataCellStyle="Normal"/>
    <tableColumn id="104" name="MAX_F8"/>
    <tableColumn id="39" name="P_R7" dataDxfId="9" dataCellStyle="Normal"/>
    <tableColumn id="40" name="UCT_R7" dataCellStyle="Normal">
      <calculatedColumnFormula>IF(Table1[[#This Row],[P_R7]]="","",Table1[Pu(kN)]/Table1[[#This Row],[P_R7]])</calculatedColumnFormula>
    </tableColumn>
    <tableColumn id="69" name="DUCTIL_R7" dataCellStyle="Normal"/>
    <tableColumn id="106" name="MAX_R7"/>
    <tableColumn id="41" name="P_F9" dataDxfId="8" dataCellStyle="Normal"/>
    <tableColumn id="42" name="UCT_F9" dataCellStyle="Normal">
      <calculatedColumnFormula>IF(Table1[[#This Row],[P_F9]]="","",Table1[Pu(kN)]/Table1[[#This Row],[P_F9]])</calculatedColumnFormula>
    </tableColumn>
    <tableColumn id="68" name="DUCTIL_F9" dataCellStyle="Normal"/>
    <tableColumn id="107" name="MAX_F9" dataDxfId="7"/>
    <tableColumn id="43" name="P_R8" dataDxfId="6" dataCellStyle="Normal"/>
    <tableColumn id="44" name="UCT_R8" dataCellStyle="Normal">
      <calculatedColumnFormula>IF(Table1[[#This Row],[P_R8]]="","",Table1[Pu(kN)]/Table1[[#This Row],[P_R8]])</calculatedColumnFormula>
    </tableColumn>
    <tableColumn id="67" name="DUCTIL_R8" dataCellStyle="Normal"/>
    <tableColumn id="108" name="MAX_R8" dataDxfId="5"/>
    <tableColumn id="66" name="P_R9" dataDxfId="4" dataCellStyle="Normal"/>
    <tableColumn id="65" name="UCT_R9" dataCellStyle="Normal">
      <calculatedColumnFormula>IF(Table1[[#This Row],[P_R9]]="","",Table1[Pu(kN)]/Table1[[#This Row],[P_R9]])</calculatedColumnFormula>
    </tableColumn>
    <tableColumn id="64" name="DUCTIL_R9" dataCellStyle="Normal"/>
    <tableColumn id="109" name="MAX_R9"/>
    <tableColumn id="45" name="P_F10" dataCellStyle="Normal"/>
    <tableColumn id="46" name="UCT_F10" dataCellStyle="Normal">
      <calculatedColumnFormula>IF(Table1[[#This Row],[P_F10]]="","",Table1[Pu(kN)]/Table1[[#This Row],[P_F10]])</calculatedColumnFormula>
    </tableColumn>
    <tableColumn id="63" name="DUCTIL_F10" dataCellStyle="Normal"/>
    <tableColumn id="110" name="MAX_F10"/>
    <tableColumn id="52" name="P_R8_2" totalsRowLabel="(results R8 corrected for overrotation)" dataDxfId="3" dataCellStyle="Normal"/>
    <tableColumn id="54" name="UCT_R8_2" dataDxfId="2" dataCellStyle="Normal"/>
    <tableColumn id="62" name="DUCTIL_R8_2" dataDxfId="1" dataCellStyle="Normal"/>
    <tableColumn id="76" name="MAX_R8_2" dataDxfId="0" dataCellStyle="Normal">
      <calculatedColumnFormula>Table1[[#This Row],[P_R8_2]]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A12" sqref="A12"/>
    </sheetView>
  </sheetViews>
  <sheetFormatPr defaultRowHeight="14.4" x14ac:dyDescent="0.3"/>
  <sheetData>
    <row r="1" spans="1:11" x14ac:dyDescent="0.3">
      <c r="A1" t="s">
        <v>182</v>
      </c>
    </row>
    <row r="2" spans="1:11" x14ac:dyDescent="0.3">
      <c r="A2" t="s">
        <v>183</v>
      </c>
    </row>
    <row r="3" spans="1:11" x14ac:dyDescent="0.3">
      <c r="A3" t="s">
        <v>184</v>
      </c>
    </row>
    <row r="5" spans="1:11" x14ac:dyDescent="0.3">
      <c r="A5" t="s">
        <v>185</v>
      </c>
      <c r="E5" t="s">
        <v>186</v>
      </c>
      <c r="H5" t="s">
        <v>190</v>
      </c>
      <c r="K5" t="s">
        <v>187</v>
      </c>
    </row>
    <row r="6" spans="1:11" x14ac:dyDescent="0.3">
      <c r="A6" t="s">
        <v>188</v>
      </c>
      <c r="E6" t="s">
        <v>189</v>
      </c>
      <c r="H6" t="s">
        <v>191</v>
      </c>
      <c r="K6" t="s">
        <v>193</v>
      </c>
    </row>
    <row r="9" spans="1:11" x14ac:dyDescent="0.3">
      <c r="A9" t="s">
        <v>192</v>
      </c>
    </row>
    <row r="11" spans="1:11" x14ac:dyDescent="0.3">
      <c r="A11" t="s">
        <v>194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Q217"/>
  <sheetViews>
    <sheetView tabSelected="1" zoomScale="55" zoomScaleNormal="55" workbookViewId="0">
      <selection activeCell="R123" sqref="R123"/>
    </sheetView>
  </sheetViews>
  <sheetFormatPr defaultRowHeight="14.4" x14ac:dyDescent="0.3"/>
  <cols>
    <col min="1" max="1" width="16.44140625" customWidth="1"/>
    <col min="2" max="2" width="11" customWidth="1"/>
    <col min="3" max="3" width="16" customWidth="1"/>
    <col min="4" max="4" width="7.5546875" customWidth="1"/>
    <col min="5" max="5" width="5.109375" hidden="1" customWidth="1"/>
    <col min="6" max="6" width="6.44140625" customWidth="1"/>
    <col min="7" max="7" width="10.109375" customWidth="1"/>
    <col min="10" max="10" width="10.44140625" bestFit="1" customWidth="1"/>
    <col min="11" max="11" width="8.33203125" customWidth="1"/>
    <col min="12" max="12" width="5.6640625" customWidth="1"/>
    <col min="13" max="13" width="9.109375" customWidth="1"/>
    <col min="14" max="14" width="6.44140625" customWidth="1"/>
    <col min="15" max="15" width="5.44140625" customWidth="1"/>
    <col min="16" max="16" width="10.6640625" customWidth="1"/>
    <col min="17" max="17" width="9" customWidth="1"/>
    <col min="18" max="18" width="9.88671875" customWidth="1"/>
    <col min="19" max="19" width="8.33203125" customWidth="1"/>
    <col min="20" max="23" width="9.109375" customWidth="1"/>
    <col min="24" max="24" width="9.5546875" customWidth="1"/>
    <col min="25" max="25" width="9.109375" customWidth="1"/>
    <col min="26" max="26" width="9.88671875" customWidth="1"/>
    <col min="27" max="39" width="9.109375" customWidth="1"/>
    <col min="40" max="43" width="10.5546875" customWidth="1"/>
    <col min="44" max="75" width="9.109375" customWidth="1"/>
    <col min="76" max="76" width="9.109375" style="6" customWidth="1"/>
    <col min="77" max="77" width="9.109375" customWidth="1"/>
    <col min="78" max="79" width="9.33203125" customWidth="1"/>
    <col min="80" max="83" width="9.109375" customWidth="1"/>
    <col min="84" max="84" width="9.109375" style="6" customWidth="1"/>
    <col min="85" max="94" width="9.109375" customWidth="1"/>
    <col min="95" max="95" width="13" customWidth="1"/>
  </cols>
  <sheetData>
    <row r="1" spans="1:95" x14ac:dyDescent="0.3">
      <c r="A1" s="25" t="s">
        <v>0</v>
      </c>
      <c r="B1" s="17" t="s">
        <v>88</v>
      </c>
      <c r="C1" s="17" t="s">
        <v>125</v>
      </c>
      <c r="D1" s="17" t="s">
        <v>1</v>
      </c>
      <c r="E1" s="17" t="s">
        <v>89</v>
      </c>
      <c r="F1" s="17" t="s">
        <v>147</v>
      </c>
      <c r="G1" s="17" t="s">
        <v>272</v>
      </c>
      <c r="H1" s="17" t="s">
        <v>146</v>
      </c>
      <c r="I1" s="17" t="s">
        <v>148</v>
      </c>
      <c r="J1" s="17" t="s">
        <v>149</v>
      </c>
      <c r="K1" s="17" t="s">
        <v>128</v>
      </c>
      <c r="L1" s="17" t="s">
        <v>4</v>
      </c>
      <c r="M1" s="17" t="s">
        <v>26</v>
      </c>
      <c r="N1" s="17" t="s">
        <v>41</v>
      </c>
      <c r="O1" s="17" t="s">
        <v>129</v>
      </c>
      <c r="P1" s="6" t="s">
        <v>180</v>
      </c>
      <c r="Q1" t="s">
        <v>177</v>
      </c>
      <c r="R1" t="s">
        <v>178</v>
      </c>
      <c r="S1" t="s">
        <v>179</v>
      </c>
      <c r="T1" t="s">
        <v>195</v>
      </c>
      <c r="U1" t="s">
        <v>196</v>
      </c>
      <c r="V1" t="s">
        <v>197</v>
      </c>
      <c r="W1" t="s">
        <v>198</v>
      </c>
      <c r="X1" t="s">
        <v>199</v>
      </c>
      <c r="Y1" t="s">
        <v>201</v>
      </c>
      <c r="Z1" t="s">
        <v>200</v>
      </c>
      <c r="AA1" t="s">
        <v>202</v>
      </c>
      <c r="AB1" t="s">
        <v>203</v>
      </c>
      <c r="AC1" t="s">
        <v>204</v>
      </c>
      <c r="AD1" t="s">
        <v>205</v>
      </c>
      <c r="AE1" t="s">
        <v>206</v>
      </c>
      <c r="AF1" t="s">
        <v>207</v>
      </c>
      <c r="AG1" t="s">
        <v>208</v>
      </c>
      <c r="AH1" t="s">
        <v>209</v>
      </c>
      <c r="AI1" t="s">
        <v>210</v>
      </c>
      <c r="AJ1" t="s">
        <v>211</v>
      </c>
      <c r="AK1" t="s">
        <v>212</v>
      </c>
      <c r="AL1" t="s">
        <v>213</v>
      </c>
      <c r="AM1" t="s">
        <v>214</v>
      </c>
      <c r="AN1" t="s">
        <v>215</v>
      </c>
      <c r="AO1" t="s">
        <v>216</v>
      </c>
      <c r="AP1" t="s">
        <v>217</v>
      </c>
      <c r="AQ1" t="s">
        <v>218</v>
      </c>
      <c r="AR1" t="s">
        <v>219</v>
      </c>
      <c r="AS1" t="s">
        <v>220</v>
      </c>
      <c r="AT1" t="s">
        <v>221</v>
      </c>
      <c r="AU1" t="s">
        <v>222</v>
      </c>
      <c r="AV1" t="s">
        <v>223</v>
      </c>
      <c r="AW1" t="s">
        <v>224</v>
      </c>
      <c r="AX1" t="s">
        <v>225</v>
      </c>
      <c r="AY1" t="s">
        <v>226</v>
      </c>
      <c r="AZ1" t="s">
        <v>227</v>
      </c>
      <c r="BA1" t="s">
        <v>228</v>
      </c>
      <c r="BB1" t="s">
        <v>229</v>
      </c>
      <c r="BC1" t="s">
        <v>230</v>
      </c>
      <c r="BD1" t="s">
        <v>231</v>
      </c>
      <c r="BE1" t="s">
        <v>232</v>
      </c>
      <c r="BF1" t="s">
        <v>233</v>
      </c>
      <c r="BG1" t="s">
        <v>234</v>
      </c>
      <c r="BH1" t="s">
        <v>235</v>
      </c>
      <c r="BI1" t="s">
        <v>236</v>
      </c>
      <c r="BJ1" t="s">
        <v>237</v>
      </c>
      <c r="BK1" t="s">
        <v>238</v>
      </c>
      <c r="BL1" t="s">
        <v>239</v>
      </c>
      <c r="BM1" t="s">
        <v>240</v>
      </c>
      <c r="BN1" t="s">
        <v>241</v>
      </c>
      <c r="BO1" t="s">
        <v>242</v>
      </c>
      <c r="BP1" t="s">
        <v>243</v>
      </c>
      <c r="BQ1" t="s">
        <v>244</v>
      </c>
      <c r="BR1" t="s">
        <v>245</v>
      </c>
      <c r="BS1" t="s">
        <v>246</v>
      </c>
      <c r="BT1" t="s">
        <v>247</v>
      </c>
      <c r="BU1" t="s">
        <v>248</v>
      </c>
      <c r="BV1" t="s">
        <v>249</v>
      </c>
      <c r="BW1" t="s">
        <v>250</v>
      </c>
      <c r="BX1" s="5" t="s">
        <v>254</v>
      </c>
      <c r="BY1" t="s">
        <v>253</v>
      </c>
      <c r="BZ1" t="s">
        <v>255</v>
      </c>
      <c r="CA1" t="s">
        <v>256</v>
      </c>
      <c r="CB1" t="s">
        <v>251</v>
      </c>
      <c r="CC1" t="s">
        <v>257</v>
      </c>
      <c r="CD1" t="s">
        <v>252</v>
      </c>
      <c r="CE1" t="s">
        <v>258</v>
      </c>
      <c r="CF1" s="5" t="s">
        <v>259</v>
      </c>
      <c r="CG1" t="s">
        <v>260</v>
      </c>
      <c r="CH1" t="s">
        <v>261</v>
      </c>
      <c r="CI1" t="s">
        <v>262</v>
      </c>
      <c r="CJ1" t="s">
        <v>263</v>
      </c>
      <c r="CK1" t="s">
        <v>264</v>
      </c>
      <c r="CL1" t="s">
        <v>265</v>
      </c>
      <c r="CM1" t="s">
        <v>266</v>
      </c>
      <c r="CN1" s="38" t="s">
        <v>267</v>
      </c>
      <c r="CO1" s="38" t="s">
        <v>268</v>
      </c>
      <c r="CP1" s="38" t="s">
        <v>269</v>
      </c>
      <c r="CQ1" s="38" t="s">
        <v>270</v>
      </c>
    </row>
    <row r="2" spans="1:95" x14ac:dyDescent="0.3">
      <c r="A2" s="26" t="s">
        <v>82</v>
      </c>
      <c r="B2" s="18" t="s">
        <v>96</v>
      </c>
      <c r="C2" s="37" t="s">
        <v>85</v>
      </c>
      <c r="D2" s="37">
        <v>1998</v>
      </c>
      <c r="E2" s="18" t="s">
        <v>90</v>
      </c>
      <c r="F2" s="18">
        <v>102.4</v>
      </c>
      <c r="G2" s="22">
        <v>1.18</v>
      </c>
      <c r="H2" s="18">
        <v>1290</v>
      </c>
      <c r="I2" s="18">
        <v>198</v>
      </c>
      <c r="J2" s="22">
        <f>Table1[[#This Row],[a'[mm']]]/Table1[[#This Row],[d'[mm']]]</f>
        <v>6.5151515151515156</v>
      </c>
      <c r="K2" s="18">
        <v>250</v>
      </c>
      <c r="L2" s="18" t="s">
        <v>28</v>
      </c>
      <c r="M2" s="22">
        <f>56.8/0.645</f>
        <v>88.062015503875969</v>
      </c>
      <c r="N2" s="22" t="s">
        <v>130</v>
      </c>
      <c r="O2" s="18" t="s">
        <v>131</v>
      </c>
      <c r="P2" s="5">
        <v>84.998000000000005</v>
      </c>
      <c r="Q2" s="6">
        <f>IF(Table1[[#This Row],[P_F1]]="","",Table1[Pu(kN)]/Table1[[#This Row],[P_F1]])</f>
        <v>1.0360480894124093</v>
      </c>
      <c r="R2">
        <v>0.87990000000000002</v>
      </c>
      <c r="S2" s="6">
        <f>Table1[[#This Row],[P_F1]]</f>
        <v>84.998000000000005</v>
      </c>
      <c r="T2" s="5">
        <v>85.376000000000005</v>
      </c>
      <c r="U2" s="6">
        <f>IF(Table1[[#This Row],[P_R1]]="","",Table1[Pu(kN)]/Table1[[#This Row],[P_R1]])</f>
        <v>1.0314610136792068</v>
      </c>
      <c r="V2">
        <v>0.92920000000000003</v>
      </c>
      <c r="W2">
        <v>85.376000000000005</v>
      </c>
      <c r="X2" s="5">
        <v>89.981999999999999</v>
      </c>
      <c r="Y2" s="6">
        <f>IF(Table1[[#This Row],[P_F2]]="","",Table1[Pu(kN)]/Table1[[#This Row],[P_F2]])</f>
        <v>0.97866257144624447</v>
      </c>
      <c r="Z2">
        <v>0.94899999999999995</v>
      </c>
      <c r="AA2">
        <v>89.981999999999999</v>
      </c>
      <c r="AB2" s="10">
        <v>87.866</v>
      </c>
      <c r="AC2" s="8">
        <f>IF(Table1[[#This Row],[P_R2]]="","",Table1[Pu(kN)]/Table1[[#This Row],[P_R2]])</f>
        <v>1.0022308458775404</v>
      </c>
      <c r="AD2">
        <v>0.95620000000000005</v>
      </c>
      <c r="AE2" s="9">
        <f>Table1[[#This Row],[P_R2]]</f>
        <v>87.866</v>
      </c>
      <c r="AF2" s="8">
        <v>89.674000000000007</v>
      </c>
      <c r="AG2" s="8">
        <f>IF(Table1[[#This Row],[P_F3]]="","",Table1[Pu(kN)]/Table1[[#This Row],[P_F3]])</f>
        <v>0.98202394789878855</v>
      </c>
      <c r="AH2" s="8">
        <v>0.94169999999999998</v>
      </c>
      <c r="AI2" s="9">
        <v>89.674000000000007</v>
      </c>
      <c r="AJ2" s="10">
        <v>86.68</v>
      </c>
      <c r="AK2" s="8">
        <f>IF(Table1[[#This Row],[P_R3]]="","",Table1[Pu(kN)]/Table1[[#This Row],[P_R3]])</f>
        <v>1.0159438798324407</v>
      </c>
      <c r="AL2" s="8">
        <v>0.94199999999999995</v>
      </c>
      <c r="AM2" s="9">
        <v>86.68</v>
      </c>
      <c r="AN2" s="10">
        <v>85.715999999999994</v>
      </c>
      <c r="AO2" s="8">
        <f>IF(Table1[[#This Row],[P_R4]]="","",Table1[Pu(kN)]/Table1[[#This Row],[P_R4]])</f>
        <v>1.0273696334858833</v>
      </c>
      <c r="AP2" s="8">
        <v>0.93389999999999995</v>
      </c>
      <c r="AQ2" s="9">
        <v>85.715999999999994</v>
      </c>
      <c r="AR2">
        <v>86.498000000000005</v>
      </c>
      <c r="AS2">
        <f>IF(Table1[[#This Row],[P_F4]]="","",Table1[Pu(kN)]/Table1[[#This Row],[P_F4]])</f>
        <v>1.0180815221609281</v>
      </c>
      <c r="AT2">
        <v>0.9103</v>
      </c>
      <c r="AU2" s="7">
        <v>86.498000000000005</v>
      </c>
      <c r="AV2">
        <v>89.225999999999999</v>
      </c>
      <c r="AW2">
        <f>IF(Table1[[#This Row],[P_F5]]="","",Table1[Pu(kN)]/Table1[[#This Row],[P_F5]])</f>
        <v>0.98695464891260365</v>
      </c>
      <c r="AX2">
        <v>0.94399999999999995</v>
      </c>
      <c r="AY2" s="7">
        <v>89.225999999999999</v>
      </c>
      <c r="AZ2">
        <v>87.403999999999996</v>
      </c>
      <c r="BA2">
        <f>IF(Table1[[#This Row],[P_R5]]="","",Table1[Pu(kN)]/Table1[[#This Row],[P_R5]])</f>
        <v>1.0075284369579878</v>
      </c>
      <c r="BB2">
        <v>0.96160000000000001</v>
      </c>
      <c r="BC2">
        <v>87.403999999999996</v>
      </c>
      <c r="BD2" s="5">
        <v>86.605999999999995</v>
      </c>
      <c r="BE2" s="6">
        <f>IF(Table1[[#This Row],[P_F6]]="","",Table1[Pu(kN)]/Table1[[#This Row],[P_F6]])</f>
        <v>1.0168119472539543</v>
      </c>
      <c r="BF2" s="6">
        <v>0.83009999999999995</v>
      </c>
      <c r="BG2" s="6">
        <v>86.605999999999995</v>
      </c>
      <c r="BH2" s="5">
        <v>87.98</v>
      </c>
      <c r="BI2" s="6">
        <f>IF(Table1[[#This Row],[P_R6]]="","",Table1[Pu(kN)]/Table1[[#This Row],[P_R6]])</f>
        <v>1.0009322062272785</v>
      </c>
      <c r="BJ2" s="6">
        <v>0.94989999999999997</v>
      </c>
      <c r="BK2" s="6">
        <v>87.98</v>
      </c>
      <c r="BL2" s="5">
        <v>86.915999999999997</v>
      </c>
      <c r="BM2" s="6">
        <f>IF(Table1[[#This Row],[P_F7]]="","",Table1[Pu(kN)]/Table1[[#This Row],[P_F7]])</f>
        <v>1.0131853226549308</v>
      </c>
      <c r="BN2" s="6">
        <v>0.88890000000000002</v>
      </c>
      <c r="BO2" s="6">
        <v>86.915999999999997</v>
      </c>
      <c r="BP2" s="5">
        <v>88.31</v>
      </c>
      <c r="BQ2" s="6">
        <f>IF(Table1[[#This Row],[P_F8]]="","",Table1[Pu(kN)]/Table1[[#This Row],[P_F8]])</f>
        <v>0.99719188657995661</v>
      </c>
      <c r="BR2" s="6">
        <v>0.93920000000000003</v>
      </c>
      <c r="BS2" s="6">
        <v>88.31</v>
      </c>
      <c r="BT2" s="5">
        <v>86.861999999999995</v>
      </c>
      <c r="BU2" s="6">
        <f>IF(Table1[[#This Row],[P_R7]]="","",Table1[Pu(kN)]/Table1[[#This Row],[P_R7]])</f>
        <v>1.0138151954119865</v>
      </c>
      <c r="BV2" s="6">
        <v>0.94799999999999995</v>
      </c>
      <c r="BW2" s="6">
        <v>86.861999999999995</v>
      </c>
      <c r="BX2" s="5">
        <v>88.373999999999995</v>
      </c>
      <c r="BY2" s="6">
        <f>IF(Table1[[#This Row],[P_F9]]="","",Table1[Pu(kN)]/Table1[[#This Row],[P_F9]])</f>
        <v>0.99646972530241895</v>
      </c>
      <c r="BZ2" s="6">
        <v>0.93430000000000002</v>
      </c>
      <c r="CA2" s="7">
        <v>88.373999999999995</v>
      </c>
      <c r="CB2" s="5">
        <v>85</v>
      </c>
      <c r="CC2" s="6">
        <f>IF(Table1[[#This Row],[P_R8]]="","",Table1[Pu(kN)]/Table1[[#This Row],[P_R8]])</f>
        <v>1.0360237118103055</v>
      </c>
      <c r="CD2" s="6">
        <v>0.89600000000000002</v>
      </c>
      <c r="CE2" s="6">
        <v>85</v>
      </c>
      <c r="CF2" s="5">
        <v>85.635999999999996</v>
      </c>
      <c r="CG2">
        <f>IF(Table1[[#This Row],[P_R9]]="","",Table1[Pu(kN)]/Table1[[#This Row],[P_R9]])</f>
        <v>1.0283293883866127</v>
      </c>
      <c r="CH2">
        <v>0.9194</v>
      </c>
      <c r="CI2">
        <v>85.635999999999996</v>
      </c>
      <c r="CJ2" s="5">
        <v>87.641999999999996</v>
      </c>
      <c r="CK2" s="6">
        <f>IF(Table1[[#This Row],[P_F10]]="","",Table1[Pu(kN)]/Table1[[#This Row],[P_F10]])</f>
        <v>1.0047923998068959</v>
      </c>
      <c r="CL2" s="6">
        <v>0.93340000000000001</v>
      </c>
      <c r="CM2" s="7">
        <v>87.641999999999996</v>
      </c>
      <c r="CN2" s="38">
        <f>Table1[[#This Row],[P_R8]]</f>
        <v>85</v>
      </c>
      <c r="CO2" s="38">
        <f>Table1[[#This Row],[Pu(kN)]]/Table1[[#This Row],[P_R8_2]]</f>
        <v>1.0360237118103055</v>
      </c>
      <c r="CP2" s="38">
        <f>Table1[[#This Row],[DUCTIL_R8]]</f>
        <v>0.89600000000000002</v>
      </c>
      <c r="CQ2" s="38">
        <f>Table1[[#This Row],[P_R8_2]]</f>
        <v>85</v>
      </c>
    </row>
    <row r="3" spans="1:95" x14ac:dyDescent="0.3">
      <c r="A3" s="27" t="s">
        <v>83</v>
      </c>
      <c r="B3" s="36" t="s">
        <v>96</v>
      </c>
      <c r="C3" s="20" t="s">
        <v>85</v>
      </c>
      <c r="D3" s="20">
        <v>1998</v>
      </c>
      <c r="E3" s="20" t="s">
        <v>90</v>
      </c>
      <c r="F3" s="20">
        <v>102.4</v>
      </c>
      <c r="G3" s="23">
        <v>1.77</v>
      </c>
      <c r="H3" s="20">
        <v>1290</v>
      </c>
      <c r="I3" s="20">
        <v>198</v>
      </c>
      <c r="J3" s="23">
        <f>Table1[[#This Row],[a'[mm']]]/Table1[[#This Row],[d'[mm']]]</f>
        <v>6.5151515151515156</v>
      </c>
      <c r="K3" s="20">
        <v>250</v>
      </c>
      <c r="L3" s="20" t="s">
        <v>28</v>
      </c>
      <c r="M3" s="23">
        <f>82.76/0.645</f>
        <v>128.31007751937986</v>
      </c>
      <c r="N3" s="23" t="s">
        <v>130</v>
      </c>
      <c r="O3" s="20" t="s">
        <v>131</v>
      </c>
      <c r="P3" s="5">
        <v>123.712</v>
      </c>
      <c r="Q3" s="6">
        <f>IF(Table1[[#This Row],[P_F1]]="","",Table1[Pu(kN)]/Table1[[#This Row],[P_F1]])</f>
        <v>1.0371675950544803</v>
      </c>
      <c r="R3">
        <v>0.85129999999999995</v>
      </c>
      <c r="S3" s="6">
        <f>Table1[[#This Row],[P_F1]]</f>
        <v>123.712</v>
      </c>
      <c r="T3" s="5">
        <v>127.176</v>
      </c>
      <c r="U3" s="6">
        <f>IF(Table1[[#This Row],[P_R1]]="","",Table1[Pu(kN)]/Table1[[#This Row],[P_R1]])</f>
        <v>1.0089173862944254</v>
      </c>
      <c r="V3">
        <v>0.93869999999999998</v>
      </c>
      <c r="W3">
        <v>127.176</v>
      </c>
      <c r="X3" s="5">
        <v>130.07599999999999</v>
      </c>
      <c r="Y3" s="6">
        <f>IF(Table1[[#This Row],[P_F2]]="","",Table1[Pu(kN)]/Table1[[#This Row],[P_F2]])</f>
        <v>0.98642391770487925</v>
      </c>
      <c r="Z3">
        <v>0.94850000000000001</v>
      </c>
      <c r="AA3">
        <v>130.07599999999999</v>
      </c>
      <c r="AB3" s="10">
        <v>127.212</v>
      </c>
      <c r="AC3" s="8">
        <f>IF(Table1[[#This Row],[P_R2]]="","",Table1[Pu(kN)]/Table1[[#This Row],[P_R2]])</f>
        <v>1.0086318705733726</v>
      </c>
      <c r="AD3">
        <v>0.94069999999999998</v>
      </c>
      <c r="AE3" s="9">
        <f>Table1[[#This Row],[P_R2]]</f>
        <v>127.212</v>
      </c>
      <c r="AF3" s="2">
        <v>130.21199999999999</v>
      </c>
      <c r="AG3" s="2">
        <f>IF(Table1[[#This Row],[P_F3]]="","",Table1[Pu(kN)]/Table1[[#This Row],[P_F3]])</f>
        <v>0.9853936466637474</v>
      </c>
      <c r="AH3" s="2">
        <v>0.94679999999999997</v>
      </c>
      <c r="AI3" s="8">
        <v>130.21199999999999</v>
      </c>
      <c r="AJ3" s="10">
        <v>127.72199999999999</v>
      </c>
      <c r="AK3" s="8">
        <f>IF(Table1[[#This Row],[P_R3]]="","",Table1[Pu(kN)]/Table1[[#This Row],[P_R3]])</f>
        <v>1.0046043557052025</v>
      </c>
      <c r="AL3" s="8">
        <v>0.94</v>
      </c>
      <c r="AM3" s="9">
        <v>127.72199999999999</v>
      </c>
      <c r="AN3" s="10">
        <v>127.502</v>
      </c>
      <c r="AO3" s="8">
        <f>IF(Table1[[#This Row],[P_R4]]="","",Table1[Pu(kN)]/Table1[[#This Row],[P_R4]])</f>
        <v>1.0063377634811992</v>
      </c>
      <c r="AP3" s="8">
        <v>0.94240000000000002</v>
      </c>
      <c r="AQ3" s="9">
        <v>127.502</v>
      </c>
      <c r="AR3">
        <v>127.062</v>
      </c>
      <c r="AS3">
        <f>IF(Table1[[#This Row],[P_F4]]="","",Table1[Pu(kN)]/Table1[[#This Row],[P_F4]])</f>
        <v>1.0098225867637836</v>
      </c>
      <c r="AT3">
        <v>0.91559999999999997</v>
      </c>
      <c r="AU3" s="7">
        <v>127.062</v>
      </c>
      <c r="AV3">
        <v>130.07</v>
      </c>
      <c r="AW3">
        <f>IF(Table1[[#This Row],[P_F5]]="","",Table1[Pu(kN)]/Table1[[#This Row],[P_F5]])</f>
        <v>0.98646942046113528</v>
      </c>
      <c r="AX3">
        <v>0.94259999999999999</v>
      </c>
      <c r="AY3" s="7">
        <v>130.09200000000001</v>
      </c>
      <c r="AZ3">
        <v>128.30199999999999</v>
      </c>
      <c r="BA3">
        <f>IF(Table1[[#This Row],[P_R5]]="","",Table1[Pu(kN)]/Table1[[#This Row],[P_R5]])</f>
        <v>1.0000629570807926</v>
      </c>
      <c r="BB3">
        <v>0.95069999999999999</v>
      </c>
      <c r="BC3">
        <v>128.30199999999999</v>
      </c>
      <c r="BD3" s="5">
        <v>125.386</v>
      </c>
      <c r="BE3" s="6">
        <f>IF(Table1[[#This Row],[P_F6]]="","",Table1[Pu(kN)]/Table1[[#This Row],[P_F6]])</f>
        <v>1.02332060612333</v>
      </c>
      <c r="BF3" s="6">
        <v>0.88390000000000002</v>
      </c>
      <c r="BG3" s="6">
        <v>125.386</v>
      </c>
      <c r="BH3" s="5">
        <v>128.43600000000001</v>
      </c>
      <c r="BI3" s="6">
        <f>IF(Table1[[#This Row],[P_R6]]="","",Table1[Pu(kN)]/Table1[[#This Row],[P_R6]])</f>
        <v>0.99901957020913024</v>
      </c>
      <c r="BJ3" s="6">
        <v>0.94369999999999998</v>
      </c>
      <c r="BK3" s="6">
        <v>128.43600000000001</v>
      </c>
      <c r="BL3" s="5">
        <v>126.122</v>
      </c>
      <c r="BM3" s="6">
        <f>IF(Table1[[#This Row],[P_F7]]="","",Table1[Pu(kN)]/Table1[[#This Row],[P_F7]])</f>
        <v>1.0173488964604103</v>
      </c>
      <c r="BN3" s="6">
        <v>0.87539999999999996</v>
      </c>
      <c r="BO3" s="6">
        <v>126.122</v>
      </c>
      <c r="BP3" s="5">
        <v>129.93600000000001</v>
      </c>
      <c r="BQ3" s="6">
        <f>IF(Table1[[#This Row],[P_F8]]="","",Table1[Pu(kN)]/Table1[[#This Row],[P_F8]])</f>
        <v>0.98748674362285938</v>
      </c>
      <c r="BR3" s="6">
        <v>0.94550000000000001</v>
      </c>
      <c r="BS3" s="6">
        <v>129.93600000000001</v>
      </c>
      <c r="BT3" s="5">
        <v>125.072</v>
      </c>
      <c r="BU3" s="6">
        <f>IF(Table1[[#This Row],[P_R7]]="","",Table1[Pu(kN)]/Table1[[#This Row],[P_R7]])</f>
        <v>1.0258897076834133</v>
      </c>
      <c r="BV3" s="6">
        <v>0.93069999999999997</v>
      </c>
      <c r="BW3" s="6">
        <v>125.072</v>
      </c>
      <c r="BX3" s="5">
        <v>129.16800000000001</v>
      </c>
      <c r="BY3" s="6">
        <f>IF(Table1[[#This Row],[P_F9]]="","",Table1[Pu(kN)]/Table1[[#This Row],[P_F9]])</f>
        <v>0.99335808806654791</v>
      </c>
      <c r="BZ3" s="6">
        <v>0.94040000000000001</v>
      </c>
      <c r="CA3" s="7">
        <v>129.16800000000001</v>
      </c>
      <c r="CB3" s="5">
        <v>127.896</v>
      </c>
      <c r="CC3" s="6">
        <f>IF(Table1[[#This Row],[P_R8]]="","",Table1[Pu(kN)]/Table1[[#This Row],[P_R8]])</f>
        <v>1.0032376111792383</v>
      </c>
      <c r="CD3" s="6">
        <v>0.94550000000000001</v>
      </c>
      <c r="CE3" s="6">
        <v>127.896</v>
      </c>
      <c r="CF3" s="5">
        <v>125.82</v>
      </c>
      <c r="CG3">
        <f>IF(Table1[[#This Row],[P_R9]]="","",Table1[Pu(kN)]/Table1[[#This Row],[P_R9]])</f>
        <v>1.0197907925558725</v>
      </c>
      <c r="CH3">
        <v>0.93700000000000006</v>
      </c>
      <c r="CI3">
        <v>125.82</v>
      </c>
      <c r="CJ3" s="34">
        <v>129.602</v>
      </c>
      <c r="CK3" s="6">
        <f>IF(Table1[[#This Row],[P_F10]]="","",Table1[Pu(kN)]/Table1[[#This Row],[P_F10]])</f>
        <v>0.99003161617397772</v>
      </c>
      <c r="CL3" s="6">
        <v>0.93700000000000006</v>
      </c>
      <c r="CM3" s="7">
        <v>129.602</v>
      </c>
      <c r="CN3" s="38">
        <f>Table1[[#This Row],[P_R8]]</f>
        <v>127.896</v>
      </c>
      <c r="CO3" s="38">
        <f>Table1[[#This Row],[Pu(kN)]]/Table1[[#This Row],[P_R8_2]]</f>
        <v>1.0032376111792383</v>
      </c>
      <c r="CP3" s="38">
        <f>Table1[[#This Row],[DUCTIL_R8]]</f>
        <v>0.94550000000000001</v>
      </c>
      <c r="CQ3" s="38">
        <f>Table1[[#This Row],[P_R8_2]]</f>
        <v>127.896</v>
      </c>
    </row>
    <row r="4" spans="1:95" x14ac:dyDescent="0.3">
      <c r="A4" s="26" t="s">
        <v>84</v>
      </c>
      <c r="B4" s="35" t="s">
        <v>96</v>
      </c>
      <c r="C4" s="35" t="s">
        <v>85</v>
      </c>
      <c r="D4" s="35">
        <v>1998</v>
      </c>
      <c r="E4" s="18" t="s">
        <v>90</v>
      </c>
      <c r="F4" s="18">
        <v>102.4</v>
      </c>
      <c r="G4" s="22">
        <v>2.37</v>
      </c>
      <c r="H4" s="18">
        <v>1290</v>
      </c>
      <c r="I4" s="18">
        <v>198</v>
      </c>
      <c r="J4" s="22">
        <f>Table1[[#This Row],[a'[mm']]]/Table1[[#This Row],[d'[mm']]]</f>
        <v>6.5151515151515156</v>
      </c>
      <c r="K4" s="18">
        <v>250</v>
      </c>
      <c r="L4" s="18" t="s">
        <v>28</v>
      </c>
      <c r="M4" s="22">
        <f>108.1/0.645</f>
        <v>167.59689922480618</v>
      </c>
      <c r="N4" s="22" t="s">
        <v>130</v>
      </c>
      <c r="O4" s="18" t="s">
        <v>131</v>
      </c>
      <c r="P4" s="5">
        <v>163.78800000000001</v>
      </c>
      <c r="Q4" s="6">
        <f>IF(Table1[[#This Row],[P_F1]]="","",Table1[Pu(kN)]/Table1[[#This Row],[P_F1]])</f>
        <v>1.0232550566879512</v>
      </c>
      <c r="R4">
        <v>0.90249999999999997</v>
      </c>
      <c r="S4" s="6">
        <f>Table1[[#This Row],[P_F1]]</f>
        <v>163.78800000000001</v>
      </c>
      <c r="T4" s="5">
        <v>167.334</v>
      </c>
      <c r="U4" s="6">
        <f>IF(Table1[[#This Row],[P_R1]]="","",Table1[Pu(kN)]/Table1[[#This Row],[P_R1]])</f>
        <v>1.0015711046458351</v>
      </c>
      <c r="V4">
        <v>0.93859999999999999</v>
      </c>
      <c r="W4">
        <v>167.39</v>
      </c>
      <c r="X4" s="5">
        <v>168.76400000000001</v>
      </c>
      <c r="Y4" s="6">
        <f>IF(Table1[[#This Row],[P_F2]]="","",Table1[Pu(kN)]/Table1[[#This Row],[P_F2]])</f>
        <v>0.99308442099503547</v>
      </c>
      <c r="Z4">
        <v>0.93510000000000004</v>
      </c>
      <c r="AA4">
        <v>168.77</v>
      </c>
      <c r="AB4" s="10">
        <v>168.03800000000001</v>
      </c>
      <c r="AC4" s="8">
        <f>IF(Table1[[#This Row],[P_R2]]="","",Table1[Pu(kN)]/Table1[[#This Row],[P_R2]])</f>
        <v>0.99737499389903572</v>
      </c>
      <c r="AD4">
        <v>0.94059999999999999</v>
      </c>
      <c r="AE4" s="9">
        <f>Table1[[#This Row],[P_R2]]</f>
        <v>168.03800000000001</v>
      </c>
      <c r="AF4" s="2">
        <v>169.422</v>
      </c>
      <c r="AG4" s="2">
        <f>IF(Table1[[#This Row],[P_F3]]="","",Table1[Pu(kN)]/Table1[[#This Row],[P_F3]])</f>
        <v>0.98922748654133574</v>
      </c>
      <c r="AH4" s="2">
        <v>0.93920000000000003</v>
      </c>
      <c r="AI4" s="8">
        <v>169.422</v>
      </c>
      <c r="AJ4" s="10">
        <v>168.78399999999999</v>
      </c>
      <c r="AK4" s="8">
        <f>IF(Table1[[#This Row],[P_R3]]="","",Table1[Pu(kN)]/Table1[[#This Row],[P_R3]])</f>
        <v>0.99296674581006605</v>
      </c>
      <c r="AL4" s="8">
        <v>0.94140000000000001</v>
      </c>
      <c r="AM4" s="9">
        <v>168.78399999999999</v>
      </c>
      <c r="AN4" s="10">
        <v>167.22399999999999</v>
      </c>
      <c r="AO4" s="8">
        <f>IF(Table1[[#This Row],[P_R4]]="","",Table1[Pu(kN)]/Table1[[#This Row],[P_R4]])</f>
        <v>1.0022299384347115</v>
      </c>
      <c r="AP4" s="8">
        <v>0.93730000000000002</v>
      </c>
      <c r="AQ4" s="9">
        <v>167.22399999999999</v>
      </c>
      <c r="AR4">
        <v>168.13800000000001</v>
      </c>
      <c r="AS4">
        <f>IF(Table1[[#This Row],[P_F4]]="","",Table1[Pu(kN)]/Table1[[#This Row],[P_F4]])</f>
        <v>0.99678180556927154</v>
      </c>
      <c r="AT4">
        <v>0.93079999999999996</v>
      </c>
      <c r="AU4" s="7">
        <v>168.13800000000001</v>
      </c>
      <c r="AV4">
        <v>168.64400000000001</v>
      </c>
      <c r="AW4">
        <f>IF(Table1[[#This Row],[P_F5]]="","",Table1[Pu(kN)]/Table1[[#This Row],[P_F5]])</f>
        <v>0.99379105823394942</v>
      </c>
      <c r="AX4">
        <v>0.93289999999999995</v>
      </c>
      <c r="AY4" s="7">
        <v>168.714</v>
      </c>
      <c r="AZ4">
        <v>165.48599999999999</v>
      </c>
      <c r="BA4">
        <f>IF(Table1[[#This Row],[P_R5]]="","",Table1[Pu(kN)]/Table1[[#This Row],[P_R5]])</f>
        <v>1.0127557571323629</v>
      </c>
      <c r="BB4">
        <v>0.93620000000000003</v>
      </c>
      <c r="BC4">
        <v>166.00399999999999</v>
      </c>
      <c r="BD4" s="5">
        <v>152.6</v>
      </c>
      <c r="BE4" s="6">
        <f>IF(Table1[[#This Row],[P_F6]]="","",Table1[Pu(kN)]/Table1[[#This Row],[P_F6]])</f>
        <v>1.0982758795858858</v>
      </c>
      <c r="BF4" s="6">
        <v>0.24929999999999999</v>
      </c>
      <c r="BG4" s="6">
        <v>152.6</v>
      </c>
      <c r="BH4" s="5">
        <v>168.45</v>
      </c>
      <c r="BI4" s="6">
        <f>IF(Table1[[#This Row],[P_R6]]="","",Table1[Pu(kN)]/Table1[[#This Row],[P_R6]])</f>
        <v>0.9949355845936847</v>
      </c>
      <c r="BJ4" s="6">
        <v>0.93879999999999997</v>
      </c>
      <c r="BK4" s="6">
        <v>168.45</v>
      </c>
      <c r="BL4" s="5">
        <v>168.18799999999999</v>
      </c>
      <c r="BM4" s="6">
        <f>IF(Table1[[#This Row],[P_F7]]="","",Table1[Pu(kN)]/Table1[[#This Row],[P_F7]])</f>
        <v>0.99648547592459746</v>
      </c>
      <c r="BN4" s="6">
        <v>0.92920000000000003</v>
      </c>
      <c r="BO4" s="6">
        <v>168.18799999999999</v>
      </c>
      <c r="BP4" s="5">
        <v>168.732</v>
      </c>
      <c r="BQ4" s="6">
        <f>IF(Table1[[#This Row],[P_F8]]="","",Table1[Pu(kN)]/Table1[[#This Row],[P_F8]])</f>
        <v>0.9932727593154006</v>
      </c>
      <c r="BR4" s="6">
        <v>0.93630000000000002</v>
      </c>
      <c r="BS4" s="6">
        <v>168.732</v>
      </c>
      <c r="BT4" s="5">
        <v>164.876</v>
      </c>
      <c r="BU4" s="6">
        <f>IF(Table1[[#This Row],[P_R7]]="","",Table1[Pu(kN)]/Table1[[#This Row],[P_R7]])</f>
        <v>1.0165027003615212</v>
      </c>
      <c r="BV4" s="6">
        <v>0.93049999999999999</v>
      </c>
      <c r="BW4" s="6">
        <v>164.876</v>
      </c>
      <c r="BX4" s="5">
        <v>165.756</v>
      </c>
      <c r="BY4" s="6">
        <f>IF(Table1[[#This Row],[P_F9]]="","",Table1[Pu(kN)]/Table1[[#This Row],[P_F9]])</f>
        <v>1.011106078964298</v>
      </c>
      <c r="BZ4" s="6">
        <v>0.92530000000000001</v>
      </c>
      <c r="CA4" s="7">
        <v>165.756</v>
      </c>
      <c r="CB4" s="5">
        <v>166.80799999999999</v>
      </c>
      <c r="CC4" s="6">
        <f>IF(Table1[[#This Row],[P_R8]]="","",Table1[Pu(kN)]/Table1[[#This Row],[P_R8]])</f>
        <v>1.0047293848305008</v>
      </c>
      <c r="CD4" s="6">
        <v>0.93589999999999995</v>
      </c>
      <c r="CE4" s="6">
        <v>166.80799999999999</v>
      </c>
      <c r="CF4" s="5">
        <v>167.654</v>
      </c>
      <c r="CG4">
        <f>IF(Table1[[#This Row],[P_R9]]="","",Table1[Pu(kN)]/Table1[[#This Row],[P_R9]])</f>
        <v>0.99965941298630623</v>
      </c>
      <c r="CH4">
        <v>0.93830000000000002</v>
      </c>
      <c r="CI4">
        <v>167.654</v>
      </c>
      <c r="CJ4" s="34">
        <v>168.482</v>
      </c>
      <c r="CK4" s="6">
        <f>IF(Table1[[#This Row],[P_F10]]="","",Table1[Pu(kN)]/Table1[[#This Row],[P_F10]])</f>
        <v>0.99474661521590546</v>
      </c>
      <c r="CL4" s="6">
        <v>0.93440000000000001</v>
      </c>
      <c r="CM4" s="7">
        <v>168.482</v>
      </c>
      <c r="CN4" s="38">
        <f>Table1[[#This Row],[P_R8]]</f>
        <v>166.80799999999999</v>
      </c>
      <c r="CO4" s="38">
        <f>Table1[[#This Row],[Pu(kN)]]/Table1[[#This Row],[P_R8_2]]</f>
        <v>1.0047293848305008</v>
      </c>
      <c r="CP4" s="38">
        <f>Table1[[#This Row],[DUCTIL_R8]]</f>
        <v>0.93589999999999995</v>
      </c>
      <c r="CQ4" s="38">
        <f>Table1[[#This Row],[P_R8_2]]</f>
        <v>166.80799999999999</v>
      </c>
    </row>
    <row r="5" spans="1:95" x14ac:dyDescent="0.3">
      <c r="A5" s="27" t="s">
        <v>79</v>
      </c>
      <c r="B5" s="36" t="s">
        <v>96</v>
      </c>
      <c r="C5" s="36" t="s">
        <v>85</v>
      </c>
      <c r="D5" s="36">
        <v>1998</v>
      </c>
      <c r="E5" s="20" t="s">
        <v>90</v>
      </c>
      <c r="F5" s="20">
        <v>78.5</v>
      </c>
      <c r="G5" s="23">
        <v>1.18</v>
      </c>
      <c r="H5" s="20">
        <v>1290</v>
      </c>
      <c r="I5" s="20">
        <v>198</v>
      </c>
      <c r="J5" s="23">
        <f>Table1[[#This Row],[a'[mm']]]/Table1[[#This Row],[d'[mm']]]</f>
        <v>6.5151515151515156</v>
      </c>
      <c r="K5" s="20">
        <v>250</v>
      </c>
      <c r="L5" s="20" t="s">
        <v>28</v>
      </c>
      <c r="M5" s="23">
        <f>57.95/0.645</f>
        <v>89.844961240310084</v>
      </c>
      <c r="N5" s="23" t="s">
        <v>130</v>
      </c>
      <c r="O5" s="20" t="s">
        <v>131</v>
      </c>
      <c r="P5" s="5">
        <v>85.132000000000005</v>
      </c>
      <c r="Q5" s="6">
        <f>IF(Table1[[#This Row],[P_F1]]="","",Table1[Pu(kN)]/Table1[[#This Row],[P_F1]])</f>
        <v>1.0553606310237054</v>
      </c>
      <c r="R5">
        <v>0.87529999999999997</v>
      </c>
      <c r="S5" s="6">
        <f>Table1[[#This Row],[P_F1]]</f>
        <v>85.132000000000005</v>
      </c>
      <c r="T5" s="5">
        <v>85.572000000000003</v>
      </c>
      <c r="U5" s="6">
        <f>IF(Table1[[#This Row],[P_R1]]="","",Table1[Pu(kN)]/Table1[[#This Row],[P_R1]])</f>
        <v>1.0499341050847248</v>
      </c>
      <c r="V5">
        <v>0.92620000000000002</v>
      </c>
      <c r="W5">
        <v>85.605999999999995</v>
      </c>
      <c r="X5" s="5">
        <v>87.335999999999999</v>
      </c>
      <c r="Y5" s="6">
        <f>IF(Table1[[#This Row],[P_F2]]="","",Table1[Pu(kN)]/Table1[[#This Row],[P_F2]])</f>
        <v>1.0287276866390731</v>
      </c>
      <c r="Z5">
        <v>0.94410000000000005</v>
      </c>
      <c r="AA5">
        <v>87.335999999999999</v>
      </c>
      <c r="AB5" s="10">
        <v>86.518000000000001</v>
      </c>
      <c r="AC5" s="8">
        <f>IF(Table1[[#This Row],[P_R2]]="","",Table1[Pu(kN)]/Table1[[#This Row],[P_R2]])</f>
        <v>1.0384539776729707</v>
      </c>
      <c r="AD5">
        <v>0.94440000000000002</v>
      </c>
      <c r="AE5" s="9">
        <f>Table1[[#This Row],[P_R2]]</f>
        <v>86.518000000000001</v>
      </c>
      <c r="AF5" s="2">
        <v>86.668000000000006</v>
      </c>
      <c r="AG5" s="2">
        <f>IF(Table1[[#This Row],[P_F3]]="","",Table1[Pu(kN)]/Table1[[#This Row],[P_F3]])</f>
        <v>1.0366566811315605</v>
      </c>
      <c r="AH5" s="2">
        <v>0.90810000000000002</v>
      </c>
      <c r="AI5" s="8">
        <v>86.668000000000006</v>
      </c>
      <c r="AJ5" s="10">
        <v>87.091999999999999</v>
      </c>
      <c r="AK5" s="8">
        <f>IF(Table1[[#This Row],[P_R3]]="","",Table1[Pu(kN)]/Table1[[#This Row],[P_R3]])</f>
        <v>1.031609806185529</v>
      </c>
      <c r="AL5" s="8">
        <v>0.9446</v>
      </c>
      <c r="AM5" s="9">
        <v>87.091999999999999</v>
      </c>
      <c r="AN5" s="10">
        <v>85.19</v>
      </c>
      <c r="AO5" s="8">
        <f>IF(Table1[[#This Row],[P_R4]]="","",Table1[Pu(kN)]/Table1[[#This Row],[P_R4]])</f>
        <v>1.054642108701844</v>
      </c>
      <c r="AP5" s="8">
        <v>0.90559999999999996</v>
      </c>
      <c r="AQ5" s="9">
        <v>85.19</v>
      </c>
      <c r="AR5">
        <v>86.135999999999996</v>
      </c>
      <c r="AS5">
        <f>IF(Table1[[#This Row],[P_F4]]="","",Table1[Pu(kN)]/Table1[[#This Row],[P_F4]])</f>
        <v>1.0430593624072408</v>
      </c>
      <c r="AT5">
        <v>0.8891</v>
      </c>
      <c r="AU5" s="7">
        <v>86.135999999999996</v>
      </c>
      <c r="AV5">
        <v>88.331999999999994</v>
      </c>
      <c r="AW5">
        <f>IF(Table1[[#This Row],[P_F5]]="","",Table1[Pu(kN)]/Table1[[#This Row],[P_F5]])</f>
        <v>1.0171281216355352</v>
      </c>
      <c r="AX5">
        <v>0.92359999999999998</v>
      </c>
      <c r="AY5" s="7">
        <v>88.331999999999994</v>
      </c>
      <c r="AZ5">
        <v>86.59</v>
      </c>
      <c r="BA5">
        <f>IF(Table1[[#This Row],[P_R5]]="","",Table1[Pu(kN)]/Table1[[#This Row],[P_R5]])</f>
        <v>1.037590498213536</v>
      </c>
      <c r="BB5">
        <v>0.94989999999999997</v>
      </c>
      <c r="BC5">
        <v>86.59</v>
      </c>
      <c r="BD5" s="5">
        <v>86.024000000000001</v>
      </c>
      <c r="BE5" s="6">
        <f>IF(Table1[[#This Row],[P_F6]]="","",Table1[Pu(kN)]/Table1[[#This Row],[P_F6]])</f>
        <v>1.0444173863144015</v>
      </c>
      <c r="BF5" s="6">
        <v>0.8871</v>
      </c>
      <c r="BG5" s="6">
        <v>86.024000000000001</v>
      </c>
      <c r="BH5" s="5">
        <v>86.677999999999997</v>
      </c>
      <c r="BI5" s="6">
        <f>IF(Table1[[#This Row],[P_R6]]="","",Table1[Pu(kN)]/Table1[[#This Row],[P_R6]])</f>
        <v>1.0365370825389382</v>
      </c>
      <c r="BJ5" s="6">
        <v>0.94330000000000003</v>
      </c>
      <c r="BK5" s="6">
        <v>86.677999999999997</v>
      </c>
      <c r="BL5" s="5">
        <v>88.292000000000002</v>
      </c>
      <c r="BM5" s="6">
        <f>IF(Table1[[#This Row],[P_F7]]="","",Table1[Pu(kN)]/Table1[[#This Row],[P_F7]])</f>
        <v>1.0175889235752966</v>
      </c>
      <c r="BN5" s="6">
        <v>0.92610000000000003</v>
      </c>
      <c r="BO5" s="6">
        <v>88.292000000000002</v>
      </c>
      <c r="BP5" s="5">
        <v>89.302000000000007</v>
      </c>
      <c r="BQ5" s="6">
        <f>IF(Table1[[#This Row],[P_F8]]="","",Table1[Pu(kN)]/Table1[[#This Row],[P_F8]])</f>
        <v>1.0060800568890964</v>
      </c>
      <c r="BR5" s="6">
        <v>0.93899999999999995</v>
      </c>
      <c r="BS5" s="6">
        <v>89.302000000000007</v>
      </c>
      <c r="BT5" s="5">
        <v>86.176000000000002</v>
      </c>
      <c r="BU5" s="6">
        <f>IF(Table1[[#This Row],[P_R7]]="","",Table1[Pu(kN)]/Table1[[#This Row],[P_R7]])</f>
        <v>1.0425752093426253</v>
      </c>
      <c r="BV5" s="6">
        <v>0.94240000000000002</v>
      </c>
      <c r="BW5" s="6">
        <v>86.201999999999998</v>
      </c>
      <c r="BX5" s="5">
        <v>91.682000000000002</v>
      </c>
      <c r="BY5" s="6">
        <f>IF(Table1[[#This Row],[P_F9]]="","",Table1[Pu(kN)]/Table1[[#This Row],[P_F9]])</f>
        <v>0.97996292882256153</v>
      </c>
      <c r="BZ5" s="6">
        <v>0.95520000000000005</v>
      </c>
      <c r="CA5" s="7">
        <v>91.682000000000002</v>
      </c>
      <c r="CB5" s="5">
        <v>83.63</v>
      </c>
      <c r="CC5" s="6">
        <f>IF(Table1[[#This Row],[P_R8]]="","",Table1[Pu(kN)]/Table1[[#This Row],[P_R8]])</f>
        <v>1.0743149735777842</v>
      </c>
      <c r="CD5" s="6">
        <v>0.85660000000000003</v>
      </c>
      <c r="CE5" s="6">
        <v>83.63</v>
      </c>
      <c r="CF5" s="5">
        <v>85.641999999999996</v>
      </c>
      <c r="CG5">
        <f>IF(Table1[[#This Row],[P_R9]]="","",Table1[Pu(kN)]/Table1[[#This Row],[P_R9]])</f>
        <v>1.0490759351756158</v>
      </c>
      <c r="CH5">
        <v>0.92559999999999998</v>
      </c>
      <c r="CI5">
        <v>85.641999999999996</v>
      </c>
      <c r="CJ5" s="34">
        <v>88.372</v>
      </c>
      <c r="CK5" s="6">
        <f>IF(Table1[[#This Row],[P_F10]]="","",Table1[Pu(kN)]/Table1[[#This Row],[P_F10]])</f>
        <v>1.0166677368432318</v>
      </c>
      <c r="CL5" s="6">
        <v>0.93320000000000003</v>
      </c>
      <c r="CM5" s="7">
        <v>88.372</v>
      </c>
      <c r="CN5" s="38">
        <f>Table1[[#This Row],[P_R8]]</f>
        <v>83.63</v>
      </c>
      <c r="CO5" s="38">
        <f>Table1[[#This Row],[Pu(kN)]]/Table1[[#This Row],[P_R8_2]]</f>
        <v>1.0743149735777842</v>
      </c>
      <c r="CP5" s="38">
        <f>Table1[[#This Row],[DUCTIL_R8]]</f>
        <v>0.85660000000000003</v>
      </c>
      <c r="CQ5" s="38">
        <f>Table1[[#This Row],[P_R8_2]]</f>
        <v>83.63</v>
      </c>
    </row>
    <row r="6" spans="1:95" ht="18" customHeight="1" x14ac:dyDescent="0.3">
      <c r="A6" s="26" t="s">
        <v>80</v>
      </c>
      <c r="B6" s="35" t="s">
        <v>96</v>
      </c>
      <c r="C6" s="18" t="s">
        <v>85</v>
      </c>
      <c r="D6" s="18">
        <v>1998</v>
      </c>
      <c r="E6" s="18" t="s">
        <v>90</v>
      </c>
      <c r="F6" s="18">
        <v>78.5</v>
      </c>
      <c r="G6" s="22">
        <v>1.77</v>
      </c>
      <c r="H6" s="18">
        <v>1290</v>
      </c>
      <c r="I6" s="18">
        <v>198</v>
      </c>
      <c r="J6" s="22">
        <f>Table1[[#This Row],[a'[mm']]]/Table1[[#This Row],[d'[mm']]]</f>
        <v>6.5151515151515156</v>
      </c>
      <c r="K6" s="18">
        <v>250</v>
      </c>
      <c r="L6" s="18" t="s">
        <v>28</v>
      </c>
      <c r="M6" s="22">
        <f>79.91/0.645</f>
        <v>123.89147286821705</v>
      </c>
      <c r="N6" s="22" t="s">
        <v>130</v>
      </c>
      <c r="O6" s="18" t="s">
        <v>131</v>
      </c>
      <c r="P6" s="5">
        <v>126.172</v>
      </c>
      <c r="Q6" s="6">
        <f>IF(Table1[[#This Row],[P_F1]]="","",Table1[Pu(kN)]/Table1[[#This Row],[P_F1]])</f>
        <v>0.98192525178500023</v>
      </c>
      <c r="R6">
        <v>0.91949999999999998</v>
      </c>
      <c r="S6" s="6">
        <f>Table1[[#This Row],[P_F1]]</f>
        <v>126.172</v>
      </c>
      <c r="T6" s="5">
        <v>126.652</v>
      </c>
      <c r="U6" s="6">
        <f>IF(Table1[[#This Row],[P_R1]]="","",Table1[Pu(kN)]/Table1[[#This Row],[P_R1]])</f>
        <v>0.97820384098330104</v>
      </c>
      <c r="V6">
        <v>0.93049999999999999</v>
      </c>
      <c r="W6">
        <v>126.652</v>
      </c>
      <c r="X6" s="5">
        <v>127.504</v>
      </c>
      <c r="Y6" s="6">
        <f>IF(Table1[[#This Row],[P_F2]]="","",Table1[Pu(kN)]/Table1[[#This Row],[P_F2]])</f>
        <v>0.97166734273604782</v>
      </c>
      <c r="Z6">
        <v>0.93320000000000003</v>
      </c>
      <c r="AA6">
        <v>127.512</v>
      </c>
      <c r="AB6" s="10">
        <v>127.226</v>
      </c>
      <c r="AC6" s="8">
        <f>IF(Table1[[#This Row],[P_R2]]="","",Table1[Pu(kN)]/Table1[[#This Row],[P_R2]])</f>
        <v>0.97379052134168376</v>
      </c>
      <c r="AD6">
        <v>0.93700000000000006</v>
      </c>
      <c r="AE6" s="9">
        <f>Table1[[#This Row],[P_R2]]</f>
        <v>127.226</v>
      </c>
      <c r="AF6" s="8">
        <v>127.38</v>
      </c>
      <c r="AG6" s="8">
        <f>IF(Table1[[#This Row],[P_F3]]="","",Table1[Pu(kN)]/Table1[[#This Row],[P_F3]])</f>
        <v>0.97261322710171971</v>
      </c>
      <c r="AH6" s="8">
        <v>0.9304</v>
      </c>
      <c r="AI6" s="9">
        <v>127.38</v>
      </c>
      <c r="AJ6" s="10">
        <v>127.322</v>
      </c>
      <c r="AK6" s="8">
        <f>IF(Table1[[#This Row],[P_R3]]="","",Table1[Pu(kN)]/Table1[[#This Row],[P_R3]])</f>
        <v>0.97305628931541321</v>
      </c>
      <c r="AL6" s="8">
        <v>0.93720000000000003</v>
      </c>
      <c r="AM6" s="9">
        <v>127.322</v>
      </c>
      <c r="AN6" s="10">
        <v>123.422</v>
      </c>
      <c r="AO6" s="8">
        <f>IF(Table1[[#This Row],[P_R4]]="","",Table1[Pu(kN)]/Table1[[#This Row],[P_R4]])</f>
        <v>1.0038038021440023</v>
      </c>
      <c r="AP6" s="8">
        <v>0.90939999999999999</v>
      </c>
      <c r="AQ6" s="9">
        <v>123.422</v>
      </c>
      <c r="AR6">
        <v>126.212</v>
      </c>
      <c r="AS6">
        <f>IF(Table1[[#This Row],[P_F4]]="","",Table1[Pu(kN)]/Table1[[#This Row],[P_F4]])</f>
        <v>0.98161405308700478</v>
      </c>
      <c r="AT6">
        <v>0.92259999999999998</v>
      </c>
      <c r="AU6" s="7">
        <v>126.212</v>
      </c>
      <c r="AV6">
        <v>127.61</v>
      </c>
      <c r="AW6">
        <f>IF(Table1[[#This Row],[P_F5]]="","",Table1[Pu(kN)]/Table1[[#This Row],[P_F5]])</f>
        <v>0.97086022152039064</v>
      </c>
      <c r="AX6">
        <v>0.92900000000000005</v>
      </c>
      <c r="AY6" s="7">
        <v>127.636</v>
      </c>
      <c r="AZ6">
        <v>125.06</v>
      </c>
      <c r="BA6">
        <f>IF(Table1[[#This Row],[P_R5]]="","",Table1[Pu(kN)]/Table1[[#This Row],[P_R5]])</f>
        <v>0.99065626793712658</v>
      </c>
      <c r="BB6">
        <v>0.93089999999999995</v>
      </c>
      <c r="BC6">
        <v>125.08799999999999</v>
      </c>
      <c r="BD6" s="5">
        <v>84.506</v>
      </c>
      <c r="BE6" s="6">
        <f>IF(Table1[[#This Row],[P_F6]]="","",Table1[Pu(kN)]/Table1[[#This Row],[P_F6]])</f>
        <v>1.4660671771024194</v>
      </c>
      <c r="BF6" s="6">
        <v>8.1600000000000006E-2</v>
      </c>
      <c r="BG6" s="6">
        <v>84.506</v>
      </c>
      <c r="BH6" s="5">
        <v>126.372</v>
      </c>
      <c r="BI6" s="6">
        <f>IF(Table1[[#This Row],[P_R6]]="","",Table1[Pu(kN)]/Table1[[#This Row],[P_R6]])</f>
        <v>0.98037122834343882</v>
      </c>
      <c r="BJ6" s="6">
        <v>0.93030000000000002</v>
      </c>
      <c r="BK6" s="6">
        <v>126.372</v>
      </c>
      <c r="BL6" s="5">
        <v>128.01</v>
      </c>
      <c r="BM6" s="6">
        <f>IF(Table1[[#This Row],[P_F7]]="","",Table1[Pu(kN)]/Table1[[#This Row],[P_F7]])</f>
        <v>0.96782652033604455</v>
      </c>
      <c r="BN6" s="6">
        <v>0.92679999999999996</v>
      </c>
      <c r="BO6" s="6">
        <v>128.01</v>
      </c>
      <c r="BP6" s="5">
        <v>127.626</v>
      </c>
      <c r="BQ6" s="6">
        <f>IF(Table1[[#This Row],[P_F8]]="","",Table1[Pu(kN)]/Table1[[#This Row],[P_F8]])</f>
        <v>0.9707385083620661</v>
      </c>
      <c r="BR6" s="6">
        <v>0.93110000000000004</v>
      </c>
      <c r="BS6" s="6">
        <v>127.626</v>
      </c>
      <c r="BT6" s="5">
        <v>125.306</v>
      </c>
      <c r="BU6" s="6">
        <f>IF(Table1[[#This Row],[P_R7]]="","",Table1[Pu(kN)]/Table1[[#This Row],[P_R7]])</f>
        <v>0.98871141739595114</v>
      </c>
      <c r="BV6" s="6">
        <v>0.92920000000000003</v>
      </c>
      <c r="BW6" s="6">
        <v>125.30800000000001</v>
      </c>
      <c r="BX6" s="5">
        <v>127.21599999999999</v>
      </c>
      <c r="BY6" s="6">
        <f>IF(Table1[[#This Row],[P_F9]]="","",Table1[Pu(kN)]/Table1[[#This Row],[P_F9]])</f>
        <v>0.97386706757182318</v>
      </c>
      <c r="BZ6" s="6">
        <v>0.93</v>
      </c>
      <c r="CA6" s="7">
        <v>127.21599999999999</v>
      </c>
      <c r="CB6" s="5">
        <v>126.072</v>
      </c>
      <c r="CC6" s="6">
        <f>IF(Table1[[#This Row],[P_R8]]="","",Table1[Pu(kN)]/Table1[[#This Row],[P_R8]])</f>
        <v>0.98270411247713252</v>
      </c>
      <c r="CD6" s="6">
        <v>0.93420000000000003</v>
      </c>
      <c r="CE6" s="6">
        <v>126.072</v>
      </c>
      <c r="CF6" s="5">
        <v>124.83199999999999</v>
      </c>
      <c r="CG6">
        <f>IF(Table1[[#This Row],[P_R9]]="","",Table1[Pu(kN)]/Table1[[#This Row],[P_R9]])</f>
        <v>0.9924656567884601</v>
      </c>
      <c r="CH6">
        <v>0.92810000000000004</v>
      </c>
      <c r="CI6">
        <v>124.83199999999999</v>
      </c>
      <c r="CJ6" s="34">
        <v>126.63200000000001</v>
      </c>
      <c r="CK6" s="6">
        <f>IF(Table1[[#This Row],[P_F10]]="","",Table1[Pu(kN)]/Table1[[#This Row],[P_F10]])</f>
        <v>0.97835833650433579</v>
      </c>
      <c r="CL6" s="6">
        <v>0.91769999999999996</v>
      </c>
      <c r="CM6" s="7">
        <v>126.63200000000001</v>
      </c>
      <c r="CN6" s="38">
        <f>Table1[[#This Row],[P_R8]]</f>
        <v>126.072</v>
      </c>
      <c r="CO6" s="38">
        <f>Table1[[#This Row],[Pu(kN)]]/Table1[[#This Row],[P_R8_2]]</f>
        <v>0.98270411247713252</v>
      </c>
      <c r="CP6" s="38">
        <f>Table1[[#This Row],[DUCTIL_R8]]</f>
        <v>0.93420000000000003</v>
      </c>
      <c r="CQ6" s="38">
        <f>Table1[[#This Row],[P_R8_2]]</f>
        <v>126.072</v>
      </c>
    </row>
    <row r="7" spans="1:95" x14ac:dyDescent="0.3">
      <c r="A7" s="27" t="s">
        <v>81</v>
      </c>
      <c r="B7" s="36" t="s">
        <v>96</v>
      </c>
      <c r="C7" s="20" t="s">
        <v>85</v>
      </c>
      <c r="D7" s="20">
        <v>1998</v>
      </c>
      <c r="E7" s="20" t="s">
        <v>90</v>
      </c>
      <c r="F7" s="20">
        <v>78.5</v>
      </c>
      <c r="G7" s="23">
        <v>2.37</v>
      </c>
      <c r="H7" s="20">
        <v>1290</v>
      </c>
      <c r="I7" s="20">
        <v>198</v>
      </c>
      <c r="J7" s="23">
        <f>Table1[[#This Row],[a'[mm']]]/Table1[[#This Row],[d'[mm']]]</f>
        <v>6.5151515151515156</v>
      </c>
      <c r="K7" s="20">
        <v>250</v>
      </c>
      <c r="L7" s="20" t="s">
        <v>28</v>
      </c>
      <c r="M7" s="23">
        <f>103.77/0.645</f>
        <v>160.88372093023256</v>
      </c>
      <c r="N7" s="23" t="s">
        <v>130</v>
      </c>
      <c r="O7" s="20" t="s">
        <v>131</v>
      </c>
      <c r="P7" s="5">
        <v>163.71600000000001</v>
      </c>
      <c r="Q7" s="6">
        <f>IF(Table1[[#This Row],[P_F1]]="","",Table1[Pu(kN)]/Table1[[#This Row],[P_F1]])</f>
        <v>0.98270004721733095</v>
      </c>
      <c r="R7">
        <v>0.89419999999999999</v>
      </c>
      <c r="S7" s="6">
        <f>Table1[[#This Row],[P_F1]]</f>
        <v>163.71600000000001</v>
      </c>
      <c r="T7" s="5">
        <v>161.69999999999999</v>
      </c>
      <c r="U7" s="6">
        <f>IF(Table1[[#This Row],[P_R1]]="","",Table1[Pu(kN)]/Table1[[#This Row],[P_R1]])</f>
        <v>0.99495189196185885</v>
      </c>
      <c r="V7">
        <v>0.90429999999999999</v>
      </c>
      <c r="W7">
        <v>161.77000000000001</v>
      </c>
      <c r="X7" s="5">
        <v>164.54</v>
      </c>
      <c r="Y7" s="6">
        <f>IF(Table1[[#This Row],[P_F2]]="","",Table1[Pu(kN)]/Table1[[#This Row],[P_F2]])</f>
        <v>0.97777878285056863</v>
      </c>
      <c r="Z7">
        <v>0.91610000000000003</v>
      </c>
      <c r="AA7">
        <v>164.54</v>
      </c>
      <c r="AB7" s="10">
        <v>163.476</v>
      </c>
      <c r="AC7" s="8">
        <f>IF(Table1[[#This Row],[P_R2]]="","",Table1[Pu(kN)]/Table1[[#This Row],[P_R2]])</f>
        <v>0.98414275447302701</v>
      </c>
      <c r="AD7">
        <v>0.91920000000000002</v>
      </c>
      <c r="AE7" s="9">
        <v>163.52799999999999</v>
      </c>
      <c r="AF7" s="2">
        <v>165.27</v>
      </c>
      <c r="AG7" s="2">
        <f>IF(Table1[[#This Row],[P_F3]]="","",Table1[Pu(kN)]/Table1[[#This Row],[P_F3]])</f>
        <v>0.97345991970855295</v>
      </c>
      <c r="AH7" s="2">
        <v>0.91930000000000001</v>
      </c>
      <c r="AI7" s="8">
        <v>165.27</v>
      </c>
      <c r="AJ7" s="10">
        <v>164.50800000000001</v>
      </c>
      <c r="AK7" s="8">
        <f>IF(Table1[[#This Row],[P_R3]]="","",Table1[Pu(kN)]/Table1[[#This Row],[P_R3]])</f>
        <v>0.97796897980786679</v>
      </c>
      <c r="AL7" s="8">
        <v>0.92190000000000005</v>
      </c>
      <c r="AM7" s="9">
        <v>164.51599999999999</v>
      </c>
      <c r="AN7" s="10">
        <v>163.61000000000001</v>
      </c>
      <c r="AO7" s="8">
        <f>IF(Table1[[#This Row],[P_R4]]="","",Table1[Pu(kN)]/Table1[[#This Row],[P_R4]])</f>
        <v>0.98333672104536729</v>
      </c>
      <c r="AP7" s="8">
        <v>0.91900000000000004</v>
      </c>
      <c r="AQ7" s="9">
        <v>163.61000000000001</v>
      </c>
      <c r="AR7">
        <v>162.33199999999999</v>
      </c>
      <c r="AS7">
        <f>IF(Table1[[#This Row],[P_F4]]="","",Table1[Pu(kN)]/Table1[[#This Row],[P_F4]])</f>
        <v>0.99107828974097878</v>
      </c>
      <c r="AT7">
        <v>0.9073</v>
      </c>
      <c r="AU7" s="7">
        <v>162.33199999999999</v>
      </c>
      <c r="AV7">
        <v>165.12799999999999</v>
      </c>
      <c r="AW7">
        <f>IF(Table1[[#This Row],[P_F5]]="","",Table1[Pu(kN)]/Table1[[#This Row],[P_F5]])</f>
        <v>0.97429703581604921</v>
      </c>
      <c r="AX7">
        <v>0.91410000000000002</v>
      </c>
      <c r="AY7" s="7">
        <v>165.12799999999999</v>
      </c>
      <c r="AZ7">
        <v>162.15</v>
      </c>
      <c r="BA7">
        <f>IF(Table1[[#This Row],[P_R5]]="","",Table1[Pu(kN)]/Table1[[#This Row],[P_R5]])</f>
        <v>0.99219069337177024</v>
      </c>
      <c r="BB7">
        <v>0.91</v>
      </c>
      <c r="BC7">
        <v>162.15</v>
      </c>
      <c r="BD7" s="5">
        <v>156.31800000000001</v>
      </c>
      <c r="BE7" s="6">
        <f>IF(Table1[[#This Row],[P_F6]]="","",Table1[Pu(kN)]/Table1[[#This Row],[P_F6]])</f>
        <v>1.0292079026742444</v>
      </c>
      <c r="BF7" s="6">
        <v>0.5827</v>
      </c>
      <c r="BG7" s="6">
        <v>156.31800000000001</v>
      </c>
      <c r="BH7" s="5">
        <v>165.08199999999999</v>
      </c>
      <c r="BI7" s="6">
        <f>IF(Table1[[#This Row],[P_R6]]="","",Table1[Pu(kN)]/Table1[[#This Row],[P_R6]])</f>
        <v>0.97456852309902087</v>
      </c>
      <c r="BJ7" s="6">
        <v>0.92120000000000002</v>
      </c>
      <c r="BK7" s="6">
        <v>165.09</v>
      </c>
      <c r="BL7" s="5">
        <v>165.98599999999999</v>
      </c>
      <c r="BM7" s="6">
        <f>IF(Table1[[#This Row],[P_F7]]="","",Table1[Pu(kN)]/Table1[[#This Row],[P_F7]])</f>
        <v>0.96926078663400872</v>
      </c>
      <c r="BN7" s="6">
        <v>0.91679999999999995</v>
      </c>
      <c r="BO7" s="6">
        <v>165.99</v>
      </c>
      <c r="BP7" s="5">
        <v>164.18199999999999</v>
      </c>
      <c r="BQ7" s="6">
        <f>IF(Table1[[#This Row],[P_F8]]="","",Table1[Pu(kN)]/Table1[[#This Row],[P_F8]])</f>
        <v>0.97991083632939402</v>
      </c>
      <c r="BR7" s="6">
        <v>0.90180000000000005</v>
      </c>
      <c r="BS7" s="6">
        <v>164.18199999999999</v>
      </c>
      <c r="BT7" s="5">
        <v>161.34200000000001</v>
      </c>
      <c r="BU7" s="6">
        <f>IF(Table1[[#This Row],[P_R7]]="","",Table1[Pu(kN)]/Table1[[#This Row],[P_R7]])</f>
        <v>0.99715957983806169</v>
      </c>
      <c r="BV7" s="6">
        <v>0.90810000000000002</v>
      </c>
      <c r="BW7" s="6">
        <v>161.38999999999999</v>
      </c>
      <c r="BX7" s="5">
        <v>164.62799999999999</v>
      </c>
      <c r="BY7" s="6">
        <f>IF(Table1[[#This Row],[P_F9]]="","",Table1[Pu(kN)]/Table1[[#This Row],[P_F9]])</f>
        <v>0.97725612247146643</v>
      </c>
      <c r="BZ7" s="6">
        <v>0.91720000000000002</v>
      </c>
      <c r="CA7" s="7">
        <v>164.62799999999999</v>
      </c>
      <c r="CB7" s="5">
        <v>163.81399999999999</v>
      </c>
      <c r="CC7" s="6">
        <f>IF(Table1[[#This Row],[P_R8]]="","",Table1[Pu(kN)]/Table1[[#This Row],[P_R8]])</f>
        <v>0.98211215726514556</v>
      </c>
      <c r="CD7" s="6">
        <v>0.91949999999999998</v>
      </c>
      <c r="CE7" s="6">
        <v>163.83199999999999</v>
      </c>
      <c r="CF7" s="5">
        <v>159.048</v>
      </c>
      <c r="CG7">
        <f>IF(Table1[[#This Row],[P_R9]]="","",Table1[Pu(kN)]/Table1[[#This Row],[P_R9]])</f>
        <v>1.0115419302992339</v>
      </c>
      <c r="CH7">
        <v>0.86850000000000005</v>
      </c>
      <c r="CI7">
        <v>159.06200000000001</v>
      </c>
      <c r="CJ7" s="34">
        <v>164.47</v>
      </c>
      <c r="CK7" s="6">
        <f>IF(Table1[[#This Row],[P_F10]]="","",Table1[Pu(kN)]/Table1[[#This Row],[P_F10]])</f>
        <v>0.97819493482235398</v>
      </c>
      <c r="CL7" s="6">
        <v>0.91269999999999996</v>
      </c>
      <c r="CM7" s="7">
        <v>164.47</v>
      </c>
      <c r="CN7" s="38">
        <f>Table1[[#This Row],[P_R8]]</f>
        <v>163.81399999999999</v>
      </c>
      <c r="CO7" s="38">
        <f>Table1[[#This Row],[Pu(kN)]]/Table1[[#This Row],[P_R8_2]]</f>
        <v>0.98211215726514556</v>
      </c>
      <c r="CP7" s="38">
        <f>Table1[[#This Row],[DUCTIL_R8]]</f>
        <v>0.91949999999999998</v>
      </c>
      <c r="CQ7" s="38">
        <f>Table1[[#This Row],[P_R8_2]]</f>
        <v>163.81399999999999</v>
      </c>
    </row>
    <row r="8" spans="1:95" x14ac:dyDescent="0.3">
      <c r="A8" s="26" t="s">
        <v>77</v>
      </c>
      <c r="B8" s="35" t="s">
        <v>96</v>
      </c>
      <c r="C8" s="18" t="s">
        <v>85</v>
      </c>
      <c r="D8" s="18">
        <v>1998</v>
      </c>
      <c r="E8" s="18" t="s">
        <v>90</v>
      </c>
      <c r="F8" s="18">
        <v>48.6</v>
      </c>
      <c r="G8" s="22">
        <v>1.18</v>
      </c>
      <c r="H8" s="18">
        <v>1290</v>
      </c>
      <c r="I8" s="18">
        <v>198</v>
      </c>
      <c r="J8" s="22">
        <f>Table1[[#This Row],[a'[mm']]]/Table1[[#This Row],[d'[mm']]]</f>
        <v>6.5151515151515156</v>
      </c>
      <c r="K8" s="18">
        <v>250</v>
      </c>
      <c r="L8" s="18" t="s">
        <v>28</v>
      </c>
      <c r="M8" s="22">
        <f>58.17/0.645</f>
        <v>90.186046511627907</v>
      </c>
      <c r="N8" s="22" t="s">
        <v>130</v>
      </c>
      <c r="O8" s="18" t="s">
        <v>131</v>
      </c>
      <c r="P8" s="5">
        <v>83.353999999999999</v>
      </c>
      <c r="Q8" s="6">
        <f>IF(Table1[[#This Row],[P_F1]]="","",Table1[Pu(kN)]/Table1[[#This Row],[P_F1]])</f>
        <v>1.0819642310102444</v>
      </c>
      <c r="R8">
        <v>0.87980000000000003</v>
      </c>
      <c r="S8" s="6">
        <f>Table1[[#This Row],[P_F1]]</f>
        <v>83.353999999999999</v>
      </c>
      <c r="T8" s="5">
        <v>83.21</v>
      </c>
      <c r="U8" s="6">
        <f>IF(Table1[[#This Row],[P_R1]]="","",Table1[Pu(kN)]/Table1[[#This Row],[P_R1]])</f>
        <v>1.0838366363613499</v>
      </c>
      <c r="V8">
        <v>0.91420000000000001</v>
      </c>
      <c r="W8">
        <v>83.21</v>
      </c>
      <c r="X8" s="5">
        <v>84.524000000000001</v>
      </c>
      <c r="Y8" s="6">
        <f>IF(Table1[[#This Row],[P_F2]]="","",Table1[Pu(kN)]/Table1[[#This Row],[P_F2]])</f>
        <v>1.066987441574321</v>
      </c>
      <c r="Z8">
        <v>0.92490000000000006</v>
      </c>
      <c r="AA8">
        <v>84.524000000000001</v>
      </c>
      <c r="AB8" s="10">
        <v>83.147999999999996</v>
      </c>
      <c r="AC8" s="8">
        <f>IF(Table1[[#This Row],[P_R2]]="","",Table1[Pu(kN)]/Table1[[#This Row],[P_R2]])</f>
        <v>1.0846448081929561</v>
      </c>
      <c r="AD8">
        <v>0.91749999999999998</v>
      </c>
      <c r="AE8" s="9">
        <f>Table1[[#This Row],[P_R2]]</f>
        <v>83.147999999999996</v>
      </c>
      <c r="AF8" s="2">
        <v>85.251999999999995</v>
      </c>
      <c r="AG8" s="2">
        <f>IF(Table1[[#This Row],[P_F3]]="","",Table1[Pu(kN)]/Table1[[#This Row],[P_F3]])</f>
        <v>1.0578760206403124</v>
      </c>
      <c r="AH8" s="2">
        <v>0.92620000000000002</v>
      </c>
      <c r="AI8" s="8">
        <v>85.251999999999995</v>
      </c>
      <c r="AJ8" s="10">
        <v>83.768000000000001</v>
      </c>
      <c r="AK8" s="8">
        <f>IF(Table1[[#This Row],[P_R3]]="","",Table1[Pu(kN)]/Table1[[#This Row],[P_R3]])</f>
        <v>1.0766169242625812</v>
      </c>
      <c r="AL8" s="8">
        <v>0.92200000000000004</v>
      </c>
      <c r="AM8" s="9">
        <v>83.768000000000001</v>
      </c>
      <c r="AN8" s="10">
        <v>83.376000000000005</v>
      </c>
      <c r="AO8" s="8">
        <f>IF(Table1[[#This Row],[P_R4]]="","",Table1[Pu(kN)]/Table1[[#This Row],[P_R4]])</f>
        <v>1.0816787386253586</v>
      </c>
      <c r="AP8" s="8">
        <v>0.91830000000000001</v>
      </c>
      <c r="AQ8" s="9">
        <v>83.376000000000005</v>
      </c>
      <c r="AR8">
        <v>84.08</v>
      </c>
      <c r="AS8">
        <f>IF(Table1[[#This Row],[P_F4]]="","",Table1[Pu(kN)]/Table1[[#This Row],[P_F4]])</f>
        <v>1.0726218662182196</v>
      </c>
      <c r="AT8">
        <v>0.89190000000000003</v>
      </c>
      <c r="AU8" s="7">
        <v>84.08</v>
      </c>
      <c r="AV8">
        <v>85.522000000000006</v>
      </c>
      <c r="AW8">
        <f>IF(Table1[[#This Row],[P_F5]]="","",Table1[Pu(kN)]/Table1[[#This Row],[P_F5]])</f>
        <v>1.0545362188866947</v>
      </c>
      <c r="AX8">
        <v>0.92159999999999997</v>
      </c>
      <c r="AY8" s="7">
        <v>85.522000000000006</v>
      </c>
      <c r="AZ8">
        <v>83.018000000000001</v>
      </c>
      <c r="BA8">
        <f>IF(Table1[[#This Row],[P_R5]]="","",Table1[Pu(kN)]/Table1[[#This Row],[P_R5]])</f>
        <v>1.0863432811152751</v>
      </c>
      <c r="BB8">
        <v>0.92320000000000002</v>
      </c>
      <c r="BC8">
        <v>83.046000000000006</v>
      </c>
      <c r="BD8" s="5">
        <v>60.83</v>
      </c>
      <c r="BE8" s="6">
        <f>IF(Table1[[#This Row],[P_F6]]="","",Table1[Pu(kN)]/Table1[[#This Row],[P_F6]])</f>
        <v>1.4825915915112264</v>
      </c>
      <c r="BF8" s="6">
        <v>3.7199999999999997E-2</v>
      </c>
      <c r="BG8" s="6">
        <v>60.83</v>
      </c>
      <c r="BH8" s="5">
        <v>83.513999999999996</v>
      </c>
      <c r="BI8" s="6">
        <f>IF(Table1[[#This Row],[P_R6]]="","",Table1[Pu(kN)]/Table1[[#This Row],[P_R6]])</f>
        <v>1.0798913536847463</v>
      </c>
      <c r="BJ8" s="6">
        <v>0.91990000000000005</v>
      </c>
      <c r="BK8" s="6">
        <v>83.516000000000005</v>
      </c>
      <c r="BL8" s="5">
        <v>85.481999999999999</v>
      </c>
      <c r="BM8" s="6">
        <f>IF(Table1[[#This Row],[P_F7]]="","",Table1[Pu(kN)]/Table1[[#This Row],[P_F7]])</f>
        <v>1.0550296730496234</v>
      </c>
      <c r="BN8" s="6">
        <v>0.91579999999999995</v>
      </c>
      <c r="BO8" s="6">
        <v>85.481999999999999</v>
      </c>
      <c r="BP8" s="5">
        <v>86.268000000000001</v>
      </c>
      <c r="BQ8" s="6">
        <f>IF(Table1[[#This Row],[P_F8]]="","",Table1[Pu(kN)]/Table1[[#This Row],[P_F8]])</f>
        <v>1.0454171478604801</v>
      </c>
      <c r="BR8" s="6">
        <v>0.92920000000000003</v>
      </c>
      <c r="BS8" s="6">
        <v>86.268000000000001</v>
      </c>
      <c r="BT8" s="5">
        <v>82.635999999999996</v>
      </c>
      <c r="BU8" s="6">
        <f>IF(Table1[[#This Row],[P_R7]]="","",Table1[Pu(kN)]/Table1[[#This Row],[P_R7]])</f>
        <v>1.0913651013072743</v>
      </c>
      <c r="BV8" s="6">
        <v>0.91549999999999998</v>
      </c>
      <c r="BW8" s="6">
        <v>82.641999999999996</v>
      </c>
      <c r="BX8" s="5">
        <v>83.796000000000006</v>
      </c>
      <c r="BY8" s="6">
        <f>IF(Table1[[#This Row],[P_F9]]="","",Table1[Pu(kN)]/Table1[[#This Row],[P_F9]])</f>
        <v>1.0762571782856927</v>
      </c>
      <c r="BZ8" s="6">
        <v>0.88990000000000002</v>
      </c>
      <c r="CA8" s="7">
        <v>83.796000000000006</v>
      </c>
      <c r="CB8" s="5">
        <v>83.512</v>
      </c>
      <c r="CC8" s="6">
        <f>IF(Table1[[#This Row],[P_R8]]="","",Table1[Pu(kN)]/Table1[[#This Row],[P_R8]])</f>
        <v>1.0799172156292258</v>
      </c>
      <c r="CD8" s="6">
        <v>0.91979999999999995</v>
      </c>
      <c r="CE8" s="6">
        <v>83.512</v>
      </c>
      <c r="CF8" s="5">
        <v>83.182000000000002</v>
      </c>
      <c r="CG8">
        <f>IF(Table1[[#This Row],[P_R9]]="","",Table1[Pu(kN)]/Table1[[#This Row],[P_R9]])</f>
        <v>1.0842014680054328</v>
      </c>
      <c r="CH8">
        <v>0.91759999999999997</v>
      </c>
      <c r="CI8">
        <v>83.182000000000002</v>
      </c>
      <c r="CJ8" s="34">
        <v>84.494</v>
      </c>
      <c r="CK8" s="6">
        <f>IF(Table1[[#This Row],[P_F10]]="","",Table1[Pu(kN)]/Table1[[#This Row],[P_F10]])</f>
        <v>1.0673662805835669</v>
      </c>
      <c r="CL8" s="6">
        <v>0.90710000000000002</v>
      </c>
      <c r="CM8" s="7">
        <v>84.494</v>
      </c>
      <c r="CN8" s="38">
        <f>Table1[[#This Row],[P_R8]]</f>
        <v>83.512</v>
      </c>
      <c r="CO8" s="38">
        <f>Table1[[#This Row],[Pu(kN)]]/Table1[[#This Row],[P_R8_2]]</f>
        <v>1.0799172156292258</v>
      </c>
      <c r="CP8" s="38">
        <f>Table1[[#This Row],[DUCTIL_R8]]</f>
        <v>0.91979999999999995</v>
      </c>
      <c r="CQ8" s="38">
        <f>Table1[[#This Row],[P_R8_2]]</f>
        <v>83.512</v>
      </c>
    </row>
    <row r="9" spans="1:95" x14ac:dyDescent="0.3">
      <c r="A9" s="27" t="s">
        <v>78</v>
      </c>
      <c r="B9" s="36" t="s">
        <v>96</v>
      </c>
      <c r="C9" s="20" t="s">
        <v>85</v>
      </c>
      <c r="D9" s="20">
        <v>1998</v>
      </c>
      <c r="E9" s="20" t="s">
        <v>90</v>
      </c>
      <c r="F9" s="20">
        <v>48.6</v>
      </c>
      <c r="G9" s="23">
        <v>1.77</v>
      </c>
      <c r="H9" s="20">
        <v>1290</v>
      </c>
      <c r="I9" s="20">
        <v>198</v>
      </c>
      <c r="J9" s="23">
        <f>Table1[[#This Row],[a'[mm']]]/Table1[[#This Row],[d'[mm']]]</f>
        <v>6.5151515151515156</v>
      </c>
      <c r="K9" s="20">
        <v>250</v>
      </c>
      <c r="L9" s="20" t="s">
        <v>28</v>
      </c>
      <c r="M9" s="23">
        <f>80.6/0.645</f>
        <v>124.96124031007751</v>
      </c>
      <c r="N9" s="23" t="s">
        <v>130</v>
      </c>
      <c r="O9" s="20" t="s">
        <v>131</v>
      </c>
      <c r="P9" s="5">
        <v>119.328</v>
      </c>
      <c r="Q9" s="6">
        <f>IF(Table1[[#This Row],[P_F1]]="","",Table1[Pu(kN)]/Table1[[#This Row],[P_F1]])</f>
        <v>1.0472080342424033</v>
      </c>
      <c r="R9">
        <v>0.87590000000000001</v>
      </c>
      <c r="S9" s="6">
        <f>Table1[[#This Row],[P_F1]]</f>
        <v>119.328</v>
      </c>
      <c r="T9" s="5">
        <v>118.744</v>
      </c>
      <c r="U9" s="6">
        <f>IF(Table1[[#This Row],[P_R1]]="","",Table1[Pu(kN)]/Table1[[#This Row],[P_R1]])</f>
        <v>1.0523583533490324</v>
      </c>
      <c r="V9">
        <v>0.88339999999999996</v>
      </c>
      <c r="W9">
        <v>118.744</v>
      </c>
      <c r="X9" s="5">
        <v>121.182</v>
      </c>
      <c r="Y9" s="6">
        <f>IF(Table1[[#This Row],[P_F2]]="","",Table1[Pu(kN)]/Table1[[#This Row],[P_F2]])</f>
        <v>1.0311864823990156</v>
      </c>
      <c r="Z9">
        <v>0.9002</v>
      </c>
      <c r="AA9">
        <v>121.182</v>
      </c>
      <c r="AB9" s="10">
        <v>119.816</v>
      </c>
      <c r="AC9" s="8">
        <f>IF(Table1[[#This Row],[P_R2]]="","",Table1[Pu(kN)]/Table1[[#This Row],[P_R2]])</f>
        <v>1.0429428482846825</v>
      </c>
      <c r="AD9">
        <v>0.89670000000000005</v>
      </c>
      <c r="AE9" s="9">
        <f>Table1[[#This Row],[P_R2]]</f>
        <v>119.816</v>
      </c>
      <c r="AF9" s="2">
        <v>121.24</v>
      </c>
      <c r="AG9" s="2">
        <f>IF(Table1[[#This Row],[P_F3]]="","",Table1[Pu(kN)]/Table1[[#This Row],[P_F3]])</f>
        <v>1.03069317312832</v>
      </c>
      <c r="AH9" s="2">
        <v>0.90100000000000002</v>
      </c>
      <c r="AI9" s="8">
        <v>121.24</v>
      </c>
      <c r="AJ9" s="10">
        <v>120.384</v>
      </c>
      <c r="AK9" s="8">
        <f>IF(Table1[[#This Row],[P_R3]]="","",Table1[Pu(kN)]/Table1[[#This Row],[P_R3]])</f>
        <v>1.0380219988543122</v>
      </c>
      <c r="AL9" s="8">
        <v>0.89829999999999999</v>
      </c>
      <c r="AM9" s="9">
        <v>120.384</v>
      </c>
      <c r="AN9" s="10">
        <v>119.694</v>
      </c>
      <c r="AO9" s="8">
        <f>IF(Table1[[#This Row],[P_R4]]="","",Table1[Pu(kN)]/Table1[[#This Row],[P_R4]])</f>
        <v>1.0440058842554973</v>
      </c>
      <c r="AP9" s="8">
        <v>0.89729999999999999</v>
      </c>
      <c r="AQ9" s="9">
        <v>119.718</v>
      </c>
      <c r="AR9">
        <v>119.416</v>
      </c>
      <c r="AS9">
        <f>IF(Table1[[#This Row],[P_F4]]="","",Table1[Pu(kN)]/Table1[[#This Row],[P_F4]])</f>
        <v>1.046436326037361</v>
      </c>
      <c r="AT9">
        <v>0.879</v>
      </c>
      <c r="AU9" s="7">
        <v>119.416</v>
      </c>
      <c r="AV9">
        <v>121.006</v>
      </c>
      <c r="AW9">
        <f>IF(Table1[[#This Row],[P_F5]]="","",Table1[Pu(kN)]/Table1[[#This Row],[P_F5]])</f>
        <v>1.0326863156378816</v>
      </c>
      <c r="AX9">
        <v>0.8891</v>
      </c>
      <c r="AY9" s="7">
        <v>121.014</v>
      </c>
      <c r="AZ9">
        <v>117.30800000000001</v>
      </c>
      <c r="BA9">
        <f>IF(Table1[[#This Row],[P_R5]]="","",Table1[Pu(kN)]/Table1[[#This Row],[P_R5]])</f>
        <v>1.0652405659467172</v>
      </c>
      <c r="BB9">
        <v>0.86729999999999996</v>
      </c>
      <c r="BC9">
        <v>117.30800000000001</v>
      </c>
      <c r="BD9" s="5">
        <v>118.1</v>
      </c>
      <c r="BE9" s="6">
        <f>IF(Table1[[#This Row],[P_F6]]="","",Table1[Pu(kN)]/Table1[[#This Row],[P_F6]])</f>
        <v>1.0580968696873625</v>
      </c>
      <c r="BF9" s="6">
        <v>0.82399999999999995</v>
      </c>
      <c r="BG9" s="6">
        <v>118.1</v>
      </c>
      <c r="BH9" s="5">
        <v>120.14400000000001</v>
      </c>
      <c r="BI9" s="6">
        <f>IF(Table1[[#This Row],[P_R6]]="","",Table1[Pu(kN)]/Table1[[#This Row],[P_R6]])</f>
        <v>1.0400955545851438</v>
      </c>
      <c r="BJ9" s="6">
        <v>0.89419999999999999</v>
      </c>
      <c r="BK9" s="6">
        <v>120.14400000000001</v>
      </c>
      <c r="BL9" s="5">
        <v>121.452</v>
      </c>
      <c r="BM9" s="6">
        <f>IF(Table1[[#This Row],[P_F7]]="","",Table1[Pu(kN)]/Table1[[#This Row],[P_F7]])</f>
        <v>1.0288940512307538</v>
      </c>
      <c r="BN9" s="6">
        <v>0.89270000000000005</v>
      </c>
      <c r="BO9" s="6">
        <v>121.452</v>
      </c>
      <c r="BP9" s="5">
        <v>120.578</v>
      </c>
      <c r="BQ9" s="6">
        <f>IF(Table1[[#This Row],[P_F8]]="","",Table1[Pu(kN)]/Table1[[#This Row],[P_F8]])</f>
        <v>1.0363519075625529</v>
      </c>
      <c r="BR9" s="6">
        <v>0.89349999999999996</v>
      </c>
      <c r="BS9" s="6">
        <v>120.578</v>
      </c>
      <c r="BT9" s="5">
        <v>118.232</v>
      </c>
      <c r="BU9" s="6">
        <f>IF(Table1[[#This Row],[P_R7]]="","",Table1[Pu(kN)]/Table1[[#This Row],[P_R7]])</f>
        <v>1.0569155584789018</v>
      </c>
      <c r="BV9" s="6">
        <v>0.88370000000000004</v>
      </c>
      <c r="BW9" s="6">
        <v>118.232</v>
      </c>
      <c r="BX9" s="5">
        <v>120.56</v>
      </c>
      <c r="BY9" s="6">
        <f>IF(Table1[[#This Row],[P_F9]]="","",Table1[Pu(kN)]/Table1[[#This Row],[P_F9]])</f>
        <v>1.0365066382720431</v>
      </c>
      <c r="BZ9" s="6">
        <v>0.89570000000000005</v>
      </c>
      <c r="CA9" s="7">
        <v>120.56</v>
      </c>
      <c r="CB9" s="5">
        <v>119.462</v>
      </c>
      <c r="CC9" s="6">
        <f>IF(Table1[[#This Row],[P_R8]]="","",Table1[Pu(kN)]/Table1[[#This Row],[P_R8]])</f>
        <v>1.0460333855960684</v>
      </c>
      <c r="CD9" s="6">
        <v>0.89580000000000004</v>
      </c>
      <c r="CE9" s="6">
        <v>119.462</v>
      </c>
      <c r="CF9" s="5">
        <v>119.252</v>
      </c>
      <c r="CG9">
        <f>IF(Table1[[#This Row],[P_R9]]="","",Table1[Pu(kN)]/Table1[[#This Row],[P_R9]])</f>
        <v>1.0478754260731686</v>
      </c>
      <c r="CH9">
        <v>0.89610000000000001</v>
      </c>
      <c r="CI9">
        <v>119.252</v>
      </c>
      <c r="CJ9" s="34">
        <v>120.72199999999999</v>
      </c>
      <c r="CK9" s="6">
        <f>IF(Table1[[#This Row],[P_F10]]="","",Table1[Pu(kN)]/Table1[[#This Row],[P_F10]])</f>
        <v>1.0351157229840255</v>
      </c>
      <c r="CL9" s="6">
        <v>0.88990000000000002</v>
      </c>
      <c r="CM9" s="7">
        <v>120.72199999999999</v>
      </c>
      <c r="CN9" s="38">
        <f>Table1[[#This Row],[P_R8]]</f>
        <v>119.462</v>
      </c>
      <c r="CO9" s="38">
        <f>Table1[[#This Row],[Pu(kN)]]/Table1[[#This Row],[P_R8_2]]</f>
        <v>1.0460333855960684</v>
      </c>
      <c r="CP9" s="38">
        <f>Table1[[#This Row],[DUCTIL_R8]]</f>
        <v>0.89580000000000004</v>
      </c>
      <c r="CQ9" s="38">
        <f>Table1[[#This Row],[P_R8_2]]</f>
        <v>119.462</v>
      </c>
    </row>
    <row r="10" spans="1:95" x14ac:dyDescent="0.3">
      <c r="A10" s="26" t="s">
        <v>127</v>
      </c>
      <c r="B10" s="35" t="s">
        <v>96</v>
      </c>
      <c r="C10" s="35" t="s">
        <v>85</v>
      </c>
      <c r="D10" s="35">
        <v>1998</v>
      </c>
      <c r="E10" s="18" t="s">
        <v>90</v>
      </c>
      <c r="F10" s="18">
        <v>48.6</v>
      </c>
      <c r="G10" s="22">
        <v>2.37</v>
      </c>
      <c r="H10" s="18">
        <v>1290</v>
      </c>
      <c r="I10" s="18">
        <v>198</v>
      </c>
      <c r="J10" s="22">
        <f>Table1[[#This Row],[a'[mm']]]/Table1[[#This Row],[d'[mm']]]</f>
        <v>6.5151515151515156</v>
      </c>
      <c r="K10" s="18">
        <v>250</v>
      </c>
      <c r="L10" s="18" t="s">
        <v>28</v>
      </c>
      <c r="M10" s="22">
        <f>99.55/0.645</f>
        <v>154.34108527131781</v>
      </c>
      <c r="N10" s="22" t="s">
        <v>130</v>
      </c>
      <c r="O10" s="18" t="s">
        <v>131</v>
      </c>
      <c r="P10" s="5">
        <v>152.20400000000001</v>
      </c>
      <c r="Q10" s="6">
        <f>IF(Table1[[#This Row],[P_F1]]="","",Table1[Pu(kN)]/Table1[[#This Row],[P_F1]])</f>
        <v>1.0140409271196407</v>
      </c>
      <c r="R10">
        <v>0.83309999999999995</v>
      </c>
      <c r="S10" s="6">
        <f>Table1[[#This Row],[P_F1]]</f>
        <v>152.20400000000001</v>
      </c>
      <c r="T10" s="5">
        <v>151.024</v>
      </c>
      <c r="U10" s="6">
        <f>IF(Table1[[#This Row],[P_R1]]="","",Table1[Pu(kN)]/Table1[[#This Row],[P_R1]])</f>
        <v>1.0219639611672171</v>
      </c>
      <c r="V10">
        <v>0.83830000000000005</v>
      </c>
      <c r="W10">
        <v>151.024</v>
      </c>
      <c r="X10" s="5">
        <v>153.446</v>
      </c>
      <c r="Y10" s="6">
        <f>IF(Table1[[#This Row],[P_F2]]="","",Table1[Pu(kN)]/Table1[[#This Row],[P_F2]])</f>
        <v>1.0058332264856549</v>
      </c>
      <c r="Z10">
        <v>0.8619</v>
      </c>
      <c r="AA10">
        <v>153.45599999999999</v>
      </c>
      <c r="AB10" s="10">
        <v>151.69999999999999</v>
      </c>
      <c r="AC10">
        <f>IF(Table1[[#This Row],[P_R2]]="","",Table1[Pu(kN)]/Table1[[#This Row],[P_R2]])</f>
        <v>1.017409922685022</v>
      </c>
      <c r="AD10">
        <v>0.85450000000000004</v>
      </c>
      <c r="AE10" s="9">
        <f>Table1[[#This Row],[P_R2]]</f>
        <v>151.69999999999999</v>
      </c>
      <c r="AF10" s="8">
        <v>153.822</v>
      </c>
      <c r="AG10" s="8">
        <f>IF(Table1[[#This Row],[P_F3]]="","",Table1[Pu(kN)]/Table1[[#This Row],[P_F3]])</f>
        <v>1.0033745840732653</v>
      </c>
      <c r="AH10" s="8">
        <v>0.85170000000000001</v>
      </c>
      <c r="AI10" s="9">
        <v>153.822</v>
      </c>
      <c r="AJ10" s="10">
        <v>152.68199999999999</v>
      </c>
      <c r="AK10" s="8">
        <f>IF(Table1[[#This Row],[P_R3]]="","",Table1[Pu(kN)]/Table1[[#This Row],[P_R3]])</f>
        <v>1.010866279399784</v>
      </c>
      <c r="AL10" s="8">
        <v>0.86309999999999998</v>
      </c>
      <c r="AM10" s="9">
        <v>152.68199999999999</v>
      </c>
      <c r="AN10" s="10">
        <v>151.02000000000001</v>
      </c>
      <c r="AO10" s="8">
        <f>IF(Table1[[#This Row],[P_R4]]="","",Table1[Pu(kN)]/Table1[[#This Row],[P_R4]])</f>
        <v>1.0219910294750219</v>
      </c>
      <c r="AP10" s="8">
        <v>0.84609999999999996</v>
      </c>
      <c r="AQ10" s="9">
        <v>151.05000000000001</v>
      </c>
      <c r="AR10">
        <v>152.858</v>
      </c>
      <c r="AS10">
        <f>IF(Table1[[#This Row],[P_F4]]="","",Table1[Pu(kN)]/Table1[[#This Row],[P_F4]])</f>
        <v>1.0097023726027934</v>
      </c>
      <c r="AT10">
        <v>0.8367</v>
      </c>
      <c r="AU10" s="7">
        <v>152.858</v>
      </c>
      <c r="AV10">
        <v>153.58799999999999</v>
      </c>
      <c r="AW10">
        <f>IF(Table1[[#This Row],[P_F5]]="","",Table1[Pu(kN)]/Table1[[#This Row],[P_F5]])</f>
        <v>1.0049032819707127</v>
      </c>
      <c r="AX10">
        <v>0.84819999999999995</v>
      </c>
      <c r="AY10" s="7">
        <v>153.58799999999999</v>
      </c>
      <c r="AZ10">
        <v>150.05799999999999</v>
      </c>
      <c r="BA10">
        <f>IF(Table1[[#This Row],[P_R5]]="","",Table1[Pu(kN)]/Table1[[#This Row],[P_R5]])</f>
        <v>1.0285428652342281</v>
      </c>
      <c r="BB10">
        <v>0.83150000000000002</v>
      </c>
      <c r="BC10">
        <v>150.09800000000001</v>
      </c>
      <c r="BD10" s="5">
        <v>149.756</v>
      </c>
      <c r="BE10" s="6">
        <f>IF(Table1[[#This Row],[P_F6]]="","",Table1[Pu(kN)]/Table1[[#This Row],[P_F6]])</f>
        <v>1.0306170388586622</v>
      </c>
      <c r="BF10" s="6">
        <v>0.68369999999999997</v>
      </c>
      <c r="BG10" s="6">
        <v>149.756</v>
      </c>
      <c r="BH10" s="5">
        <v>151.92599999999999</v>
      </c>
      <c r="BI10" s="6">
        <f>IF(Table1[[#This Row],[P_R6]]="","",Table1[Pu(kN)]/Table1[[#This Row],[P_R6]])</f>
        <v>1.015896457955306</v>
      </c>
      <c r="BJ10" s="6">
        <v>0.85580000000000001</v>
      </c>
      <c r="BK10" s="6">
        <v>151.92599999999999</v>
      </c>
      <c r="BL10" s="5">
        <v>153.51599999999999</v>
      </c>
      <c r="BM10" s="6">
        <f>IF(Table1[[#This Row],[P_F7]]="","",Table1[Pu(kN)]/Table1[[#This Row],[P_F7]])</f>
        <v>1.005374588129692</v>
      </c>
      <c r="BN10" s="6">
        <v>0.84319999999999995</v>
      </c>
      <c r="BO10" s="6">
        <v>153.51599999999999</v>
      </c>
      <c r="BP10" s="5">
        <v>152.464</v>
      </c>
      <c r="BQ10" s="6">
        <f>IF(Table1[[#This Row],[P_F8]]="","",Table1[Pu(kN)]/Table1[[#This Row],[P_F8]])</f>
        <v>1.012311662237104</v>
      </c>
      <c r="BR10" s="6">
        <v>0.83479999999999999</v>
      </c>
      <c r="BS10" s="6">
        <v>152.464</v>
      </c>
      <c r="BT10" s="5">
        <v>150.816</v>
      </c>
      <c r="BU10" s="6">
        <f>IF(Table1[[#This Row],[P_R7]]="","",Table1[Pu(kN)]/Table1[[#This Row],[P_R7]])</f>
        <v>1.0233734170865014</v>
      </c>
      <c r="BV10" s="6">
        <v>0.84099999999999997</v>
      </c>
      <c r="BW10" s="6">
        <v>150.84200000000001</v>
      </c>
      <c r="BX10" s="5">
        <v>152.24199999999999</v>
      </c>
      <c r="BY10" s="6">
        <f>IF(Table1[[#This Row],[P_F9]]="","",Table1[Pu(kN)]/Table1[[#This Row],[P_F9]])</f>
        <v>1.0137878198612591</v>
      </c>
      <c r="BZ10" s="6">
        <v>0.83199999999999996</v>
      </c>
      <c r="CA10" s="7">
        <v>152.24199999999999</v>
      </c>
      <c r="CB10" s="5">
        <v>150.90799999999999</v>
      </c>
      <c r="CC10" s="6">
        <f>IF(Table1[[#This Row],[P_R8]]="","",Table1[Pu(kN)]/Table1[[#This Row],[P_R8]])</f>
        <v>1.0227495246860194</v>
      </c>
      <c r="CD10" s="6">
        <v>0.84179999999999999</v>
      </c>
      <c r="CE10" s="6">
        <v>150.90799999999999</v>
      </c>
      <c r="CF10" s="5">
        <v>151.32</v>
      </c>
      <c r="CG10">
        <f>IF(Table1[[#This Row],[P_R9]]="","",Table1[Pu(kN)]/Table1[[#This Row],[P_R9]])</f>
        <v>1.0199648775529859</v>
      </c>
      <c r="CH10">
        <v>0.84309999999999996</v>
      </c>
      <c r="CI10">
        <v>151.32</v>
      </c>
      <c r="CJ10" s="34">
        <v>152.49799999999999</v>
      </c>
      <c r="CK10" s="6">
        <f>IF(Table1[[#This Row],[P_F10]]="","",Table1[Pu(kN)]/Table1[[#This Row],[P_F10]])</f>
        <v>1.0120859635622619</v>
      </c>
      <c r="CL10" s="6">
        <v>0.84670000000000001</v>
      </c>
      <c r="CM10" s="7">
        <v>152.49799999999999</v>
      </c>
      <c r="CN10" s="38">
        <f>Table1[[#This Row],[P_R8]]</f>
        <v>150.90799999999999</v>
      </c>
      <c r="CO10" s="38">
        <f>Table1[[#This Row],[Pu(kN)]]/Table1[[#This Row],[P_R8_2]]</f>
        <v>1.0227495246860194</v>
      </c>
      <c r="CP10" s="38">
        <f>Table1[[#This Row],[DUCTIL_R8]]</f>
        <v>0.84179999999999999</v>
      </c>
      <c r="CQ10" s="38">
        <f>Table1[[#This Row],[P_R8_2]]</f>
        <v>150.90799999999999</v>
      </c>
    </row>
    <row r="11" spans="1:95" x14ac:dyDescent="0.3">
      <c r="A11" s="26" t="s">
        <v>17</v>
      </c>
      <c r="B11" s="35" t="s">
        <v>92</v>
      </c>
      <c r="C11" s="18" t="s">
        <v>86</v>
      </c>
      <c r="D11" s="18">
        <v>1963</v>
      </c>
      <c r="E11" s="18" t="s">
        <v>90</v>
      </c>
      <c r="F11" s="18">
        <v>24.1</v>
      </c>
      <c r="G11" s="22">
        <v>1.4974423290192596</v>
      </c>
      <c r="H11" s="18">
        <f>3660/2</f>
        <v>1830</v>
      </c>
      <c r="I11" s="18">
        <v>466</v>
      </c>
      <c r="J11" s="22">
        <f>Table1[[#This Row],[a'[mm']]]/Table1[[#This Row],[d'[mm']]]</f>
        <v>3.9270386266094421</v>
      </c>
      <c r="K11" s="18">
        <v>561</v>
      </c>
      <c r="L11" s="18" t="s">
        <v>293</v>
      </c>
      <c r="M11" s="18">
        <v>468</v>
      </c>
      <c r="N11" s="18" t="s">
        <v>130</v>
      </c>
      <c r="O11" s="18" t="s">
        <v>131</v>
      </c>
      <c r="P11" s="5">
        <v>334.42</v>
      </c>
      <c r="Q11" s="6">
        <f>IF(Table1[[#This Row],[P_F1]]="","",Table1[Pu(kN)]/Table1[[#This Row],[P_F1]])</f>
        <v>1.3994378326655104</v>
      </c>
      <c r="R11" s="6">
        <v>0.12280000000000001</v>
      </c>
      <c r="S11" s="6">
        <v>336.4</v>
      </c>
      <c r="T11" s="5">
        <v>383.32</v>
      </c>
      <c r="U11" s="6">
        <f>IF(Table1[[#This Row],[P_R1]]="","",Table1[Pu(kN)]/Table1[[#This Row],[P_R1]])</f>
        <v>1.2209120317228426</v>
      </c>
      <c r="V11">
        <v>0.2409</v>
      </c>
      <c r="W11">
        <v>393.8</v>
      </c>
      <c r="X11" s="5">
        <v>340.82</v>
      </c>
      <c r="Y11" s="6">
        <f>IF(Table1[[#This Row],[P_F2]]="","",Table1[Pu(kN)]/Table1[[#This Row],[P_F2]])</f>
        <v>1.3731588521800364</v>
      </c>
      <c r="Z11">
        <v>0.30149999999999999</v>
      </c>
      <c r="AA11">
        <v>340.82</v>
      </c>
      <c r="AB11" s="10">
        <v>376.12</v>
      </c>
      <c r="AC11" s="8">
        <f>IF(Table1[[#This Row],[P_R2]]="","",Table1[Pu(kN)]/Table1[[#This Row],[P_R2]])</f>
        <v>1.24428373923216</v>
      </c>
      <c r="AD11">
        <v>0.26550000000000001</v>
      </c>
      <c r="AE11" s="9">
        <v>382.74</v>
      </c>
      <c r="AF11" s="2">
        <v>344.62</v>
      </c>
      <c r="AG11" s="2">
        <f>IF(Table1[[#This Row],[P_F3]]="","",Table1[Pu(kN)]/Table1[[#This Row],[P_F3]])</f>
        <v>1.3580175265509837</v>
      </c>
      <c r="AH11" s="2">
        <v>3.8199999999999998E-2</v>
      </c>
      <c r="AI11" s="2">
        <v>344.62</v>
      </c>
      <c r="AJ11" s="10">
        <v>430.98</v>
      </c>
      <c r="AK11" s="8">
        <f>IF(Table1[[#This Row],[P_R3]]="","",Table1[Pu(kN)]/Table1[[#This Row],[P_R3]])</f>
        <v>1.085897257413337</v>
      </c>
      <c r="AL11" s="8">
        <v>0.29470000000000002</v>
      </c>
      <c r="AM11" s="9">
        <v>430.98</v>
      </c>
      <c r="AN11" s="10">
        <v>416.4</v>
      </c>
      <c r="AO11" s="8">
        <f>IF(Table1[[#This Row],[P_R4]]="","",Table1[Pu(kN)]/Table1[[#This Row],[P_R4]])</f>
        <v>1.1239193083573487</v>
      </c>
      <c r="AP11" s="8">
        <v>0.32290000000000002</v>
      </c>
      <c r="AQ11" s="9">
        <v>418.68</v>
      </c>
      <c r="AR11">
        <v>329.28</v>
      </c>
      <c r="AS11">
        <f>IF(Table1[[#This Row],[P_F4]]="","",Table1[Pu(kN)]/Table1[[#This Row],[P_F4]])</f>
        <v>1.4212827988338192</v>
      </c>
      <c r="AT11">
        <v>3.0300000000000001E-2</v>
      </c>
      <c r="AU11" s="7">
        <v>332.12</v>
      </c>
      <c r="AV11">
        <v>352.64</v>
      </c>
      <c r="AW11">
        <f>IF(Table1[[#This Row],[P_F5]]="","",Table1[Pu(kN)]/Table1[[#This Row],[P_F5]])</f>
        <v>1.3271324863883849</v>
      </c>
      <c r="AX11">
        <v>3.5799999999999998E-2</v>
      </c>
      <c r="AY11" s="7">
        <v>354.98</v>
      </c>
      <c r="AZ11">
        <v>432.2</v>
      </c>
      <c r="BA11">
        <f>IF(Table1[[#This Row],[P_R5]]="","",Table1[Pu(kN)]/Table1[[#This Row],[P_R5]])</f>
        <v>1.082832022211939</v>
      </c>
      <c r="BB11">
        <v>0.4279</v>
      </c>
      <c r="BC11">
        <v>434.02</v>
      </c>
      <c r="BD11" s="5">
        <v>391.58</v>
      </c>
      <c r="BE11" s="6">
        <f>IF(Table1[[#This Row],[P_F6]]="","",Table1[Pu(kN)]/Table1[[#This Row],[P_F6]])</f>
        <v>1.1951580775320496</v>
      </c>
      <c r="BF11" s="6">
        <v>2.7300000000000001E-2</v>
      </c>
      <c r="BG11" s="6">
        <v>391.58</v>
      </c>
      <c r="BH11" s="5">
        <v>413</v>
      </c>
      <c r="BI11" s="6">
        <f>IF(Table1[[#This Row],[P_R6]]="","",Table1[Pu(kN)]/Table1[[#This Row],[P_R6]])</f>
        <v>1.1331719128329298</v>
      </c>
      <c r="BJ11" s="6">
        <v>0.20349999999999999</v>
      </c>
      <c r="BK11" s="6">
        <v>414.58</v>
      </c>
      <c r="BL11" s="5">
        <v>376.38</v>
      </c>
      <c r="BM11" s="6">
        <f>IF(Table1[[#This Row],[P_F7]]="","",Table1[Pu(kN)]/Table1[[#This Row],[P_F7]])</f>
        <v>1.2434241989478718</v>
      </c>
      <c r="BN11" s="6">
        <v>2.9700000000000001E-2</v>
      </c>
      <c r="BO11" s="6">
        <v>379.76</v>
      </c>
      <c r="BP11" s="5">
        <v>339.9</v>
      </c>
      <c r="BQ11" s="6">
        <f>IF(Table1[[#This Row],[P_F8]]="","",Table1[Pu(kN)]/Table1[[#This Row],[P_F8]])</f>
        <v>1.3768755516328333</v>
      </c>
      <c r="BR11" s="6">
        <v>0.1605</v>
      </c>
      <c r="BS11" s="6">
        <v>340.78</v>
      </c>
      <c r="BT11" s="5">
        <v>394.84</v>
      </c>
      <c r="BU11" s="6">
        <f>IF(Table1[[#This Row],[P_R7]]="","",Table1[Pu(kN)]/Table1[[#This Row],[P_R7]])</f>
        <v>1.185290244149529</v>
      </c>
      <c r="BV11" s="6">
        <v>0.30709999999999998</v>
      </c>
      <c r="BW11" s="6">
        <v>397.32</v>
      </c>
      <c r="BX11" s="5">
        <v>331.04</v>
      </c>
      <c r="BY11" s="6">
        <f>IF(Table1[[#This Row],[P_F9]]="","",Table1[Pu(kN)]/Table1[[#This Row],[P_F9]])</f>
        <v>1.4137264378927017</v>
      </c>
      <c r="BZ11" s="6">
        <v>3.6499999999999998E-2</v>
      </c>
      <c r="CA11" s="7">
        <v>333.74</v>
      </c>
      <c r="CB11" s="5">
        <v>431.5</v>
      </c>
      <c r="CC11" s="6">
        <f>IF(Table1[[#This Row],[P_R8]]="","",Table1[Pu(kN)]/Table1[[#This Row],[P_R8]])</f>
        <v>1.0845886442641948</v>
      </c>
      <c r="CD11" s="6">
        <v>0.34210000000000002</v>
      </c>
      <c r="CE11" s="6">
        <v>431.5</v>
      </c>
      <c r="CF11" s="5">
        <v>417.06</v>
      </c>
      <c r="CG11">
        <f>IF(Table1[[#This Row],[P_R9]]="","",Table1[Pu(kN)]/Table1[[#This Row],[P_R9]])</f>
        <v>1.1221406991799741</v>
      </c>
      <c r="CH11">
        <v>0.31040000000000001</v>
      </c>
      <c r="CI11">
        <v>418.34</v>
      </c>
      <c r="CJ11" s="34">
        <v>309.66000000000003</v>
      </c>
      <c r="CK11" s="6">
        <f>IF(Table1[[#This Row],[P_F10]]="","",Table1[Pu(kN)]/Table1[[#This Row],[P_F10]])</f>
        <v>1.5113350125944582</v>
      </c>
      <c r="CL11" s="6">
        <v>0.25600000000000001</v>
      </c>
      <c r="CM11" s="7">
        <v>309.66000000000003</v>
      </c>
      <c r="CN11" s="38">
        <f>Table1[[#This Row],[P_R8]]</f>
        <v>431.5</v>
      </c>
      <c r="CO11" s="38">
        <f>Table1[[#This Row],[Pu(kN)]]/Table1[[#This Row],[P_R8_2]]</f>
        <v>1.0845886442641948</v>
      </c>
      <c r="CP11" s="38">
        <f>Table1[[#This Row],[DUCTIL_R8]]</f>
        <v>0.34210000000000002</v>
      </c>
      <c r="CQ11" s="38">
        <f>Table1[[#This Row],[P_R8_2]]</f>
        <v>431.5</v>
      </c>
    </row>
    <row r="12" spans="1:95" x14ac:dyDescent="0.3">
      <c r="A12" s="26" t="s">
        <v>18</v>
      </c>
      <c r="B12" s="35" t="s">
        <v>92</v>
      </c>
      <c r="C12" s="18" t="s">
        <v>86</v>
      </c>
      <c r="D12" s="18">
        <v>1963</v>
      </c>
      <c r="E12" s="18" t="s">
        <v>90</v>
      </c>
      <c r="F12" s="18">
        <v>24.3</v>
      </c>
      <c r="G12" s="22">
        <v>1.8909645444147922</v>
      </c>
      <c r="H12" s="18">
        <f>4570/2</f>
        <v>2285</v>
      </c>
      <c r="I12" s="18">
        <v>464</v>
      </c>
      <c r="J12" s="22">
        <f>Table1[[#This Row],[a'[mm']]]/Table1[[#This Row],[d'[mm']]]</f>
        <v>4.9245689655172411</v>
      </c>
      <c r="K12" s="18">
        <v>559</v>
      </c>
      <c r="L12" s="18" t="s">
        <v>293</v>
      </c>
      <c r="M12" s="18">
        <v>490</v>
      </c>
      <c r="N12" s="22" t="s">
        <v>130</v>
      </c>
      <c r="O12" s="18" t="s">
        <v>131</v>
      </c>
      <c r="P12" s="5">
        <v>329.7</v>
      </c>
      <c r="Q12" s="6">
        <f>IF(Table1[[#This Row],[P_F1]]="","",Table1[Pu(kN)]/Table1[[#This Row],[P_F1]])</f>
        <v>1.48619957537155</v>
      </c>
      <c r="R12" s="6">
        <v>0.1487</v>
      </c>
      <c r="S12" s="6">
        <v>329.7</v>
      </c>
      <c r="T12" s="5">
        <v>399.42</v>
      </c>
      <c r="U12" s="6">
        <f>IF(Table1[[#This Row],[P_R1]]="","",Table1[Pu(kN)]/Table1[[#This Row],[P_R1]])</f>
        <v>1.2267788293024886</v>
      </c>
      <c r="V12">
        <v>0.26729999999999998</v>
      </c>
      <c r="W12">
        <v>402.52</v>
      </c>
      <c r="X12" s="5">
        <v>329.82</v>
      </c>
      <c r="Y12" s="6">
        <f>IF(Table1[[#This Row],[P_F2]]="","",Table1[Pu(kN)]/Table1[[#This Row],[P_F2]])</f>
        <v>1.4856588442180583</v>
      </c>
      <c r="Z12">
        <v>4.4200000000000003E-2</v>
      </c>
      <c r="AA12">
        <v>331.12</v>
      </c>
      <c r="AB12" s="10">
        <v>378.14</v>
      </c>
      <c r="AC12" s="8">
        <f>IF(Table1[[#This Row],[P_R2]]="","",Table1[Pu(kN)]/Table1[[#This Row],[P_R2]])</f>
        <v>1.2958163643095151</v>
      </c>
      <c r="AD12">
        <v>0.2185</v>
      </c>
      <c r="AE12" s="9">
        <v>380.84</v>
      </c>
      <c r="AF12" s="2">
        <v>340.8</v>
      </c>
      <c r="AG12" s="2">
        <f>IF(Table1[[#This Row],[P_F3]]="","",Table1[Pu(kN)]/Table1[[#This Row],[P_F3]])</f>
        <v>1.437793427230047</v>
      </c>
      <c r="AH12" s="2">
        <v>2.8899999999999999E-2</v>
      </c>
      <c r="AI12" s="2">
        <v>340.8</v>
      </c>
      <c r="AJ12" s="10">
        <v>416.58</v>
      </c>
      <c r="AK12" s="8">
        <f>IF(Table1[[#This Row],[P_R3]]="","",Table1[Pu(kN)]/Table1[[#This Row],[P_R3]])</f>
        <v>1.1762446588890489</v>
      </c>
      <c r="AL12" s="8">
        <v>0.25480000000000003</v>
      </c>
      <c r="AM12" s="9">
        <v>416.58</v>
      </c>
      <c r="AN12" s="10">
        <v>382.28</v>
      </c>
      <c r="AO12" s="8">
        <f>IF(Table1[[#This Row],[P_R4]]="","",Table1[Pu(kN)]/Table1[[#This Row],[P_R4]])</f>
        <v>1.2817829862927699</v>
      </c>
      <c r="AP12" s="8">
        <v>0.2366</v>
      </c>
      <c r="AQ12" s="9">
        <v>383.38</v>
      </c>
      <c r="AR12">
        <v>370.36</v>
      </c>
      <c r="AS12">
        <f>IF(Table1[[#This Row],[P_F4]]="","",Table1[Pu(kN)]/Table1[[#This Row],[P_F4]])</f>
        <v>1.3230370450372611</v>
      </c>
      <c r="AT12">
        <v>0.24099999999999999</v>
      </c>
      <c r="AU12" s="7">
        <v>370.36</v>
      </c>
      <c r="AV12">
        <v>357.06</v>
      </c>
      <c r="AW12">
        <f>IF(Table1[[#This Row],[P_F5]]="","",Table1[Pu(kN)]/Table1[[#This Row],[P_F5]])</f>
        <v>1.3723183778636643</v>
      </c>
      <c r="AX12">
        <v>3.9899999999999998E-2</v>
      </c>
      <c r="AY12" s="7">
        <v>359.62</v>
      </c>
      <c r="AZ12">
        <v>385.24</v>
      </c>
      <c r="BA12">
        <f>IF(Table1[[#This Row],[P_R5]]="","",Table1[Pu(kN)]/Table1[[#This Row],[P_R5]])</f>
        <v>1.2719343785692037</v>
      </c>
      <c r="BB12">
        <v>0.38100000000000001</v>
      </c>
      <c r="BC12">
        <v>387.2</v>
      </c>
      <c r="BD12" s="5">
        <v>374.12</v>
      </c>
      <c r="BE12" s="6">
        <f>IF(Table1[[#This Row],[P_F6]]="","",Table1[Pu(kN)]/Table1[[#This Row],[P_F6]])</f>
        <v>1.3097401903132684</v>
      </c>
      <c r="BF12" s="6">
        <v>3.0200000000000001E-2</v>
      </c>
      <c r="BG12" s="6">
        <v>374.12</v>
      </c>
      <c r="BH12" s="5">
        <v>387.04</v>
      </c>
      <c r="BI12" s="6">
        <f>IF(Table1[[#This Row],[P_R6]]="","",Table1[Pu(kN)]/Table1[[#This Row],[P_R6]])</f>
        <v>1.2660190161223646</v>
      </c>
      <c r="BJ12" s="6">
        <v>9.7699999999999995E-2</v>
      </c>
      <c r="BK12" s="6">
        <v>387.66</v>
      </c>
      <c r="BL12" s="5">
        <v>375.12</v>
      </c>
      <c r="BM12" s="6">
        <f>IF(Table1[[#This Row],[P_F7]]="","",Table1[Pu(kN)]/Table1[[#This Row],[P_F7]])</f>
        <v>1.3062486670931968</v>
      </c>
      <c r="BN12" s="6">
        <v>3.2599999999999997E-2</v>
      </c>
      <c r="BO12" s="6">
        <v>376.64</v>
      </c>
      <c r="BP12" s="5">
        <v>341.98</v>
      </c>
      <c r="BQ12" s="6">
        <f>IF(Table1[[#This Row],[P_F8]]="","",Table1[Pu(kN)]/Table1[[#This Row],[P_F8]])</f>
        <v>1.4328323293759868</v>
      </c>
      <c r="BR12" s="6">
        <v>0.2029</v>
      </c>
      <c r="BS12" s="6">
        <v>343.16</v>
      </c>
      <c r="BT12" s="5">
        <v>363.36</v>
      </c>
      <c r="BU12" s="6">
        <f>IF(Table1[[#This Row],[P_R7]]="","",Table1[Pu(kN)]/Table1[[#This Row],[P_R7]])</f>
        <v>1.34852487890797</v>
      </c>
      <c r="BV12" s="6">
        <v>0.2379</v>
      </c>
      <c r="BW12" s="6">
        <v>366.88</v>
      </c>
      <c r="BX12" s="5">
        <v>328.54</v>
      </c>
      <c r="BY12" s="6">
        <f>IF(Table1[[#This Row],[P_F9]]="","",Table1[Pu(kN)]/Table1[[#This Row],[P_F9]])</f>
        <v>1.4914470079746758</v>
      </c>
      <c r="BZ12" s="6">
        <v>2.29E-2</v>
      </c>
      <c r="CA12" s="7">
        <v>330.2</v>
      </c>
      <c r="CB12" s="5">
        <v>406.78</v>
      </c>
      <c r="CC12" s="6">
        <f>IF(Table1[[#This Row],[P_R8]]="","",Table1[Pu(kN)]/Table1[[#This Row],[P_R8]])</f>
        <v>1.2045823295147255</v>
      </c>
      <c r="CD12" s="6">
        <v>0.29220000000000002</v>
      </c>
      <c r="CE12" s="6">
        <v>407.22</v>
      </c>
      <c r="CF12" s="5">
        <v>415.72</v>
      </c>
      <c r="CG12">
        <f>IF(Table1[[#This Row],[P_R9]]="","",Table1[Pu(kN)]/Table1[[#This Row],[P_R9]])</f>
        <v>1.1786779563167515</v>
      </c>
      <c r="CH12">
        <v>0.29570000000000002</v>
      </c>
      <c r="CI12">
        <v>415.72</v>
      </c>
      <c r="CJ12" s="34">
        <v>325.38</v>
      </c>
      <c r="CK12" s="6">
        <f>IF(Table1[[#This Row],[P_F10]]="","",Table1[Pu(kN)]/Table1[[#This Row],[P_F10]])</f>
        <v>1.505931526215502</v>
      </c>
      <c r="CL12" s="6">
        <v>0.19370000000000001</v>
      </c>
      <c r="CM12" s="7">
        <v>327.32</v>
      </c>
      <c r="CN12" s="38">
        <f>Table1[[#This Row],[P_R8]]</f>
        <v>406.78</v>
      </c>
      <c r="CO12" s="38">
        <f>Table1[[#This Row],[Pu(kN)]]/Table1[[#This Row],[P_R8_2]]</f>
        <v>1.2045823295147255</v>
      </c>
      <c r="CP12" s="38">
        <f>Table1[[#This Row],[DUCTIL_R8]]</f>
        <v>0.29220000000000002</v>
      </c>
      <c r="CQ12" s="38">
        <f>Table1[[#This Row],[P_R8_2]]</f>
        <v>406.78</v>
      </c>
    </row>
    <row r="13" spans="1:95" x14ac:dyDescent="0.3">
      <c r="A13" s="26" t="s">
        <v>19</v>
      </c>
      <c r="B13" s="35" t="s">
        <v>92</v>
      </c>
      <c r="C13" s="18" t="s">
        <v>86</v>
      </c>
      <c r="D13" s="18">
        <v>1963</v>
      </c>
      <c r="E13" s="18" t="s">
        <v>90</v>
      </c>
      <c r="F13" s="18">
        <v>35.1</v>
      </c>
      <c r="G13" s="22">
        <v>2.2458731790021309</v>
      </c>
      <c r="H13" s="18">
        <v>3200</v>
      </c>
      <c r="I13" s="18">
        <v>466</v>
      </c>
      <c r="J13" s="22">
        <f>Table1[[#This Row],[a'[mm']]]/Table1[[#This Row],[d'[mm']]]</f>
        <v>6.866952789699571</v>
      </c>
      <c r="K13" s="18">
        <v>561</v>
      </c>
      <c r="L13" s="18" t="s">
        <v>293</v>
      </c>
      <c r="M13" s="18">
        <v>468</v>
      </c>
      <c r="N13" s="22" t="s">
        <v>130</v>
      </c>
      <c r="O13" s="18" t="s">
        <v>131</v>
      </c>
      <c r="P13" s="5">
        <v>344.14</v>
      </c>
      <c r="Q13" s="6">
        <f>IF(Table1[[#This Row],[P_F1]]="","",Table1[Pu(kN)]/Table1[[#This Row],[P_F1]])</f>
        <v>1.3599116638577324</v>
      </c>
      <c r="R13">
        <v>7.85E-2</v>
      </c>
      <c r="S13" s="6">
        <v>347.02</v>
      </c>
      <c r="T13" s="5">
        <v>382.24</v>
      </c>
      <c r="U13" s="6">
        <f>IF(Table1[[#This Row],[P_R1]]="","",Table1[Pu(kN)]/Table1[[#This Row],[P_R1]])</f>
        <v>1.2243616575973211</v>
      </c>
      <c r="V13">
        <v>0.26429999999999998</v>
      </c>
      <c r="W13">
        <v>384.54</v>
      </c>
      <c r="X13" s="5">
        <v>364.36</v>
      </c>
      <c r="Y13" s="6">
        <f>IF(Table1[[#This Row],[P_F2]]="","",Table1[Pu(kN)]/Table1[[#This Row],[P_F2]])</f>
        <v>1.2844439565265122</v>
      </c>
      <c r="Z13">
        <v>5.33E-2</v>
      </c>
      <c r="AA13">
        <v>366.78</v>
      </c>
      <c r="AB13" s="10">
        <v>373.28</v>
      </c>
      <c r="AC13" s="8">
        <f>IF(Table1[[#This Row],[P_R2]]="","",Table1[Pu(kN)]/Table1[[#This Row],[P_R2]])</f>
        <v>1.2537505357908274</v>
      </c>
      <c r="AD13">
        <v>0.20219999999999999</v>
      </c>
      <c r="AE13" s="9">
        <v>377.32</v>
      </c>
      <c r="AF13" s="2">
        <v>380.66</v>
      </c>
      <c r="AG13" s="2">
        <f>IF(Table1[[#This Row],[P_F3]]="","",Table1[Pu(kN)]/Table1[[#This Row],[P_F3]])</f>
        <v>1.2294435979614353</v>
      </c>
      <c r="AH13" s="2">
        <v>5.1499999999999997E-2</v>
      </c>
      <c r="AI13" s="8">
        <v>382.9</v>
      </c>
      <c r="AJ13" s="10">
        <v>404.74</v>
      </c>
      <c r="AK13" s="8">
        <f>IF(Table1[[#This Row],[P_R3]]="","",Table1[Pu(kN)]/Table1[[#This Row],[P_R3]])</f>
        <v>1.1562978702376834</v>
      </c>
      <c r="AL13" s="8">
        <v>0.24640000000000001</v>
      </c>
      <c r="AM13" s="9">
        <v>404.8</v>
      </c>
      <c r="AN13" s="10">
        <v>347.34</v>
      </c>
      <c r="AO13" s="8">
        <f>IF(Table1[[#This Row],[P_R4]]="","",Table1[Pu(kN)]/Table1[[#This Row],[P_R4]])</f>
        <v>1.3473829676973572</v>
      </c>
      <c r="AP13" s="8">
        <v>0.14680000000000001</v>
      </c>
      <c r="AQ13" s="9">
        <v>381.02</v>
      </c>
      <c r="AR13">
        <v>354.74</v>
      </c>
      <c r="AS13">
        <f>IF(Table1[[#This Row],[P_F4]]="","",Table1[Pu(kN)]/Table1[[#This Row],[P_F4]])</f>
        <v>1.3192760895303601</v>
      </c>
      <c r="AT13">
        <v>5.0099999999999999E-2</v>
      </c>
      <c r="AU13" s="7">
        <v>358.26</v>
      </c>
      <c r="AV13">
        <v>377.9</v>
      </c>
      <c r="AW13">
        <f>IF(Table1[[#This Row],[P_F5]]="","",Table1[Pu(kN)]/Table1[[#This Row],[P_F5]])</f>
        <v>1.2384228631913206</v>
      </c>
      <c r="AX13">
        <v>5.4899999999999997E-2</v>
      </c>
      <c r="AY13" s="7">
        <v>380.76</v>
      </c>
      <c r="AZ13">
        <v>377.62</v>
      </c>
      <c r="BA13">
        <f>IF(Table1[[#This Row],[P_R5]]="","",Table1[Pu(kN)]/Table1[[#This Row],[P_R5]])</f>
        <v>1.2393411365923415</v>
      </c>
      <c r="BB13">
        <v>0.40579999999999999</v>
      </c>
      <c r="BC13">
        <v>380.08</v>
      </c>
      <c r="BD13" s="5">
        <v>426.32</v>
      </c>
      <c r="BE13" s="6">
        <f>IF(Table1[[#This Row],[P_F6]]="","",Table1[Pu(kN)]/Table1[[#This Row],[P_F6]])</f>
        <v>1.0977669356352036</v>
      </c>
      <c r="BF13" s="6">
        <v>6.8599999999999994E-2</v>
      </c>
      <c r="BG13" s="6">
        <v>426.32</v>
      </c>
      <c r="BH13" s="5">
        <v>381.72</v>
      </c>
      <c r="BI13" s="6">
        <f>IF(Table1[[#This Row],[P_R6]]="","",Table1[Pu(kN)]/Table1[[#This Row],[P_R6]])</f>
        <v>1.2260295504558314</v>
      </c>
      <c r="BJ13" s="6">
        <v>0.1128</v>
      </c>
      <c r="BK13" s="6">
        <v>384.04</v>
      </c>
      <c r="BL13" s="5">
        <v>382.24</v>
      </c>
      <c r="BM13" s="6">
        <f>IF(Table1[[#This Row],[P_F7]]="","",Table1[Pu(kN)]/Table1[[#This Row],[P_F7]])</f>
        <v>1.2243616575973211</v>
      </c>
      <c r="BN13" s="6">
        <v>3.32E-2</v>
      </c>
      <c r="BO13" s="6">
        <v>383.14</v>
      </c>
      <c r="BP13" s="5">
        <v>331.8</v>
      </c>
      <c r="BQ13" s="6">
        <f>IF(Table1[[#This Row],[P_F8]]="","",Table1[Pu(kN)]/Table1[[#This Row],[P_F8]])</f>
        <v>1.410488245931284</v>
      </c>
      <c r="BR13" s="6">
        <v>6.1199999999999997E-2</v>
      </c>
      <c r="BS13" s="6">
        <v>333.92</v>
      </c>
      <c r="BT13" s="5">
        <v>387.44</v>
      </c>
      <c r="BU13" s="6">
        <f>IF(Table1[[#This Row],[P_R7]]="","",Table1[Pu(kN)]/Table1[[#This Row],[P_R7]])</f>
        <v>1.2079289696469131</v>
      </c>
      <c r="BV13" s="6">
        <v>0.30249999999999999</v>
      </c>
      <c r="BW13" s="6">
        <v>389.46</v>
      </c>
      <c r="BX13" s="5">
        <v>350.86</v>
      </c>
      <c r="BY13" s="6">
        <f>IF(Table1[[#This Row],[P_F9]]="","",Table1[Pu(kN)]/Table1[[#This Row],[P_F9]])</f>
        <v>1.3338653594026106</v>
      </c>
      <c r="BZ13" s="6">
        <v>4.8300000000000003E-2</v>
      </c>
      <c r="CA13" s="7">
        <v>350.86</v>
      </c>
      <c r="CB13" s="5">
        <v>352.42</v>
      </c>
      <c r="CC13" s="6">
        <f>IF(Table1[[#This Row],[P_R8]]="","",Table1[Pu(kN)]/Table1[[#This Row],[P_R8]])</f>
        <v>1.3279609556778842</v>
      </c>
      <c r="CD13" s="6">
        <v>0.22270000000000001</v>
      </c>
      <c r="CE13" s="6">
        <v>355.34</v>
      </c>
      <c r="CF13" s="5">
        <v>361.82</v>
      </c>
      <c r="CG13">
        <f>IF(Table1[[#This Row],[P_R9]]="","",Table1[Pu(kN)]/Table1[[#This Row],[P_R9]])</f>
        <v>1.2934608368802167</v>
      </c>
      <c r="CH13">
        <v>0.27489999999999998</v>
      </c>
      <c r="CI13">
        <v>363.14</v>
      </c>
      <c r="CJ13" s="34">
        <v>331.4</v>
      </c>
      <c r="CK13" s="6">
        <f>IF(Table1[[#This Row],[P_F10]]="","",Table1[Pu(kN)]/Table1[[#This Row],[P_F10]])</f>
        <v>1.4121907060953531</v>
      </c>
      <c r="CL13" s="6">
        <v>5.8200000000000002E-2</v>
      </c>
      <c r="CM13" s="7">
        <v>335.46</v>
      </c>
      <c r="CN13" s="38">
        <f>Table1[[#This Row],[P_R8]]</f>
        <v>352.42</v>
      </c>
      <c r="CO13" s="38">
        <f>Table1[[#This Row],[Pu(kN)]]/Table1[[#This Row],[P_R8_2]]</f>
        <v>1.3279609556778842</v>
      </c>
      <c r="CP13" s="38">
        <f>Table1[[#This Row],[DUCTIL_R8]]</f>
        <v>0.22270000000000001</v>
      </c>
      <c r="CQ13" s="38">
        <f>Table1[[#This Row],[P_R8_2]]</f>
        <v>352.42</v>
      </c>
    </row>
    <row r="14" spans="1:95" x14ac:dyDescent="0.3">
      <c r="A14" s="26" t="s">
        <v>20</v>
      </c>
      <c r="B14" s="35" t="s">
        <v>92</v>
      </c>
      <c r="C14" s="18" t="s">
        <v>86</v>
      </c>
      <c r="D14" s="18">
        <v>1963</v>
      </c>
      <c r="E14" s="18" t="s">
        <v>90</v>
      </c>
      <c r="F14" s="18">
        <v>24.8</v>
      </c>
      <c r="G14" s="22">
        <v>2.0080039864212527</v>
      </c>
      <c r="H14" s="18">
        <v>1830</v>
      </c>
      <c r="I14" s="18">
        <v>461</v>
      </c>
      <c r="J14" s="22">
        <f>Table1[[#This Row],[a'[mm']]]/Table1[[#This Row],[d'[mm']]]</f>
        <v>3.9696312364425164</v>
      </c>
      <c r="K14" s="18">
        <v>556</v>
      </c>
      <c r="L14" s="18" t="s">
        <v>293</v>
      </c>
      <c r="M14" s="18">
        <v>446</v>
      </c>
      <c r="N14" s="22" t="s">
        <v>130</v>
      </c>
      <c r="O14" s="18" t="s">
        <v>131</v>
      </c>
      <c r="P14" s="5">
        <v>292.7</v>
      </c>
      <c r="Q14" s="6">
        <f>IF(Table1[[#This Row],[P_F1]]="","",Table1[Pu(kN)]/Table1[[#This Row],[P_F1]])</f>
        <v>1.5237444482405194</v>
      </c>
      <c r="R14" s="6">
        <v>0.17369999999999999</v>
      </c>
      <c r="S14" s="6">
        <v>292.7</v>
      </c>
      <c r="T14" s="5">
        <v>406.86</v>
      </c>
      <c r="U14" s="6">
        <f>IF(Table1[[#This Row],[P_R1]]="","",Table1[Pu(kN)]/Table1[[#This Row],[P_R1]])</f>
        <v>1.0962001671336576</v>
      </c>
      <c r="V14">
        <v>0.35909999999999997</v>
      </c>
      <c r="W14">
        <v>408.72</v>
      </c>
      <c r="X14" s="5">
        <v>305.5</v>
      </c>
      <c r="Y14" s="6">
        <f>IF(Table1[[#This Row],[P_F2]]="","",Table1[Pu(kN)]/Table1[[#This Row],[P_F2]])</f>
        <v>1.4599018003273323</v>
      </c>
      <c r="Z14">
        <v>0.20749999999999999</v>
      </c>
      <c r="AA14">
        <v>305.5</v>
      </c>
      <c r="AB14" s="10">
        <v>400.82</v>
      </c>
      <c r="AC14" s="8">
        <f>IF(Table1[[#This Row],[P_R2]]="","",Table1[Pu(kN)]/Table1[[#This Row],[P_R2]])</f>
        <v>1.1127189262012873</v>
      </c>
      <c r="AD14">
        <v>0.3639</v>
      </c>
      <c r="AE14" s="9">
        <v>400.82</v>
      </c>
      <c r="AF14" s="2">
        <v>302.39999999999998</v>
      </c>
      <c r="AG14" s="2">
        <f>IF(Table1[[#This Row],[P_F3]]="","",Table1[Pu(kN)]/Table1[[#This Row],[P_F3]])</f>
        <v>1.4748677248677249</v>
      </c>
      <c r="AH14" s="2">
        <v>0.16250000000000001</v>
      </c>
      <c r="AI14" s="8">
        <v>304.74</v>
      </c>
      <c r="AJ14" s="10">
        <v>408.2</v>
      </c>
      <c r="AK14" s="8">
        <f>IF(Table1[[#This Row],[P_R3]]="","",Table1[Pu(kN)]/Table1[[#This Row],[P_R3]])</f>
        <v>1.0926016658500735</v>
      </c>
      <c r="AL14" s="8">
        <v>0.36570000000000003</v>
      </c>
      <c r="AM14" s="9">
        <v>409.66</v>
      </c>
      <c r="AN14" s="10">
        <v>393.4</v>
      </c>
      <c r="AO14" s="8">
        <f>IF(Table1[[#This Row],[P_R4]]="","",Table1[Pu(kN)]/Table1[[#This Row],[P_R4]])</f>
        <v>1.133706151499746</v>
      </c>
      <c r="AP14" s="8">
        <v>0.35770000000000002</v>
      </c>
      <c r="AQ14" s="9">
        <v>394.56</v>
      </c>
      <c r="AR14">
        <v>294.44</v>
      </c>
      <c r="AS14">
        <f>IF(Table1[[#This Row],[P_F4]]="","",Table1[Pu(kN)]/Table1[[#This Row],[P_F4]])</f>
        <v>1.5147398451297378</v>
      </c>
      <c r="AT14">
        <v>0.1928</v>
      </c>
      <c r="AU14" s="7">
        <v>296.22000000000003</v>
      </c>
      <c r="AV14">
        <v>305.26</v>
      </c>
      <c r="AW14">
        <f>IF(Table1[[#This Row],[P_F5]]="","",Table1[Pu(kN)]/Table1[[#This Row],[P_F5]])</f>
        <v>1.4610495970647972</v>
      </c>
      <c r="AX14">
        <v>0.125</v>
      </c>
      <c r="AY14" s="7">
        <v>306.10000000000002</v>
      </c>
      <c r="AZ14">
        <v>384.1</v>
      </c>
      <c r="BA14">
        <f>IF(Table1[[#This Row],[P_R5]]="","",Table1[Pu(kN)]/Table1[[#This Row],[P_R5]])</f>
        <v>1.1611559489716219</v>
      </c>
      <c r="BB14">
        <v>0.43030000000000002</v>
      </c>
      <c r="BC14">
        <v>384.1</v>
      </c>
      <c r="BD14" s="5">
        <v>324.36</v>
      </c>
      <c r="BE14" s="6">
        <f>IF(Table1[[#This Row],[P_F6]]="","",Table1[Pu(kN)]/Table1[[#This Row],[P_F6]])</f>
        <v>1.3750154149710199</v>
      </c>
      <c r="BF14" s="6">
        <v>0.1741</v>
      </c>
      <c r="BG14" s="6">
        <v>324.36</v>
      </c>
      <c r="BH14" s="5">
        <v>352.96</v>
      </c>
      <c r="BI14" s="6">
        <f>IF(Table1[[#This Row],[P_R6]]="","",Table1[Pu(kN)]/Table1[[#This Row],[P_R6]])</f>
        <v>1.2635992747053491</v>
      </c>
      <c r="BJ14" s="6">
        <v>0.29070000000000001</v>
      </c>
      <c r="BK14" s="6">
        <v>355.08</v>
      </c>
      <c r="BL14" s="5">
        <v>315.56</v>
      </c>
      <c r="BM14" s="6">
        <f>IF(Table1[[#This Row],[P_F7]]="","",Table1[Pu(kN)]/Table1[[#This Row],[P_F7]])</f>
        <v>1.4133603752059829</v>
      </c>
      <c r="BN14" s="6">
        <v>0.28220000000000001</v>
      </c>
      <c r="BO14" s="6">
        <v>315.77999999999997</v>
      </c>
      <c r="BP14" s="5">
        <v>310.8</v>
      </c>
      <c r="BQ14" s="6">
        <f>IF(Table1[[#This Row],[P_F8]]="","",Table1[Pu(kN)]/Table1[[#This Row],[P_F8]])</f>
        <v>1.4350064350064349</v>
      </c>
      <c r="BR14" s="6">
        <v>0.1933</v>
      </c>
      <c r="BS14" s="6">
        <v>310.8</v>
      </c>
      <c r="BT14" s="5">
        <v>392.3</v>
      </c>
      <c r="BU14" s="6">
        <f>IF(Table1[[#This Row],[P_R7]]="","",Table1[Pu(kN)]/Table1[[#This Row],[P_R7]])</f>
        <v>1.1368850369615091</v>
      </c>
      <c r="BV14" s="6">
        <v>0.38350000000000001</v>
      </c>
      <c r="BW14" s="6">
        <v>394</v>
      </c>
      <c r="BX14" s="5">
        <v>289.38</v>
      </c>
      <c r="BY14" s="6">
        <f>IF(Table1[[#This Row],[P_F9]]="","",Table1[Pu(kN)]/Table1[[#This Row],[P_F9]])</f>
        <v>1.5412260695279563</v>
      </c>
      <c r="BZ14" s="6">
        <v>0.29210000000000003</v>
      </c>
      <c r="CA14" s="7">
        <v>289.38</v>
      </c>
      <c r="CB14" s="5">
        <v>399.96</v>
      </c>
      <c r="CC14" s="6">
        <f>IF(Table1[[#This Row],[P_R8]]="","",Table1[Pu(kN)]/Table1[[#This Row],[P_R8]])</f>
        <v>1.1151115111511152</v>
      </c>
      <c r="CD14" s="6">
        <v>0.3765</v>
      </c>
      <c r="CE14" s="6">
        <v>402.06</v>
      </c>
      <c r="CF14" s="5">
        <v>401.68</v>
      </c>
      <c r="CG14">
        <f>IF(Table1[[#This Row],[P_R9]]="","",Table1[Pu(kN)]/Table1[[#This Row],[P_R9]])</f>
        <v>1.1103365863373831</v>
      </c>
      <c r="CH14">
        <v>0.37480000000000002</v>
      </c>
      <c r="CI14">
        <v>403.48</v>
      </c>
      <c r="CJ14" s="34">
        <v>301.72000000000003</v>
      </c>
      <c r="CK14" s="6">
        <f>IF(Table1[[#This Row],[P_F10]]="","",Table1[Pu(kN)]/Table1[[#This Row],[P_F10]])</f>
        <v>1.4781917009147552</v>
      </c>
      <c r="CL14" s="6">
        <v>0.21240000000000001</v>
      </c>
      <c r="CM14" s="7">
        <v>302.86</v>
      </c>
      <c r="CN14" s="38">
        <f>Table1[[#This Row],[P_R8]]</f>
        <v>399.96</v>
      </c>
      <c r="CO14" s="38">
        <f>Table1[[#This Row],[Pu(kN)]]/Table1[[#This Row],[P_R8_2]]</f>
        <v>1.1151115111511152</v>
      </c>
      <c r="CP14" s="38">
        <f>Table1[[#This Row],[DUCTIL_R8]]</f>
        <v>0.3765</v>
      </c>
      <c r="CQ14" s="38">
        <f>Table1[[#This Row],[P_R8_2]]</f>
        <v>399.96</v>
      </c>
    </row>
    <row r="15" spans="1:95" x14ac:dyDescent="0.3">
      <c r="A15" s="27" t="s">
        <v>21</v>
      </c>
      <c r="B15" s="36" t="s">
        <v>92</v>
      </c>
      <c r="C15" s="20" t="s">
        <v>86</v>
      </c>
      <c r="D15" s="20">
        <v>1963</v>
      </c>
      <c r="E15" s="20" t="s">
        <v>90</v>
      </c>
      <c r="F15" s="20">
        <v>23.2</v>
      </c>
      <c r="G15" s="23">
        <v>2.0074881878118456</v>
      </c>
      <c r="H15" s="20">
        <v>2285</v>
      </c>
      <c r="I15" s="20">
        <v>466</v>
      </c>
      <c r="J15" s="23">
        <f>Table1[[#This Row],[a'[mm']]]/Table1[[#This Row],[d'[mm']]]</f>
        <v>4.9034334763948495</v>
      </c>
      <c r="K15" s="20">
        <v>561</v>
      </c>
      <c r="L15" s="20" t="s">
        <v>293</v>
      </c>
      <c r="M15" s="20">
        <v>400</v>
      </c>
      <c r="N15" s="23" t="s">
        <v>130</v>
      </c>
      <c r="O15" s="20" t="s">
        <v>131</v>
      </c>
      <c r="P15" s="5">
        <v>279.12</v>
      </c>
      <c r="Q15" s="6">
        <f>IF(Table1[[#This Row],[P_F1]]="","",Table1[Pu(kN)]/Table1[[#This Row],[P_F1]])</f>
        <v>1.4330753797649756</v>
      </c>
      <c r="R15" s="6">
        <v>9.1499999999999998E-2</v>
      </c>
      <c r="S15" s="6">
        <v>279.12</v>
      </c>
      <c r="T15" s="5">
        <v>363.32</v>
      </c>
      <c r="U15" s="6">
        <f>IF(Table1[[#This Row],[P_R1]]="","",Table1[Pu(kN)]/Table1[[#This Row],[P_R1]])</f>
        <v>1.1009578333149841</v>
      </c>
      <c r="V15">
        <v>0.34300000000000003</v>
      </c>
      <c r="W15">
        <v>363.64</v>
      </c>
      <c r="X15" s="5">
        <v>276.12</v>
      </c>
      <c r="Y15" s="6">
        <f>IF(Table1[[#This Row],[P_F2]]="","",Table1[Pu(kN)]/Table1[[#This Row],[P_F2]])</f>
        <v>1.4486455164421266</v>
      </c>
      <c r="Z15">
        <v>0.2422</v>
      </c>
      <c r="AA15">
        <v>276.12</v>
      </c>
      <c r="AB15" s="10">
        <v>358.4</v>
      </c>
      <c r="AC15" s="8">
        <f>IF(Table1[[#This Row],[P_R2]]="","",Table1[Pu(kN)]/Table1[[#This Row],[P_R2]])</f>
        <v>1.1160714285714286</v>
      </c>
      <c r="AD15">
        <v>0.33439999999999998</v>
      </c>
      <c r="AE15" s="9">
        <v>359.52</v>
      </c>
      <c r="AF15" s="2">
        <v>283.44</v>
      </c>
      <c r="AG15" s="2">
        <f>IF(Table1[[#This Row],[P_F3]]="","",Table1[Pu(kN)]/Table1[[#This Row],[P_F3]])</f>
        <v>1.4112334180073385</v>
      </c>
      <c r="AH15" s="2">
        <v>3.9100000000000003E-2</v>
      </c>
      <c r="AI15" s="2">
        <v>283.44</v>
      </c>
      <c r="AJ15" s="10">
        <v>372.86</v>
      </c>
      <c r="AK15" s="8">
        <f>IF(Table1[[#This Row],[P_R3]]="","",Table1[Pu(kN)]/Table1[[#This Row],[P_R3]])</f>
        <v>1.0727887142627259</v>
      </c>
      <c r="AL15" s="8">
        <v>0.34589999999999999</v>
      </c>
      <c r="AM15" s="9">
        <v>372.86</v>
      </c>
      <c r="AN15" s="10">
        <v>357.72</v>
      </c>
      <c r="AO15" s="8">
        <f>IF(Table1[[#This Row],[P_R4]]="","",Table1[Pu(kN)]/Table1[[#This Row],[P_R4]])</f>
        <v>1.1181930001118192</v>
      </c>
      <c r="AP15" s="8">
        <v>0.33410000000000001</v>
      </c>
      <c r="AQ15" s="9">
        <v>357.72</v>
      </c>
      <c r="AR15">
        <v>273.95999999999998</v>
      </c>
      <c r="AS15">
        <f>IF(Table1[[#This Row],[P_F4]]="","",Table1[Pu(kN)]/Table1[[#This Row],[P_F4]])</f>
        <v>1.4600671630895021</v>
      </c>
      <c r="AT15">
        <v>0.2445</v>
      </c>
      <c r="AU15" s="7">
        <v>277.62</v>
      </c>
      <c r="AV15">
        <v>304.83999999999997</v>
      </c>
      <c r="AW15">
        <f>IF(Table1[[#This Row],[P_F5]]="","",Table1[Pu(kN)]/Table1[[#This Row],[P_F5]])</f>
        <v>1.3121637580370031</v>
      </c>
      <c r="AX15">
        <v>0.18679999999999999</v>
      </c>
      <c r="AY15" s="7">
        <v>306.10000000000002</v>
      </c>
      <c r="AZ15">
        <v>321.8</v>
      </c>
      <c r="BA15">
        <f>IF(Table1[[#This Row],[P_R5]]="","",Table1[Pu(kN)]/Table1[[#This Row],[P_R5]])</f>
        <v>1.2430080795525171</v>
      </c>
      <c r="BB15">
        <v>0.37809999999999999</v>
      </c>
      <c r="BC15">
        <v>322.68</v>
      </c>
      <c r="BD15" s="5">
        <v>297.24</v>
      </c>
      <c r="BE15" s="6">
        <f>IF(Table1[[#This Row],[P_F6]]="","",Table1[Pu(kN)]/Table1[[#This Row],[P_F6]])</f>
        <v>1.3457139012245996</v>
      </c>
      <c r="BF15" s="6">
        <v>9.9500000000000005E-2</v>
      </c>
      <c r="BG15" s="6">
        <v>297.24</v>
      </c>
      <c r="BH15" s="5">
        <v>330.96</v>
      </c>
      <c r="BI15" s="6">
        <f>IF(Table1[[#This Row],[P_R6]]="","",Table1[Pu(kN)]/Table1[[#This Row],[P_R6]])</f>
        <v>1.2086052695189751</v>
      </c>
      <c r="BJ15" s="6">
        <v>0.20979999999999999</v>
      </c>
      <c r="BK15" s="6">
        <v>334.38</v>
      </c>
      <c r="BL15" s="5">
        <v>322.3</v>
      </c>
      <c r="BM15" s="6">
        <f>IF(Table1[[#This Row],[P_F7]]="","",Table1[Pu(kN)]/Table1[[#This Row],[P_F7]])</f>
        <v>1.2410797393732547</v>
      </c>
      <c r="BN15" s="6">
        <v>7.3499999999999996E-2</v>
      </c>
      <c r="BO15" s="6">
        <v>324.24</v>
      </c>
      <c r="BP15" s="5">
        <v>273.24</v>
      </c>
      <c r="BQ15" s="6">
        <f>IF(Table1[[#This Row],[P_F8]]="","",Table1[Pu(kN)]/Table1[[#This Row],[P_F8]])</f>
        <v>1.4639145073927682</v>
      </c>
      <c r="BR15" s="6">
        <v>0.25679999999999997</v>
      </c>
      <c r="BS15" s="6">
        <v>273.24</v>
      </c>
      <c r="BT15" s="5">
        <v>340.76</v>
      </c>
      <c r="BU15" s="6">
        <f>IF(Table1[[#This Row],[P_R7]]="","",Table1[Pu(kN)]/Table1[[#This Row],[P_R7]])</f>
        <v>1.1738466956215519</v>
      </c>
      <c r="BV15" s="6">
        <v>0.31259999999999999</v>
      </c>
      <c r="BW15" s="6">
        <v>341.32</v>
      </c>
      <c r="BX15" s="5">
        <v>282.2</v>
      </c>
      <c r="BY15" s="6">
        <f>IF(Table1[[#This Row],[P_F9]]="","",Table1[Pu(kN)]/Table1[[#This Row],[P_F9]])</f>
        <v>1.417434443656981</v>
      </c>
      <c r="BZ15" s="6">
        <v>0.2296</v>
      </c>
      <c r="CA15" s="7">
        <v>282.2</v>
      </c>
      <c r="CB15" s="5">
        <v>354.06</v>
      </c>
      <c r="CC15" s="6">
        <f>IF(Table1[[#This Row],[P_R8]]="","",Table1[Pu(kN)]/Table1[[#This Row],[P_R8]])</f>
        <v>1.1297520194317348</v>
      </c>
      <c r="CD15" s="6">
        <v>0.33650000000000002</v>
      </c>
      <c r="CE15" s="6">
        <v>354.06</v>
      </c>
      <c r="CF15" s="5">
        <v>353.58</v>
      </c>
      <c r="CG15">
        <f>IF(Table1[[#This Row],[P_R9]]="","",Table1[Pu(kN)]/Table1[[#This Row],[P_R9]])</f>
        <v>1.131285706205102</v>
      </c>
      <c r="CH15">
        <v>0.33119999999999999</v>
      </c>
      <c r="CI15">
        <v>353.58</v>
      </c>
      <c r="CJ15" s="34">
        <v>271.12</v>
      </c>
      <c r="CK15" s="6">
        <f>IF(Table1[[#This Row],[P_F10]]="","",Table1[Pu(kN)]/Table1[[#This Row],[P_F10]])</f>
        <v>1.4753614635585719</v>
      </c>
      <c r="CL15" s="6">
        <v>7.6499999999999999E-2</v>
      </c>
      <c r="CM15" s="7">
        <v>273.16000000000003</v>
      </c>
      <c r="CN15" s="38">
        <f>Table1[[#This Row],[P_R8]]</f>
        <v>354.06</v>
      </c>
      <c r="CO15" s="38">
        <f>Table1[[#This Row],[Pu(kN)]]/Table1[[#This Row],[P_R8_2]]</f>
        <v>1.1297520194317348</v>
      </c>
      <c r="CP15" s="38">
        <f>Table1[[#This Row],[DUCTIL_R8]]</f>
        <v>0.33650000000000002</v>
      </c>
      <c r="CQ15" s="38">
        <f>Table1[[#This Row],[P_R8_2]]</f>
        <v>354.06</v>
      </c>
    </row>
    <row r="16" spans="1:95" x14ac:dyDescent="0.3">
      <c r="A16" s="27" t="s">
        <v>22</v>
      </c>
      <c r="B16" s="36" t="s">
        <v>92</v>
      </c>
      <c r="C16" s="20" t="s">
        <v>86</v>
      </c>
      <c r="D16" s="20">
        <v>1963</v>
      </c>
      <c r="E16" s="20" t="s">
        <v>90</v>
      </c>
      <c r="F16" s="20">
        <v>38.799999999999997</v>
      </c>
      <c r="G16" s="23">
        <v>2.5321227733970031</v>
      </c>
      <c r="H16" s="20">
        <v>3200</v>
      </c>
      <c r="I16" s="20">
        <v>461</v>
      </c>
      <c r="J16" s="23">
        <f>Table1[[#This Row],[a'[mm']]]/Table1[[#This Row],[d'[mm']]]</f>
        <v>6.9414316702819958</v>
      </c>
      <c r="K16" s="20">
        <v>556</v>
      </c>
      <c r="L16" s="20" t="s">
        <v>293</v>
      </c>
      <c r="M16" s="20">
        <v>356</v>
      </c>
      <c r="N16" s="23" t="s">
        <v>130</v>
      </c>
      <c r="O16" s="20" t="s">
        <v>131</v>
      </c>
      <c r="P16" s="5">
        <v>292.83999999999997</v>
      </c>
      <c r="Q16" s="6">
        <f>IF(Table1[[#This Row],[P_F1]]="","",Table1[Pu(kN)]/Table1[[#This Row],[P_F1]])</f>
        <v>1.2156809179073897</v>
      </c>
      <c r="R16" s="6">
        <v>0.1014</v>
      </c>
      <c r="S16" s="6">
        <v>292.83999999999997</v>
      </c>
      <c r="T16" s="5">
        <v>350.16</v>
      </c>
      <c r="U16" s="6">
        <f>IF(Table1[[#This Row],[P_R1]]="","",Table1[Pu(kN)]/Table1[[#This Row],[P_R1]])</f>
        <v>1.0166780900159926</v>
      </c>
      <c r="V16">
        <v>0.31259999999999999</v>
      </c>
      <c r="W16">
        <v>350.72</v>
      </c>
      <c r="X16" s="5">
        <v>290.60000000000002</v>
      </c>
      <c r="Y16" s="6">
        <f>IF(Table1[[#This Row],[P_F2]]="","",Table1[Pu(kN)]/Table1[[#This Row],[P_F2]])</f>
        <v>1.2250516173434274</v>
      </c>
      <c r="Z16">
        <v>0.1676</v>
      </c>
      <c r="AA16">
        <v>292.44</v>
      </c>
      <c r="AB16" s="10">
        <v>362.72</v>
      </c>
      <c r="AC16" s="8">
        <f>IF(Table1[[#This Row],[P_R2]]="","",Table1[Pu(kN)]/Table1[[#This Row],[P_R2]])</f>
        <v>0.98147331274812522</v>
      </c>
      <c r="AD16">
        <v>0.32490000000000002</v>
      </c>
      <c r="AE16" s="9">
        <v>362.86</v>
      </c>
      <c r="AF16" s="2">
        <v>313.36</v>
      </c>
      <c r="AG16" s="2">
        <f>IF(Table1[[#This Row],[P_F3]]="","",Table1[Pu(kN)]/Table1[[#This Row],[P_F3]])</f>
        <v>1.1360735256573908</v>
      </c>
      <c r="AH16" s="2">
        <v>3.9899999999999998E-2</v>
      </c>
      <c r="AI16" s="2">
        <v>314.10000000000002</v>
      </c>
      <c r="AJ16" s="10">
        <v>366.74</v>
      </c>
      <c r="AK16" s="8">
        <f>IF(Table1[[#This Row],[P_R3]]="","",Table1[Pu(kN)]/Table1[[#This Row],[P_R3]])</f>
        <v>0.97071494791950697</v>
      </c>
      <c r="AL16" s="8">
        <v>0.31109999999999999</v>
      </c>
      <c r="AM16" s="9">
        <v>368.46</v>
      </c>
      <c r="AN16" s="10">
        <v>359.3</v>
      </c>
      <c r="AO16" s="8">
        <f>IF(Table1[[#This Row],[P_R4]]="","",Table1[Pu(kN)]/Table1[[#This Row],[P_R4]])</f>
        <v>0.99081547453381569</v>
      </c>
      <c r="AP16" s="8">
        <v>0.32100000000000001</v>
      </c>
      <c r="AQ16" s="9">
        <v>359.98</v>
      </c>
      <c r="AR16">
        <v>289.83999999999997</v>
      </c>
      <c r="AS16">
        <f>IF(Table1[[#This Row],[P_F4]]="","",Table1[Pu(kN)]/Table1[[#This Row],[P_F4]])</f>
        <v>1.2282638697212256</v>
      </c>
      <c r="AT16">
        <v>4.36E-2</v>
      </c>
      <c r="AU16" s="7">
        <v>290.76</v>
      </c>
      <c r="AV16">
        <v>317.16000000000003</v>
      </c>
      <c r="AW16">
        <f>IF(Table1[[#This Row],[P_F5]]="","",Table1[Pu(kN)]/Table1[[#This Row],[P_F5]])</f>
        <v>1.1224618489090679</v>
      </c>
      <c r="AX16">
        <v>7.2900000000000006E-2</v>
      </c>
      <c r="AY16" s="7">
        <v>317.82</v>
      </c>
      <c r="AZ16">
        <v>321.44</v>
      </c>
      <c r="BA16">
        <f>IF(Table1[[#This Row],[P_R5]]="","",Table1[Pu(kN)]/Table1[[#This Row],[P_R5]])</f>
        <v>1.1075161772025883</v>
      </c>
      <c r="BB16">
        <v>0.38350000000000001</v>
      </c>
      <c r="BC16">
        <v>321.86</v>
      </c>
      <c r="BD16" s="5">
        <v>349.44</v>
      </c>
      <c r="BE16" s="6">
        <f>IF(Table1[[#This Row],[P_F6]]="","",Table1[Pu(kN)]/Table1[[#This Row],[P_F6]])</f>
        <v>1.0187728937728937</v>
      </c>
      <c r="BF16" s="6">
        <v>4.2700000000000002E-2</v>
      </c>
      <c r="BG16" s="6">
        <v>349.44</v>
      </c>
      <c r="BH16" s="5">
        <v>323.56</v>
      </c>
      <c r="BI16" s="6">
        <f>IF(Table1[[#This Row],[P_R6]]="","",Table1[Pu(kN)]/Table1[[#This Row],[P_R6]])</f>
        <v>1.1002596118185191</v>
      </c>
      <c r="BJ16" s="6">
        <v>0.1678</v>
      </c>
      <c r="BK16" s="6">
        <v>337.34</v>
      </c>
      <c r="BL16" s="5">
        <v>306.92</v>
      </c>
      <c r="BM16" s="6">
        <f>IF(Table1[[#This Row],[P_F7]]="","",Table1[Pu(kN)]/Table1[[#This Row],[P_F7]])</f>
        <v>1.1599113775576697</v>
      </c>
      <c r="BN16" s="6">
        <v>5.3499999999999999E-2</v>
      </c>
      <c r="BO16" s="6">
        <v>309.12</v>
      </c>
      <c r="BP16" s="5">
        <v>268.58</v>
      </c>
      <c r="BQ16" s="6">
        <f>IF(Table1[[#This Row],[P_F8]]="","",Table1[Pu(kN)]/Table1[[#This Row],[P_F8]])</f>
        <v>1.3254896120336586</v>
      </c>
      <c r="BR16" s="6">
        <v>0.2034</v>
      </c>
      <c r="BS16" s="6">
        <v>270.16000000000003</v>
      </c>
      <c r="BT16" s="5">
        <v>344.82</v>
      </c>
      <c r="BU16" s="6">
        <f>IF(Table1[[#This Row],[P_R7]]="","",Table1[Pu(kN)]/Table1[[#This Row],[P_R7]])</f>
        <v>1.0324227132996926</v>
      </c>
      <c r="BV16" s="6">
        <v>0.32450000000000001</v>
      </c>
      <c r="BW16" s="6">
        <v>346.68</v>
      </c>
      <c r="BX16" s="5">
        <v>293.36</v>
      </c>
      <c r="BY16" s="6">
        <f>IF(Table1[[#This Row],[P_F9]]="","",Table1[Pu(kN)]/Table1[[#This Row],[P_F9]])</f>
        <v>1.2135260430869921</v>
      </c>
      <c r="BZ16" s="6">
        <v>0.15140000000000001</v>
      </c>
      <c r="CA16" s="7">
        <v>294.02</v>
      </c>
      <c r="CB16" s="5">
        <v>358.9</v>
      </c>
      <c r="CC16" s="6">
        <f>IF(Table1[[#This Row],[P_R8]]="","",Table1[Pu(kN)]/Table1[[#This Row],[P_R8]])</f>
        <v>0.99191975480635286</v>
      </c>
      <c r="CD16" s="6">
        <v>0.34420000000000001</v>
      </c>
      <c r="CE16" s="6">
        <v>358.9</v>
      </c>
      <c r="CF16" s="5">
        <v>354</v>
      </c>
      <c r="CG16">
        <f>IF(Table1[[#This Row],[P_R9]]="","",Table1[Pu(kN)]/Table1[[#This Row],[P_R9]])</f>
        <v>1.0056497175141244</v>
      </c>
      <c r="CH16">
        <v>0.32379999999999998</v>
      </c>
      <c r="CI16">
        <v>354</v>
      </c>
      <c r="CJ16" s="34">
        <v>289.98</v>
      </c>
      <c r="CK16" s="6">
        <f>IF(Table1[[#This Row],[P_F10]]="","",Table1[Pu(kN)]/Table1[[#This Row],[P_F10]])</f>
        <v>1.227670873853369</v>
      </c>
      <c r="CL16" s="6">
        <v>0.107</v>
      </c>
      <c r="CM16" s="7">
        <v>291.33999999999997</v>
      </c>
      <c r="CN16" s="38">
        <f>Table1[[#This Row],[P_R8]]</f>
        <v>358.9</v>
      </c>
      <c r="CO16" s="38">
        <f>Table1[[#This Row],[Pu(kN)]]/Table1[[#This Row],[P_R8_2]]</f>
        <v>0.99191975480635286</v>
      </c>
      <c r="CP16" s="38">
        <f>Table1[[#This Row],[DUCTIL_R8]]</f>
        <v>0.34420000000000001</v>
      </c>
      <c r="CQ16" s="38">
        <f>Table1[[#This Row],[P_R8_2]]</f>
        <v>358.9</v>
      </c>
    </row>
    <row r="17" spans="1:95" x14ac:dyDescent="0.3">
      <c r="A17" s="27" t="s">
        <v>23</v>
      </c>
      <c r="B17" s="36" t="s">
        <v>92</v>
      </c>
      <c r="C17" s="20" t="s">
        <v>86</v>
      </c>
      <c r="D17" s="20">
        <v>1963</v>
      </c>
      <c r="E17" s="20" t="s">
        <v>90</v>
      </c>
      <c r="F17" s="20">
        <v>29.6</v>
      </c>
      <c r="G17" s="23">
        <v>1.487679612210745</v>
      </c>
      <c r="H17" s="20">
        <v>1830</v>
      </c>
      <c r="I17" s="20">
        <v>464</v>
      </c>
      <c r="J17" s="23">
        <f>Table1[[#This Row],[a'[mm']]]/Table1[[#This Row],[d'[mm']]]</f>
        <v>3.9439655172413794</v>
      </c>
      <c r="K17" s="20">
        <v>559</v>
      </c>
      <c r="L17" s="20" t="s">
        <v>293</v>
      </c>
      <c r="M17" s="20">
        <v>312</v>
      </c>
      <c r="N17" s="23" t="s">
        <v>130</v>
      </c>
      <c r="O17" s="20" t="s">
        <v>131</v>
      </c>
      <c r="P17" s="5">
        <v>215.56</v>
      </c>
      <c r="Q17" s="6">
        <f>IF(Table1[[#This Row],[P_F1]]="","",Table1[Pu(kN)]/Table1[[#This Row],[P_F1]])</f>
        <v>1.4473928372610874</v>
      </c>
      <c r="R17" s="6">
        <v>0.29920000000000002</v>
      </c>
      <c r="S17" s="6">
        <v>216</v>
      </c>
      <c r="T17" s="5">
        <v>314.2</v>
      </c>
      <c r="U17" s="6">
        <f>IF(Table1[[#This Row],[P_R1]]="","",Table1[Pu(kN)]/Table1[[#This Row],[P_R1]])</f>
        <v>0.99299809038828779</v>
      </c>
      <c r="V17">
        <v>0.45400000000000001</v>
      </c>
      <c r="W17">
        <v>314.76</v>
      </c>
      <c r="X17" s="5">
        <v>245.4</v>
      </c>
      <c r="Y17" s="6">
        <f>IF(Table1[[#This Row],[P_F2]]="","",Table1[Pu(kN)]/Table1[[#This Row],[P_F2]])</f>
        <v>1.2713936430317847</v>
      </c>
      <c r="Z17">
        <v>0.45879999999999999</v>
      </c>
      <c r="AA17">
        <v>245.4</v>
      </c>
      <c r="AB17" s="10">
        <v>301.76</v>
      </c>
      <c r="AC17" s="8">
        <f>IF(Table1[[#This Row],[P_R2]]="","",Table1[Pu(kN)]/Table1[[#This Row],[P_R2]])</f>
        <v>1.0339342523860022</v>
      </c>
      <c r="AD17">
        <v>0.44719999999999999</v>
      </c>
      <c r="AE17" s="9">
        <v>302.22000000000003</v>
      </c>
      <c r="AF17" s="2">
        <v>241.86</v>
      </c>
      <c r="AG17" s="2">
        <f>IF(Table1[[#This Row],[P_F3]]="","",Table1[Pu(kN)]/Table1[[#This Row],[P_F3]])</f>
        <v>1.2900024807740014</v>
      </c>
      <c r="AH17" s="2">
        <v>0.37909999999999999</v>
      </c>
      <c r="AI17" s="8">
        <v>242.66</v>
      </c>
      <c r="AJ17" s="10">
        <v>314.36</v>
      </c>
      <c r="AK17" s="8">
        <f>IF(Table1[[#This Row],[P_R3]]="","",Table1[Pu(kN)]/Table1[[#This Row],[P_R3]])</f>
        <v>0.99249268354752507</v>
      </c>
      <c r="AL17" s="8">
        <v>0.48630000000000001</v>
      </c>
      <c r="AM17" s="9">
        <v>314.36</v>
      </c>
      <c r="AN17" s="10">
        <v>302.5</v>
      </c>
      <c r="AO17" s="8">
        <f>IF(Table1[[#This Row],[P_R4]]="","",Table1[Pu(kN)]/Table1[[#This Row],[P_R4]])</f>
        <v>1.0314049586776859</v>
      </c>
      <c r="AP17" s="8">
        <v>0.4496</v>
      </c>
      <c r="AQ17" s="9">
        <v>303.22000000000003</v>
      </c>
      <c r="AR17">
        <v>240.52</v>
      </c>
      <c r="AS17">
        <f>IF(Table1[[#This Row],[P_F4]]="","",Table1[Pu(kN)]/Table1[[#This Row],[P_F4]])</f>
        <v>1.2971894229170131</v>
      </c>
      <c r="AT17">
        <v>0.3745</v>
      </c>
      <c r="AU17" s="7">
        <v>241.34</v>
      </c>
      <c r="AV17">
        <v>240.78</v>
      </c>
      <c r="AW17">
        <f>IF(Table1[[#This Row],[P_F5]]="","",Table1[Pu(kN)]/Table1[[#This Row],[P_F5]])</f>
        <v>1.295788686768004</v>
      </c>
      <c r="AX17">
        <v>0.37019999999999997</v>
      </c>
      <c r="AY17" s="7">
        <v>241.56</v>
      </c>
      <c r="AZ17">
        <v>292.66000000000003</v>
      </c>
      <c r="BA17">
        <f>IF(Table1[[#This Row],[P_R5]]="","",Table1[Pu(kN)]/Table1[[#This Row],[P_R5]])</f>
        <v>1.0660835098749402</v>
      </c>
      <c r="BB17">
        <v>0.48809999999999998</v>
      </c>
      <c r="BC17">
        <v>292.66000000000003</v>
      </c>
      <c r="BD17" s="5">
        <v>234.52</v>
      </c>
      <c r="BE17" s="6">
        <f>IF(Table1[[#This Row],[P_F6]]="","",Table1[Pu(kN)]/Table1[[#This Row],[P_F6]])</f>
        <v>1.3303769401330376</v>
      </c>
      <c r="BF17" s="6">
        <v>2.24E-2</v>
      </c>
      <c r="BG17" s="6">
        <v>234.52</v>
      </c>
      <c r="BH17" s="5">
        <v>304.98</v>
      </c>
      <c r="BI17" s="6">
        <f>IF(Table1[[#This Row],[P_R6]]="","",Table1[Pu(kN)]/Table1[[#This Row],[P_R6]])</f>
        <v>1.0230179028132991</v>
      </c>
      <c r="BJ17" s="6">
        <v>0.40129999999999999</v>
      </c>
      <c r="BK17" s="6">
        <v>306.18</v>
      </c>
      <c r="BL17" s="5">
        <v>248.58</v>
      </c>
      <c r="BM17" s="6">
        <f>IF(Table1[[#This Row],[P_F7]]="","",Table1[Pu(kN)]/Table1[[#This Row],[P_F7]])</f>
        <v>1.2551291334781558</v>
      </c>
      <c r="BN17" s="6">
        <v>0.2382</v>
      </c>
      <c r="BO17" s="6">
        <v>248.8</v>
      </c>
      <c r="BP17" s="5">
        <v>230.18</v>
      </c>
      <c r="BQ17" s="6">
        <f>IF(Table1[[#This Row],[P_F8]]="","",Table1[Pu(kN)]/Table1[[#This Row],[P_F8]])</f>
        <v>1.3554609436093492</v>
      </c>
      <c r="BR17" s="6">
        <v>0.45450000000000002</v>
      </c>
      <c r="BS17" s="6">
        <v>230.62</v>
      </c>
      <c r="BT17" s="5">
        <v>297.86</v>
      </c>
      <c r="BU17" s="6">
        <f>IF(Table1[[#This Row],[P_R7]]="","",Table1[Pu(kN)]/Table1[[#This Row],[P_R7]])</f>
        <v>1.047471966695763</v>
      </c>
      <c r="BV17" s="6">
        <v>0.43230000000000002</v>
      </c>
      <c r="BW17" s="6">
        <v>297.86</v>
      </c>
      <c r="BX17" s="5">
        <v>245.28</v>
      </c>
      <c r="BY17" s="6">
        <f>IF(Table1[[#This Row],[P_F9]]="","",Table1[Pu(kN)]/Table1[[#This Row],[P_F9]])</f>
        <v>1.2720156555772995</v>
      </c>
      <c r="BZ17" s="6">
        <v>0.47739999999999999</v>
      </c>
      <c r="CA17" s="7">
        <v>245.28</v>
      </c>
      <c r="CB17" s="5">
        <v>299.92</v>
      </c>
      <c r="CC17" s="6">
        <f>IF(Table1[[#This Row],[P_R8]]="","",Table1[Pu(kN)]/Table1[[#This Row],[P_R8]])</f>
        <v>1.0402774073086156</v>
      </c>
      <c r="CD17" s="6">
        <v>0.43359999999999999</v>
      </c>
      <c r="CE17" s="6">
        <v>299.98</v>
      </c>
      <c r="CF17" s="5">
        <v>306.10000000000002</v>
      </c>
      <c r="CG17">
        <f>IF(Table1[[#This Row],[P_R9]]="","",Table1[Pu(kN)]/Table1[[#This Row],[P_R9]])</f>
        <v>1.0192747468147663</v>
      </c>
      <c r="CH17">
        <v>0.443</v>
      </c>
      <c r="CI17">
        <v>306.10000000000002</v>
      </c>
      <c r="CJ17" s="34">
        <v>219.78</v>
      </c>
      <c r="CK17" s="6">
        <f>IF(Table1[[#This Row],[P_F10]]="","",Table1[Pu(kN)]/Table1[[#This Row],[P_F10]])</f>
        <v>1.4196014196014195</v>
      </c>
      <c r="CL17" s="6">
        <v>0.4395</v>
      </c>
      <c r="CM17" s="7">
        <v>219.78</v>
      </c>
      <c r="CN17" s="38">
        <f>Table1[[#This Row],[P_R8]]</f>
        <v>299.92</v>
      </c>
      <c r="CO17" s="38">
        <f>Table1[[#This Row],[Pu(kN)]]/Table1[[#This Row],[P_R8_2]]</f>
        <v>1.0402774073086156</v>
      </c>
      <c r="CP17" s="38">
        <f>Table1[[#This Row],[DUCTIL_R8]]</f>
        <v>0.43359999999999999</v>
      </c>
      <c r="CQ17" s="38">
        <f>Table1[[#This Row],[P_R8_2]]</f>
        <v>299.92</v>
      </c>
    </row>
    <row r="18" spans="1:95" x14ac:dyDescent="0.3">
      <c r="A18" s="27" t="s">
        <v>24</v>
      </c>
      <c r="B18" s="36" t="s">
        <v>92</v>
      </c>
      <c r="C18" s="20" t="s">
        <v>86</v>
      </c>
      <c r="D18" s="20">
        <v>1963</v>
      </c>
      <c r="E18" s="20" t="s">
        <v>90</v>
      </c>
      <c r="F18" s="20">
        <v>23.8</v>
      </c>
      <c r="G18" s="23">
        <v>3.0352603333019488</v>
      </c>
      <c r="H18" s="20">
        <v>2285</v>
      </c>
      <c r="I18" s="20">
        <v>464</v>
      </c>
      <c r="J18" s="23">
        <f>Table1[[#This Row],[a'[mm']]]/Table1[[#This Row],[d'[mm']]]</f>
        <v>4.9245689655172411</v>
      </c>
      <c r="K18" s="20">
        <v>559</v>
      </c>
      <c r="L18" s="20" t="s">
        <v>293</v>
      </c>
      <c r="M18" s="20">
        <v>324</v>
      </c>
      <c r="N18" s="23" t="s">
        <v>130</v>
      </c>
      <c r="O18" s="20" t="s">
        <v>131</v>
      </c>
      <c r="P18" s="5">
        <v>222.98</v>
      </c>
      <c r="Q18" s="6">
        <f>IF(Table1[[#This Row],[P_F1]]="","",Table1[Pu(kN)]/Table1[[#This Row],[P_F1]])</f>
        <v>1.4530451161539153</v>
      </c>
      <c r="R18" s="6">
        <v>0.23760000000000001</v>
      </c>
      <c r="S18" s="6">
        <v>222.98</v>
      </c>
      <c r="T18" s="5">
        <v>300.72000000000003</v>
      </c>
      <c r="U18" s="6">
        <f>IF(Table1[[#This Row],[P_R1]]="","",Table1[Pu(kN)]/Table1[[#This Row],[P_R1]])</f>
        <v>1.0774142059058258</v>
      </c>
      <c r="V18">
        <v>0.34510000000000002</v>
      </c>
      <c r="W18">
        <v>301.54000000000002</v>
      </c>
      <c r="X18" s="5">
        <v>224.56</v>
      </c>
      <c r="Y18" s="6">
        <f>IF(Table1[[#This Row],[P_F2]]="","",Table1[Pu(kN)]/Table1[[#This Row],[P_F2]])</f>
        <v>1.4428215176344852</v>
      </c>
      <c r="Z18">
        <v>0.30549999999999999</v>
      </c>
      <c r="AA18">
        <v>224.96</v>
      </c>
      <c r="AB18" s="10">
        <v>296.94</v>
      </c>
      <c r="AC18" s="8">
        <f>IF(Table1[[#This Row],[P_R2]]="","",Table1[Pu(kN)]/Table1[[#This Row],[P_R2]])</f>
        <v>1.0911295211153769</v>
      </c>
      <c r="AD18">
        <v>0.34770000000000001</v>
      </c>
      <c r="AE18" s="9">
        <v>300.64</v>
      </c>
      <c r="AF18" s="2">
        <v>239.72</v>
      </c>
      <c r="AG18" s="2">
        <f>IF(Table1[[#This Row],[P_F3]]="","",Table1[Pu(kN)]/Table1[[#This Row],[P_F3]])</f>
        <v>1.351576839646254</v>
      </c>
      <c r="AH18" s="2">
        <v>0.19320000000000001</v>
      </c>
      <c r="AI18" s="8">
        <v>239.72</v>
      </c>
      <c r="AJ18" s="10">
        <v>307.95999999999998</v>
      </c>
      <c r="AK18" s="8">
        <f>IF(Table1[[#This Row],[P_R3]]="","",Table1[Pu(kN)]/Table1[[#This Row],[P_R3]])</f>
        <v>1.0520846863228992</v>
      </c>
      <c r="AL18" s="8">
        <v>0.3453</v>
      </c>
      <c r="AM18" s="9">
        <v>307.95999999999998</v>
      </c>
      <c r="AN18" s="10">
        <v>293.83999999999997</v>
      </c>
      <c r="AO18" s="8">
        <f>IF(Table1[[#This Row],[P_R4]]="","",Table1[Pu(kN)]/Table1[[#This Row],[P_R4]])</f>
        <v>1.1026408930029949</v>
      </c>
      <c r="AP18" s="8">
        <v>0.34229999999999999</v>
      </c>
      <c r="AQ18" s="9">
        <v>295.14</v>
      </c>
      <c r="AR18">
        <v>216.14</v>
      </c>
      <c r="AS18">
        <f>IF(Table1[[#This Row],[P_F4]]="","",Table1[Pu(kN)]/Table1[[#This Row],[P_F4]])</f>
        <v>1.4990284075136486</v>
      </c>
      <c r="AT18">
        <v>0.2369</v>
      </c>
      <c r="AU18" s="7">
        <v>218.08</v>
      </c>
      <c r="AV18">
        <v>222.8</v>
      </c>
      <c r="AW18">
        <f>IF(Table1[[#This Row],[P_F5]]="","",Table1[Pu(kN)]/Table1[[#This Row],[P_F5]])</f>
        <v>1.4542190305206462</v>
      </c>
      <c r="AX18">
        <v>0.21440000000000001</v>
      </c>
      <c r="AY18" s="7">
        <v>222.8</v>
      </c>
      <c r="AZ18">
        <v>264.98</v>
      </c>
      <c r="BA18">
        <f>IF(Table1[[#This Row],[P_R5]]="","",Table1[Pu(kN)]/Table1[[#This Row],[P_R5]])</f>
        <v>1.2227337912295266</v>
      </c>
      <c r="BB18">
        <f>AX18</f>
        <v>0.21440000000000001</v>
      </c>
      <c r="BC18">
        <f>2*AY18</f>
        <v>445.6</v>
      </c>
      <c r="BD18" s="5">
        <v>215.46</v>
      </c>
      <c r="BE18" s="6">
        <f>IF(Table1[[#This Row],[P_F6]]="","",Table1[Pu(kN)]/Table1[[#This Row],[P_F6]])</f>
        <v>1.5037593984962405</v>
      </c>
      <c r="BF18" s="6">
        <v>0.2069</v>
      </c>
      <c r="BG18" s="6">
        <v>215.46</v>
      </c>
      <c r="BH18" s="5">
        <v>291</v>
      </c>
      <c r="BI18" s="6">
        <f>IF(Table1[[#This Row],[P_R6]]="","",Table1[Pu(kN)]/Table1[[#This Row],[P_R6]])</f>
        <v>1.1134020618556701</v>
      </c>
      <c r="BJ18" s="6">
        <v>0.27679999999999999</v>
      </c>
      <c r="BK18" s="6">
        <v>291.92</v>
      </c>
      <c r="BL18" s="5">
        <v>245.26</v>
      </c>
      <c r="BM18" s="6">
        <f>IF(Table1[[#This Row],[P_F7]]="","",Table1[Pu(kN)]/Table1[[#This Row],[P_F7]])</f>
        <v>1.3210470521079671</v>
      </c>
      <c r="BN18" s="6">
        <v>0.1177</v>
      </c>
      <c r="BO18" s="6">
        <v>246.1</v>
      </c>
      <c r="BP18" s="5">
        <v>217.06</v>
      </c>
      <c r="BQ18" s="6">
        <f>IF(Table1[[#This Row],[P_F8]]="","",Table1[Pu(kN)]/Table1[[#This Row],[P_F8]])</f>
        <v>1.4926748364507509</v>
      </c>
      <c r="BR18" s="6">
        <v>0.29959999999999998</v>
      </c>
      <c r="BS18" s="6">
        <v>217.48</v>
      </c>
      <c r="BT18" s="5">
        <v>280.8</v>
      </c>
      <c r="BU18" s="6">
        <f>IF(Table1[[#This Row],[P_R7]]="","",Table1[Pu(kN)]/Table1[[#This Row],[P_R7]])</f>
        <v>1.1538461538461537</v>
      </c>
      <c r="BV18" s="6">
        <v>0.32969999999999999</v>
      </c>
      <c r="BW18" s="6">
        <v>281.14</v>
      </c>
      <c r="BX18" s="5">
        <v>221.66</v>
      </c>
      <c r="BY18" s="6">
        <f>IF(Table1[[#This Row],[P_F9]]="","",Table1[Pu(kN)]/Table1[[#This Row],[P_F9]])</f>
        <v>1.4616980961833439</v>
      </c>
      <c r="BZ18" s="6">
        <v>0.25219999999999998</v>
      </c>
      <c r="CA18" s="7">
        <v>221.66</v>
      </c>
      <c r="CB18" s="5">
        <v>293.42</v>
      </c>
      <c r="CC18" s="6">
        <f>IF(Table1[[#This Row],[P_R8]]="","",Table1[Pu(kN)]/Table1[[#This Row],[P_R8]])</f>
        <v>1.104219207961284</v>
      </c>
      <c r="CD18" s="6">
        <v>0.33750000000000002</v>
      </c>
      <c r="CE18" s="6">
        <v>294.42</v>
      </c>
      <c r="CF18" s="5">
        <v>292.04000000000002</v>
      </c>
      <c r="CG18">
        <f>IF(Table1[[#This Row],[P_R9]]="","",Table1[Pu(kN)]/Table1[[#This Row],[P_R9]])</f>
        <v>1.1094370634159703</v>
      </c>
      <c r="CH18">
        <v>0.33100000000000002</v>
      </c>
      <c r="CI18">
        <v>292.04000000000002</v>
      </c>
      <c r="CJ18" s="34">
        <v>215.76</v>
      </c>
      <c r="CK18" s="6">
        <f>IF(Table1[[#This Row],[P_F10]]="","",Table1[Pu(kN)]/Table1[[#This Row],[P_F10]])</f>
        <v>1.5016685205784206</v>
      </c>
      <c r="CL18" s="6">
        <v>0.28799999999999998</v>
      </c>
      <c r="CM18" s="7">
        <v>215.76</v>
      </c>
      <c r="CN18" s="38">
        <f>Table1[[#This Row],[P_R8]]</f>
        <v>293.42</v>
      </c>
      <c r="CO18" s="38">
        <f>Table1[[#This Row],[Pu(kN)]]/Table1[[#This Row],[P_R8_2]]</f>
        <v>1.104219207961284</v>
      </c>
      <c r="CP18" s="38">
        <f>Table1[[#This Row],[DUCTIL_R8]]</f>
        <v>0.33750000000000002</v>
      </c>
      <c r="CQ18" s="38">
        <f>Table1[[#This Row],[P_R8_2]]</f>
        <v>293.42</v>
      </c>
    </row>
    <row r="19" spans="1:95" x14ac:dyDescent="0.3">
      <c r="A19" s="26" t="s">
        <v>25</v>
      </c>
      <c r="B19" s="35" t="s">
        <v>92</v>
      </c>
      <c r="C19" s="18" t="s">
        <v>86</v>
      </c>
      <c r="D19" s="18">
        <v>1963</v>
      </c>
      <c r="E19" s="18" t="s">
        <v>90</v>
      </c>
      <c r="F19" s="18">
        <v>35.1</v>
      </c>
      <c r="G19" s="22">
        <v>3.0033771980901363</v>
      </c>
      <c r="H19" s="18">
        <v>3200</v>
      </c>
      <c r="I19" s="18">
        <v>459</v>
      </c>
      <c r="J19" s="22">
        <f>Table1[[#This Row],[a'[mm']]]/Table1[[#This Row],[d'[mm']]]</f>
        <v>6.9716775599128544</v>
      </c>
      <c r="K19" s="18">
        <v>554</v>
      </c>
      <c r="L19" s="18" t="s">
        <v>293</v>
      </c>
      <c r="M19" s="18">
        <v>270</v>
      </c>
      <c r="N19" s="22" t="s">
        <v>130</v>
      </c>
      <c r="O19" s="18" t="s">
        <v>131</v>
      </c>
      <c r="P19" s="5">
        <f>2*98.214</f>
        <v>196.428</v>
      </c>
      <c r="Q19" s="6">
        <f>IF(Table1[[#This Row],[P_F1]]="","",Table1[Pu(kN)]/Table1[[#This Row],[P_F1]])</f>
        <v>1.3745494532347731</v>
      </c>
      <c r="R19">
        <v>0.1137</v>
      </c>
      <c r="S19" s="6">
        <f>Table1[[#This Row],[P_F1]]</f>
        <v>196.428</v>
      </c>
      <c r="T19" s="5">
        <v>245.48</v>
      </c>
      <c r="U19" s="6">
        <f>IF(Table1[[#This Row],[P_R1]]="","",Table1[Pu(kN)]/Table1[[#This Row],[P_R1]])</f>
        <v>1.0998859377546033</v>
      </c>
      <c r="V19">
        <v>7.5899999999999995E-2</v>
      </c>
      <c r="W19">
        <v>246.06</v>
      </c>
      <c r="X19" s="5">
        <v>197.90600000000001</v>
      </c>
      <c r="Y19" s="6">
        <f>IF(Table1[[#This Row],[P_F2]]="","",Table1[Pu(kN)]/Table1[[#This Row],[P_F2]])</f>
        <v>1.3642840540458601</v>
      </c>
      <c r="Z19">
        <v>3.3300000000000003E-2</v>
      </c>
      <c r="AA19">
        <v>198.60400000000001</v>
      </c>
      <c r="AB19" s="10">
        <v>239.36</v>
      </c>
      <c r="AC19" s="8">
        <f>IF(Table1[[#This Row],[P_R2]]="","",Table1[Pu(kN)]/Table1[[#This Row],[P_R2]])</f>
        <v>1.1280080213903743</v>
      </c>
      <c r="AD19">
        <v>0.09</v>
      </c>
      <c r="AE19" s="9">
        <f>Table1[[#This Row],[P_R2]]</f>
        <v>239.36</v>
      </c>
      <c r="AF19" s="2">
        <v>215.2</v>
      </c>
      <c r="AG19" s="2">
        <f>IF(Table1[[#This Row],[P_F3]]="","",Table1[Pu(kN)]/Table1[[#This Row],[P_F3]])</f>
        <v>1.254646840148699</v>
      </c>
      <c r="AH19" s="2">
        <v>5.2699999999999997E-2</v>
      </c>
      <c r="AI19" s="2">
        <v>216.76</v>
      </c>
      <c r="AJ19" s="10">
        <v>254.3</v>
      </c>
      <c r="AK19" s="8">
        <f>IF(Table1[[#This Row],[P_R3]]="","",Table1[Pu(kN)]/Table1[[#This Row],[P_R3]])</f>
        <v>1.0617381046008652</v>
      </c>
      <c r="AL19" s="8">
        <v>8.2900000000000001E-2</v>
      </c>
      <c r="AM19" s="9">
        <v>254.3</v>
      </c>
      <c r="AN19" s="10">
        <v>236.66</v>
      </c>
      <c r="AO19" s="8">
        <f>IF(Table1[[#This Row],[P_R4]]="","",Table1[Pu(kN)]/Table1[[#This Row],[P_R4]])</f>
        <v>1.1408772078086706</v>
      </c>
      <c r="AP19" s="8">
        <v>6.6699999999999995E-2</v>
      </c>
      <c r="AQ19" s="9">
        <v>237.14</v>
      </c>
      <c r="AR19">
        <v>211.22</v>
      </c>
      <c r="AS19">
        <f>IF(Table1[[#This Row],[P_F4]]="","",Table1[Pu(kN)]/Table1[[#This Row],[P_F4]])</f>
        <v>1.2782880409052173</v>
      </c>
      <c r="AT19">
        <v>6.8599999999999994E-2</v>
      </c>
      <c r="AU19" s="7">
        <v>213.2</v>
      </c>
      <c r="AV19">
        <v>206.74</v>
      </c>
      <c r="AW19">
        <f>IF(Table1[[#This Row],[P_F5]]="","",Table1[Pu(kN)]/Table1[[#This Row],[P_F5]])</f>
        <v>1.305988197736287</v>
      </c>
      <c r="AX19">
        <v>5.8999999999999997E-2</v>
      </c>
      <c r="AY19" s="7">
        <v>210.94</v>
      </c>
      <c r="AZ19">
        <v>223.12</v>
      </c>
      <c r="BA19">
        <f>IF(Table1[[#This Row],[P_R5]]="","",Table1[Pu(kN)]/Table1[[#This Row],[P_R5]])</f>
        <v>1.2101111509501614</v>
      </c>
      <c r="BB19">
        <f>AX19</f>
        <v>5.8999999999999997E-2</v>
      </c>
      <c r="BC19">
        <f>2*AY19</f>
        <v>421.88</v>
      </c>
      <c r="BD19" s="5">
        <v>223.86</v>
      </c>
      <c r="BE19" s="6">
        <f>IF(Table1[[#This Row],[P_F6]]="","",Table1[Pu(kN)]/Table1[[#This Row],[P_F6]])</f>
        <v>1.2061109622085231</v>
      </c>
      <c r="BF19" s="6">
        <v>3.5799999999999998E-2</v>
      </c>
      <c r="BG19" s="6">
        <v>223.86</v>
      </c>
      <c r="BH19" s="5">
        <v>265.27999999999997</v>
      </c>
      <c r="BI19" s="6">
        <f>IF(Table1[[#This Row],[P_R6]]="","",Table1[Pu(kN)]/Table1[[#This Row],[P_R6]])</f>
        <v>1.0177925211097709</v>
      </c>
      <c r="BJ19" s="6">
        <v>9.6799999999999997E-2</v>
      </c>
      <c r="BK19" s="6">
        <v>265.27999999999997</v>
      </c>
      <c r="BL19" s="5">
        <v>217.9</v>
      </c>
      <c r="BM19" s="6">
        <f>IF(Table1[[#This Row],[P_F7]]="","",Table1[Pu(kN)]/Table1[[#This Row],[P_F7]])</f>
        <v>1.2391005048187242</v>
      </c>
      <c r="BN19" s="6">
        <v>7.3999999999999996E-2</v>
      </c>
      <c r="BO19" s="6">
        <v>222.58</v>
      </c>
      <c r="BP19" s="5">
        <v>194.7</v>
      </c>
      <c r="BQ19" s="6">
        <f>IF(Table1[[#This Row],[P_F8]]="","",Table1[Pu(kN)]/Table1[[#This Row],[P_F8]])</f>
        <v>1.386748844375963</v>
      </c>
      <c r="BR19" s="6">
        <v>3.3700000000000001E-2</v>
      </c>
      <c r="BS19" s="6">
        <v>196.244</v>
      </c>
      <c r="BT19" s="5">
        <v>226.18</v>
      </c>
      <c r="BU19" s="6">
        <f>IF(Table1[[#This Row],[P_R7]]="","",Table1[Pu(kN)]/Table1[[#This Row],[P_R7]])</f>
        <v>1.1937394995136617</v>
      </c>
      <c r="BV19" s="6">
        <v>6.6299999999999998E-2</v>
      </c>
      <c r="BW19" s="6">
        <v>230.82</v>
      </c>
      <c r="BX19" s="5">
        <v>201.04</v>
      </c>
      <c r="BY19" s="6">
        <f>IF(Table1[[#This Row],[P_F9]]="","",Table1[Pu(kN)]/Table1[[#This Row],[P_F9]])</f>
        <v>1.343016315161162</v>
      </c>
      <c r="BZ19" s="6">
        <v>8.3099999999999993E-2</v>
      </c>
      <c r="CA19" s="7">
        <v>203.72</v>
      </c>
      <c r="CB19" s="5">
        <v>235.62</v>
      </c>
      <c r="CC19" s="6">
        <f>IF(Table1[[#This Row],[P_R8]]="","",Table1[Pu(kN)]/Table1[[#This Row],[P_R8]])</f>
        <v>1.1459129106187929</v>
      </c>
      <c r="CD19" s="6">
        <v>7.6799999999999993E-2</v>
      </c>
      <c r="CE19" s="6">
        <v>235.62</v>
      </c>
      <c r="CF19" s="5">
        <v>231.84</v>
      </c>
      <c r="CG19">
        <f>IF(Table1[[#This Row],[P_R9]]="","",Table1[Pu(kN)]/Table1[[#This Row],[P_R9]])</f>
        <v>1.1645962732919255</v>
      </c>
      <c r="CH19">
        <v>6.8000000000000005E-2</v>
      </c>
      <c r="CI19">
        <v>231.84</v>
      </c>
      <c r="CJ19" s="34">
        <v>191.61</v>
      </c>
      <c r="CK19" s="6">
        <f>IF(Table1[[#This Row],[P_F10]]="","",Table1[Pu(kN)]/Table1[[#This Row],[P_F10]])</f>
        <v>1.4091122592766556</v>
      </c>
      <c r="CL19" s="6">
        <v>7.0599999999999996E-2</v>
      </c>
      <c r="CM19" s="7">
        <v>193.89400000000001</v>
      </c>
      <c r="CN19" s="38">
        <f>Table1[[#This Row],[P_R8]]</f>
        <v>235.62</v>
      </c>
      <c r="CO19" s="38">
        <f>Table1[[#This Row],[Pu(kN)]]/Table1[[#This Row],[P_R8_2]]</f>
        <v>1.1459129106187929</v>
      </c>
      <c r="CP19" s="38">
        <f>Table1[[#This Row],[DUCTIL_R8]]</f>
        <v>7.6799999999999993E-2</v>
      </c>
      <c r="CQ19" s="38">
        <f>Table1[[#This Row],[P_R8_2]]</f>
        <v>235.62</v>
      </c>
    </row>
    <row r="20" spans="1:95" x14ac:dyDescent="0.3">
      <c r="A20" s="27" t="s">
        <v>14</v>
      </c>
      <c r="B20" s="36" t="s">
        <v>92</v>
      </c>
      <c r="C20" s="20" t="s">
        <v>86</v>
      </c>
      <c r="D20" s="20">
        <v>1963</v>
      </c>
      <c r="E20" s="20" t="s">
        <v>90</v>
      </c>
      <c r="F20" s="20">
        <v>22.6</v>
      </c>
      <c r="G20" s="23">
        <v>1.4962868414945463</v>
      </c>
      <c r="H20" s="20">
        <v>1830</v>
      </c>
      <c r="I20" s="20">
        <v>461</v>
      </c>
      <c r="J20" s="23">
        <f>Table1[[#This Row],[a'[mm']]]/Table1[[#This Row],[d'[mm']]]</f>
        <v>3.9696312364425164</v>
      </c>
      <c r="K20" s="20">
        <v>556</v>
      </c>
      <c r="L20" s="20" t="s">
        <v>293</v>
      </c>
      <c r="M20" s="20">
        <v>334</v>
      </c>
      <c r="N20" s="23" t="s">
        <v>130</v>
      </c>
      <c r="O20" s="20" t="s">
        <v>130</v>
      </c>
      <c r="P20" s="5">
        <f>2*151.57</f>
        <v>303.14</v>
      </c>
      <c r="Q20" s="6">
        <f>IF(Table1[[#This Row],[P_F1]]="","",Table1[Pu(kN)]/Table1[[#This Row],[P_F1]])</f>
        <v>1.1018011479844296</v>
      </c>
      <c r="R20">
        <v>2.29E-2</v>
      </c>
      <c r="S20">
        <f>2*152.16</f>
        <v>304.32</v>
      </c>
      <c r="T20" s="5">
        <v>293.86</v>
      </c>
      <c r="U20" s="6">
        <f>IF(Table1[[#This Row],[P_R1]]="","",Table1[Pu(kN)]/Table1[[#This Row],[P_R1]])</f>
        <v>1.1365956577962295</v>
      </c>
      <c r="V20">
        <v>0</v>
      </c>
      <c r="W20">
        <v>293.86</v>
      </c>
      <c r="X20" s="5">
        <v>294.7</v>
      </c>
      <c r="Y20" s="6">
        <f>IF(Table1[[#This Row],[P_F2]]="","",Table1[Pu(kN)]/Table1[[#This Row],[P_F2]])</f>
        <v>1.1333559552086869</v>
      </c>
      <c r="Z20">
        <v>2.1899999999999999E-2</v>
      </c>
      <c r="AA20">
        <v>294.7</v>
      </c>
      <c r="AB20" s="10">
        <v>310.18</v>
      </c>
      <c r="AC20" s="8">
        <f>IF(Table1[[#This Row],[P_R2]]="","",Table1[Pu(kN)]/Table1[[#This Row],[P_R2]])</f>
        <v>1.0767941195434909</v>
      </c>
      <c r="AD20">
        <v>4.3E-3</v>
      </c>
      <c r="AE20" s="9">
        <v>310.8</v>
      </c>
      <c r="AF20" s="2">
        <v>302.7</v>
      </c>
      <c r="AG20" s="2">
        <f>IF(Table1[[#This Row],[P_F3]]="","",Table1[Pu(kN)]/Table1[[#This Row],[P_F3]])</f>
        <v>1.1034027089527585</v>
      </c>
      <c r="AH20" s="2">
        <v>2.7699999999999999E-2</v>
      </c>
      <c r="AI20" s="2">
        <v>304.60000000000002</v>
      </c>
      <c r="AJ20" s="10">
        <v>318.48</v>
      </c>
      <c r="AK20" s="8">
        <f>IF(Table1[[#This Row],[P_R3]]="","",Table1[Pu(kN)]/Table1[[#This Row],[P_R3]])</f>
        <v>1.0487314745038934</v>
      </c>
      <c r="AL20" s="8">
        <v>3.3999999999999998E-3</v>
      </c>
      <c r="AM20" s="9">
        <v>318.48</v>
      </c>
      <c r="AN20" s="10">
        <v>319.22000000000003</v>
      </c>
      <c r="AO20" s="8">
        <f>IF(Table1[[#This Row],[P_R4]]="","",Table1[Pu(kN)]/Table1[[#This Row],[P_R4]])</f>
        <v>1.046300357120481</v>
      </c>
      <c r="AP20" s="8">
        <v>5.7999999999999996E-3</v>
      </c>
      <c r="AQ20" s="9">
        <v>320.06</v>
      </c>
      <c r="AR20">
        <v>301.12</v>
      </c>
      <c r="AS20">
        <f>IF(Table1[[#This Row],[P_F4]]="","",Table1[Pu(kN)]/Table1[[#This Row],[P_F4]])</f>
        <v>1.1091923485653561</v>
      </c>
      <c r="AT20">
        <v>2.9499999999999998E-2</v>
      </c>
      <c r="AU20" s="7">
        <v>302.39999999999998</v>
      </c>
      <c r="AV20">
        <v>324.45999999999998</v>
      </c>
      <c r="AW20">
        <f>IF(Table1[[#This Row],[P_F5]]="","",Table1[Pu(kN)]/Table1[[#This Row],[P_F5]])</f>
        <v>1.0294026998705541</v>
      </c>
      <c r="AX20">
        <v>2.2100000000000002E-2</v>
      </c>
      <c r="AY20" s="7">
        <v>324.5</v>
      </c>
      <c r="AZ20">
        <v>320.83999999999997</v>
      </c>
      <c r="BA20">
        <f>IF(Table1[[#This Row],[P_R5]]="","",Table1[Pu(kN)]/Table1[[#This Row],[P_R5]])</f>
        <v>1.0410173295100362</v>
      </c>
      <c r="BB20">
        <v>2.3E-3</v>
      </c>
      <c r="BC20">
        <v>320.83999999999997</v>
      </c>
      <c r="BD20" s="5">
        <v>327.32</v>
      </c>
      <c r="BE20" s="6">
        <f>IF(Table1[[#This Row],[P_F6]]="","",Table1[Pu(kN)]/Table1[[#This Row],[P_F6]])</f>
        <v>1.0204081632653061</v>
      </c>
      <c r="BF20" s="6">
        <v>1.44E-2</v>
      </c>
      <c r="BG20" s="6">
        <v>327.32</v>
      </c>
      <c r="BH20" s="5">
        <v>333.82</v>
      </c>
      <c r="BI20" s="6">
        <f>IF(Table1[[#This Row],[P_R6]]="","",Table1[Pu(kN)]/Table1[[#This Row],[P_R6]])</f>
        <v>1.000539212749386</v>
      </c>
      <c r="BJ20" s="6">
        <v>0</v>
      </c>
      <c r="BK20" s="6">
        <v>334.34</v>
      </c>
      <c r="BL20" s="5">
        <v>307.44</v>
      </c>
      <c r="BM20" s="6">
        <f>IF(Table1[[#This Row],[P_F7]]="","",Table1[Pu(kN)]/Table1[[#This Row],[P_F7]])</f>
        <v>1.0863908404892011</v>
      </c>
      <c r="BN20" s="6">
        <v>1.46E-2</v>
      </c>
      <c r="BO20" s="6">
        <v>307.44</v>
      </c>
      <c r="BP20" s="5">
        <v>303.26</v>
      </c>
      <c r="BQ20" s="6">
        <f>IF(Table1[[#This Row],[P_F8]]="","",Table1[Pu(kN)]/Table1[[#This Row],[P_F8]])</f>
        <v>1.1013651652047749</v>
      </c>
      <c r="BR20">
        <v>0.03</v>
      </c>
      <c r="BS20">
        <v>304.95999999999998</v>
      </c>
      <c r="BT20" s="5">
        <v>314.45999999999998</v>
      </c>
      <c r="BU20" s="6">
        <f>IF(Table1[[#This Row],[P_R7]]="","",Table1[Pu(kN)]/Table1[[#This Row],[P_R7]])</f>
        <v>1.062138268778223</v>
      </c>
      <c r="BV20" s="6">
        <v>2.5999999999999999E-3</v>
      </c>
      <c r="BW20" s="6">
        <v>314.68</v>
      </c>
      <c r="BX20" s="5">
        <v>297.22000000000003</v>
      </c>
      <c r="BY20" s="6">
        <f>IF(Table1[[#This Row],[P_F9]]="","",Table1[Pu(kN)]/Table1[[#This Row],[P_F9]])</f>
        <v>1.1237467196016417</v>
      </c>
      <c r="BZ20" s="6">
        <v>2.8400000000000002E-2</v>
      </c>
      <c r="CA20" s="7">
        <v>297.22000000000003</v>
      </c>
      <c r="CB20" s="5">
        <v>315.83999999999997</v>
      </c>
      <c r="CC20" s="6">
        <f>IF(Table1[[#This Row],[P_R8]]="","",Table1[Pu(kN)]/Table1[[#This Row],[P_R8]])</f>
        <v>1.0574974670719353</v>
      </c>
      <c r="CD20" s="6">
        <v>3.8E-3</v>
      </c>
      <c r="CE20" s="6">
        <v>316.08</v>
      </c>
      <c r="CF20" s="5">
        <v>314.98</v>
      </c>
      <c r="CG20">
        <f>IF(Table1[[#This Row],[P_R9]]="","",Table1[Pu(kN)]/Table1[[#This Row],[P_R9]])</f>
        <v>1.0603847863356404</v>
      </c>
      <c r="CH20">
        <v>6.0000000000000001E-3</v>
      </c>
      <c r="CI20">
        <v>314.98</v>
      </c>
      <c r="CJ20" s="34">
        <v>271.72000000000003</v>
      </c>
      <c r="CK20" s="6">
        <f>IF(Table1[[#This Row],[P_F10]]="","",Table1[Pu(kN)]/Table1[[#This Row],[P_F10]])</f>
        <v>1.2292065361401441</v>
      </c>
      <c r="CL20" s="6">
        <v>2.8500000000000001E-2</v>
      </c>
      <c r="CM20" s="7">
        <v>273.77999999999997</v>
      </c>
      <c r="CN20" s="38">
        <f>125.6*2</f>
        <v>251.2</v>
      </c>
      <c r="CO20" s="38">
        <f>Table1[[#This Row],[Pu(kN)]]/Table1[[#This Row],[P_R8_2]]</f>
        <v>1.3296178343949046</v>
      </c>
      <c r="CP20" s="38">
        <f>Table1[[#This Row],[DUCTIL_R8]]</f>
        <v>3.8E-3</v>
      </c>
      <c r="CQ20" s="38">
        <f>Table1[[#This Row],[P_R8_2]]</f>
        <v>251.2</v>
      </c>
    </row>
    <row r="21" spans="1:95" x14ac:dyDescent="0.3">
      <c r="A21" s="26" t="s">
        <v>15</v>
      </c>
      <c r="B21" s="35" t="s">
        <v>92</v>
      </c>
      <c r="C21" s="31" t="s">
        <v>86</v>
      </c>
      <c r="D21" s="31">
        <v>1963</v>
      </c>
      <c r="E21" s="18" t="s">
        <v>90</v>
      </c>
      <c r="F21" s="18">
        <v>23.7</v>
      </c>
      <c r="G21" s="22">
        <v>1.8842231378393384</v>
      </c>
      <c r="H21" s="18">
        <v>2285</v>
      </c>
      <c r="I21" s="18">
        <v>466</v>
      </c>
      <c r="J21" s="22">
        <f>Table1[[#This Row],[a'[mm']]]/Table1[[#This Row],[d'[mm']]]</f>
        <v>4.9034334763948495</v>
      </c>
      <c r="K21" s="18">
        <v>561</v>
      </c>
      <c r="L21" s="18" t="s">
        <v>293</v>
      </c>
      <c r="M21" s="18">
        <v>356</v>
      </c>
      <c r="N21" s="18" t="s">
        <v>130</v>
      </c>
      <c r="O21" s="18" t="s">
        <v>130</v>
      </c>
      <c r="P21" s="5">
        <f>2*154.26</f>
        <v>308.52</v>
      </c>
      <c r="Q21" s="6">
        <f>IF(Table1[[#This Row],[P_F1]]="","",Table1[Pu(kN)]/Table1[[#This Row],[P_F1]])</f>
        <v>1.1538960197069883</v>
      </c>
      <c r="R21">
        <v>3.09E-2</v>
      </c>
      <c r="S21">
        <f>2*155.1</f>
        <v>310.2</v>
      </c>
      <c r="T21" s="5">
        <v>243.48</v>
      </c>
      <c r="U21" s="6">
        <f>IF(Table1[[#This Row],[P_R1]]="","",Table1[Pu(kN)]/Table1[[#This Row],[P_R1]])</f>
        <v>1.4621324133399047</v>
      </c>
      <c r="V21">
        <v>2.5899999999999999E-2</v>
      </c>
      <c r="W21">
        <v>244.52</v>
      </c>
      <c r="X21" s="5">
        <v>304.24</v>
      </c>
      <c r="Y21" s="6">
        <f>IF(Table1[[#This Row],[P_F2]]="","",Table1[Pu(kN)]/Table1[[#This Row],[P_F2]])</f>
        <v>1.1701288456481724</v>
      </c>
      <c r="Z21">
        <v>4.0800000000000003E-2</v>
      </c>
      <c r="AA21">
        <v>305.02</v>
      </c>
      <c r="AB21" s="10">
        <v>262.26</v>
      </c>
      <c r="AC21" s="8">
        <f>IF(Table1[[#This Row],[P_R2]]="","",Table1[Pu(kN)]/Table1[[#This Row],[P_R2]])</f>
        <v>1.357431556470678</v>
      </c>
      <c r="AD21">
        <v>4.3E-3</v>
      </c>
      <c r="AE21" s="9">
        <v>262.26</v>
      </c>
      <c r="AF21" s="2">
        <v>308.76</v>
      </c>
      <c r="AG21" s="2">
        <f>IF(Table1[[#This Row],[P_F3]]="","",Table1[Pu(kN)]/Table1[[#This Row],[P_F3]])</f>
        <v>1.1529990931467806</v>
      </c>
      <c r="AH21" s="2">
        <v>2.06E-2</v>
      </c>
      <c r="AI21" s="2">
        <v>309.8</v>
      </c>
      <c r="AJ21" s="10">
        <v>270.83999999999997</v>
      </c>
      <c r="AK21" s="8">
        <f>IF(Table1[[#This Row],[P_R3]]="","",Table1[Pu(kN)]/Table1[[#This Row],[P_R3]])</f>
        <v>1.3144291832816424</v>
      </c>
      <c r="AL21" s="8">
        <v>2.4400000000000002E-2</v>
      </c>
      <c r="AM21" s="9">
        <v>272.64</v>
      </c>
      <c r="AN21" s="10">
        <v>263.54000000000002</v>
      </c>
      <c r="AO21" s="8">
        <f>IF(Table1[[#This Row],[P_R4]]="","",Table1[Pu(kN)]/Table1[[#This Row],[P_R4]])</f>
        <v>1.3508385823783864</v>
      </c>
      <c r="AP21" s="8">
        <v>4.7000000000000002E-3</v>
      </c>
      <c r="AQ21" s="9">
        <v>263.54000000000002</v>
      </c>
      <c r="AR21">
        <v>306.12</v>
      </c>
      <c r="AS21">
        <f>IF(Table1[[#This Row],[P_F4]]="","",Table1[Pu(kN)]/Table1[[#This Row],[P_F4]])</f>
        <v>1.1629426368744282</v>
      </c>
      <c r="AT21">
        <v>3.9699999999999999E-2</v>
      </c>
      <c r="AU21" s="7">
        <v>306.14</v>
      </c>
      <c r="AV21">
        <v>338.52</v>
      </c>
      <c r="AW21">
        <f>IF(Table1[[#This Row],[P_F5]]="","",Table1[Pu(kN)]/Table1[[#This Row],[P_F5]])</f>
        <v>1.0516365355075032</v>
      </c>
      <c r="AX21">
        <v>2.7300000000000001E-2</v>
      </c>
      <c r="AY21" s="7">
        <v>340.3</v>
      </c>
      <c r="AZ21">
        <v>278.58</v>
      </c>
      <c r="BA21">
        <f>IF(Table1[[#This Row],[P_R5]]="","",Table1[Pu(kN)]/Table1[[#This Row],[P_R5]])</f>
        <v>1.2779093976595592</v>
      </c>
      <c r="BB21">
        <v>5.1000000000000004E-3</v>
      </c>
      <c r="BC21">
        <v>278.58</v>
      </c>
      <c r="BD21" s="5">
        <v>330.54</v>
      </c>
      <c r="BE21" s="6">
        <f>IF(Table1[[#This Row],[P_F6]]="","",Table1[Pu(kN)]/Table1[[#This Row],[P_F6]])</f>
        <v>1.077025473467659</v>
      </c>
      <c r="BF21" s="6">
        <v>1.8599999999999998E-2</v>
      </c>
      <c r="BG21" s="6">
        <v>330.54</v>
      </c>
      <c r="BH21" s="5">
        <v>278.5</v>
      </c>
      <c r="BI21" s="6">
        <f>IF(Table1[[#This Row],[P_R6]]="","",Table1[Pu(kN)]/Table1[[#This Row],[P_R6]])</f>
        <v>1.2782764811490126</v>
      </c>
      <c r="BJ21" s="6">
        <v>5.1000000000000004E-3</v>
      </c>
      <c r="BK21" s="6">
        <v>279.52</v>
      </c>
      <c r="BL21" s="5">
        <v>335.42</v>
      </c>
      <c r="BM21" s="6">
        <f>IF(Table1[[#This Row],[P_F7]]="","",Table1[Pu(kN)]/Table1[[#This Row],[P_F7]])</f>
        <v>1.0613559119909366</v>
      </c>
      <c r="BN21" s="6">
        <v>2.6200000000000001E-2</v>
      </c>
      <c r="BO21" s="6">
        <v>336.78</v>
      </c>
      <c r="BP21" s="5">
        <v>314.95999999999998</v>
      </c>
      <c r="BQ21" s="6">
        <f>IF(Table1[[#This Row],[P_F8]]="","",Table1[Pu(kN)]/Table1[[#This Row],[P_F8]])</f>
        <v>1.1303022606045212</v>
      </c>
      <c r="BR21">
        <v>3.56E-2</v>
      </c>
      <c r="BS21">
        <v>314.95999999999998</v>
      </c>
      <c r="BT21" s="5">
        <v>255.44</v>
      </c>
      <c r="BU21" s="6">
        <f>IF(Table1[[#This Row],[P_R7]]="","",Table1[Pu(kN)]/Table1[[#This Row],[P_R7]])</f>
        <v>1.3936736611337301</v>
      </c>
      <c r="BV21" s="6">
        <v>7.4999999999999997E-3</v>
      </c>
      <c r="BW21" s="6">
        <v>255.44</v>
      </c>
      <c r="BX21" s="5">
        <v>312</v>
      </c>
      <c r="BY21" s="6">
        <f>IF(Table1[[#This Row],[P_F9]]="","",Table1[Pu(kN)]/Table1[[#This Row],[P_F9]])</f>
        <v>1.141025641025641</v>
      </c>
      <c r="BZ21" s="6">
        <v>3.7499999999999999E-2</v>
      </c>
      <c r="CA21" s="7">
        <v>314.06</v>
      </c>
      <c r="CB21" s="5">
        <v>265.82</v>
      </c>
      <c r="CC21" s="6">
        <f>IF(Table1[[#This Row],[P_R8]]="","",Table1[Pu(kN)]/Table1[[#This Row],[P_R8]])</f>
        <v>1.3392521254984577</v>
      </c>
      <c r="CD21" s="6">
        <v>3.3999999999999998E-3</v>
      </c>
      <c r="CE21" s="6">
        <v>265.82</v>
      </c>
      <c r="CF21" s="5">
        <v>254.62</v>
      </c>
      <c r="CG21">
        <f>IF(Table1[[#This Row],[P_R9]]="","",Table1[Pu(kN)]/Table1[[#This Row],[P_R9]])</f>
        <v>1.3981619668525647</v>
      </c>
      <c r="CH21">
        <v>6.8999999999999999E-3</v>
      </c>
      <c r="CI21">
        <v>254.86</v>
      </c>
      <c r="CJ21" s="5">
        <v>290.62</v>
      </c>
      <c r="CK21" s="6">
        <f>IF(Table1[[#This Row],[P_F10]]="","",Table1[Pu(kN)]/Table1[[#This Row],[P_F10]])</f>
        <v>1.2249673112655701</v>
      </c>
      <c r="CL21" s="6">
        <v>3.8600000000000002E-2</v>
      </c>
      <c r="CM21" s="7">
        <v>293.18</v>
      </c>
      <c r="CN21" s="38">
        <f>126.1*2</f>
        <v>252.2</v>
      </c>
      <c r="CO21" s="38">
        <f>Table1[[#This Row],[Pu(kN)]]/Table1[[#This Row],[P_R8_2]]</f>
        <v>1.4115781126090405</v>
      </c>
      <c r="CP21" s="38">
        <f>Table1[[#This Row],[DUCTIL_R8]]</f>
        <v>3.3999999999999998E-3</v>
      </c>
      <c r="CQ21" s="38">
        <f>Table1[[#This Row],[P_R8_2]]</f>
        <v>252.2</v>
      </c>
    </row>
    <row r="22" spans="1:95" x14ac:dyDescent="0.3">
      <c r="A22" s="27" t="s">
        <v>16</v>
      </c>
      <c r="B22" s="36" t="s">
        <v>92</v>
      </c>
      <c r="C22" s="32" t="s">
        <v>86</v>
      </c>
      <c r="D22" s="32">
        <v>1963</v>
      </c>
      <c r="E22" s="20" t="s">
        <v>90</v>
      </c>
      <c r="F22" s="20">
        <v>37.6</v>
      </c>
      <c r="G22" s="23">
        <v>2.2660698802521502</v>
      </c>
      <c r="H22" s="20">
        <v>3200</v>
      </c>
      <c r="I22" s="20">
        <v>462</v>
      </c>
      <c r="J22" s="23">
        <f>Table1[[#This Row],[a'[mm']]]/Table1[[#This Row],[d'[mm']]]</f>
        <v>6.9264069264069263</v>
      </c>
      <c r="K22" s="20">
        <v>556</v>
      </c>
      <c r="L22" s="20" t="s">
        <v>293</v>
      </c>
      <c r="M22" s="20">
        <v>378</v>
      </c>
      <c r="N22" s="20" t="s">
        <v>130</v>
      </c>
      <c r="O22" s="20" t="s">
        <v>130</v>
      </c>
      <c r="P22" s="5">
        <f>2*162.55</f>
        <v>325.10000000000002</v>
      </c>
      <c r="Q22" s="6">
        <f>IF(Table1[[#This Row],[P_F1]]="","",Table1[Pu(kN)]/Table1[[#This Row],[P_F1]])</f>
        <v>1.1627191633343585</v>
      </c>
      <c r="R22">
        <v>3.78E-2</v>
      </c>
      <c r="S22">
        <f>2*162.92</f>
        <v>325.83999999999997</v>
      </c>
      <c r="T22" s="5">
        <v>263.22000000000003</v>
      </c>
      <c r="U22" s="6">
        <f>IF(Table1[[#This Row],[P_R1]]="","",Table1[Pu(kN)]/Table1[[#This Row],[P_R1]])</f>
        <v>1.4360610895828583</v>
      </c>
      <c r="V22">
        <v>2.7699999999999999E-2</v>
      </c>
      <c r="W22">
        <v>263.82</v>
      </c>
      <c r="X22" s="5">
        <v>333.38</v>
      </c>
      <c r="Y22" s="6">
        <f>IF(Table1[[#This Row],[P_F2]]="","",Table1[Pu(kN)]/Table1[[#This Row],[P_F2]])</f>
        <v>1.1338412622232887</v>
      </c>
      <c r="Z22">
        <v>4.6800000000000001E-2</v>
      </c>
      <c r="AA22">
        <v>334.34</v>
      </c>
      <c r="AB22" s="10">
        <v>281.89999999999998</v>
      </c>
      <c r="AC22" s="8">
        <f>IF(Table1[[#This Row],[P_R2]]="","",Table1[Pu(kN)]/Table1[[#This Row],[P_R2]])</f>
        <v>1.3409010287335936</v>
      </c>
      <c r="AD22">
        <v>3.9E-2</v>
      </c>
      <c r="AE22" s="9">
        <v>283.58</v>
      </c>
      <c r="AF22" s="2">
        <v>351.78</v>
      </c>
      <c r="AG22" s="2">
        <f>IF(Table1[[#This Row],[P_F3]]="","",Table1[Pu(kN)]/Table1[[#This Row],[P_F3]])</f>
        <v>1.0745352208766843</v>
      </c>
      <c r="AH22" s="2">
        <v>4.02E-2</v>
      </c>
      <c r="AI22" s="2">
        <v>353.68</v>
      </c>
      <c r="AJ22" s="10">
        <v>289.22000000000003</v>
      </c>
      <c r="AK22" s="8">
        <f>IF(Table1[[#This Row],[P_R3]]="","",Table1[Pu(kN)]/Table1[[#This Row],[P_R3]])</f>
        <v>1.3069635571537237</v>
      </c>
      <c r="AL22" s="8">
        <v>4.19E-2</v>
      </c>
      <c r="AM22" s="9">
        <v>289.66000000000003</v>
      </c>
      <c r="AN22" s="10">
        <v>260.89999999999998</v>
      </c>
      <c r="AO22" s="8">
        <f>IF(Table1[[#This Row],[P_R4]]="","",Table1[Pu(kN)]/Table1[[#This Row],[P_R4]])</f>
        <v>1.4488309697201995</v>
      </c>
      <c r="AP22" s="8">
        <v>4.8500000000000001E-2</v>
      </c>
      <c r="AQ22" s="9">
        <v>263.32</v>
      </c>
      <c r="AR22">
        <v>344.02</v>
      </c>
      <c r="AS22">
        <f>IF(Table1[[#This Row],[P_F4]]="","",Table1[Pu(kN)]/Table1[[#This Row],[P_F4]])</f>
        <v>1.0987733271321436</v>
      </c>
      <c r="AT22">
        <v>4.41E-2</v>
      </c>
      <c r="AU22" s="7">
        <v>347.18</v>
      </c>
      <c r="AV22">
        <v>368.64</v>
      </c>
      <c r="AW22">
        <f>IF(Table1[[#This Row],[P_F5]]="","",Table1[Pu(kN)]/Table1[[#This Row],[P_F5]])</f>
        <v>1.025390625</v>
      </c>
      <c r="AX22">
        <v>2.8000000000000001E-2</v>
      </c>
      <c r="AY22" s="7">
        <v>370.1</v>
      </c>
      <c r="AZ22">
        <v>244</v>
      </c>
      <c r="BA22">
        <f>IF(Table1[[#This Row],[P_R5]]="","",Table1[Pu(kN)]/Table1[[#This Row],[P_R5]])</f>
        <v>1.5491803278688525</v>
      </c>
      <c r="BB22">
        <v>5.4699999999999999E-2</v>
      </c>
      <c r="BC22">
        <v>245.6</v>
      </c>
      <c r="BD22" s="5">
        <v>396.64</v>
      </c>
      <c r="BE22" s="6">
        <f>IF(Table1[[#This Row],[P_F6]]="","",Table1[Pu(kN)]/Table1[[#This Row],[P_F6]])</f>
        <v>0.95300524405002018</v>
      </c>
      <c r="BF22" s="6">
        <v>1.8499999999999999E-2</v>
      </c>
      <c r="BG22" s="6">
        <v>396.64</v>
      </c>
      <c r="BH22" s="5">
        <v>292.7</v>
      </c>
      <c r="BI22" s="6">
        <f>IF(Table1[[#This Row],[P_R6]]="","",Table1[Pu(kN)]/Table1[[#This Row],[P_R6]])</f>
        <v>1.2914246668944311</v>
      </c>
      <c r="BJ22" s="6">
        <v>4.1099999999999998E-2</v>
      </c>
      <c r="BK22" s="6">
        <v>293.27999999999997</v>
      </c>
      <c r="BL22" s="5">
        <v>390</v>
      </c>
      <c r="BM22" s="6">
        <f>IF(Table1[[#This Row],[P_F7]]="","",Table1[Pu(kN)]/Table1[[#This Row],[P_F7]])</f>
        <v>0.96923076923076923</v>
      </c>
      <c r="BN22" s="6">
        <v>2.5100000000000001E-2</v>
      </c>
      <c r="BO22" s="6">
        <v>393.32</v>
      </c>
      <c r="BP22" s="5">
        <v>310.14</v>
      </c>
      <c r="BQ22" s="6">
        <f>IF(Table1[[#This Row],[P_F8]]="","",Table1[Pu(kN)]/Table1[[#This Row],[P_F8]])</f>
        <v>1.2188044109112015</v>
      </c>
      <c r="BR22">
        <v>5.1799999999999999E-2</v>
      </c>
      <c r="BS22">
        <v>312.60000000000002</v>
      </c>
      <c r="BT22" s="5">
        <v>280.64</v>
      </c>
      <c r="BU22" s="6">
        <f>IF(Table1[[#This Row],[P_R7]]="","",Table1[Pu(kN)]/Table1[[#This Row],[P_R7]])</f>
        <v>1.3469213226909922</v>
      </c>
      <c r="BV22" s="6">
        <v>5.1999999999999998E-2</v>
      </c>
      <c r="BW22" s="6">
        <v>284.14</v>
      </c>
      <c r="BX22" s="5">
        <v>342.6</v>
      </c>
      <c r="BY22" s="6">
        <f>IF(Table1[[#This Row],[P_F9]]="","",Table1[Pu(kN)]/Table1[[#This Row],[P_F9]])</f>
        <v>1.1033274956217163</v>
      </c>
      <c r="BZ22" s="6">
        <v>4.3099999999999999E-2</v>
      </c>
      <c r="CA22" s="7">
        <v>344.94</v>
      </c>
      <c r="CB22" s="5">
        <v>263.82</v>
      </c>
      <c r="CC22" s="6">
        <f>IF(Table1[[#This Row],[P_R8]]="","",Table1[Pu(kN)]/Table1[[#This Row],[P_R8]])</f>
        <v>1.4327950875596998</v>
      </c>
      <c r="CD22" s="6">
        <v>4.7100000000000003E-2</v>
      </c>
      <c r="CE22" s="6">
        <v>265.14</v>
      </c>
      <c r="CF22" s="5">
        <v>258.7</v>
      </c>
      <c r="CG22">
        <f>IF(Table1[[#This Row],[P_R9]]="","",Table1[Pu(kN)]/Table1[[#This Row],[P_R9]])</f>
        <v>1.46115191341322</v>
      </c>
      <c r="CH22">
        <v>3.9300000000000002E-2</v>
      </c>
      <c r="CI22">
        <v>260.27999999999997</v>
      </c>
      <c r="CJ22" s="5">
        <v>310.54000000000002</v>
      </c>
      <c r="CK22" s="6">
        <f>IF(Table1[[#This Row],[P_F10]]="","",Table1[Pu(kN)]/Table1[[#This Row],[P_F10]])</f>
        <v>1.2172344947510787</v>
      </c>
      <c r="CL22" s="6">
        <v>4.1700000000000001E-2</v>
      </c>
      <c r="CM22" s="7">
        <v>311.86</v>
      </c>
      <c r="CN22" s="38">
        <v>263.82</v>
      </c>
      <c r="CO22" s="38">
        <f>Table1[[#This Row],[Pu(kN)]]/Table1[[#This Row],[P_R8_2]]</f>
        <v>1.4327950875596998</v>
      </c>
      <c r="CP22" s="38">
        <f>Table1[[#This Row],[DUCTIL_R8]]</f>
        <v>4.7100000000000003E-2</v>
      </c>
      <c r="CQ22" s="38">
        <f>Table1[[#This Row],[P_R8_2]]</f>
        <v>263.82</v>
      </c>
    </row>
    <row r="23" spans="1:95" x14ac:dyDescent="0.3">
      <c r="A23" s="27" t="s">
        <v>5</v>
      </c>
      <c r="B23" s="36" t="s">
        <v>92</v>
      </c>
      <c r="C23" s="20" t="s">
        <v>87</v>
      </c>
      <c r="D23" s="20">
        <v>2004</v>
      </c>
      <c r="E23" s="20" t="s">
        <v>90</v>
      </c>
      <c r="F23" s="20">
        <v>22.6</v>
      </c>
      <c r="G23" s="23">
        <v>1.4255167498218104</v>
      </c>
      <c r="H23" s="20">
        <f>3660/2</f>
        <v>1830</v>
      </c>
      <c r="I23" s="20">
        <v>457</v>
      </c>
      <c r="J23" s="23">
        <f>Table1[[#This Row],[a'[mm']]]/Table1[[#This Row],[d'[mm']]]</f>
        <v>4.0043763676148796</v>
      </c>
      <c r="K23" s="20">
        <v>552</v>
      </c>
      <c r="L23" s="20" t="s">
        <v>293</v>
      </c>
      <c r="M23" s="20">
        <v>459</v>
      </c>
      <c r="N23" s="20" t="s">
        <v>130</v>
      </c>
      <c r="O23" s="20" t="s">
        <v>131</v>
      </c>
      <c r="P23" s="5">
        <v>364.08</v>
      </c>
      <c r="Q23" s="6">
        <f>IF(Table1[[#This Row],[P_F1]]="","",Table1[Pu(kN)]/Table1[[#This Row],[P_F1]])</f>
        <v>1.2607119314436388</v>
      </c>
      <c r="R23">
        <v>0.17960000000000001</v>
      </c>
      <c r="S23">
        <v>364.42</v>
      </c>
      <c r="T23" s="5">
        <v>477.5</v>
      </c>
      <c r="U23" s="6">
        <f>IF(Table1[[#This Row],[P_R1]]="","",Table1[Pu(kN)]/Table1[[#This Row],[P_R1]])</f>
        <v>0.96125654450261777</v>
      </c>
      <c r="V23">
        <v>0.4365</v>
      </c>
      <c r="W23">
        <v>477.94</v>
      </c>
      <c r="X23" s="5">
        <v>389.6</v>
      </c>
      <c r="Y23" s="6">
        <f>IF(Table1[[#This Row],[P_F2]]="","",Table1[Pu(kN)]/Table1[[#This Row],[P_F2]])</f>
        <v>1.1781314168377823</v>
      </c>
      <c r="Z23">
        <v>0.2034</v>
      </c>
      <c r="AA23">
        <v>390.46</v>
      </c>
      <c r="AB23" s="5">
        <v>479.34</v>
      </c>
      <c r="AC23" s="8">
        <f>IF(Table1[[#This Row],[P_R2]]="","",Table1[Pu(kN)]/Table1[[#This Row],[P_R2]])</f>
        <v>0.95756665414945552</v>
      </c>
      <c r="AD23" s="8">
        <v>0.4345</v>
      </c>
      <c r="AE23" s="9">
        <v>481.12</v>
      </c>
      <c r="AF23" s="8">
        <v>369.88</v>
      </c>
      <c r="AG23" s="8">
        <f>IF(Table1[[#This Row],[P_F3]]="","",Table1[Pu(kN)]/Table1[[#This Row],[P_F3]])</f>
        <v>1.2409430085433113</v>
      </c>
      <c r="AH23" s="8">
        <v>0.1986</v>
      </c>
      <c r="AI23" s="8">
        <v>369.88</v>
      </c>
      <c r="AJ23" s="10">
        <v>484.94</v>
      </c>
      <c r="AK23" s="8">
        <f>IF(Table1[[#This Row],[P_R3]]="","",Table1[Pu(kN)]/Table1[[#This Row],[P_R3]])</f>
        <v>0.94650884645523159</v>
      </c>
      <c r="AL23" s="8">
        <v>0.50460000000000005</v>
      </c>
      <c r="AM23" s="9">
        <v>485.36</v>
      </c>
      <c r="AN23" s="10">
        <v>484.16</v>
      </c>
      <c r="AO23" s="8">
        <f>IF(Table1[[#This Row],[P_R4]]="","",Table1[Pu(kN)]/Table1[[#This Row],[P_R4]])</f>
        <v>0.9480337078651685</v>
      </c>
      <c r="AP23" s="8">
        <v>0.53400000000000003</v>
      </c>
      <c r="AQ23" s="9">
        <v>484.16</v>
      </c>
      <c r="AR23">
        <v>381.42</v>
      </c>
      <c r="AS23">
        <f>IF(Table1[[#This Row],[P_F4]]="","",Table1[Pu(kN)]/Table1[[#This Row],[P_F4]])</f>
        <v>1.2033978291647003</v>
      </c>
      <c r="AT23">
        <v>0.22819999999999999</v>
      </c>
      <c r="AU23" s="7">
        <v>382.64</v>
      </c>
      <c r="AV23">
        <v>384.46</v>
      </c>
      <c r="AW23">
        <f>IF(Table1[[#This Row],[P_F5]]="","",Table1[Pu(kN)]/Table1[[#This Row],[P_F5]])</f>
        <v>1.1938823284606981</v>
      </c>
      <c r="AX23">
        <v>9.2200000000000004E-2</v>
      </c>
      <c r="AY23" s="7">
        <v>385.06</v>
      </c>
      <c r="AZ23">
        <v>453.14</v>
      </c>
      <c r="BA23">
        <f>IF(Table1[[#This Row],[P_R5]]="","",Table1[Pu(kN)]/Table1[[#This Row],[P_R5]])</f>
        <v>1.0129319856997838</v>
      </c>
      <c r="BB23">
        <v>0.40970000000000001</v>
      </c>
      <c r="BC23">
        <v>453.14</v>
      </c>
      <c r="BD23" s="5">
        <v>397.66</v>
      </c>
      <c r="BE23" s="6">
        <f>IF(Table1[[#This Row],[P_F6]]="","",Table1[Pu(kN)]/Table1[[#This Row],[P_F6]])</f>
        <v>1.1542523764019514</v>
      </c>
      <c r="BF23" s="6">
        <v>8.4500000000000006E-2</v>
      </c>
      <c r="BG23" s="6">
        <v>397.66</v>
      </c>
      <c r="BH23" s="5">
        <v>480.8</v>
      </c>
      <c r="BI23" s="6">
        <f>IF(Table1[[#This Row],[P_R6]]="","",Table1[Pu(kN)]/Table1[[#This Row],[P_R6]])</f>
        <v>0.95465890183028279</v>
      </c>
      <c r="BJ23" s="6">
        <v>0.48420000000000002</v>
      </c>
      <c r="BK23" s="6">
        <v>481.54</v>
      </c>
      <c r="BL23" s="5">
        <v>396.78</v>
      </c>
      <c r="BM23" s="6">
        <f>IF(Table1[[#This Row],[P_F7]]="","",Table1[Pu(kN)]/Table1[[#This Row],[P_F7]])</f>
        <v>1.1568123393316196</v>
      </c>
      <c r="BN23" s="6">
        <v>0.19650000000000001</v>
      </c>
      <c r="BO23" s="6">
        <v>398.2</v>
      </c>
      <c r="BP23" s="5">
        <v>358.6</v>
      </c>
      <c r="BQ23" s="6">
        <f>IF(Table1[[#This Row],[P_F8]]="","",Table1[Pu(kN)]/Table1[[#This Row],[P_F8]])</f>
        <v>1.2799776910206357</v>
      </c>
      <c r="BR23" s="6">
        <v>0.20030000000000001</v>
      </c>
      <c r="BS23" s="6">
        <v>359.58</v>
      </c>
      <c r="BT23" s="5">
        <v>460.6</v>
      </c>
      <c r="BU23" s="6">
        <f>IF(Table1[[#This Row],[P_R7]]="","",Table1[Pu(kN)]/Table1[[#This Row],[P_R7]])</f>
        <v>0.99652627008250105</v>
      </c>
      <c r="BV23" s="6">
        <v>0.35460000000000003</v>
      </c>
      <c r="BW23" s="6">
        <v>460.6</v>
      </c>
      <c r="BX23" s="5">
        <v>384.28</v>
      </c>
      <c r="BY23" s="6">
        <f>IF(Table1[[#This Row],[P_F9]]="","",Table1[Pu(kN)]/Table1[[#This Row],[P_F9]])</f>
        <v>1.194441553034246</v>
      </c>
      <c r="BZ23" s="6">
        <v>0.16350000000000001</v>
      </c>
      <c r="CA23" s="7">
        <v>384.28</v>
      </c>
      <c r="CB23" s="5">
        <v>482.82</v>
      </c>
      <c r="CC23" s="6">
        <f>IF(Table1[[#This Row],[P_R8]]="","",Table1[Pu(kN)]/Table1[[#This Row],[P_R8]])</f>
        <v>0.95066484404125762</v>
      </c>
      <c r="CD23" s="6">
        <v>0.50509999999999999</v>
      </c>
      <c r="CE23" s="6">
        <v>483.48</v>
      </c>
      <c r="CF23" s="5">
        <v>483.08</v>
      </c>
      <c r="CG23">
        <f>IF(Table1[[#This Row],[P_R9]]="","",Table1[Pu(kN)]/Table1[[#This Row],[P_R9]])</f>
        <v>0.9501531837376832</v>
      </c>
      <c r="CH23">
        <v>0.5302</v>
      </c>
      <c r="CI23">
        <v>483.08</v>
      </c>
      <c r="CJ23" s="5">
        <v>374.48</v>
      </c>
      <c r="CK23" s="6">
        <f>IF(Table1[[#This Row],[P_F10]]="","",Table1[Pu(kN)]/Table1[[#This Row],[P_F10]])</f>
        <v>1.2256996368297373</v>
      </c>
      <c r="CL23" s="6">
        <v>0.2374</v>
      </c>
      <c r="CM23" s="7">
        <v>376.4</v>
      </c>
      <c r="CN23" s="38">
        <f>Table1[[#This Row],[P_R8]]</f>
        <v>482.82</v>
      </c>
      <c r="CO23" s="38">
        <f>Table1[[#This Row],[Pu(kN)]]/Table1[[#This Row],[P_R8_2]]</f>
        <v>0.95066484404125762</v>
      </c>
      <c r="CP23" s="38">
        <f>Table1[[#This Row],[DUCTIL_R8]]</f>
        <v>0.50509999999999999</v>
      </c>
      <c r="CQ23" s="38">
        <f>Table1[[#This Row],[P_R8_2]]</f>
        <v>482.82</v>
      </c>
    </row>
    <row r="24" spans="1:95" ht="20.25" customHeight="1" x14ac:dyDescent="0.3">
      <c r="A24" s="26" t="s">
        <v>6</v>
      </c>
      <c r="B24" s="35" t="s">
        <v>92</v>
      </c>
      <c r="C24" s="18" t="s">
        <v>87</v>
      </c>
      <c r="D24" s="18">
        <v>2004</v>
      </c>
      <c r="E24" s="18" t="s">
        <v>90</v>
      </c>
      <c r="F24" s="18">
        <v>25.9</v>
      </c>
      <c r="G24" s="22">
        <v>1.8412924685198384</v>
      </c>
      <c r="H24" s="18">
        <f>4570/2</f>
        <v>2285</v>
      </c>
      <c r="I24" s="18">
        <v>457</v>
      </c>
      <c r="J24" s="22">
        <f>Table1[[#This Row],[a'[mm']]]/Table1[[#This Row],[d'[mm']]]</f>
        <v>5</v>
      </c>
      <c r="K24" s="18">
        <v>552</v>
      </c>
      <c r="L24" s="18" t="s">
        <v>293</v>
      </c>
      <c r="M24" s="18">
        <v>439</v>
      </c>
      <c r="N24" s="18" t="s">
        <v>130</v>
      </c>
      <c r="O24" s="18" t="s">
        <v>131</v>
      </c>
      <c r="P24" s="5">
        <v>370.48</v>
      </c>
      <c r="Q24" s="6">
        <f>IF(Table1[[#This Row],[P_F1]]="","",Table1[Pu(kN)]/Table1[[#This Row],[P_F1]])</f>
        <v>1.1849492550205138</v>
      </c>
      <c r="R24">
        <v>4.6300000000000001E-2</v>
      </c>
      <c r="S24">
        <v>372.48</v>
      </c>
      <c r="T24" s="5">
        <v>463.36</v>
      </c>
      <c r="U24" s="6">
        <f>IF(Table1[[#This Row],[P_R1]]="","",Table1[Pu(kN)]/Table1[[#This Row],[P_R1]])</f>
        <v>0.94742748618784522</v>
      </c>
      <c r="V24">
        <v>0.30009999999999998</v>
      </c>
      <c r="W24">
        <v>463.36</v>
      </c>
      <c r="X24" s="5">
        <v>366.68</v>
      </c>
      <c r="Y24" s="6">
        <f>IF(Table1[[#This Row],[P_F2]]="","",Table1[Pu(kN)]/Table1[[#This Row],[P_F2]])</f>
        <v>1.1972291916657576</v>
      </c>
      <c r="Z24">
        <v>5.5300000000000002E-2</v>
      </c>
      <c r="AA24">
        <v>369.02</v>
      </c>
      <c r="AB24" s="5">
        <v>466.9</v>
      </c>
      <c r="AC24" s="8">
        <f>IF(Table1[[#This Row],[P_R2]]="","",Table1[Pu(kN)]/Table1[[#This Row],[P_R2]])</f>
        <v>0.94024416363246954</v>
      </c>
      <c r="AD24" s="8">
        <v>0.37390000000000001</v>
      </c>
      <c r="AE24" s="9">
        <v>466.9</v>
      </c>
      <c r="AF24" s="8">
        <v>395.92</v>
      </c>
      <c r="AG24" s="8">
        <f>IF(Table1[[#This Row],[P_F3]]="","",Table1[Pu(kN)]/Table1[[#This Row],[P_F3]])</f>
        <v>1.1088098605778944</v>
      </c>
      <c r="AH24" s="8">
        <v>0.1825</v>
      </c>
      <c r="AI24" s="8">
        <v>395.92</v>
      </c>
      <c r="AJ24" s="10">
        <v>478.66</v>
      </c>
      <c r="AK24" s="8">
        <f>IF(Table1[[#This Row],[P_R3]]="","",Table1[Pu(kN)]/Table1[[#This Row],[P_R3]])</f>
        <v>0.91714369280909203</v>
      </c>
      <c r="AL24" s="8">
        <v>0.5181</v>
      </c>
      <c r="AM24" s="9">
        <v>478.66</v>
      </c>
      <c r="AN24" s="10">
        <v>461.58</v>
      </c>
      <c r="AO24" s="8">
        <f>IF(Table1[[#This Row],[P_R4]]="","",Table1[Pu(kN)]/Table1[[#This Row],[P_R4]])</f>
        <v>0.95108106937042336</v>
      </c>
      <c r="AP24" s="8">
        <v>0.34920000000000001</v>
      </c>
      <c r="AQ24" s="9">
        <v>462.88</v>
      </c>
      <c r="AR24">
        <v>395.86</v>
      </c>
      <c r="AS24">
        <f>IF(Table1[[#This Row],[P_F4]]="","",Table1[Pu(kN)]/Table1[[#This Row],[P_F4]])</f>
        <v>1.1089779214873945</v>
      </c>
      <c r="AT24">
        <v>0.1804</v>
      </c>
      <c r="AU24" s="7">
        <v>396.88</v>
      </c>
      <c r="AV24">
        <v>409.62</v>
      </c>
      <c r="AW24">
        <f>IF(Table1[[#This Row],[P_F5]]="","",Table1[Pu(kN)]/Table1[[#This Row],[P_F5]])</f>
        <v>1.0717250134270788</v>
      </c>
      <c r="AX24">
        <v>0.21540000000000001</v>
      </c>
      <c r="AY24" s="7">
        <v>410.16</v>
      </c>
      <c r="AZ24">
        <v>413.94</v>
      </c>
      <c r="BA24">
        <f>IF(Table1[[#This Row],[P_R5]]="","",Table1[Pu(kN)]/Table1[[#This Row],[P_R5]])</f>
        <v>1.0605401749045755</v>
      </c>
      <c r="BB24">
        <v>0.29470000000000002</v>
      </c>
      <c r="BC24">
        <v>420.46</v>
      </c>
      <c r="BD24" s="5">
        <v>411.74</v>
      </c>
      <c r="BE24" s="6">
        <f>IF(Table1[[#This Row],[P_F6]]="","",Table1[Pu(kN)]/Table1[[#This Row],[P_F6]])</f>
        <v>1.0662068295526304</v>
      </c>
      <c r="BF24" s="6">
        <v>8.4000000000000005E-2</v>
      </c>
      <c r="BG24" s="6">
        <v>411.74</v>
      </c>
      <c r="BH24" s="5">
        <v>449.74</v>
      </c>
      <c r="BI24" s="6">
        <f>IF(Table1[[#This Row],[P_R6]]="","",Table1[Pu(kN)]/Table1[[#This Row],[P_R6]])</f>
        <v>0.97611953573175614</v>
      </c>
      <c r="BJ24" s="6">
        <v>0.2379</v>
      </c>
      <c r="BK24" s="6">
        <v>451.82</v>
      </c>
      <c r="BL24" s="5">
        <v>414.58</v>
      </c>
      <c r="BM24" s="6">
        <f>IF(Table1[[#This Row],[P_F7]]="","",Table1[Pu(kN)]/Table1[[#This Row],[P_F7]])</f>
        <v>1.0589029861546626</v>
      </c>
      <c r="BN24" s="6">
        <v>0.13769999999999999</v>
      </c>
      <c r="BO24" s="6">
        <v>415.6</v>
      </c>
      <c r="BP24" s="5">
        <v>355.54</v>
      </c>
      <c r="BQ24" s="6">
        <f>IF(Table1[[#This Row],[P_F8]]="","",Table1[Pu(kN)]/Table1[[#This Row],[P_F8]])</f>
        <v>1.2347415199414973</v>
      </c>
      <c r="BR24" s="6">
        <v>3.8199999999999998E-2</v>
      </c>
      <c r="BS24" s="6">
        <v>357.24</v>
      </c>
      <c r="BT24" s="5">
        <v>443.26</v>
      </c>
      <c r="BU24" s="6">
        <f>IF(Table1[[#This Row],[P_R7]]="","",Table1[Pu(kN)]/Table1[[#This Row],[P_R7]])</f>
        <v>0.99038938771826923</v>
      </c>
      <c r="BV24" s="6">
        <v>0.2974</v>
      </c>
      <c r="BW24" s="6">
        <v>446.18</v>
      </c>
      <c r="BX24" s="5">
        <v>410.96</v>
      </c>
      <c r="BY24" s="6">
        <f>IF(Table1[[#This Row],[P_F9]]="","",Table1[Pu(kN)]/Table1[[#This Row],[P_F9]])</f>
        <v>1.0682304847187074</v>
      </c>
      <c r="BZ24" s="6">
        <v>0.27610000000000001</v>
      </c>
      <c r="CA24" s="7">
        <v>411.64</v>
      </c>
      <c r="CB24" s="5">
        <v>454.76</v>
      </c>
      <c r="CC24" s="6">
        <f>IF(Table1[[#This Row],[P_R8]]="","",Table1[Pu(kN)]/Table1[[#This Row],[P_R8]])</f>
        <v>0.9653443574632774</v>
      </c>
      <c r="CD24" s="6">
        <v>0.30259999999999998</v>
      </c>
      <c r="CE24" s="6">
        <v>454.76</v>
      </c>
      <c r="CF24" s="5">
        <v>449.86</v>
      </c>
      <c r="CG24">
        <f>IF(Table1[[#This Row],[P_R9]]="","",Table1[Pu(kN)]/Table1[[#This Row],[P_R9]])</f>
        <v>0.9758591561819232</v>
      </c>
      <c r="CH24">
        <v>0.28420000000000001</v>
      </c>
      <c r="CI24">
        <v>451.24</v>
      </c>
      <c r="CJ24" s="5">
        <v>346.02</v>
      </c>
      <c r="CK24" s="6">
        <f>IF(Table1[[#This Row],[P_F10]]="","",Table1[Pu(kN)]/Table1[[#This Row],[P_F10]])</f>
        <v>1.2687127911681406</v>
      </c>
      <c r="CL24" s="6">
        <v>0.12189999999999999</v>
      </c>
      <c r="CM24" s="7">
        <v>347.32</v>
      </c>
      <c r="CN24" s="38">
        <f>Table1[[#This Row],[P_R8]]</f>
        <v>454.76</v>
      </c>
      <c r="CO24" s="38">
        <f>Table1[[#This Row],[Pu(kN)]]/Table1[[#This Row],[P_R8_2]]</f>
        <v>0.9653443574632774</v>
      </c>
      <c r="CP24" s="38">
        <f>Table1[[#This Row],[DUCTIL_R8]]</f>
        <v>0.30259999999999998</v>
      </c>
      <c r="CQ24" s="38">
        <f>Table1[[#This Row],[P_R8_2]]</f>
        <v>454.76</v>
      </c>
    </row>
    <row r="25" spans="1:95" x14ac:dyDescent="0.3">
      <c r="A25" s="27" t="s">
        <v>7</v>
      </c>
      <c r="B25" s="36" t="s">
        <v>92</v>
      </c>
      <c r="C25" s="20" t="s">
        <v>87</v>
      </c>
      <c r="D25" s="20">
        <v>2004</v>
      </c>
      <c r="E25" s="20" t="s">
        <v>90</v>
      </c>
      <c r="F25" s="20">
        <v>43.5</v>
      </c>
      <c r="G25" s="23">
        <v>2.2570681872178664</v>
      </c>
      <c r="H25" s="20">
        <v>3200</v>
      </c>
      <c r="I25" s="20">
        <v>457</v>
      </c>
      <c r="J25" s="23">
        <f>Table1[[#This Row],[a'[mm']]]/Table1[[#This Row],[d'[mm']]]</f>
        <v>7.0021881838074398</v>
      </c>
      <c r="K25" s="20">
        <v>552</v>
      </c>
      <c r="L25" s="20" t="s">
        <v>293</v>
      </c>
      <c r="M25" s="20">
        <v>420</v>
      </c>
      <c r="N25" s="23" t="s">
        <v>130</v>
      </c>
      <c r="O25" s="20" t="s">
        <v>131</v>
      </c>
      <c r="P25" s="5">
        <v>378.46</v>
      </c>
      <c r="Q25" s="6">
        <f>IF(Table1[[#This Row],[P_F1]]="","",Table1[Pu(kN)]/Table1[[#This Row],[P_F1]])</f>
        <v>1.1097606087829626</v>
      </c>
      <c r="R25">
        <v>0.18990000000000001</v>
      </c>
      <c r="S25">
        <v>378.46</v>
      </c>
      <c r="T25" s="5">
        <v>433.06</v>
      </c>
      <c r="U25" s="6">
        <f>IF(Table1[[#This Row],[P_R1]]="","",Table1[Pu(kN)]/Table1[[#This Row],[P_R1]])</f>
        <v>0.96984251604858451</v>
      </c>
      <c r="V25">
        <v>0.63380000000000003</v>
      </c>
      <c r="W25">
        <v>433.06</v>
      </c>
      <c r="X25" s="5">
        <v>372.48</v>
      </c>
      <c r="Y25" s="6">
        <f>IF(Table1[[#This Row],[P_F2]]="","",Table1[Pu(kN)]/Table1[[#This Row],[P_F2]])</f>
        <v>1.1275773195876289</v>
      </c>
      <c r="Z25">
        <v>0.2029</v>
      </c>
      <c r="AA25">
        <v>373.64</v>
      </c>
      <c r="AB25" s="5">
        <v>438.4</v>
      </c>
      <c r="AC25" s="8">
        <f>IF(Table1[[#This Row],[P_R2]]="","",Table1[Pu(kN)]/Table1[[#This Row],[P_R2]])</f>
        <v>0.95802919708029199</v>
      </c>
      <c r="AD25" s="8">
        <v>0.59660000000000002</v>
      </c>
      <c r="AE25" s="9">
        <v>438.66</v>
      </c>
      <c r="AF25" s="8">
        <v>392.6</v>
      </c>
      <c r="AG25" s="8">
        <f>IF(Table1[[#This Row],[P_F3]]="","",Table1[Pu(kN)]/Table1[[#This Row],[P_F3]])</f>
        <v>1.0697911360163015</v>
      </c>
      <c r="AH25" s="8">
        <v>0.36680000000000001</v>
      </c>
      <c r="AI25" s="8">
        <v>393.38</v>
      </c>
      <c r="AJ25" s="10">
        <v>455.08</v>
      </c>
      <c r="AK25" s="8">
        <f>IF(Table1[[#This Row],[P_R3]]="","",Table1[Pu(kN)]/Table1[[#This Row],[P_R3]])</f>
        <v>0.92291465236881431</v>
      </c>
      <c r="AL25" s="8">
        <v>0.66700000000000004</v>
      </c>
      <c r="AM25" s="9">
        <v>455.44</v>
      </c>
      <c r="AN25" s="10">
        <v>436.34</v>
      </c>
      <c r="AO25" s="8">
        <f>IF(Table1[[#This Row],[P_R4]]="","",Table1[Pu(kN)]/Table1[[#This Row],[P_R4]])</f>
        <v>0.96255213824082142</v>
      </c>
      <c r="AP25" s="8">
        <v>0.57820000000000005</v>
      </c>
      <c r="AQ25" s="9">
        <v>437.36</v>
      </c>
      <c r="AR25">
        <v>382.12</v>
      </c>
      <c r="AS25">
        <f>IF(Table1[[#This Row],[P_F4]]="","",Table1[Pu(kN)]/Table1[[#This Row],[P_F4]])</f>
        <v>1.0991311629854497</v>
      </c>
      <c r="AT25">
        <v>0.33389999999999997</v>
      </c>
      <c r="AU25" s="7">
        <v>382.12</v>
      </c>
      <c r="AV25">
        <v>402.26</v>
      </c>
      <c r="AW25">
        <f>IF(Table1[[#This Row],[P_F5]]="","",Table1[Pu(kN)]/Table1[[#This Row],[P_F5]])</f>
        <v>1.0441008303087556</v>
      </c>
      <c r="AX25">
        <v>0.25340000000000001</v>
      </c>
      <c r="AY25" s="7">
        <v>403.46</v>
      </c>
      <c r="AZ25">
        <v>429.52</v>
      </c>
      <c r="BA25">
        <f>IF(Table1[[#This Row],[P_R5]]="","",Table1[Pu(kN)]/Table1[[#This Row],[P_R5]])</f>
        <v>0.97783572359843551</v>
      </c>
      <c r="BB25">
        <v>0.58460000000000001</v>
      </c>
      <c r="BC25">
        <v>430.52</v>
      </c>
      <c r="BD25" s="5">
        <v>451.6</v>
      </c>
      <c r="BE25" s="6">
        <f>IF(Table1[[#This Row],[P_F6]]="","",Table1[Pu(kN)]/Table1[[#This Row],[P_F6]])</f>
        <v>0.93002657218777673</v>
      </c>
      <c r="BF25" s="6">
        <v>0.59589999999999999</v>
      </c>
      <c r="BG25" s="6">
        <v>451.6</v>
      </c>
      <c r="BH25" s="5">
        <v>450.18</v>
      </c>
      <c r="BI25" s="6">
        <f>IF(Table1[[#This Row],[P_R6]]="","",Table1[Pu(kN)]/Table1[[#This Row],[P_R6]])</f>
        <v>0.93296014927362392</v>
      </c>
      <c r="BJ25" s="6">
        <v>0.63870000000000005</v>
      </c>
      <c r="BK25" s="6">
        <v>450.76</v>
      </c>
      <c r="BL25" s="5">
        <v>442.12</v>
      </c>
      <c r="BM25" s="6">
        <f>IF(Table1[[#This Row],[P_F7]]="","",Table1[Pu(kN)]/Table1[[#This Row],[P_F7]])</f>
        <v>0.94996833438885364</v>
      </c>
      <c r="BN25" s="6">
        <v>0.53459999999999996</v>
      </c>
      <c r="BO25" s="6">
        <v>442.12</v>
      </c>
      <c r="BP25" s="5">
        <v>365.98</v>
      </c>
      <c r="BQ25" s="6">
        <f>IF(Table1[[#This Row],[P_F8]]="","",Table1[Pu(kN)]/Table1[[#This Row],[P_F8]])</f>
        <v>1.1476036941909393</v>
      </c>
      <c r="BR25" s="6">
        <v>0.33350000000000002</v>
      </c>
      <c r="BS25" s="6">
        <v>366.3</v>
      </c>
      <c r="BT25" s="5">
        <v>433.64</v>
      </c>
      <c r="BU25" s="6">
        <f>IF(Table1[[#This Row],[P_R7]]="","",Table1[Pu(kN)]/Table1[[#This Row],[P_R7]])</f>
        <v>0.96854533714601976</v>
      </c>
      <c r="BV25" s="6">
        <v>0.55479999999999996</v>
      </c>
      <c r="BW25" s="6">
        <v>433.72</v>
      </c>
      <c r="BX25" s="5">
        <v>362.46</v>
      </c>
      <c r="BY25" s="6">
        <f>IF(Table1[[#This Row],[P_F9]]="","",Table1[Pu(kN)]/Table1[[#This Row],[P_F9]])</f>
        <v>1.1587485515643106</v>
      </c>
      <c r="BZ25" s="6">
        <v>0.113</v>
      </c>
      <c r="CA25" s="7">
        <v>362.46</v>
      </c>
      <c r="CB25" s="5">
        <v>432.88</v>
      </c>
      <c r="CC25" s="6">
        <f>IF(Table1[[#This Row],[P_R8]]="","",Table1[Pu(kN)]/Table1[[#This Row],[P_R8]])</f>
        <v>0.97024579560155244</v>
      </c>
      <c r="CD25" s="6">
        <v>0.55220000000000002</v>
      </c>
      <c r="CE25" s="6">
        <v>434.02</v>
      </c>
      <c r="CF25" s="5">
        <v>432.98</v>
      </c>
      <c r="CG25">
        <f>IF(Table1[[#This Row],[P_R9]]="","",Table1[Pu(kN)]/Table1[[#This Row],[P_R9]])</f>
        <v>0.97002171000970017</v>
      </c>
      <c r="CH25">
        <v>0.55989999999999995</v>
      </c>
      <c r="CI25">
        <v>432.98</v>
      </c>
      <c r="CJ25" s="5">
        <v>365.9</v>
      </c>
      <c r="CK25" s="6">
        <f>IF(Table1[[#This Row],[P_F10]]="","",Table1[Pu(kN)]/Table1[[#This Row],[P_F10]])</f>
        <v>1.1478546050833562</v>
      </c>
      <c r="CL25" s="6">
        <v>0.22470000000000001</v>
      </c>
      <c r="CM25" s="7">
        <v>366.44</v>
      </c>
      <c r="CN25" s="38">
        <f>Table1[[#This Row],[P_R8]]</f>
        <v>432.88</v>
      </c>
      <c r="CO25" s="38">
        <f>Table1[[#This Row],[Pu(kN)]]/Table1[[#This Row],[P_R8_2]]</f>
        <v>0.97024579560155244</v>
      </c>
      <c r="CP25" s="38">
        <f>Table1[[#This Row],[DUCTIL_R8]]</f>
        <v>0.55220000000000002</v>
      </c>
      <c r="CQ25" s="38">
        <f>Table1[[#This Row],[P_R8_2]]</f>
        <v>432.88</v>
      </c>
    </row>
    <row r="26" spans="1:95" x14ac:dyDescent="0.3">
      <c r="A26" s="26" t="s">
        <v>8</v>
      </c>
      <c r="B26" s="35" t="s">
        <v>92</v>
      </c>
      <c r="C26" s="18" t="s">
        <v>87</v>
      </c>
      <c r="D26" s="18">
        <v>2004</v>
      </c>
      <c r="E26" s="18" t="s">
        <v>90</v>
      </c>
      <c r="F26" s="18">
        <v>22.6</v>
      </c>
      <c r="G26" s="22">
        <v>1.8986140117714068</v>
      </c>
      <c r="H26" s="18">
        <v>1830</v>
      </c>
      <c r="I26" s="18">
        <v>457</v>
      </c>
      <c r="J26" s="22">
        <f>Table1[[#This Row],[a'[mm']]]/Table1[[#This Row],[d'[mm']]]</f>
        <v>4.0043763676148796</v>
      </c>
      <c r="K26" s="18">
        <v>552</v>
      </c>
      <c r="L26" s="18" t="s">
        <v>293</v>
      </c>
      <c r="M26" s="18">
        <v>434</v>
      </c>
      <c r="N26" s="22" t="s">
        <v>130</v>
      </c>
      <c r="O26" s="18" t="s">
        <v>131</v>
      </c>
      <c r="P26" s="5">
        <v>310.5</v>
      </c>
      <c r="Q26" s="6">
        <f>IF(Table1[[#This Row],[P_F1]]="","",Table1[Pu(kN)]/Table1[[#This Row],[P_F1]])</f>
        <v>1.3977455716586151</v>
      </c>
      <c r="R26">
        <v>0.1832</v>
      </c>
      <c r="S26">
        <v>311</v>
      </c>
      <c r="T26" s="5">
        <v>425.36</v>
      </c>
      <c r="U26" s="6">
        <f>IF(Table1[[#This Row],[P_R1]]="","",Table1[Pu(kN)]/Table1[[#This Row],[P_R1]])</f>
        <v>1.020312206131277</v>
      </c>
      <c r="V26">
        <v>0.3155</v>
      </c>
      <c r="W26">
        <v>429.38</v>
      </c>
      <c r="X26" s="5">
        <v>357.42</v>
      </c>
      <c r="Y26" s="6">
        <f>IF(Table1[[#This Row],[P_F2]]="","",Table1[Pu(kN)]/Table1[[#This Row],[P_F2]])</f>
        <v>1.2142577359968665</v>
      </c>
      <c r="Z26">
        <v>0.23350000000000001</v>
      </c>
      <c r="AA26">
        <v>357.42</v>
      </c>
      <c r="AB26" s="5">
        <v>427.84</v>
      </c>
      <c r="AC26" s="8">
        <f>IF(Table1[[#This Row],[P_R2]]="","",Table1[Pu(kN)]/Table1[[#This Row],[P_R2]])</f>
        <v>1.0143979057591623</v>
      </c>
      <c r="AD26" s="8">
        <v>0.32329999999999998</v>
      </c>
      <c r="AE26" s="9">
        <v>428.36</v>
      </c>
      <c r="AF26" s="8">
        <v>329.42</v>
      </c>
      <c r="AG26" s="8">
        <f>IF(Table1[[#This Row],[P_F3]]="","",Table1[Pu(kN)]/Table1[[#This Row],[P_F3]])</f>
        <v>1.3174670633234169</v>
      </c>
      <c r="AH26" s="8">
        <v>0.217</v>
      </c>
      <c r="AI26" s="8">
        <v>329.68</v>
      </c>
      <c r="AJ26" s="10">
        <v>430.46</v>
      </c>
      <c r="AK26" s="8">
        <f>IF(Table1[[#This Row],[P_R3]]="","",Table1[Pu(kN)]/Table1[[#This Row],[P_R3]])</f>
        <v>1.0082237606281652</v>
      </c>
      <c r="AL26" s="8">
        <v>0.33139999999999997</v>
      </c>
      <c r="AM26" s="9">
        <v>430.8</v>
      </c>
      <c r="AN26" s="10">
        <v>428.96</v>
      </c>
      <c r="AO26" s="8">
        <f>IF(Table1[[#This Row],[P_R4]]="","",Table1[Pu(kN)]/Table1[[#This Row],[P_R4]])</f>
        <v>1.0117493472584858</v>
      </c>
      <c r="AP26" s="8">
        <v>0.31169999999999998</v>
      </c>
      <c r="AQ26" s="9">
        <v>428.96</v>
      </c>
      <c r="AR26">
        <v>337.82</v>
      </c>
      <c r="AS26">
        <f>IF(Table1[[#This Row],[P_F4]]="","",Table1[Pu(kN)]/Table1[[#This Row],[P_F4]])</f>
        <v>1.2847078325735599</v>
      </c>
      <c r="AT26">
        <v>0.23230000000000001</v>
      </c>
      <c r="AU26" s="7">
        <v>339.36</v>
      </c>
      <c r="AV26">
        <v>357.2</v>
      </c>
      <c r="AW26">
        <f>IF(Table1[[#This Row],[P_F5]]="","",Table1[Pu(kN)]/Table1[[#This Row],[P_F5]])</f>
        <v>1.2150055991041433</v>
      </c>
      <c r="AX26">
        <v>0.12</v>
      </c>
      <c r="AY26" s="7">
        <v>357.2</v>
      </c>
      <c r="AZ26">
        <v>393.78</v>
      </c>
      <c r="BA26">
        <f>IF(Table1[[#This Row],[P_R5]]="","",Table1[Pu(kN)]/Table1[[#This Row],[P_R5]])</f>
        <v>1.1021382497841434</v>
      </c>
      <c r="BB26">
        <v>0.31240000000000001</v>
      </c>
      <c r="BC26">
        <v>396.38</v>
      </c>
      <c r="BD26" s="5">
        <v>372.02</v>
      </c>
      <c r="BE26" s="6">
        <f>IF(Table1[[#This Row],[P_F6]]="","",Table1[Pu(kN)]/Table1[[#This Row],[P_F6]])</f>
        <v>1.1666039460244073</v>
      </c>
      <c r="BF26" s="6">
        <v>0.29580000000000001</v>
      </c>
      <c r="BG26" s="6">
        <v>372.02</v>
      </c>
      <c r="BH26" s="5">
        <v>430.84</v>
      </c>
      <c r="BI26" s="6">
        <f>IF(Table1[[#This Row],[P_R6]]="","",Table1[Pu(kN)]/Table1[[#This Row],[P_R6]])</f>
        <v>1.0073345093306101</v>
      </c>
      <c r="BJ26" s="6">
        <v>0.32450000000000001</v>
      </c>
      <c r="BK26" s="6">
        <v>431.32</v>
      </c>
      <c r="BL26" s="5">
        <v>361.3</v>
      </c>
      <c r="BM26" s="6">
        <f>IF(Table1[[#This Row],[P_F7]]="","",Table1[Pu(kN)]/Table1[[#This Row],[P_F7]])</f>
        <v>1.2012178245225573</v>
      </c>
      <c r="BN26" s="6">
        <v>0.1704</v>
      </c>
      <c r="BO26" s="6">
        <v>361.3</v>
      </c>
      <c r="BP26" s="5">
        <v>326.3</v>
      </c>
      <c r="BQ26" s="6">
        <f>IF(Table1[[#This Row],[P_F8]]="","",Table1[Pu(kN)]/Table1[[#This Row],[P_F8]])</f>
        <v>1.3300643579528042</v>
      </c>
      <c r="BR26" s="6">
        <v>0.21990000000000001</v>
      </c>
      <c r="BS26" s="6">
        <v>327.56</v>
      </c>
      <c r="BT26" s="5">
        <v>400.18</v>
      </c>
      <c r="BU26" s="6">
        <f>IF(Table1[[#This Row],[P_R7]]="","",Table1[Pu(kN)]/Table1[[#This Row],[P_R7]])</f>
        <v>1.0845119696136738</v>
      </c>
      <c r="BV26" s="6">
        <v>0.26540000000000002</v>
      </c>
      <c r="BW26" s="6">
        <v>400.32</v>
      </c>
      <c r="BX26" s="5">
        <v>338.48</v>
      </c>
      <c r="BY26" s="6">
        <f>IF(Table1[[#This Row],[P_F9]]="","",Table1[Pu(kN)]/Table1[[#This Row],[P_F9]])</f>
        <v>1.282202788938785</v>
      </c>
      <c r="BZ26" s="6">
        <v>0.17560000000000001</v>
      </c>
      <c r="CA26" s="7">
        <v>339.64</v>
      </c>
      <c r="CB26" s="5">
        <v>426.36</v>
      </c>
      <c r="CC26" s="6">
        <f>IF(Table1[[#This Row],[P_R8]]="","",Table1[Pu(kN)]/Table1[[#This Row],[P_R8]])</f>
        <v>1.0179191293742378</v>
      </c>
      <c r="CD26" s="6">
        <v>0.33169999999999999</v>
      </c>
      <c r="CE26" s="6">
        <v>427</v>
      </c>
      <c r="CF26" s="5">
        <v>425.44</v>
      </c>
      <c r="CG26">
        <f>IF(Table1[[#This Row],[P_R9]]="","",Table1[Pu(kN)]/Table1[[#This Row],[P_R9]])</f>
        <v>1.0201203459947348</v>
      </c>
      <c r="CH26">
        <v>0.27389999999999998</v>
      </c>
      <c r="CI26">
        <v>426.44</v>
      </c>
      <c r="CJ26" s="5">
        <v>322.54000000000002</v>
      </c>
      <c r="CK26" s="6">
        <f>IF(Table1[[#This Row],[P_F10]]="","",Table1[Pu(kN)]/Table1[[#This Row],[P_F10]])</f>
        <v>1.345569541762262</v>
      </c>
      <c r="CL26" s="6">
        <v>0.31169999999999998</v>
      </c>
      <c r="CM26" s="7">
        <v>322.54000000000002</v>
      </c>
      <c r="CN26" s="38">
        <f>Table1[[#This Row],[P_R8]]</f>
        <v>426.36</v>
      </c>
      <c r="CO26" s="38">
        <f>Table1[[#This Row],[Pu(kN)]]/Table1[[#This Row],[P_R8_2]]</f>
        <v>1.0179191293742378</v>
      </c>
      <c r="CP26" s="38">
        <f>Table1[[#This Row],[DUCTIL_R8]]</f>
        <v>0.33169999999999999</v>
      </c>
      <c r="CQ26" s="38">
        <f>Table1[[#This Row],[P_R8_2]]</f>
        <v>426.36</v>
      </c>
    </row>
    <row r="27" spans="1:95" x14ac:dyDescent="0.3">
      <c r="A27" s="27" t="s">
        <v>9</v>
      </c>
      <c r="B27" s="36" t="s">
        <v>92</v>
      </c>
      <c r="C27" s="20" t="s">
        <v>87</v>
      </c>
      <c r="D27" s="20">
        <v>2004</v>
      </c>
      <c r="E27" s="20" t="s">
        <v>90</v>
      </c>
      <c r="F27" s="20">
        <v>25.9</v>
      </c>
      <c r="G27" s="23">
        <v>1.8986140117714068</v>
      </c>
      <c r="H27" s="20">
        <v>2285</v>
      </c>
      <c r="I27" s="20">
        <v>457</v>
      </c>
      <c r="J27" s="23">
        <f>Table1[[#This Row],[a'[mm']]]/Table1[[#This Row],[d'[mm']]]</f>
        <v>5</v>
      </c>
      <c r="K27" s="20">
        <v>552</v>
      </c>
      <c r="L27" s="20" t="s">
        <v>293</v>
      </c>
      <c r="M27" s="20">
        <v>365</v>
      </c>
      <c r="N27" s="20" t="s">
        <v>130</v>
      </c>
      <c r="O27" s="20" t="s">
        <v>131</v>
      </c>
      <c r="P27" s="5">
        <v>311.16000000000003</v>
      </c>
      <c r="Q27" s="6">
        <f>IF(Table1[[#This Row],[P_F1]]="","",Table1[Pu(kN)]/Table1[[#This Row],[P_F1]])</f>
        <v>1.1730299524360457</v>
      </c>
      <c r="R27">
        <v>0.187</v>
      </c>
      <c r="S27">
        <v>311.16000000000003</v>
      </c>
      <c r="T27" s="5">
        <v>368.18</v>
      </c>
      <c r="U27" s="6">
        <f>IF(Table1[[#This Row],[P_R1]]="","",Table1[Pu(kN)]/Table1[[#This Row],[P_R1]])</f>
        <v>0.9913629203107176</v>
      </c>
      <c r="V27">
        <v>0.38279999999999997</v>
      </c>
      <c r="W27">
        <v>368.18</v>
      </c>
      <c r="X27" s="5">
        <v>331.42</v>
      </c>
      <c r="Y27" s="6">
        <f>IF(Table1[[#This Row],[P_F2]]="","",Table1[Pu(kN)]/Table1[[#This Row],[P_F2]])</f>
        <v>1.1013215859030836</v>
      </c>
      <c r="Z27">
        <v>0.20830000000000001</v>
      </c>
      <c r="AA27">
        <v>331.48</v>
      </c>
      <c r="AB27" s="5">
        <v>366.36</v>
      </c>
      <c r="AC27" s="8">
        <f>IF(Table1[[#This Row],[P_R2]]="","",Table1[Pu(kN)]/Table1[[#This Row],[P_R2]])</f>
        <v>0.9962878043454525</v>
      </c>
      <c r="AD27" s="8">
        <v>0.34860000000000002</v>
      </c>
      <c r="AE27" s="9">
        <v>366.86</v>
      </c>
      <c r="AF27" s="8">
        <v>324.2</v>
      </c>
      <c r="AG27" s="8">
        <f>IF(Table1[[#This Row],[P_F3]]="","",Table1[Pu(kN)]/Table1[[#This Row],[P_F3]])</f>
        <v>1.1258482418260334</v>
      </c>
      <c r="AH27" s="8">
        <v>0.2722</v>
      </c>
      <c r="AI27" s="8">
        <v>324.2</v>
      </c>
      <c r="AJ27" s="10">
        <v>377.86</v>
      </c>
      <c r="AK27" s="8">
        <f>IF(Table1[[#This Row],[P_R3]]="","",Table1[Pu(kN)]/Table1[[#This Row],[P_R3]])</f>
        <v>0.96596623087916156</v>
      </c>
      <c r="AL27" s="8">
        <v>0.61229999999999996</v>
      </c>
      <c r="AM27" s="9">
        <v>377.86</v>
      </c>
      <c r="AN27" s="10">
        <v>366.32</v>
      </c>
      <c r="AO27" s="8">
        <f>IF(Table1[[#This Row],[P_R4]]="","",Table1[Pu(kN)]/Table1[[#This Row],[P_R4]])</f>
        <v>0.99639659314260753</v>
      </c>
      <c r="AP27" s="8">
        <v>0.3826</v>
      </c>
      <c r="AQ27" s="9">
        <v>366.6</v>
      </c>
      <c r="AR27">
        <v>335.2</v>
      </c>
      <c r="AS27">
        <f>IF(Table1[[#This Row],[P_F4]]="","",Table1[Pu(kN)]/Table1[[#This Row],[P_F4]])</f>
        <v>1.0889021479713603</v>
      </c>
      <c r="AT27">
        <v>0.1825</v>
      </c>
      <c r="AU27" s="7">
        <v>335.9</v>
      </c>
      <c r="AV27">
        <v>337.96</v>
      </c>
      <c r="AW27">
        <f>IF(Table1[[#This Row],[P_F5]]="","",Table1[Pu(kN)]/Table1[[#This Row],[P_F5]])</f>
        <v>1.080009468576163</v>
      </c>
      <c r="AX27">
        <v>0.25800000000000001</v>
      </c>
      <c r="AY27" s="7">
        <v>337.96</v>
      </c>
      <c r="AZ27">
        <v>345.68</v>
      </c>
      <c r="BA27">
        <f>IF(Table1[[#This Row],[P_R5]]="","",Table1[Pu(kN)]/Table1[[#This Row],[P_R5]])</f>
        <v>1.0558898403147419</v>
      </c>
      <c r="BB27">
        <v>0.24340000000000001</v>
      </c>
      <c r="BC27">
        <v>347.38</v>
      </c>
      <c r="BD27" s="5">
        <v>351.94</v>
      </c>
      <c r="BE27" s="6">
        <f>IF(Table1[[#This Row],[P_F6]]="","",Table1[Pu(kN)]/Table1[[#This Row],[P_F6]])</f>
        <v>1.0371085980564869</v>
      </c>
      <c r="BF27" s="6">
        <v>0.2155</v>
      </c>
      <c r="BG27" s="6">
        <v>351.94</v>
      </c>
      <c r="BH27" s="5">
        <v>375.2</v>
      </c>
      <c r="BI27" s="6">
        <f>IF(Table1[[#This Row],[P_R6]]="","",Table1[Pu(kN)]/Table1[[#This Row],[P_R6]])</f>
        <v>0.97281449893390193</v>
      </c>
      <c r="BJ27" s="6">
        <v>0.5484</v>
      </c>
      <c r="BK27" s="6">
        <v>375.24</v>
      </c>
      <c r="BL27" s="5">
        <v>346.26</v>
      </c>
      <c r="BM27" s="6">
        <f>IF(Table1[[#This Row],[P_F7]]="","",Table1[Pu(kN)]/Table1[[#This Row],[P_F7]])</f>
        <v>1.0541211806157222</v>
      </c>
      <c r="BN27" s="6">
        <v>0.23530000000000001</v>
      </c>
      <c r="BO27" s="6">
        <v>346.42</v>
      </c>
      <c r="BP27" s="5">
        <v>312.22000000000003</v>
      </c>
      <c r="BQ27" s="6">
        <f>IF(Table1[[#This Row],[P_F8]]="","",Table1[Pu(kN)]/Table1[[#This Row],[P_F8]])</f>
        <v>1.1690474665300108</v>
      </c>
      <c r="BR27" s="6">
        <v>0.15409999999999999</v>
      </c>
      <c r="BS27" s="6">
        <v>312.74</v>
      </c>
      <c r="BT27" s="5">
        <v>358.78</v>
      </c>
      <c r="BU27" s="6">
        <f>IF(Table1[[#This Row],[P_R7]]="","",Table1[Pu(kN)]/Table1[[#This Row],[P_R7]])</f>
        <v>1.0173365293494621</v>
      </c>
      <c r="BV27" s="6">
        <v>0.28799999999999998</v>
      </c>
      <c r="BW27" s="6">
        <v>359.76</v>
      </c>
      <c r="BX27" s="5">
        <v>322.33999999999997</v>
      </c>
      <c r="BY27" s="6">
        <f>IF(Table1[[#This Row],[P_F9]]="","",Table1[Pu(kN)]/Table1[[#This Row],[P_F9]])</f>
        <v>1.1323447291679594</v>
      </c>
      <c r="BZ27" s="6">
        <v>0.1885</v>
      </c>
      <c r="CA27" s="7">
        <v>322.33999999999997</v>
      </c>
      <c r="CB27" s="5">
        <v>364.58</v>
      </c>
      <c r="CC27" s="6">
        <f>IF(Table1[[#This Row],[P_R8]]="","",Table1[Pu(kN)]/Table1[[#This Row],[P_R8]])</f>
        <v>1.0011520105326677</v>
      </c>
      <c r="CD27" s="6">
        <v>0.3664</v>
      </c>
      <c r="CE27" s="6">
        <v>364.9</v>
      </c>
      <c r="CF27" s="5">
        <v>363.96</v>
      </c>
      <c r="CG27">
        <f>IF(Table1[[#This Row],[P_R9]]="","",Table1[Pu(kN)]/Table1[[#This Row],[P_R9]])</f>
        <v>1.0028574568633917</v>
      </c>
      <c r="CH27">
        <v>0.25130000000000002</v>
      </c>
      <c r="CI27">
        <v>363.96</v>
      </c>
      <c r="CJ27" s="5">
        <v>303.16000000000003</v>
      </c>
      <c r="CK27" s="6">
        <f>IF(Table1[[#This Row],[P_F10]]="","",Table1[Pu(kN)]/Table1[[#This Row],[P_F10]])</f>
        <v>1.2039846945507322</v>
      </c>
      <c r="CL27" s="6">
        <v>0.191</v>
      </c>
      <c r="CM27" s="7">
        <v>303.16000000000003</v>
      </c>
      <c r="CN27" s="38">
        <f>Table1[[#This Row],[P_R8]]</f>
        <v>364.58</v>
      </c>
      <c r="CO27" s="38">
        <f>Table1[[#This Row],[Pu(kN)]]/Table1[[#This Row],[P_R8_2]]</f>
        <v>1.0011520105326677</v>
      </c>
      <c r="CP27" s="38">
        <f>Table1[[#This Row],[DUCTIL_R8]]</f>
        <v>0.3664</v>
      </c>
      <c r="CQ27" s="38">
        <f>Table1[[#This Row],[P_R8_2]]</f>
        <v>364.58</v>
      </c>
    </row>
    <row r="28" spans="1:95" x14ac:dyDescent="0.3">
      <c r="A28" s="26" t="s">
        <v>10</v>
      </c>
      <c r="B28" s="35" t="s">
        <v>92</v>
      </c>
      <c r="C28" s="18" t="s">
        <v>87</v>
      </c>
      <c r="D28" s="18">
        <v>2004</v>
      </c>
      <c r="E28" s="18" t="s">
        <v>90</v>
      </c>
      <c r="F28" s="18">
        <v>43.5</v>
      </c>
      <c r="G28" s="22">
        <v>2.4523764318714005</v>
      </c>
      <c r="H28" s="18">
        <v>3200</v>
      </c>
      <c r="I28" s="18">
        <v>457</v>
      </c>
      <c r="J28" s="22">
        <f>Table1[[#This Row],[a'[mm']]]/Table1[[#This Row],[d'[mm']]]</f>
        <v>7.0021881838074398</v>
      </c>
      <c r="K28" s="18">
        <v>552</v>
      </c>
      <c r="L28" s="18" t="s">
        <v>293</v>
      </c>
      <c r="M28" s="18">
        <v>342</v>
      </c>
      <c r="N28" s="18" t="s">
        <v>130</v>
      </c>
      <c r="O28" s="18" t="s">
        <v>131</v>
      </c>
      <c r="P28" s="5">
        <v>331.02</v>
      </c>
      <c r="Q28" s="6">
        <f>IF(Table1[[#This Row],[P_F1]]="","",Table1[Pu(kN)]/Table1[[#This Row],[P_F1]])</f>
        <v>1.0331702011963024</v>
      </c>
      <c r="R28">
        <v>0.16750000000000001</v>
      </c>
      <c r="S28">
        <v>332.24</v>
      </c>
      <c r="T28" s="5">
        <v>351</v>
      </c>
      <c r="U28" s="6">
        <f>IF(Table1[[#This Row],[P_R1]]="","",Table1[Pu(kN)]/Table1[[#This Row],[P_R1]])</f>
        <v>0.97435897435897434</v>
      </c>
      <c r="V28">
        <v>0.57820000000000005</v>
      </c>
      <c r="W28">
        <v>351.48</v>
      </c>
      <c r="X28" s="5">
        <v>331.14</v>
      </c>
      <c r="Y28" s="6">
        <f>IF(Table1[[#This Row],[P_F2]]="","",Table1[Pu(kN)]/Table1[[#This Row],[P_F2]])</f>
        <v>1.0327957963399168</v>
      </c>
      <c r="Z28">
        <v>0.34710000000000002</v>
      </c>
      <c r="AA28">
        <v>331.98</v>
      </c>
      <c r="AB28" s="5">
        <v>352.86</v>
      </c>
      <c r="AC28" s="8">
        <f>IF(Table1[[#This Row],[P_R2]]="","",Table1[Pu(kN)]/Table1[[#This Row],[P_R2]])</f>
        <v>0.96922292127189247</v>
      </c>
      <c r="AD28" s="8">
        <v>0.61919999999999997</v>
      </c>
      <c r="AE28" s="9">
        <v>353</v>
      </c>
      <c r="AF28" s="8">
        <v>342.64</v>
      </c>
      <c r="AG28" s="8">
        <f>IF(Table1[[#This Row],[P_F3]]="","",Table1[Pu(kN)]/Table1[[#This Row],[P_F3]])</f>
        <v>0.99813215036189595</v>
      </c>
      <c r="AH28" s="8">
        <v>0.2823</v>
      </c>
      <c r="AI28" s="8">
        <v>342.64</v>
      </c>
      <c r="AJ28" s="10">
        <v>363.3</v>
      </c>
      <c r="AK28" s="8">
        <f>IF(Table1[[#This Row],[P_R3]]="","",Table1[Pu(kN)]/Table1[[#This Row],[P_R3]])</f>
        <v>0.94137076796036334</v>
      </c>
      <c r="AL28" s="8">
        <v>0.7097</v>
      </c>
      <c r="AM28" s="9">
        <v>363.3</v>
      </c>
      <c r="AN28" s="10">
        <v>353.12</v>
      </c>
      <c r="AO28" s="8">
        <f>IF(Table1[[#This Row],[P_R4]]="","",Table1[Pu(kN)]/Table1[[#This Row],[P_R4]])</f>
        <v>0.96850928862709562</v>
      </c>
      <c r="AP28" s="8">
        <v>0.57069999999999999</v>
      </c>
      <c r="AQ28" s="9">
        <v>353.56</v>
      </c>
      <c r="AR28">
        <v>324.76</v>
      </c>
      <c r="AS28">
        <f>IF(Table1[[#This Row],[P_F4]]="","",Table1[Pu(kN)]/Table1[[#This Row],[P_F4]])</f>
        <v>1.0530853553393276</v>
      </c>
      <c r="AT28">
        <v>0.25019999999999998</v>
      </c>
      <c r="AU28" s="7">
        <v>327.10000000000002</v>
      </c>
      <c r="AV28">
        <v>355.62</v>
      </c>
      <c r="AW28">
        <f>IF(Table1[[#This Row],[P_F5]]="","",Table1[Pu(kN)]/Table1[[#This Row],[P_F5]])</f>
        <v>0.96170069174962036</v>
      </c>
      <c r="AX28">
        <v>0.46810000000000002</v>
      </c>
      <c r="AY28" s="7">
        <v>355.78</v>
      </c>
      <c r="AZ28">
        <v>340.92</v>
      </c>
      <c r="BA28">
        <f>IF(Table1[[#This Row],[P_R5]]="","",Table1[Pu(kN)]/Table1[[#This Row],[P_R5]])</f>
        <v>1.0031678986272439</v>
      </c>
      <c r="BB28">
        <v>0.48959999999999998</v>
      </c>
      <c r="BC28">
        <v>343.02</v>
      </c>
      <c r="BD28" s="5">
        <v>366.56</v>
      </c>
      <c r="BE28" s="6">
        <f>IF(Table1[[#This Row],[P_F6]]="","",Table1[Pu(kN)]/Table1[[#This Row],[P_F6]])</f>
        <v>0.93299869052815365</v>
      </c>
      <c r="BF28" s="6">
        <v>0.65600000000000003</v>
      </c>
      <c r="BG28" s="6">
        <v>366.56</v>
      </c>
      <c r="BH28" s="5">
        <v>366.6</v>
      </c>
      <c r="BI28" s="6">
        <f>IF(Table1[[#This Row],[P_R6]]="","",Table1[Pu(kN)]/Table1[[#This Row],[P_R6]])</f>
        <v>0.93289689034369883</v>
      </c>
      <c r="BJ28" s="6">
        <v>0.71960000000000002</v>
      </c>
      <c r="BK28" s="6">
        <v>366.82</v>
      </c>
      <c r="BL28" s="5">
        <v>371.78</v>
      </c>
      <c r="BM28" s="6">
        <f>IF(Table1[[#This Row],[P_F7]]="","",Table1[Pu(kN)]/Table1[[#This Row],[P_F7]])</f>
        <v>0.91989886492011408</v>
      </c>
      <c r="BN28" s="6">
        <v>0.64829999999999999</v>
      </c>
      <c r="BO28" s="6">
        <v>372.08</v>
      </c>
      <c r="BP28" s="5">
        <v>327.92</v>
      </c>
      <c r="BQ28" s="6">
        <f>IF(Table1[[#This Row],[P_F8]]="","",Table1[Pu(kN)]/Table1[[#This Row],[P_F8]])</f>
        <v>1.042937301780922</v>
      </c>
      <c r="BR28" s="6">
        <v>0.32390000000000002</v>
      </c>
      <c r="BS28" s="6">
        <v>328.22</v>
      </c>
      <c r="BT28" s="5">
        <v>350.26</v>
      </c>
      <c r="BU28" s="6">
        <f>IF(Table1[[#This Row],[P_R7]]="","",Table1[Pu(kN)]/Table1[[#This Row],[P_R7]])</f>
        <v>0.97641751841489177</v>
      </c>
      <c r="BV28" s="6">
        <v>0.5474</v>
      </c>
      <c r="BW28" s="6">
        <v>350.26</v>
      </c>
      <c r="BX28" s="5">
        <v>336.1</v>
      </c>
      <c r="BY28" s="6">
        <f>IF(Table1[[#This Row],[P_F9]]="","",Table1[Pu(kN)]/Table1[[#This Row],[P_F9]])</f>
        <v>1.0175542993156799</v>
      </c>
      <c r="BZ28" s="6">
        <v>0.2984</v>
      </c>
      <c r="CA28" s="7">
        <v>336.58</v>
      </c>
      <c r="CB28" s="5">
        <v>352.54</v>
      </c>
      <c r="CC28" s="6">
        <f>IF(Table1[[#This Row],[P_R8]]="","",Table1[Pu(kN)]/Table1[[#This Row],[P_R8]])</f>
        <v>0.97010268338344574</v>
      </c>
      <c r="CD28" s="6">
        <v>0.55259999999999998</v>
      </c>
      <c r="CE28" s="6">
        <v>353.26</v>
      </c>
      <c r="CF28" s="5">
        <v>350.46</v>
      </c>
      <c r="CG28">
        <f>IF(Table1[[#This Row],[P_R9]]="","",Table1[Pu(kN)]/Table1[[#This Row],[P_R9]])</f>
        <v>0.97586029789419626</v>
      </c>
      <c r="CH28">
        <v>0.53680000000000005</v>
      </c>
      <c r="CI28">
        <v>350.46</v>
      </c>
      <c r="CJ28" s="5">
        <v>328.96</v>
      </c>
      <c r="CK28" s="6">
        <f>IF(Table1[[#This Row],[P_F10]]="","",Table1[Pu(kN)]/Table1[[#This Row],[P_F10]])</f>
        <v>1.0396400778210118</v>
      </c>
      <c r="CL28" s="6">
        <v>0.15759999999999999</v>
      </c>
      <c r="CM28" s="7">
        <v>329.54</v>
      </c>
      <c r="CN28" s="38">
        <f>Table1[[#This Row],[P_R8]]</f>
        <v>352.54</v>
      </c>
      <c r="CO28" s="38">
        <f>Table1[[#This Row],[Pu(kN)]]/Table1[[#This Row],[P_R8_2]]</f>
        <v>0.97010268338344574</v>
      </c>
      <c r="CP28" s="38">
        <f>Table1[[#This Row],[DUCTIL_R8]]</f>
        <v>0.55259999999999998</v>
      </c>
      <c r="CQ28" s="38">
        <f>Table1[[#This Row],[P_R8_2]]</f>
        <v>352.54</v>
      </c>
    </row>
    <row r="29" spans="1:95" x14ac:dyDescent="0.3">
      <c r="A29" s="27" t="s">
        <v>11</v>
      </c>
      <c r="B29" s="36" t="s">
        <v>92</v>
      </c>
      <c r="C29" s="20" t="s">
        <v>87</v>
      </c>
      <c r="D29" s="20">
        <v>2004</v>
      </c>
      <c r="E29" s="20" t="s">
        <v>90</v>
      </c>
      <c r="F29" s="20">
        <v>22.6</v>
      </c>
      <c r="G29" s="23">
        <v>1.6685736079328757</v>
      </c>
      <c r="H29" s="20">
        <v>1830</v>
      </c>
      <c r="I29" s="20">
        <v>457</v>
      </c>
      <c r="J29" s="23">
        <f>Table1[[#This Row],[a'[mm']]]/Table1[[#This Row],[d'[mm']]]</f>
        <v>4.0043763676148796</v>
      </c>
      <c r="K29" s="20">
        <v>552</v>
      </c>
      <c r="L29" s="20" t="s">
        <v>293</v>
      </c>
      <c r="M29" s="20">
        <v>282</v>
      </c>
      <c r="N29" s="20" t="s">
        <v>130</v>
      </c>
      <c r="O29" s="20" t="s">
        <v>131</v>
      </c>
      <c r="P29" s="5">
        <v>220.02</v>
      </c>
      <c r="Q29" s="6">
        <f>IF(Table1[[#This Row],[P_F1]]="","",Table1[Pu(kN)]/Table1[[#This Row],[P_F1]])</f>
        <v>1.2817016634851377</v>
      </c>
      <c r="R29">
        <v>0.14849999999999999</v>
      </c>
      <c r="S29">
        <v>220.54</v>
      </c>
      <c r="T29" s="5">
        <v>277.16000000000003</v>
      </c>
      <c r="U29" s="6">
        <f>IF(Table1[[#This Row],[P_R1]]="","",Table1[Pu(kN)]/Table1[[#This Row],[P_R1]])</f>
        <v>1.017462837350267</v>
      </c>
      <c r="V29">
        <v>0.61750000000000005</v>
      </c>
      <c r="W29">
        <v>277.2</v>
      </c>
      <c r="X29" s="5">
        <v>252.26</v>
      </c>
      <c r="Y29" s="6">
        <f>IF(Table1[[#This Row],[P_F2]]="","",Table1[Pu(kN)]/Table1[[#This Row],[P_F2]])</f>
        <v>1.1178942361056055</v>
      </c>
      <c r="Z29">
        <v>0.22450000000000001</v>
      </c>
      <c r="AA29">
        <v>253.12</v>
      </c>
      <c r="AB29" s="5">
        <v>274.77999999999997</v>
      </c>
      <c r="AC29" s="8">
        <f>IF(Table1[[#This Row],[P_R2]]="","",Table1[Pu(kN)]/Table1[[#This Row],[P_R2]])</f>
        <v>1.0262755659072713</v>
      </c>
      <c r="AD29" s="8">
        <v>0.51659999999999995</v>
      </c>
      <c r="AE29" s="9">
        <v>275.33999999999997</v>
      </c>
      <c r="AF29" s="8">
        <v>249.42</v>
      </c>
      <c r="AG29" s="8">
        <f>IF(Table1[[#This Row],[P_F3]]="","",Table1[Pu(kN)]/Table1[[#This Row],[P_F3]])</f>
        <v>1.13062304546548</v>
      </c>
      <c r="AH29" s="8">
        <v>0.3861</v>
      </c>
      <c r="AI29" s="8">
        <v>249.42</v>
      </c>
      <c r="AJ29" s="10">
        <v>275.54000000000002</v>
      </c>
      <c r="AK29" s="8">
        <f>IF(Table1[[#This Row],[P_R3]]="","",Table1[Pu(kN)]/Table1[[#This Row],[P_R3]])</f>
        <v>1.023444871887929</v>
      </c>
      <c r="AL29" s="8">
        <v>0.52329999999999999</v>
      </c>
      <c r="AM29" s="9">
        <v>276.14</v>
      </c>
      <c r="AN29" s="10">
        <v>280.64</v>
      </c>
      <c r="AO29" s="8">
        <f>IF(Table1[[#This Row],[P_R4]]="","",Table1[Pu(kN)]/Table1[[#This Row],[P_R4]])</f>
        <v>1.0048460661345497</v>
      </c>
      <c r="AP29" s="8">
        <v>0.62290000000000001</v>
      </c>
      <c r="AQ29" s="9">
        <v>280.64</v>
      </c>
      <c r="AR29">
        <v>228.58</v>
      </c>
      <c r="AS29">
        <f>IF(Table1[[#This Row],[P_F4]]="","",Table1[Pu(kN)]/Table1[[#This Row],[P_F4]])</f>
        <v>1.2337037361098959</v>
      </c>
      <c r="AT29">
        <v>0.1467</v>
      </c>
      <c r="AU29" s="7">
        <v>228.58</v>
      </c>
      <c r="AV29">
        <v>254.22</v>
      </c>
      <c r="AW29">
        <f>IF(Table1[[#This Row],[P_F5]]="","",Table1[Pu(kN)]/Table1[[#This Row],[P_F5]])</f>
        <v>1.1092754307292896</v>
      </c>
      <c r="AX29">
        <v>0.3523</v>
      </c>
      <c r="AY29" s="7">
        <v>254.46</v>
      </c>
      <c r="AZ29">
        <v>267.45999999999998</v>
      </c>
      <c r="BA29">
        <f>IF(Table1[[#This Row],[P_R5]]="","",Table1[Pu(kN)]/Table1[[#This Row],[P_R5]])</f>
        <v>1.0543632692739102</v>
      </c>
      <c r="BB29">
        <v>0.39889999999999998</v>
      </c>
      <c r="BC29">
        <v>267.52</v>
      </c>
      <c r="BD29" s="5">
        <v>264.12</v>
      </c>
      <c r="BE29" s="6">
        <f>IF(Table1[[#This Row],[P_F6]]="","",Table1[Pu(kN)]/Table1[[#This Row],[P_F6]])</f>
        <v>1.0676965015901863</v>
      </c>
      <c r="BF29" s="6">
        <v>0.2576</v>
      </c>
      <c r="BG29" s="6">
        <v>264.12</v>
      </c>
      <c r="BH29" s="5">
        <v>278.72000000000003</v>
      </c>
      <c r="BI29" s="6">
        <f>IF(Table1[[#This Row],[P_R6]]="","",Table1[Pu(kN)]/Table1[[#This Row],[P_R6]])</f>
        <v>1.0117680826636049</v>
      </c>
      <c r="BJ29" s="6">
        <v>0.58830000000000005</v>
      </c>
      <c r="BK29" s="6">
        <v>279</v>
      </c>
      <c r="BL29" s="5">
        <v>267.76</v>
      </c>
      <c r="BM29" s="6">
        <f>IF(Table1[[#This Row],[P_F7]]="","",Table1[Pu(kN)]/Table1[[#This Row],[P_F7]])</f>
        <v>1.0531819539886467</v>
      </c>
      <c r="BN29" s="6">
        <v>0.44669999999999999</v>
      </c>
      <c r="BO29" s="6">
        <v>268.24</v>
      </c>
      <c r="BP29" s="5">
        <v>240.18</v>
      </c>
      <c r="BQ29" s="6">
        <f>IF(Table1[[#This Row],[P_F8]]="","",Table1[Pu(kN)]/Table1[[#This Row],[P_F8]])</f>
        <v>1.1741194104421684</v>
      </c>
      <c r="BR29" s="6">
        <v>0.2276</v>
      </c>
      <c r="BS29" s="6">
        <v>240.18</v>
      </c>
      <c r="BT29" s="5">
        <v>272.92</v>
      </c>
      <c r="BU29" s="6">
        <f>IF(Table1[[#This Row],[P_R7]]="","",Table1[Pu(kN)]/Table1[[#This Row],[P_R7]])</f>
        <v>1.0332698226586545</v>
      </c>
      <c r="BV29" s="6">
        <v>0.4889</v>
      </c>
      <c r="BW29" s="6">
        <v>272.92</v>
      </c>
      <c r="BX29" s="5">
        <v>247.62</v>
      </c>
      <c r="BY29" s="6">
        <f>IF(Table1[[#This Row],[P_F9]]="","",Table1[Pu(kN)]/Table1[[#This Row],[P_F9]])</f>
        <v>1.1388417736854859</v>
      </c>
      <c r="BZ29" s="6">
        <v>0.2838</v>
      </c>
      <c r="CA29" s="7">
        <v>247.62</v>
      </c>
      <c r="CB29" s="5">
        <v>274.26</v>
      </c>
      <c r="CC29" s="6">
        <f>IF(Table1[[#This Row],[P_R8]]="","",Table1[Pu(kN)]/Table1[[#This Row],[P_R8]])</f>
        <v>1.0282213957558521</v>
      </c>
      <c r="CD29" s="6">
        <v>0.45429999999999998</v>
      </c>
      <c r="CE29" s="6">
        <v>274.26</v>
      </c>
      <c r="CF29" s="5">
        <v>273.66000000000003</v>
      </c>
      <c r="CG29">
        <f>IF(Table1[[#This Row],[P_R9]]="","",Table1[Pu(kN)]/Table1[[#This Row],[P_R9]])</f>
        <v>1.0304757728568295</v>
      </c>
      <c r="CH29">
        <v>0.45839999999999997</v>
      </c>
      <c r="CI29">
        <v>273.66000000000003</v>
      </c>
      <c r="CJ29" s="5">
        <v>229.38</v>
      </c>
      <c r="CK29" s="6">
        <f>IF(Table1[[#This Row],[P_F10]]="","",Table1[Pu(kN)]/Table1[[#This Row],[P_F10]])</f>
        <v>1.2294009939837824</v>
      </c>
      <c r="CL29" s="6">
        <v>0.31519999999999998</v>
      </c>
      <c r="CM29" s="7">
        <v>229.38</v>
      </c>
      <c r="CN29" s="38">
        <f>Table1[[#This Row],[P_R8]]</f>
        <v>274.26</v>
      </c>
      <c r="CO29" s="38">
        <f>Table1[[#This Row],[Pu(kN)]]/Table1[[#This Row],[P_R8_2]]</f>
        <v>1.0282213957558521</v>
      </c>
      <c r="CP29" s="38">
        <f>Table1[[#This Row],[DUCTIL_R8]]</f>
        <v>0.45429999999999998</v>
      </c>
      <c r="CQ29" s="38">
        <f>Table1[[#This Row],[P_R8_2]]</f>
        <v>274.26</v>
      </c>
    </row>
    <row r="30" spans="1:95" x14ac:dyDescent="0.3">
      <c r="A30" s="26" t="s">
        <v>12</v>
      </c>
      <c r="B30" s="35" t="s">
        <v>92</v>
      </c>
      <c r="C30" s="18" t="s">
        <v>87</v>
      </c>
      <c r="D30" s="18">
        <v>2004</v>
      </c>
      <c r="E30" s="18" t="s">
        <v>90</v>
      </c>
      <c r="F30" s="18">
        <v>25.9</v>
      </c>
      <c r="G30" s="22">
        <v>2.860411899313501</v>
      </c>
      <c r="H30" s="18">
        <v>2285</v>
      </c>
      <c r="I30" s="18">
        <v>457</v>
      </c>
      <c r="J30" s="22">
        <f>Table1[[#This Row],[a'[mm']]]/Table1[[#This Row],[d'[mm']]]</f>
        <v>5</v>
      </c>
      <c r="K30" s="18">
        <v>552</v>
      </c>
      <c r="L30" s="18" t="s">
        <v>293</v>
      </c>
      <c r="M30" s="18">
        <v>290</v>
      </c>
      <c r="N30" s="18" t="s">
        <v>130</v>
      </c>
      <c r="O30" s="18" t="s">
        <v>131</v>
      </c>
      <c r="P30" s="5">
        <v>219.4</v>
      </c>
      <c r="Q30">
        <f>IF(Table1[[#This Row],[P_F1]]="","",Table1[Pu(kN)]/Table1[[#This Row],[P_F1]])</f>
        <v>1.3217866909753875</v>
      </c>
      <c r="R30">
        <v>2.7E-2</v>
      </c>
      <c r="S30">
        <v>220.14</v>
      </c>
      <c r="T30" s="5">
        <v>303.44</v>
      </c>
      <c r="U30" s="6">
        <f>IF(Table1[[#This Row],[P_R1]]="","",Table1[Pu(kN)]/Table1[[#This Row],[P_R1]])</f>
        <v>0.95570788294226205</v>
      </c>
      <c r="V30">
        <v>0.15870000000000001</v>
      </c>
      <c r="W30">
        <v>304.89999999999998</v>
      </c>
      <c r="X30" s="5">
        <v>268.42</v>
      </c>
      <c r="Y30" s="6">
        <f>IF(Table1[[#This Row],[P_F2]]="","",Table1[Pu(kN)]/Table1[[#This Row],[P_F2]])</f>
        <v>1.0803963937113479</v>
      </c>
      <c r="Z30">
        <v>0.1714</v>
      </c>
      <c r="AA30">
        <v>268.42</v>
      </c>
      <c r="AB30" s="10">
        <v>306.04000000000002</v>
      </c>
      <c r="AC30" s="8">
        <f>IF(Table1[[#This Row],[P_R2]]="","",Table1[Pu(kN)]/Table1[[#This Row],[P_R2]])</f>
        <v>0.94758855051627233</v>
      </c>
      <c r="AD30" s="8">
        <v>0.18</v>
      </c>
      <c r="AE30" s="9">
        <v>307.45999999999998</v>
      </c>
      <c r="AF30" s="8">
        <v>260.3</v>
      </c>
      <c r="AG30" s="8">
        <f>IF(Table1[[#This Row],[P_F3]]="","",Table1[Pu(kN)]/Table1[[#This Row],[P_F3]])</f>
        <v>1.1140991164041489</v>
      </c>
      <c r="AH30" s="8">
        <v>0.28760000000000002</v>
      </c>
      <c r="AI30" s="8">
        <v>260.3</v>
      </c>
      <c r="AJ30" s="10">
        <v>309.56</v>
      </c>
      <c r="AK30" s="8">
        <f>IF(Table1[[#This Row],[P_R3]]="","",Table1[Pu(kN)]/Table1[[#This Row],[P_R3]])</f>
        <v>0.9368135418012663</v>
      </c>
      <c r="AL30" s="8">
        <v>0.19089999999999999</v>
      </c>
      <c r="AM30" s="9">
        <v>310.98</v>
      </c>
      <c r="AN30" s="10">
        <v>312.94</v>
      </c>
      <c r="AO30" s="8">
        <f>IF(Table1[[#This Row],[P_R4]]="","",Table1[Pu(kN)]/Table1[[#This Row],[P_R4]])</f>
        <v>0.926695213139899</v>
      </c>
      <c r="AP30" s="8">
        <v>0.19120000000000001</v>
      </c>
      <c r="AQ30" s="9">
        <v>312.94</v>
      </c>
      <c r="AR30">
        <v>268.14</v>
      </c>
      <c r="AS30">
        <f>IF(Table1[[#This Row],[P_F4]]="","",Table1[Pu(kN)]/Table1[[#This Row],[P_F4]])</f>
        <v>1.0815245767136572</v>
      </c>
      <c r="AT30">
        <v>0.16</v>
      </c>
      <c r="AU30" s="7">
        <v>268.52</v>
      </c>
      <c r="AV30">
        <v>262.26</v>
      </c>
      <c r="AW30">
        <f>IF(Table1[[#This Row],[P_F5]]="","",Table1[Pu(kN)]/Table1[[#This Row],[P_F5]])</f>
        <v>1.1057728971249905</v>
      </c>
      <c r="AX30">
        <v>0.1263</v>
      </c>
      <c r="AY30" s="7">
        <v>262.98</v>
      </c>
      <c r="AZ30">
        <v>270.82</v>
      </c>
      <c r="BA30">
        <f>IF(Table1[[#This Row],[P_R5]]="","",Table1[Pu(kN)]/Table1[[#This Row],[P_R5]])</f>
        <v>1.0708219481574477</v>
      </c>
      <c r="BB30">
        <v>0.1656</v>
      </c>
      <c r="BC30">
        <v>284.94</v>
      </c>
      <c r="BD30" s="5">
        <v>266.18</v>
      </c>
      <c r="BE30" s="6">
        <f>IF(Table1[[#This Row],[P_F6]]="","",Table1[Pu(kN)]/Table1[[#This Row],[P_F6]])</f>
        <v>1.089488316177023</v>
      </c>
      <c r="BF30" s="6">
        <v>0.1221</v>
      </c>
      <c r="BG30" s="6">
        <v>266.18</v>
      </c>
      <c r="BH30" s="5">
        <v>310.92</v>
      </c>
      <c r="BI30" s="6">
        <f>IF(Table1[[#This Row],[P_R6]]="","",Table1[Pu(kN)]/Table1[[#This Row],[P_R6]])</f>
        <v>0.93271581114112956</v>
      </c>
      <c r="BJ30" s="6">
        <v>0.1973</v>
      </c>
      <c r="BK30" s="6">
        <v>312.62</v>
      </c>
      <c r="BL30" s="5">
        <v>279.52</v>
      </c>
      <c r="BM30" s="6">
        <f>IF(Table1[[#This Row],[P_F7]]="","",Table1[Pu(kN)]/Table1[[#This Row],[P_F7]])</f>
        <v>1.0374928448769321</v>
      </c>
      <c r="BN30" s="6">
        <v>0.24959999999999999</v>
      </c>
      <c r="BO30" s="6">
        <v>279.89999999999998</v>
      </c>
      <c r="BP30" s="5">
        <v>267.38</v>
      </c>
      <c r="BQ30" s="6">
        <f>IF(Table1[[#This Row],[P_F8]]="","",Table1[Pu(kN)]/Table1[[#This Row],[P_F8]])</f>
        <v>1.0845986984815619</v>
      </c>
      <c r="BR30" s="6">
        <v>0.1588</v>
      </c>
      <c r="BS30" s="6">
        <v>268.04000000000002</v>
      </c>
      <c r="BT30" s="5">
        <v>290.04000000000002</v>
      </c>
      <c r="BU30" s="6">
        <f>IF(Table1[[#This Row],[P_R7]]="","",Table1[Pu(kN)]/Table1[[#This Row],[P_R7]])</f>
        <v>0.99986208798786369</v>
      </c>
      <c r="BV30" s="6">
        <v>0.14000000000000001</v>
      </c>
      <c r="BW30" s="6">
        <v>292.12</v>
      </c>
      <c r="BX30" s="5">
        <v>262.88</v>
      </c>
      <c r="BY30" s="6">
        <f>IF(Table1[[#This Row],[P_F9]]="","",Table1[Pu(kN)]/Table1[[#This Row],[P_F9]])</f>
        <v>1.1031649421789409</v>
      </c>
      <c r="BZ30" s="6">
        <v>0.15029999999999999</v>
      </c>
      <c r="CA30" s="7">
        <v>263.26</v>
      </c>
      <c r="CB30" s="5">
        <v>300.39999999999998</v>
      </c>
      <c r="CC30" s="6">
        <f>IF(Table1[[#This Row],[P_R8]]="","",Table1[Pu(kN)]/Table1[[#This Row],[P_R8]])</f>
        <v>0.96537949400798939</v>
      </c>
      <c r="CD30" s="6">
        <v>0.17829999999999999</v>
      </c>
      <c r="CE30" s="6">
        <v>301.24</v>
      </c>
      <c r="CF30" s="5">
        <v>300</v>
      </c>
      <c r="CG30">
        <f>IF(Table1[[#This Row],[P_R9]]="","",Table1[Pu(kN)]/Table1[[#This Row],[P_R9]])</f>
        <v>0.96666666666666667</v>
      </c>
      <c r="CH30">
        <v>0.15429999999999999</v>
      </c>
      <c r="CI30">
        <v>300</v>
      </c>
      <c r="CJ30" s="5">
        <v>242.28</v>
      </c>
      <c r="CK30" s="6">
        <f>IF(Table1[[#This Row],[P_F10]]="","",Table1[Pu(kN)]/Table1[[#This Row],[P_F10]])</f>
        <v>1.1969621925045402</v>
      </c>
      <c r="CL30" s="6">
        <v>0.1502</v>
      </c>
      <c r="CM30" s="7">
        <v>243.24</v>
      </c>
      <c r="CN30" s="38">
        <f>Table1[[#This Row],[P_R8]]</f>
        <v>300.39999999999998</v>
      </c>
      <c r="CO30" s="38">
        <f>Table1[[#This Row],[Pu(kN)]]/Table1[[#This Row],[P_R8_2]]</f>
        <v>0.96537949400798939</v>
      </c>
      <c r="CP30" s="38">
        <f>Table1[[#This Row],[DUCTIL_R8]]</f>
        <v>0.17829999999999999</v>
      </c>
      <c r="CQ30" s="38">
        <f>Table1[[#This Row],[P_R8_2]]</f>
        <v>300.39999999999998</v>
      </c>
    </row>
    <row r="31" spans="1:95" x14ac:dyDescent="0.3">
      <c r="A31" s="27" t="s">
        <v>13</v>
      </c>
      <c r="B31" s="36" t="s">
        <v>92</v>
      </c>
      <c r="C31" s="20" t="s">
        <v>87</v>
      </c>
      <c r="D31" s="20">
        <v>2004</v>
      </c>
      <c r="E31" s="20" t="s">
        <v>90</v>
      </c>
      <c r="F31" s="20">
        <v>43.5</v>
      </c>
      <c r="G31" s="23">
        <v>2.860411899313501</v>
      </c>
      <c r="H31" s="20">
        <v>3200</v>
      </c>
      <c r="I31" s="20">
        <v>457</v>
      </c>
      <c r="J31" s="23">
        <f>Table1[[#This Row],[a'[mm']]]/Table1[[#This Row],[d'[mm']]]</f>
        <v>7.0021881838074398</v>
      </c>
      <c r="K31" s="20">
        <v>552</v>
      </c>
      <c r="L31" s="20" t="s">
        <v>293</v>
      </c>
      <c r="M31" s="20">
        <v>265</v>
      </c>
      <c r="N31" s="20" t="s">
        <v>130</v>
      </c>
      <c r="O31" s="20" t="s">
        <v>131</v>
      </c>
      <c r="P31" s="5">
        <v>246.72</v>
      </c>
      <c r="Q31">
        <f>IF(Table1[[#This Row],[P_F1]]="","",Table1[Pu(kN)]/Table1[[#This Row],[P_F1]])</f>
        <v>1.0740920881971465</v>
      </c>
      <c r="R31">
        <v>0.1168</v>
      </c>
      <c r="S31">
        <v>247.86</v>
      </c>
      <c r="T31" s="5">
        <v>266.18</v>
      </c>
      <c r="U31" s="6">
        <f>IF(Table1[[#This Row],[P_R1]]="","",Table1[Pu(kN)]/Table1[[#This Row],[P_R1]])</f>
        <v>0.99556690961003824</v>
      </c>
      <c r="V31">
        <v>0.49320000000000003</v>
      </c>
      <c r="W31">
        <v>266.58</v>
      </c>
      <c r="X31" s="5">
        <v>254.22</v>
      </c>
      <c r="Y31" s="6">
        <f>IF(Table1[[#This Row],[P_F2]]="","",Table1[Pu(kN)]/Table1[[#This Row],[P_F2]])</f>
        <v>1.0424042168200771</v>
      </c>
      <c r="Z31">
        <v>0.21879999999999999</v>
      </c>
      <c r="AA31">
        <v>255.76</v>
      </c>
      <c r="AB31" s="10">
        <v>269.22000000000003</v>
      </c>
      <c r="AC31" s="8">
        <f>IF(Table1[[#This Row],[P_R2]]="","",Table1[Pu(kN)]/Table1[[#This Row],[P_R2]])</f>
        <v>0.98432508728920576</v>
      </c>
      <c r="AD31" s="8">
        <v>0.60009999999999997</v>
      </c>
      <c r="AE31" s="9">
        <v>269.39999999999998</v>
      </c>
      <c r="AF31" s="8">
        <v>260.83999999999997</v>
      </c>
      <c r="AG31" s="8">
        <f>IF(Table1[[#This Row],[P_F3]]="","",Table1[Pu(kN)]/Table1[[#This Row],[P_F3]])</f>
        <v>1.015948474160405</v>
      </c>
      <c r="AH31" s="8">
        <v>0.30680000000000002</v>
      </c>
      <c r="AI31" s="8">
        <v>260.83999999999997</v>
      </c>
      <c r="AJ31" s="10">
        <v>279.82</v>
      </c>
      <c r="AK31" s="8">
        <f>IF(Table1[[#This Row],[P_R3]]="","",Table1[Pu(kN)]/Table1[[#This Row],[P_R3]])</f>
        <v>0.94703738117361158</v>
      </c>
      <c r="AL31" s="8">
        <v>0.72540000000000004</v>
      </c>
      <c r="AM31" s="9">
        <v>279.82</v>
      </c>
      <c r="AN31" s="10">
        <v>272.92</v>
      </c>
      <c r="AO31" s="8">
        <f>IF(Table1[[#This Row],[P_R4]]="","",Table1[Pu(kN)]/Table1[[#This Row],[P_R4]])</f>
        <v>0.97098050710831008</v>
      </c>
      <c r="AP31" s="8">
        <v>0.64839999999999998</v>
      </c>
      <c r="AQ31" s="9">
        <v>273.10000000000002</v>
      </c>
      <c r="AR31">
        <v>257.12</v>
      </c>
      <c r="AS31">
        <f>IF(Table1[[#This Row],[P_F4]]="","",Table1[Pu(kN)]/Table1[[#This Row],[P_F4]])</f>
        <v>1.0306471686372123</v>
      </c>
      <c r="AT31">
        <v>0.29220000000000002</v>
      </c>
      <c r="AU31" s="7">
        <v>257.12</v>
      </c>
      <c r="AV31">
        <v>270.44</v>
      </c>
      <c r="AW31">
        <f>IF(Table1[[#This Row],[P_F5]]="","",Table1[Pu(kN)]/Table1[[#This Row],[P_F5]])</f>
        <v>0.97988463245082091</v>
      </c>
      <c r="AX31">
        <v>0.46810000000000002</v>
      </c>
      <c r="AY31" s="7">
        <v>271.02</v>
      </c>
      <c r="AZ31">
        <v>258.64</v>
      </c>
      <c r="BA31">
        <f>IF(Table1[[#This Row],[P_R5]]="","",Table1[Pu(kN)]/Table1[[#This Row],[P_R5]])</f>
        <v>1.0245901639344264</v>
      </c>
      <c r="BB31">
        <v>0.31569999999999998</v>
      </c>
      <c r="BC31">
        <v>258.76</v>
      </c>
      <c r="BD31" s="5">
        <v>274.7</v>
      </c>
      <c r="BE31" s="6">
        <f>IF(Table1[[#This Row],[P_F6]]="","",Table1[Pu(kN)]/Table1[[#This Row],[P_F6]])</f>
        <v>0.96468875136512566</v>
      </c>
      <c r="BF31" s="6">
        <v>0.54449999999999998</v>
      </c>
      <c r="BG31" s="6">
        <v>274.7</v>
      </c>
      <c r="BH31" s="5">
        <v>270.08</v>
      </c>
      <c r="BI31" s="6">
        <f>IF(Table1[[#This Row],[P_R6]]="","",Table1[Pu(kN)]/Table1[[#This Row],[P_R6]])</f>
        <v>0.98119075829383895</v>
      </c>
      <c r="BJ31" s="6">
        <v>0.54469999999999996</v>
      </c>
      <c r="BK31" s="6">
        <v>270.95999999999998</v>
      </c>
      <c r="BL31" s="5">
        <v>274.94</v>
      </c>
      <c r="BM31" s="6">
        <f>IF(Table1[[#This Row],[P_F7]]="","",Table1[Pu(kN)]/Table1[[#This Row],[P_F7]])</f>
        <v>0.96384665745253506</v>
      </c>
      <c r="BN31" s="6">
        <v>0.5776</v>
      </c>
      <c r="BO31" s="6">
        <v>275.54000000000002</v>
      </c>
      <c r="BP31" s="5">
        <v>242.6</v>
      </c>
      <c r="BQ31" s="6">
        <f>IF(Table1[[#This Row],[P_F8]]="","",Table1[Pu(kN)]/Table1[[#This Row],[P_F8]])</f>
        <v>1.0923330585325639</v>
      </c>
      <c r="BR31" s="6">
        <v>0.16569999999999999</v>
      </c>
      <c r="BS31" s="6">
        <v>244.18</v>
      </c>
      <c r="BT31" s="5">
        <v>262.86</v>
      </c>
      <c r="BU31" s="6">
        <f>IF(Table1[[#This Row],[P_R7]]="","",Table1[Pu(kN)]/Table1[[#This Row],[P_R7]])</f>
        <v>1.0081412158563494</v>
      </c>
      <c r="BV31" s="6">
        <v>0.38990000000000002</v>
      </c>
      <c r="BW31" s="6">
        <v>263.68</v>
      </c>
      <c r="BX31" s="5">
        <v>259.52</v>
      </c>
      <c r="BY31" s="6">
        <f>IF(Table1[[#This Row],[P_F9]]="","",Table1[Pu(kN)]/Table1[[#This Row],[P_F9]])</f>
        <v>1.0211159062885327</v>
      </c>
      <c r="BZ31" s="6">
        <v>0.33960000000000001</v>
      </c>
      <c r="CA31" s="7">
        <v>260.10000000000002</v>
      </c>
      <c r="CB31" s="5">
        <v>265.56</v>
      </c>
      <c r="CC31" s="6">
        <f>IF(Table1[[#This Row],[P_R8]]="","",Table1[Pu(kN)]/Table1[[#This Row],[P_R8]])</f>
        <v>0.99789124868203039</v>
      </c>
      <c r="CD31" s="6">
        <v>0.44140000000000001</v>
      </c>
      <c r="CE31" s="6">
        <v>266.04000000000002</v>
      </c>
      <c r="CF31" s="5">
        <v>265.52</v>
      </c>
      <c r="CG31">
        <f>IF(Table1[[#This Row],[P_R9]]="","",Table1[Pu(kN)]/Table1[[#This Row],[P_R9]])</f>
        <v>0.99804157878879185</v>
      </c>
      <c r="CH31">
        <v>0.43909999999999999</v>
      </c>
      <c r="CI31">
        <v>265.52</v>
      </c>
      <c r="CJ31" s="5">
        <v>241.22</v>
      </c>
      <c r="CK31" s="6">
        <f>IF(Table1[[#This Row],[P_F10]]="","",Table1[Pu(kN)]/Table1[[#This Row],[P_F10]])</f>
        <v>1.098582207113838</v>
      </c>
      <c r="CL31" s="6">
        <v>0.13789999999999999</v>
      </c>
      <c r="CM31" s="7">
        <v>242.22</v>
      </c>
      <c r="CN31" s="38">
        <f>Table1[[#This Row],[P_R8]]</f>
        <v>265.56</v>
      </c>
      <c r="CO31" s="38">
        <f>Table1[[#This Row],[Pu(kN)]]/Table1[[#This Row],[P_R8_2]]</f>
        <v>0.99789124868203039</v>
      </c>
      <c r="CP31" s="38">
        <f>Table1[[#This Row],[DUCTIL_R8]]</f>
        <v>0.44140000000000001</v>
      </c>
      <c r="CQ31" s="38">
        <f>Table1[[#This Row],[P_R8_2]]</f>
        <v>265.56</v>
      </c>
    </row>
    <row r="32" spans="1:95" x14ac:dyDescent="0.3">
      <c r="A32" s="26" t="s">
        <v>175</v>
      </c>
      <c r="B32" s="35" t="s">
        <v>92</v>
      </c>
      <c r="C32" s="18" t="s">
        <v>87</v>
      </c>
      <c r="D32" s="18">
        <v>2004</v>
      </c>
      <c r="E32" s="18" t="s">
        <v>90</v>
      </c>
      <c r="F32" s="18">
        <v>22.6</v>
      </c>
      <c r="G32" s="22">
        <v>1.4255167498218104</v>
      </c>
      <c r="H32" s="18">
        <v>1830</v>
      </c>
      <c r="I32" s="18">
        <v>457</v>
      </c>
      <c r="J32" s="22">
        <f>Table1[[#This Row],[a'[mm']]]/Table1[[#This Row],[d'[mm']]]</f>
        <v>4.0043763676148796</v>
      </c>
      <c r="K32" s="18">
        <v>552</v>
      </c>
      <c r="L32" s="18" t="s">
        <v>293</v>
      </c>
      <c r="M32" s="18">
        <v>331</v>
      </c>
      <c r="N32" s="22" t="s">
        <v>130</v>
      </c>
      <c r="O32" s="18" t="s">
        <v>130</v>
      </c>
      <c r="P32" s="5">
        <f>2*139.46</f>
        <v>278.92</v>
      </c>
      <c r="Q32">
        <f>IF(Table1[[#This Row],[P_F1]]="","",Table1[Pu(kN)]/Table1[[#This Row],[P_F1]])</f>
        <v>1.1867202065108273</v>
      </c>
      <c r="R32">
        <v>2.4199999999999999E-2</v>
      </c>
      <c r="S32">
        <f>2*140.27</f>
        <v>280.54000000000002</v>
      </c>
      <c r="T32" s="5">
        <v>236.48</v>
      </c>
      <c r="U32" s="6">
        <f>IF(Table1[[#This Row],[P_R1]]="","",Table1[Pu(kN)]/Table1[[#This Row],[P_R1]])</f>
        <v>1.3996955345060893</v>
      </c>
      <c r="V32">
        <v>2.4400000000000002E-2</v>
      </c>
      <c r="W32">
        <v>241</v>
      </c>
      <c r="X32" s="5">
        <v>278.7</v>
      </c>
      <c r="Y32" s="6">
        <f>IF(Table1[[#This Row],[P_F2]]="","",Table1[Pu(kN)]/Table1[[#This Row],[P_F2]])</f>
        <v>1.1876569788302835</v>
      </c>
      <c r="Z32">
        <v>2.9499999999999998E-2</v>
      </c>
      <c r="AA32">
        <v>280.38</v>
      </c>
      <c r="AB32" s="10">
        <v>251.8</v>
      </c>
      <c r="AC32" s="8">
        <f>IF(Table1[[#This Row],[P_R2]]="","",Table1[Pu(kN)]/Table1[[#This Row],[P_R2]])</f>
        <v>1.3145353455123112</v>
      </c>
      <c r="AD32" s="8">
        <v>2.7900000000000001E-2</v>
      </c>
      <c r="AE32" s="9">
        <v>254.52</v>
      </c>
      <c r="AF32" s="8">
        <v>291.82</v>
      </c>
      <c r="AG32" s="8">
        <f>IF(Table1[[#This Row],[P_F3]]="","",Table1[Pu(kN)]/Table1[[#This Row],[P_F3]])</f>
        <v>1.134260845726818</v>
      </c>
      <c r="AH32" s="8">
        <v>2.9100000000000001E-2</v>
      </c>
      <c r="AI32" s="8">
        <v>293.39999999999998</v>
      </c>
      <c r="AJ32" s="10">
        <v>338.38</v>
      </c>
      <c r="AK32" s="8">
        <f>IF(Table1[[#This Row],[P_R3]]="","",Table1[Pu(kN)]/Table1[[#This Row],[P_R3]])</f>
        <v>0.97819020036645188</v>
      </c>
      <c r="AL32" s="8">
        <v>7.4000000000000003E-3</v>
      </c>
      <c r="AM32" s="9">
        <v>338.38</v>
      </c>
      <c r="AN32" s="10">
        <v>307.04000000000002</v>
      </c>
      <c r="AO32" s="8">
        <f>IF(Table1[[#This Row],[P_R4]]="","",Table1[Pu(kN)]/Table1[[#This Row],[P_R4]])</f>
        <v>1.0780354351224595</v>
      </c>
      <c r="AP32" s="8">
        <v>4.8999999999999998E-3</v>
      </c>
      <c r="AQ32" s="8">
        <v>307.7</v>
      </c>
      <c r="AR32" s="5">
        <v>287.36</v>
      </c>
      <c r="AS32">
        <f>IF(Table1[[#This Row],[P_F4]]="","",Table1[Pu(kN)]/Table1[[#This Row],[P_F4]])</f>
        <v>1.1518652561247216</v>
      </c>
      <c r="AT32">
        <v>2.93E-2</v>
      </c>
      <c r="AU32" s="7">
        <v>287.82</v>
      </c>
      <c r="AV32">
        <v>307.86</v>
      </c>
      <c r="AW32">
        <f>IF(Table1[[#This Row],[P_F5]]="","",Table1[Pu(kN)]/Table1[[#This Row],[P_F5]])</f>
        <v>1.0751640356005976</v>
      </c>
      <c r="AX32">
        <v>2.4299999999999999E-2</v>
      </c>
      <c r="AY32" s="7">
        <v>308.95999999999998</v>
      </c>
      <c r="AZ32">
        <v>264.94</v>
      </c>
      <c r="BA32">
        <f>IF(Table1[[#This Row],[P_R5]]="","",Table1[Pu(kN)]/Table1[[#This Row],[P_R5]])</f>
        <v>1.2493394730882463</v>
      </c>
      <c r="BB32">
        <v>3.5999999999999999E-3</v>
      </c>
      <c r="BC32">
        <v>265.95999999999998</v>
      </c>
      <c r="BD32" s="34">
        <v>319.72000000000003</v>
      </c>
      <c r="BE32" s="6">
        <f>IF(Table1[[#This Row],[P_F6]]="","",Table1[Pu(kN)]/Table1[[#This Row],[P_F6]])</f>
        <v>1.0352808707619165</v>
      </c>
      <c r="BF32" s="33">
        <v>1.5699999999999999E-2</v>
      </c>
      <c r="BG32">
        <v>319.72000000000003</v>
      </c>
      <c r="BH32" s="5">
        <v>319.06</v>
      </c>
      <c r="BI32" s="6">
        <f>IF(Table1[[#This Row],[P_R6]]="","",Table1[Pu(kN)]/Table1[[#This Row],[P_R6]])</f>
        <v>1.0374224283833762</v>
      </c>
      <c r="BJ32" s="6">
        <v>0</v>
      </c>
      <c r="BK32" s="6">
        <v>319.38</v>
      </c>
      <c r="BL32" s="5">
        <v>315.44</v>
      </c>
      <c r="BM32" s="6">
        <f>IF(Table1[[#This Row],[P_F7]]="","",Table1[Pu(kN)]/Table1[[#This Row],[P_F7]])</f>
        <v>1.0493279229013441</v>
      </c>
      <c r="BN32" s="6">
        <v>1.55E-2</v>
      </c>
      <c r="BO32" s="6">
        <v>316.02</v>
      </c>
      <c r="BP32" s="5">
        <v>278.06</v>
      </c>
      <c r="BQ32" s="6">
        <f>IF(Table1[[#This Row],[P_F8]]="","",Table1[Pu(kN)]/Table1[[#This Row],[P_F8]])</f>
        <v>1.1903905631878011</v>
      </c>
      <c r="BR32" s="6">
        <v>3.2000000000000001E-2</v>
      </c>
      <c r="BS32" s="6">
        <v>279.02</v>
      </c>
      <c r="BT32" s="5">
        <v>298.08</v>
      </c>
      <c r="BU32" s="6">
        <f>IF(Table1[[#This Row],[P_R7]]="","",Table1[Pu(kN)]/Table1[[#This Row],[P_R7]])</f>
        <v>1.1104401502952228</v>
      </c>
      <c r="BV32" s="6">
        <v>0</v>
      </c>
      <c r="BW32" s="6">
        <v>298.08</v>
      </c>
      <c r="BX32" s="5">
        <v>268.64</v>
      </c>
      <c r="BY32" s="6">
        <f>IF(Table1[[#This Row],[P_F9]]="","",Table1[Pu(kN)]/Table1[[#This Row],[P_F9]])</f>
        <v>1.2321322215604527</v>
      </c>
      <c r="BZ32" s="6">
        <v>1.9800000000000002E-2</v>
      </c>
      <c r="CA32" s="7">
        <v>269.06</v>
      </c>
      <c r="CB32" s="34">
        <v>299.62</v>
      </c>
      <c r="CC32" s="6">
        <f>IF(Table1[[#This Row],[P_R8]]="","",Table1[Pu(kN)]/Table1[[#This Row],[P_R8]])</f>
        <v>1.10473266137107</v>
      </c>
      <c r="CD32" s="33">
        <v>5.1999999999999998E-3</v>
      </c>
      <c r="CE32" s="6">
        <v>299.62</v>
      </c>
      <c r="CF32" s="5">
        <v>280.33999999999997</v>
      </c>
      <c r="CG32">
        <f>IF(Table1[[#This Row],[P_R9]]="","",Table1[Pu(kN)]/Table1[[#This Row],[P_R9]])</f>
        <v>1.1807091389027611</v>
      </c>
      <c r="CH32">
        <v>3.0999999999999999E-3</v>
      </c>
      <c r="CI32">
        <v>280.33999999999997</v>
      </c>
      <c r="CJ32" s="5">
        <v>275.54000000000002</v>
      </c>
      <c r="CK32" s="6">
        <f>IF(Table1[[#This Row],[P_F10]]="","",Table1[Pu(kN)]/Table1[[#This Row],[P_F10]])</f>
        <v>1.2012774914712927</v>
      </c>
      <c r="CL32" s="6">
        <v>2.0400000000000001E-2</v>
      </c>
      <c r="CM32" s="7">
        <v>276.45999999999998</v>
      </c>
      <c r="CN32" s="38">
        <f>122.6*2</f>
        <v>245.2</v>
      </c>
      <c r="CO32" s="38">
        <f>Table1[[#This Row],[Pu(kN)]]/Table1[[#This Row],[P_R8_2]]</f>
        <v>1.3499184339314845</v>
      </c>
      <c r="CP32" s="38">
        <v>0.02</v>
      </c>
      <c r="CQ32" s="38">
        <f>Table1[[#This Row],[P_R8_2]]</f>
        <v>245.2</v>
      </c>
    </row>
    <row r="33" spans="1:95" x14ac:dyDescent="0.3">
      <c r="A33" s="27" t="s">
        <v>2</v>
      </c>
      <c r="B33" s="36" t="s">
        <v>92</v>
      </c>
      <c r="C33" s="20" t="s">
        <v>87</v>
      </c>
      <c r="D33" s="20">
        <v>2004</v>
      </c>
      <c r="E33" s="20" t="s">
        <v>90</v>
      </c>
      <c r="F33" s="20">
        <v>25.9</v>
      </c>
      <c r="G33" s="23">
        <v>1.8412924685198384</v>
      </c>
      <c r="H33" s="20">
        <v>2285</v>
      </c>
      <c r="I33" s="20">
        <v>457</v>
      </c>
      <c r="J33" s="23">
        <f>Table1[[#This Row],[a'[mm']]]/Table1[[#This Row],[d'[mm']]]</f>
        <v>5</v>
      </c>
      <c r="K33" s="20">
        <v>552</v>
      </c>
      <c r="L33" s="20" t="s">
        <v>293</v>
      </c>
      <c r="M33" s="20">
        <v>320</v>
      </c>
      <c r="N33" s="23" t="s">
        <v>130</v>
      </c>
      <c r="O33" s="20" t="s">
        <v>130</v>
      </c>
      <c r="P33" s="5">
        <f>2*161.88</f>
        <v>323.76</v>
      </c>
      <c r="Q33">
        <f>IF(Table1[[#This Row],[P_F1]]="","",Table1[Pu(kN)]/Table1[[#This Row],[P_F1]])</f>
        <v>0.98838645910551026</v>
      </c>
      <c r="R33">
        <v>2.46E-2</v>
      </c>
      <c r="S33">
        <f>2*161.88</f>
        <v>323.76</v>
      </c>
      <c r="T33" s="5">
        <v>245.28</v>
      </c>
      <c r="U33" s="6">
        <f>IF(Table1[[#This Row],[P_R1]]="","",Table1[Pu(kN)]/Table1[[#This Row],[P_R1]])</f>
        <v>1.3046314416177429</v>
      </c>
      <c r="V33">
        <v>5.3E-3</v>
      </c>
      <c r="W33">
        <v>245.28</v>
      </c>
      <c r="X33" s="5">
        <v>317.45999999999998</v>
      </c>
      <c r="Y33" s="6">
        <f>IF(Table1[[#This Row],[P_F2]]="","",Table1[Pu(kN)]/Table1[[#This Row],[P_F2]])</f>
        <v>1.008001008001008</v>
      </c>
      <c r="Z33">
        <v>3.1699999999999999E-2</v>
      </c>
      <c r="AA33">
        <v>318.89999999999998</v>
      </c>
      <c r="AB33" s="10">
        <v>257.45999999999998</v>
      </c>
      <c r="AC33" s="8">
        <f>IF(Table1[[#This Row],[P_R2]]="","",Table1[Pu(kN)]/Table1[[#This Row],[P_R2]])</f>
        <v>1.2429115202361534</v>
      </c>
      <c r="AD33" s="8">
        <v>5.4999999999999997E-3</v>
      </c>
      <c r="AE33" s="9">
        <v>257.45999999999998</v>
      </c>
      <c r="AF33" s="8">
        <v>333.32</v>
      </c>
      <c r="AG33" s="8">
        <f>IF(Table1[[#This Row],[P_F3]]="","",Table1[Pu(kN)]/Table1[[#This Row],[P_F3]])</f>
        <v>0.96003840153606146</v>
      </c>
      <c r="AH33" s="8">
        <v>2.3900000000000001E-2</v>
      </c>
      <c r="AI33" s="8">
        <v>333.32</v>
      </c>
      <c r="AJ33" s="10">
        <v>275.88</v>
      </c>
      <c r="AK33" s="8">
        <f>IF(Table1[[#This Row],[P_R3]]="","",Table1[Pu(kN)]/Table1[[#This Row],[P_R3]])</f>
        <v>1.1599246049006815</v>
      </c>
      <c r="AL33" s="8">
        <v>2.4E-2</v>
      </c>
      <c r="AM33" s="8">
        <v>277.12</v>
      </c>
      <c r="AN33" s="10">
        <v>256.74</v>
      </c>
      <c r="AO33" s="8">
        <f>IF(Table1[[#This Row],[P_R4]]="","",Table1[Pu(kN)]/Table1[[#This Row],[P_R4]])</f>
        <v>1.2463971332865933</v>
      </c>
      <c r="AP33" s="8">
        <v>5.1000000000000004E-3</v>
      </c>
      <c r="AQ33" s="8">
        <v>256.74</v>
      </c>
      <c r="AR33" s="5">
        <v>314.56</v>
      </c>
      <c r="AS33">
        <f>IF(Table1[[#This Row],[P_F4]]="","",Table1[Pu(kN)]/Table1[[#This Row],[P_F4]])</f>
        <v>1.0172939979654121</v>
      </c>
      <c r="AT33">
        <v>3.5000000000000003E-2</v>
      </c>
      <c r="AU33" s="7">
        <v>316.33999999999997</v>
      </c>
      <c r="AV33">
        <v>334.98</v>
      </c>
      <c r="AW33">
        <f>IF(Table1[[#This Row],[P_F5]]="","",Table1[Pu(kN)]/Table1[[#This Row],[P_F5]])</f>
        <v>0.95528091229327117</v>
      </c>
      <c r="AX33">
        <v>2.9600000000000001E-2</v>
      </c>
      <c r="AY33" s="7">
        <v>336.44</v>
      </c>
      <c r="AZ33">
        <v>237.52</v>
      </c>
      <c r="BA33">
        <f>IF(Table1[[#This Row],[P_R5]]="","",Table1[Pu(kN)]/Table1[[#This Row],[P_R5]])</f>
        <v>1.3472549680026944</v>
      </c>
      <c r="BB33">
        <v>0</v>
      </c>
      <c r="BC33">
        <v>237.96</v>
      </c>
      <c r="BD33" s="34">
        <v>332.46</v>
      </c>
      <c r="BE33" s="6">
        <f>IF(Table1[[#This Row],[P_F6]]="","",Table1[Pu(kN)]/Table1[[#This Row],[P_F6]])</f>
        <v>0.96252180713469293</v>
      </c>
      <c r="BF33" s="33">
        <v>1.7999999999999999E-2</v>
      </c>
      <c r="BG33">
        <v>332.46</v>
      </c>
      <c r="BH33" s="5">
        <v>263.95999999999998</v>
      </c>
      <c r="BI33" s="6">
        <f>IF(Table1[[#This Row],[P_R6]]="","",Table1[Pu(kN)]/Table1[[#This Row],[P_R6]])</f>
        <v>1.2123048946810124</v>
      </c>
      <c r="BJ33" s="6">
        <v>3.5999999999999997E-2</v>
      </c>
      <c r="BK33" s="6">
        <v>265.48</v>
      </c>
      <c r="BL33" s="5">
        <v>336.96</v>
      </c>
      <c r="BM33" s="6">
        <f>IF(Table1[[#This Row],[P_F7]]="","",Table1[Pu(kN)]/Table1[[#This Row],[P_F7]])</f>
        <v>0.94966761633428309</v>
      </c>
      <c r="BN33" s="6">
        <v>2.46E-2</v>
      </c>
      <c r="BO33" s="6">
        <v>338.98</v>
      </c>
      <c r="BP33" s="5">
        <v>292.36</v>
      </c>
      <c r="BQ33" s="6">
        <f>IF(Table1[[#This Row],[P_F8]]="","",Table1[Pu(kN)]/Table1[[#This Row],[P_F8]])</f>
        <v>1.0945409768778218</v>
      </c>
      <c r="BR33" s="6">
        <v>3.9100000000000003E-2</v>
      </c>
      <c r="BS33" s="6">
        <v>293.60000000000002</v>
      </c>
      <c r="BT33" s="5">
        <v>264.92</v>
      </c>
      <c r="BU33" s="6">
        <f>IF(Table1[[#This Row],[P_R7]]="","",Table1[Pu(kN)]/Table1[[#This Row],[P_R7]])</f>
        <v>1.207911822436962</v>
      </c>
      <c r="BV33" s="6">
        <v>3.6700000000000003E-2</v>
      </c>
      <c r="BW33" s="6">
        <v>268.54000000000002</v>
      </c>
      <c r="BX33" s="5">
        <v>314.38</v>
      </c>
      <c r="BY33" s="6">
        <f>IF(Table1[[#This Row],[P_F9]]="","",Table1[Pu(kN)]/Table1[[#This Row],[P_F9]])</f>
        <v>1.0178764552452446</v>
      </c>
      <c r="BZ33" s="6">
        <v>1.4999999999999999E-2</v>
      </c>
      <c r="CA33" s="7">
        <v>314.38</v>
      </c>
      <c r="CB33" s="34">
        <v>249.48</v>
      </c>
      <c r="CC33" s="6">
        <f>IF(Table1[[#This Row],[P_R8]]="","",Table1[Pu(kN)]/Table1[[#This Row],[P_R8]])</f>
        <v>1.282667949334616</v>
      </c>
      <c r="CD33" s="33">
        <v>3.2399999999999998E-2</v>
      </c>
      <c r="CE33" s="6">
        <v>251.02</v>
      </c>
      <c r="CF33" s="5">
        <v>257.64</v>
      </c>
      <c r="CG33">
        <f>IF(Table1[[#This Row],[P_R9]]="","",Table1[Pu(kN)]/Table1[[#This Row],[P_R9]])</f>
        <v>1.2420431609998448</v>
      </c>
      <c r="CH33">
        <v>2.2599999999999999E-2</v>
      </c>
      <c r="CI33">
        <v>257.64</v>
      </c>
      <c r="CJ33" s="5">
        <v>285.08</v>
      </c>
      <c r="CK33" s="6">
        <f>IF(Table1[[#This Row],[P_F10]]="","",Table1[Pu(kN)]/Table1[[#This Row],[P_F10]])</f>
        <v>1.1224919320892381</v>
      </c>
      <c r="CL33" s="6">
        <v>3.1399999999999997E-2</v>
      </c>
      <c r="CM33" s="7">
        <v>285.08</v>
      </c>
      <c r="CN33" s="38">
        <f>Table1[[#This Row],[P_R8]]</f>
        <v>249.48</v>
      </c>
      <c r="CO33" s="38">
        <f>Table1[[#This Row],[Pu(kN)]]/Table1[[#This Row],[P_R8_2]]</f>
        <v>1.282667949334616</v>
      </c>
      <c r="CP33" s="38">
        <f>Table1[[#This Row],[DUCTIL_R8]]</f>
        <v>3.2399999999999998E-2</v>
      </c>
      <c r="CQ33" s="38">
        <f>Table1[[#This Row],[P_R8_2]]</f>
        <v>249.48</v>
      </c>
    </row>
    <row r="34" spans="1:95" x14ac:dyDescent="0.3">
      <c r="A34" s="26" t="s">
        <v>3</v>
      </c>
      <c r="B34" s="35" t="s">
        <v>92</v>
      </c>
      <c r="C34" s="18" t="s">
        <v>87</v>
      </c>
      <c r="D34" s="18">
        <v>2004</v>
      </c>
      <c r="E34" s="18" t="s">
        <v>90</v>
      </c>
      <c r="F34" s="18">
        <v>43.5</v>
      </c>
      <c r="G34" s="22">
        <v>2.2570681872178664</v>
      </c>
      <c r="H34" s="18">
        <v>3200</v>
      </c>
      <c r="I34" s="18">
        <v>457</v>
      </c>
      <c r="J34" s="22">
        <f>Table1[[#This Row],[a'[mm']]]/Table1[[#This Row],[d'[mm']]]</f>
        <v>7.0021881838074398</v>
      </c>
      <c r="K34" s="18">
        <v>552</v>
      </c>
      <c r="L34" s="18" t="s">
        <v>293</v>
      </c>
      <c r="M34" s="18">
        <v>385</v>
      </c>
      <c r="N34" s="18" t="s">
        <v>130</v>
      </c>
      <c r="O34" s="18" t="s">
        <v>130</v>
      </c>
      <c r="P34" s="5">
        <f>2*148.34</f>
        <v>296.68</v>
      </c>
      <c r="Q34">
        <f>IF(Table1[[#This Row],[P_F1]]="","",Table1[Pu(kN)]/Table1[[#This Row],[P_F1]])</f>
        <v>1.2976944856410948</v>
      </c>
      <c r="R34">
        <v>4.6399999999999997E-2</v>
      </c>
      <c r="S34">
        <f>2*149.73</f>
        <v>299.45999999999998</v>
      </c>
      <c r="T34" s="5">
        <v>267.2</v>
      </c>
      <c r="U34" s="6">
        <f>IF(Table1[[#This Row],[P_R1]]="","",Table1[Pu(kN)]/Table1[[#This Row],[P_R1]])</f>
        <v>1.4408682634730539</v>
      </c>
      <c r="V34">
        <v>3.7100000000000001E-2</v>
      </c>
      <c r="W34">
        <v>268.7</v>
      </c>
      <c r="X34" s="5">
        <v>327.60000000000002</v>
      </c>
      <c r="Y34" s="6">
        <f>IF(Table1[[#This Row],[P_F2]]="","",Table1[Pu(kN)]/Table1[[#This Row],[P_F2]])</f>
        <v>1.175213675213675</v>
      </c>
      <c r="Z34">
        <v>5.11E-2</v>
      </c>
      <c r="AA34">
        <v>329.68</v>
      </c>
      <c r="AB34" s="10">
        <v>290.48</v>
      </c>
      <c r="AC34" s="8">
        <f>IF(Table1[[#This Row],[P_R2]]="","",Table1[Pu(kN)]/Table1[[#This Row],[P_R2]])</f>
        <v>1.3253924538694575</v>
      </c>
      <c r="AD34" s="8">
        <v>3.9100000000000003E-2</v>
      </c>
      <c r="AE34" s="9">
        <v>293.5</v>
      </c>
      <c r="AF34" s="8">
        <v>376.68</v>
      </c>
      <c r="AG34" s="8">
        <f>IF(Table1[[#This Row],[P_F3]]="","",Table1[Pu(kN)]/Table1[[#This Row],[P_F3]])</f>
        <v>1.0220877137092492</v>
      </c>
      <c r="AH34" s="8">
        <v>8.8300000000000003E-2</v>
      </c>
      <c r="AI34" s="8">
        <v>377.34</v>
      </c>
      <c r="AJ34" s="10">
        <v>333.1</v>
      </c>
      <c r="AK34" s="8">
        <f>IF(Table1[[#This Row],[P_R3]]="","",Table1[Pu(kN)]/Table1[[#This Row],[P_R3]])</f>
        <v>1.1558090663464424</v>
      </c>
      <c r="AL34" s="8">
        <v>3.8600000000000002E-2</v>
      </c>
      <c r="AM34" s="8">
        <v>333.1</v>
      </c>
      <c r="AN34" s="10">
        <v>280.88</v>
      </c>
      <c r="AO34" s="8">
        <f>IF(Table1[[#This Row],[P_R4]]="","",Table1[Pu(kN)]/Table1[[#This Row],[P_R4]])</f>
        <v>1.3706921105098262</v>
      </c>
      <c r="AP34" s="8">
        <v>4.53E-2</v>
      </c>
      <c r="AQ34" s="8">
        <v>282.74</v>
      </c>
      <c r="AR34" s="5">
        <v>354.84</v>
      </c>
      <c r="AS34">
        <f>IF(Table1[[#This Row],[P_F4]]="","",Table1[Pu(kN)]/Table1[[#This Row],[P_F4]])</f>
        <v>1.0849960545598016</v>
      </c>
      <c r="AT34">
        <v>5.5399999999999998E-2</v>
      </c>
      <c r="AU34" s="7">
        <v>354.84</v>
      </c>
      <c r="AV34">
        <v>390</v>
      </c>
      <c r="AW34">
        <f>IF(Table1[[#This Row],[P_F5]]="","",Table1[Pu(kN)]/Table1[[#This Row],[P_F5]])</f>
        <v>0.98717948717948723</v>
      </c>
      <c r="AX34">
        <v>0.17080000000000001</v>
      </c>
      <c r="AY34" s="7">
        <v>391.22</v>
      </c>
      <c r="AZ34">
        <v>240.28</v>
      </c>
      <c r="BA34">
        <f>IF(Table1[[#This Row],[P_R5]]="","",Table1[Pu(kN)]/Table1[[#This Row],[P_R5]])</f>
        <v>1.6022973197935741</v>
      </c>
      <c r="BB34">
        <v>5.2900000000000003E-2</v>
      </c>
      <c r="BC34">
        <v>240.28</v>
      </c>
      <c r="BD34" s="34">
        <v>391.34</v>
      </c>
      <c r="BE34" s="6">
        <f>IF(Table1[[#This Row],[P_F6]]="","",Table1[Pu(kN)]/Table1[[#This Row],[P_F6]])</f>
        <v>0.98379925384576083</v>
      </c>
      <c r="BF34" s="33">
        <v>0.14230000000000001</v>
      </c>
      <c r="BG34">
        <v>391.34</v>
      </c>
      <c r="BH34" s="5">
        <v>290.08</v>
      </c>
      <c r="BI34" s="6">
        <f>IF(Table1[[#This Row],[P_R6]]="","",Table1[Pu(kN)]/Table1[[#This Row],[P_R6]])</f>
        <v>1.3272200772200773</v>
      </c>
      <c r="BJ34" s="6">
        <v>3.8699999999999998E-2</v>
      </c>
      <c r="BK34" s="6">
        <v>291.39999999999998</v>
      </c>
      <c r="BL34" s="5">
        <v>419.14</v>
      </c>
      <c r="BM34" s="6">
        <f>IF(Table1[[#This Row],[P_F7]]="","",Table1[Pu(kN)]/Table1[[#This Row],[P_F7]])</f>
        <v>0.91854750202796209</v>
      </c>
      <c r="BN34" s="6">
        <v>0.54520000000000002</v>
      </c>
      <c r="BO34" s="6">
        <v>419.56</v>
      </c>
      <c r="BP34" s="5">
        <v>306.27999999999997</v>
      </c>
      <c r="BQ34" s="6">
        <f>IF(Table1[[#This Row],[P_F8]]="","",Table1[Pu(kN)]/Table1[[#This Row],[P_F8]])</f>
        <v>1.257019720517174</v>
      </c>
      <c r="BR34" s="6">
        <v>5.8599999999999999E-2</v>
      </c>
      <c r="BS34" s="6">
        <v>309.16000000000003</v>
      </c>
      <c r="BT34" s="5">
        <v>274.58</v>
      </c>
      <c r="BU34" s="6">
        <f>IF(Table1[[#This Row],[P_R7]]="","",Table1[Pu(kN)]/Table1[[#This Row],[P_R7]])</f>
        <v>1.4021414524000293</v>
      </c>
      <c r="BV34" s="6">
        <v>5.96E-2</v>
      </c>
      <c r="BW34" s="6">
        <v>280.77999999999997</v>
      </c>
      <c r="BX34" s="5">
        <v>355.84</v>
      </c>
      <c r="BY34" s="6">
        <f>IF(Table1[[#This Row],[P_F9]]="","",Table1[Pu(kN)]/Table1[[#This Row],[P_F9]])</f>
        <v>1.0819469424460433</v>
      </c>
      <c r="BZ34" s="6">
        <v>5.6800000000000003E-2</v>
      </c>
      <c r="CA34" s="7">
        <v>355.84</v>
      </c>
      <c r="CB34" s="34">
        <v>299.14</v>
      </c>
      <c r="CC34" s="6">
        <f>IF(Table1[[#This Row],[P_R8]]="","",Table1[Pu(kN)]/Table1[[#This Row],[P_R8]])</f>
        <v>1.2870227986895768</v>
      </c>
      <c r="CD34" s="33">
        <v>4.9000000000000002E-2</v>
      </c>
      <c r="CE34" s="6">
        <v>301.06</v>
      </c>
      <c r="CF34" s="5">
        <v>288.48</v>
      </c>
      <c r="CG34">
        <f>IF(Table1[[#This Row],[P_R9]]="","",Table1[Pu(kN)]/Table1[[#This Row],[P_R9]])</f>
        <v>1.3345812534664447</v>
      </c>
      <c r="CH34">
        <v>5.1499999999999997E-2</v>
      </c>
      <c r="CI34">
        <v>289.68</v>
      </c>
      <c r="CJ34" s="5">
        <v>282.04000000000002</v>
      </c>
      <c r="CK34" s="6">
        <f>IF(Table1[[#This Row],[P_F10]]="","",Table1[Pu(kN)]/Table1[[#This Row],[P_F10]])</f>
        <v>1.3650546021840873</v>
      </c>
      <c r="CL34" s="6">
        <v>5.4399999999999997E-2</v>
      </c>
      <c r="CM34" s="7">
        <v>284.8</v>
      </c>
      <c r="CN34" s="38">
        <f>Table1[[#This Row],[P_R8]]</f>
        <v>299.14</v>
      </c>
      <c r="CO34" s="38">
        <f>Table1[[#This Row],[Pu(kN)]]/Table1[[#This Row],[P_R8_2]]</f>
        <v>1.2870227986895768</v>
      </c>
      <c r="CP34" s="38">
        <f>Table1[[#This Row],[DUCTIL_R8]]</f>
        <v>4.9000000000000002E-2</v>
      </c>
      <c r="CQ34" s="38">
        <f>Table1[[#This Row],[P_R8_2]]</f>
        <v>299.14</v>
      </c>
    </row>
    <row r="35" spans="1:95" x14ac:dyDescent="0.3">
      <c r="A35" s="26" t="s">
        <v>52</v>
      </c>
      <c r="B35" s="35" t="s">
        <v>95</v>
      </c>
      <c r="C35" s="18" t="s">
        <v>50</v>
      </c>
      <c r="D35" s="18">
        <v>1998</v>
      </c>
      <c r="E35" s="18"/>
      <c r="F35" s="18">
        <v>83</v>
      </c>
      <c r="G35" s="22">
        <f>600*PI()*100/(125*700)</f>
        <v>2.1542349624615724</v>
      </c>
      <c r="H35" s="18">
        <v>825</v>
      </c>
      <c r="I35" s="18">
        <v>624</v>
      </c>
      <c r="J35" s="22">
        <f>Table1[[#This Row],[a'[mm']]]/Table1[[#This Row],[d'[mm']]]</f>
        <v>1.3221153846153846</v>
      </c>
      <c r="K35" s="18">
        <v>700</v>
      </c>
      <c r="L35" s="18" t="s">
        <v>28</v>
      </c>
      <c r="M35" s="18">
        <v>1590</v>
      </c>
      <c r="N35" s="22" t="s">
        <v>130</v>
      </c>
      <c r="O35" s="18" t="s">
        <v>131</v>
      </c>
      <c r="P35" s="5">
        <v>1287.44</v>
      </c>
      <c r="Q35" s="6">
        <f>IF(Table1[[#This Row],[P_F1]]="","",Table1[Pu(kN)]/Table1[[#This Row],[P_F1]])</f>
        <v>1.2350090101286273</v>
      </c>
      <c r="R35" s="6">
        <v>6.9900000000000004E-2</v>
      </c>
      <c r="S35" s="6">
        <v>1290</v>
      </c>
      <c r="T35" s="5">
        <v>1417.12</v>
      </c>
      <c r="U35" s="6">
        <f>IF(Table1[[#This Row],[P_R1]]="","",Table1[Pu(kN)]/Table1[[#This Row],[P_R1]])</f>
        <v>1.1219939031274699</v>
      </c>
      <c r="V35">
        <v>8.2100000000000006E-2</v>
      </c>
      <c r="W35">
        <v>1428.06</v>
      </c>
      <c r="X35" s="5">
        <v>1293.98</v>
      </c>
      <c r="Y35" s="6">
        <f>IF(Table1[[#This Row],[P_F2]]="","",Table1[Pu(kN)]/Table1[[#This Row],[P_F2]])</f>
        <v>1.2287670597690845</v>
      </c>
      <c r="Z35">
        <v>0.1303</v>
      </c>
      <c r="AA35">
        <v>1293.98</v>
      </c>
      <c r="AB35" s="10">
        <v>1448.06</v>
      </c>
      <c r="AC35" s="8">
        <f>IF(Table1[[#This Row],[P_R2]]="","",Table1[Pu(kN)]/Table1[[#This Row],[P_R2]])</f>
        <v>1.0980208002430838</v>
      </c>
      <c r="AD35">
        <v>0.33500000000000002</v>
      </c>
      <c r="AE35" s="7">
        <v>1448.06</v>
      </c>
      <c r="AF35" s="2">
        <v>1294.72</v>
      </c>
      <c r="AG35" s="2">
        <f>IF(Table1[[#This Row],[P_F3]]="","",Table1[Pu(kN)]/Table1[[#This Row],[P_F3]])</f>
        <v>1.2280647553138901</v>
      </c>
      <c r="AH35" s="2">
        <v>7.3800000000000004E-2</v>
      </c>
      <c r="AI35">
        <v>1294.72</v>
      </c>
      <c r="AJ35" s="5">
        <v>1458.7</v>
      </c>
      <c r="AK35">
        <f>IF(Table1[[#This Row],[P_R3]]="","",Table1[Pu(kN)]/Table1[[#This Row],[P_R3]])</f>
        <v>1.090011654212655</v>
      </c>
      <c r="AL35">
        <v>0.23230000000000001</v>
      </c>
      <c r="AM35">
        <v>1461.44</v>
      </c>
      <c r="AN35" s="5">
        <v>1414.22</v>
      </c>
      <c r="AO35" s="6">
        <f>IF(Table1[[#This Row],[P_R4]]="","",Table1[Pu(kN)]/Table1[[#This Row],[P_R4]])</f>
        <v>1.1242946641965181</v>
      </c>
      <c r="AP35" s="6">
        <v>0.1489</v>
      </c>
      <c r="AQ35">
        <v>1416.36</v>
      </c>
      <c r="AR35" s="5">
        <v>1252.28</v>
      </c>
      <c r="AS35">
        <f>IF(Table1[[#This Row],[P_F4]]="","",Table1[Pu(kN)]/Table1[[#This Row],[P_F4]])</f>
        <v>1.2696840962085156</v>
      </c>
      <c r="AT35">
        <v>0.13450000000000001</v>
      </c>
      <c r="AU35" s="7">
        <v>1264.8</v>
      </c>
      <c r="AV35">
        <v>1291.8800000000001</v>
      </c>
      <c r="AW35">
        <f>IF(Table1[[#This Row],[P_F5]]="","",Table1[Pu(kN)]/Table1[[#This Row],[P_F5]])</f>
        <v>1.2307644672879834</v>
      </c>
      <c r="AX35">
        <v>0.126</v>
      </c>
      <c r="AY35" s="7">
        <v>1296.5</v>
      </c>
      <c r="AZ35">
        <v>1465.4</v>
      </c>
      <c r="BA35">
        <f>IF(Table1[[#This Row],[P_R5]]="","",Table1[Pu(kN)]/Table1[[#This Row],[P_R5]])</f>
        <v>1.0850279787088848</v>
      </c>
      <c r="BB35">
        <v>0.2407</v>
      </c>
      <c r="BC35">
        <v>1471.06</v>
      </c>
      <c r="BD35" s="5">
        <v>1177.1600000000001</v>
      </c>
      <c r="BE35" s="6">
        <f>IF(Table1[[#This Row],[P_F6]]="","",Table1[Pu(kN)]/Table1[[#This Row],[P_F6]])</f>
        <v>1.3507084848278907</v>
      </c>
      <c r="BF35" s="6">
        <v>0.27650000000000002</v>
      </c>
      <c r="BG35" s="6">
        <v>1177.1600000000001</v>
      </c>
      <c r="BH35" s="5">
        <v>1448.58</v>
      </c>
      <c r="BI35" s="6">
        <f>IF(Table1[[#This Row],[P_R6]]="","",Table1[Pu(kN)]/Table1[[#This Row],[P_R6]])</f>
        <v>1.0976266412624778</v>
      </c>
      <c r="BJ35" s="6">
        <v>0.28270000000000001</v>
      </c>
      <c r="BK35" s="6">
        <v>1448.58</v>
      </c>
      <c r="BL35" s="5">
        <v>1196.7</v>
      </c>
      <c r="BM35" s="6">
        <f>IF(Table1[[#This Row],[P_F7]]="","",Table1[Pu(kN)]/Table1[[#This Row],[P_F7]])</f>
        <v>1.3286537979443469</v>
      </c>
      <c r="BN35" s="6">
        <v>0.25240000000000001</v>
      </c>
      <c r="BO35" s="6">
        <v>1198.6199999999999</v>
      </c>
      <c r="BP35" s="5">
        <v>1301.3599999999999</v>
      </c>
      <c r="BQ35" s="6">
        <f>IF(Table1[[#This Row],[P_F8]]="","",Table1[Pu(kN)]/Table1[[#This Row],[P_F8]])</f>
        <v>1.2217987336325076</v>
      </c>
      <c r="BR35" s="6">
        <v>5.9900000000000002E-2</v>
      </c>
      <c r="BS35" s="6">
        <v>1305.7</v>
      </c>
      <c r="BT35" s="34">
        <f>709*2</f>
        <v>1418</v>
      </c>
      <c r="BU35" s="6">
        <f>IF(Table1[[#This Row],[P_R7]]="","",Table1[Pu(kN)]/Table1[[#This Row],[P_R7]])</f>
        <v>1.1212976022566996</v>
      </c>
      <c r="BV35" s="6">
        <v>0.21</v>
      </c>
      <c r="BW35" s="6">
        <f>Table1[[#This Row],[P_R7]]</f>
        <v>1418</v>
      </c>
      <c r="BX35" s="5">
        <v>1270.42</v>
      </c>
      <c r="BY35" s="6">
        <f>IF(Table1[[#This Row],[P_F9]]="","",Table1[Pu(kN)]/Table1[[#This Row],[P_F9]])</f>
        <v>1.2515546039892318</v>
      </c>
      <c r="BZ35" s="6">
        <v>8.6300000000000002E-2</v>
      </c>
      <c r="CA35" s="7">
        <v>1274.3399999999999</v>
      </c>
      <c r="CB35" s="5">
        <v>1423.38</v>
      </c>
      <c r="CC35" s="6">
        <f>IF(Table1[[#This Row],[P_R8]]="","",Table1[Pu(kN)]/Table1[[#This Row],[P_R8]])</f>
        <v>1.1170593938372042</v>
      </c>
      <c r="CD35" s="6">
        <v>0.1479</v>
      </c>
      <c r="CE35" s="6">
        <v>1428.6</v>
      </c>
      <c r="CF35" s="5">
        <v>1363.94</v>
      </c>
      <c r="CG35">
        <f>IF(Table1[[#This Row],[P_R9]]="","",Table1[Pu(kN)]/Table1[[#This Row],[P_R9]])</f>
        <v>1.1657404284645951</v>
      </c>
      <c r="CH35">
        <v>8.7099999999999997E-2</v>
      </c>
      <c r="CI35">
        <v>1363.94</v>
      </c>
      <c r="CJ35" s="5">
        <v>1156.26</v>
      </c>
      <c r="CK35" s="6">
        <f>IF(Table1[[#This Row],[P_F10]]="","",Table1[Pu(kN)]/Table1[[#This Row],[P_F10]])</f>
        <v>1.3751232421773649</v>
      </c>
      <c r="CL35" s="6">
        <v>0.1416</v>
      </c>
      <c r="CM35" s="7">
        <v>1161.0999999999999</v>
      </c>
      <c r="CN35" s="38">
        <f>Table1[[#This Row],[P_R8]]</f>
        <v>1423.38</v>
      </c>
      <c r="CO35" s="38">
        <f>Table1[[#This Row],[Pu(kN)]]/Table1[[#This Row],[P_R8_2]]</f>
        <v>1.1170593938372042</v>
      </c>
      <c r="CP35" s="38">
        <f>Table1[[#This Row],[DUCTIL_R8]]</f>
        <v>0.1479</v>
      </c>
      <c r="CQ35" s="38">
        <f>Table1[[#This Row],[P_R8_2]]</f>
        <v>1423.38</v>
      </c>
    </row>
    <row r="36" spans="1:95" x14ac:dyDescent="0.3">
      <c r="A36" s="27" t="s">
        <v>53</v>
      </c>
      <c r="B36" s="36" t="s">
        <v>95</v>
      </c>
      <c r="C36" s="20" t="s">
        <v>50</v>
      </c>
      <c r="D36" s="20">
        <v>1998</v>
      </c>
      <c r="E36" s="20"/>
      <c r="F36" s="20">
        <v>86</v>
      </c>
      <c r="G36" s="23">
        <v>2.15</v>
      </c>
      <c r="H36" s="20">
        <v>675</v>
      </c>
      <c r="I36" s="20">
        <v>624</v>
      </c>
      <c r="J36" s="23">
        <f>Table1[[#This Row],[a'[mm']]]/Table1[[#This Row],[d'[mm']]]</f>
        <v>1.0817307692307692</v>
      </c>
      <c r="K36" s="20">
        <v>700</v>
      </c>
      <c r="L36" s="20" t="s">
        <v>28</v>
      </c>
      <c r="M36" s="20">
        <v>1900</v>
      </c>
      <c r="N36" s="20" t="s">
        <v>130</v>
      </c>
      <c r="O36" s="30" t="s">
        <v>131</v>
      </c>
      <c r="P36" s="6">
        <v>1171.44</v>
      </c>
      <c r="Q36" s="6">
        <f>IF(Table1[[#This Row],[P_F1]]="","",Table1[Pu(kN)]/Table1[[#This Row],[P_F1]])</f>
        <v>1.6219353957522364</v>
      </c>
      <c r="R36" s="6">
        <v>9.0899999999999995E-2</v>
      </c>
      <c r="S36" s="6">
        <v>1181.68</v>
      </c>
      <c r="T36" s="5">
        <v>1710.72</v>
      </c>
      <c r="U36" s="6">
        <f>IF(Table1[[#This Row],[P_R1]]="","",Table1[Pu(kN)]/Table1[[#This Row],[P_R1]])</f>
        <v>1.1106434717545828</v>
      </c>
      <c r="V36">
        <v>2.5600000000000001E-2</v>
      </c>
      <c r="W36">
        <v>1714.88</v>
      </c>
      <c r="X36" s="5">
        <v>1387.36</v>
      </c>
      <c r="Y36" s="6">
        <f>IF(Table1[[#This Row],[P_F2]]="","",Table1[Pu(kN)]/Table1[[#This Row],[P_F2]])</f>
        <v>1.3695075539153501</v>
      </c>
      <c r="Z36">
        <v>0.1615</v>
      </c>
      <c r="AA36">
        <v>1387.36</v>
      </c>
      <c r="AB36" s="10">
        <v>1770.88</v>
      </c>
      <c r="AC36" s="8">
        <f>IF(Table1[[#This Row],[P_R2]]="","",Table1[Pu(kN)]/Table1[[#This Row],[P_R2]])</f>
        <v>1.0729129020599928</v>
      </c>
      <c r="AD36" s="8">
        <v>5.2699999999999997E-2</v>
      </c>
      <c r="AE36" s="9">
        <v>1770.88</v>
      </c>
      <c r="AF36" s="2">
        <v>1195.46</v>
      </c>
      <c r="AG36" s="2">
        <f>IF(Table1[[#This Row],[P_F3]]="","",Table1[Pu(kN)]/Table1[[#This Row],[P_F3]])</f>
        <v>1.5893463603968347</v>
      </c>
      <c r="AH36" s="2">
        <v>8.8999999999999996E-2</v>
      </c>
      <c r="AI36">
        <v>1206.3399999999999</v>
      </c>
      <c r="AJ36" s="5">
        <v>1774.5</v>
      </c>
      <c r="AK36">
        <f>IF(Table1[[#This Row],[P_R3]]="","",Table1[Pu(kN)]/Table1[[#This Row],[P_R3]])</f>
        <v>1.0707241476472247</v>
      </c>
      <c r="AL36">
        <v>5.7000000000000002E-2</v>
      </c>
      <c r="AM36">
        <v>1774.5</v>
      </c>
      <c r="AN36" s="5">
        <v>1713.94</v>
      </c>
      <c r="AO36" s="6">
        <f>IF(Table1[[#This Row],[P_R4]]="","",Table1[Pu(kN)]/Table1[[#This Row],[P_R4]])</f>
        <v>1.1085568923066151</v>
      </c>
      <c r="AP36" s="6">
        <v>4.87E-2</v>
      </c>
      <c r="AQ36">
        <v>1720.4</v>
      </c>
      <c r="AR36" s="5">
        <v>1223.26</v>
      </c>
      <c r="AS36">
        <f>IF(Table1[[#This Row],[P_F4]]="","",Table1[Pu(kN)]/Table1[[#This Row],[P_F4]])</f>
        <v>1.5532266239393098</v>
      </c>
      <c r="AT36">
        <v>7.85E-2</v>
      </c>
      <c r="AU36" s="7">
        <v>1223.26</v>
      </c>
      <c r="AV36">
        <v>1371.96</v>
      </c>
      <c r="AW36">
        <f>IF(Table1[[#This Row],[P_F5]]="","",Table1[Pu(kN)]/Table1[[#This Row],[P_F5]])</f>
        <v>1.3848800256567246</v>
      </c>
      <c r="AX36">
        <v>0.191</v>
      </c>
      <c r="AY36" s="7">
        <v>1384.98</v>
      </c>
      <c r="AZ36">
        <v>1964.3</v>
      </c>
      <c r="BA36">
        <f>IF(Table1[[#This Row],[P_R5]]="","",Table1[Pu(kN)]/Table1[[#This Row],[P_R5]])</f>
        <v>0.96726569261314466</v>
      </c>
      <c r="BB36">
        <v>0.41049999999999998</v>
      </c>
      <c r="BC36">
        <v>1964.3</v>
      </c>
      <c r="BD36" s="5">
        <v>1300.94</v>
      </c>
      <c r="BE36" s="6">
        <f>IF(Table1[[#This Row],[P_F6]]="","",Table1[Pu(kN)]/Table1[[#This Row],[P_F6]])</f>
        <v>1.4604824204037081</v>
      </c>
      <c r="BF36" s="6">
        <v>0.20649999999999999</v>
      </c>
      <c r="BG36" s="6">
        <v>1300.94</v>
      </c>
      <c r="BH36" s="5">
        <v>1750.12</v>
      </c>
      <c r="BI36" s="6">
        <f>IF(Table1[[#This Row],[P_R6]]="","",Table1[Pu(kN)]/Table1[[#This Row],[P_R6]])</f>
        <v>1.0856398418394169</v>
      </c>
      <c r="BJ36" s="6">
        <v>8.5199999999999998E-2</v>
      </c>
      <c r="BK36" s="6">
        <v>1754.82</v>
      </c>
      <c r="BL36" s="5">
        <v>1381.68</v>
      </c>
      <c r="BM36" s="6">
        <f>IF(Table1[[#This Row],[P_F7]]="","",Table1[Pu(kN)]/Table1[[#This Row],[P_F7]])</f>
        <v>1.3751375137513751</v>
      </c>
      <c r="BN36" s="6">
        <v>0.2273</v>
      </c>
      <c r="BO36" s="6">
        <v>1384.62</v>
      </c>
      <c r="BP36" s="5">
        <v>1432.56</v>
      </c>
      <c r="BQ36" s="6">
        <f>IF(Table1[[#This Row],[P_F8]]="","",Table1[Pu(kN)]/Table1[[#This Row],[P_F8]])</f>
        <v>1.3262969788350925</v>
      </c>
      <c r="BR36" s="6">
        <v>9.7100000000000006E-2</v>
      </c>
      <c r="BS36" s="6">
        <v>1432.56</v>
      </c>
      <c r="BT36" s="34">
        <v>1757.8</v>
      </c>
      <c r="BU36" s="6">
        <f>IF(Table1[[#This Row],[P_R7]]="","",Table1[Pu(kN)]/Table1[[#This Row],[P_R7]])</f>
        <v>1.0808965752645352</v>
      </c>
      <c r="BV36" s="6">
        <v>5.16E-2</v>
      </c>
      <c r="BW36" s="6">
        <v>1757.8</v>
      </c>
      <c r="BX36" s="5">
        <v>1376.5</v>
      </c>
      <c r="BY36" s="6">
        <f>IF(Table1[[#This Row],[P_F9]]="","",Table1[Pu(kN)]/Table1[[#This Row],[P_F9]])</f>
        <v>1.3803123864874682</v>
      </c>
      <c r="BZ36" s="6">
        <v>0.13980000000000001</v>
      </c>
      <c r="CA36" s="7">
        <v>1376.5</v>
      </c>
      <c r="CB36" s="5">
        <v>1712.26</v>
      </c>
      <c r="CC36" s="6">
        <f>IF(Table1[[#This Row],[P_R8]]="","",Table1[Pu(kN)]/Table1[[#This Row],[P_R8]])</f>
        <v>1.1096445633256631</v>
      </c>
      <c r="CD36" s="6">
        <v>5.7099999999999998E-2</v>
      </c>
      <c r="CE36" s="6">
        <v>1712.26</v>
      </c>
      <c r="CF36" s="5">
        <v>1416.88</v>
      </c>
      <c r="CG36">
        <f>IF(Table1[[#This Row],[P_R9]]="","",Table1[Pu(kN)]/Table1[[#This Row],[P_R9]])</f>
        <v>1.340974535599345</v>
      </c>
      <c r="CH36">
        <v>4.2500000000000003E-2</v>
      </c>
      <c r="CI36">
        <v>1416.88</v>
      </c>
      <c r="CJ36" s="5">
        <v>1314.34</v>
      </c>
      <c r="CK36" s="6">
        <f>IF(Table1[[#This Row],[P_F10]]="","",Table1[Pu(kN)]/Table1[[#This Row],[P_F10]])</f>
        <v>1.4455924646590685</v>
      </c>
      <c r="CL36" s="6">
        <v>0.19839999999999999</v>
      </c>
      <c r="CM36" s="7">
        <v>1314.34</v>
      </c>
      <c r="CN36" s="38">
        <f>Table1[[#This Row],[P_R8]]</f>
        <v>1712.26</v>
      </c>
      <c r="CO36" s="38">
        <f>Table1[[#This Row],[Pu(kN)]]/Table1[[#This Row],[P_R8_2]]</f>
        <v>1.1096445633256631</v>
      </c>
      <c r="CP36" s="38">
        <f>Table1[[#This Row],[DUCTIL_R8]]</f>
        <v>5.7099999999999998E-2</v>
      </c>
      <c r="CQ36" s="38">
        <f>Table1[[#This Row],[P_R8_2]]</f>
        <v>1712.26</v>
      </c>
    </row>
    <row r="37" spans="1:95" x14ac:dyDescent="0.3">
      <c r="A37" s="26" t="s">
        <v>54</v>
      </c>
      <c r="B37" s="35" t="s">
        <v>95</v>
      </c>
      <c r="C37" s="18" t="s">
        <v>50</v>
      </c>
      <c r="D37" s="18">
        <v>1998</v>
      </c>
      <c r="E37" s="18"/>
      <c r="F37" s="18">
        <v>80</v>
      </c>
      <c r="G37" s="22">
        <v>2.15</v>
      </c>
      <c r="H37" s="18">
        <v>1175</v>
      </c>
      <c r="I37" s="18">
        <v>624</v>
      </c>
      <c r="J37" s="22">
        <f>Table1[[#This Row],[a'[mm']]]/Table1[[#This Row],[d'[mm']]]</f>
        <v>1.8830128205128205</v>
      </c>
      <c r="K37" s="18">
        <v>700</v>
      </c>
      <c r="L37" s="18" t="s">
        <v>28</v>
      </c>
      <c r="M37" s="18">
        <v>1020</v>
      </c>
      <c r="N37" s="22" t="s">
        <v>130</v>
      </c>
      <c r="O37" s="29" t="s">
        <v>131</v>
      </c>
      <c r="P37" s="6">
        <v>810.82</v>
      </c>
      <c r="Q37">
        <f>IF(Table1[[#This Row],[P_F1]]="","",Table1[Pu(kN)]/Table1[[#This Row],[P_F1]])</f>
        <v>1.2579857428282479</v>
      </c>
      <c r="R37" s="6">
        <v>0.35020000000000001</v>
      </c>
      <c r="S37" s="6">
        <v>812.36</v>
      </c>
      <c r="T37" s="5">
        <v>977.62</v>
      </c>
      <c r="U37" s="6">
        <f>IF(Table1[[#This Row],[P_R1]]="","",Table1[Pu(kN)]/Table1[[#This Row],[P_R1]])</f>
        <v>1.0433501769603732</v>
      </c>
      <c r="V37">
        <v>0.37169999999999997</v>
      </c>
      <c r="W37">
        <v>977.62</v>
      </c>
      <c r="X37" s="5">
        <v>782.42</v>
      </c>
      <c r="Y37" s="6">
        <f>IF(Table1[[#This Row],[P_F2]]="","",Table1[Pu(kN)]/Table1[[#This Row],[P_F2]])</f>
        <v>1.3036476572684748</v>
      </c>
      <c r="Z37">
        <v>0.37040000000000001</v>
      </c>
      <c r="AA37">
        <v>782.42</v>
      </c>
      <c r="AB37" s="10">
        <v>974.48</v>
      </c>
      <c r="AC37">
        <f>IF(Table1[[#This Row],[P_R2]]="","",Table1[Pu(kN)]/Table1[[#This Row],[P_R2]])</f>
        <v>1.0467120926032345</v>
      </c>
      <c r="AD37">
        <v>0.45750000000000002</v>
      </c>
      <c r="AE37" s="7">
        <v>974.48</v>
      </c>
      <c r="AF37" s="8">
        <v>824.12</v>
      </c>
      <c r="AG37" s="8">
        <f>IF(Table1[[#This Row],[P_F3]]="","",Table1[Pu(kN)]/Table1[[#This Row],[P_F3]])</f>
        <v>1.2376838324515846</v>
      </c>
      <c r="AH37" s="8">
        <v>0.30149999999999999</v>
      </c>
      <c r="AI37">
        <v>832.54</v>
      </c>
      <c r="AJ37" s="5">
        <v>975.96</v>
      </c>
      <c r="AK37">
        <f>IF(Table1[[#This Row],[P_R3]]="","",Table1[Pu(kN)]/Table1[[#This Row],[P_R3]])</f>
        <v>1.0451248001967293</v>
      </c>
      <c r="AL37">
        <v>0.45689999999999997</v>
      </c>
      <c r="AM37">
        <v>975.96</v>
      </c>
      <c r="AN37" s="5">
        <v>970.3</v>
      </c>
      <c r="AO37" s="6">
        <f>IF(Table1[[#This Row],[P_R4]]="","",Table1[Pu(kN)]/Table1[[#This Row],[P_R4]])</f>
        <v>1.0512212717716172</v>
      </c>
      <c r="AP37" s="6">
        <v>0.3634</v>
      </c>
      <c r="AQ37">
        <v>970.3</v>
      </c>
      <c r="AR37" s="5">
        <v>804.16</v>
      </c>
      <c r="AS37">
        <f>IF(Table1[[#This Row],[P_F4]]="","",Table1[Pu(kN)]/Table1[[#This Row],[P_F4]])</f>
        <v>1.2684042976522085</v>
      </c>
      <c r="AT37">
        <v>0.35570000000000002</v>
      </c>
      <c r="AU37" s="7">
        <v>807.34</v>
      </c>
      <c r="AV37">
        <v>780.9</v>
      </c>
      <c r="AW37">
        <f>IF(Table1[[#This Row],[P_F5]]="","",Table1[Pu(kN)]/Table1[[#This Row],[P_F5]])</f>
        <v>1.3061851709565886</v>
      </c>
      <c r="AX37">
        <v>0.40110000000000001</v>
      </c>
      <c r="AY37" s="7">
        <v>786.66</v>
      </c>
      <c r="AZ37">
        <v>999.04</v>
      </c>
      <c r="BA37">
        <f>IF(Table1[[#This Row],[P_R5]]="","",Table1[Pu(kN)]/Table1[[#This Row],[P_R5]])</f>
        <v>1.0209801409352979</v>
      </c>
      <c r="BB37">
        <v>0.51970000000000005</v>
      </c>
      <c r="BC37">
        <v>999.04</v>
      </c>
      <c r="BD37" s="5">
        <v>864.92</v>
      </c>
      <c r="BE37" s="6">
        <f>IF(Table1[[#This Row],[P_F6]]="","",Table1[Pu(kN)]/Table1[[#This Row],[P_F6]])</f>
        <v>1.1792998196364983</v>
      </c>
      <c r="BF37" s="6">
        <v>0.41920000000000002</v>
      </c>
      <c r="BG37" s="6">
        <v>864.92</v>
      </c>
      <c r="BH37" s="5">
        <v>987.54</v>
      </c>
      <c r="BI37" s="6">
        <f>IF(Table1[[#This Row],[P_R6]]="","",Table1[Pu(kN)]/Table1[[#This Row],[P_R6]])</f>
        <v>1.032869554650951</v>
      </c>
      <c r="BJ37" s="6">
        <v>0.43869999999999998</v>
      </c>
      <c r="BK37" s="6">
        <v>991.2</v>
      </c>
      <c r="BL37" s="5">
        <v>767.08</v>
      </c>
      <c r="BM37" s="6">
        <f>IF(Table1[[#This Row],[P_F7]]="","",Table1[Pu(kN)]/Table1[[#This Row],[P_F7]])</f>
        <v>1.3297178912238619</v>
      </c>
      <c r="BN37" s="6">
        <v>0.45329999999999998</v>
      </c>
      <c r="BO37" s="6">
        <v>771.7</v>
      </c>
      <c r="BP37" s="5">
        <v>815.7</v>
      </c>
      <c r="BQ37" s="6">
        <f>IF(Table1[[#This Row],[P_F8]]="","",Table1[Pu(kN)]/Table1[[#This Row],[P_F8]])</f>
        <v>1.250459727841118</v>
      </c>
      <c r="BR37" s="6">
        <v>0.3231</v>
      </c>
      <c r="BS37" s="6">
        <v>817.28</v>
      </c>
      <c r="BT37" s="34">
        <v>968.72</v>
      </c>
      <c r="BU37" s="6">
        <f>IF(Table1[[#This Row],[P_R7]]="","",Table1[Pu(kN)]/Table1[[#This Row],[P_R7]])</f>
        <v>1.0529358328515979</v>
      </c>
      <c r="BV37" s="6">
        <v>0.3755</v>
      </c>
      <c r="BW37" s="6">
        <v>968.72</v>
      </c>
      <c r="BX37" s="5">
        <v>796.28</v>
      </c>
      <c r="BY37" s="6">
        <f>IF(Table1[[#This Row],[P_F9]]="","",Table1[Pu(kN)]/Table1[[#This Row],[P_F9]])</f>
        <v>1.2809564474807857</v>
      </c>
      <c r="BZ37" s="6">
        <v>0.3548</v>
      </c>
      <c r="CA37" s="7">
        <v>796.28</v>
      </c>
      <c r="CB37" s="5">
        <v>969.72</v>
      </c>
      <c r="CC37" s="6">
        <f>IF(Table1[[#This Row],[P_R8]]="","",Table1[Pu(kN)]/Table1[[#This Row],[P_R8]])</f>
        <v>1.0518500185620592</v>
      </c>
      <c r="CD37" s="6">
        <v>0.40060000000000001</v>
      </c>
      <c r="CE37" s="6">
        <v>969.72</v>
      </c>
      <c r="CF37" s="5">
        <v>963.46</v>
      </c>
      <c r="CG37">
        <f>IF(Table1[[#This Row],[P_R9]]="","",Table1[Pu(kN)]/Table1[[#This Row],[P_R9]])</f>
        <v>1.0586843252444316</v>
      </c>
      <c r="CH37">
        <v>0.36170000000000002</v>
      </c>
      <c r="CI37">
        <v>963.46</v>
      </c>
      <c r="CJ37" s="5">
        <v>842.62</v>
      </c>
      <c r="CK37" s="6">
        <f>IF(Table1[[#This Row],[P_F10]]="","",Table1[Pu(kN)]/Table1[[#This Row],[P_F10]])</f>
        <v>1.2105100757162184</v>
      </c>
      <c r="CL37" s="6">
        <v>0.36270000000000002</v>
      </c>
      <c r="CM37" s="7">
        <v>842.62</v>
      </c>
      <c r="CN37" s="38">
        <f>Table1[[#This Row],[P_R8]]</f>
        <v>969.72</v>
      </c>
      <c r="CO37" s="38">
        <f>Table1[[#This Row],[Pu(kN)]]/Table1[[#This Row],[P_R8_2]]</f>
        <v>1.0518500185620592</v>
      </c>
      <c r="CP37" s="38">
        <f>Table1[[#This Row],[DUCTIL_R8]]</f>
        <v>0.40060000000000001</v>
      </c>
      <c r="CQ37" s="38">
        <f>Table1[[#This Row],[P_R8_2]]</f>
        <v>969.72</v>
      </c>
    </row>
    <row r="38" spans="1:95" x14ac:dyDescent="0.3">
      <c r="A38" s="27" t="s">
        <v>51</v>
      </c>
      <c r="B38" s="36" t="s">
        <v>95</v>
      </c>
      <c r="C38" s="20" t="s">
        <v>50</v>
      </c>
      <c r="D38" s="20">
        <v>1998</v>
      </c>
      <c r="E38" s="20"/>
      <c r="F38" s="20">
        <v>88</v>
      </c>
      <c r="G38" s="23">
        <v>2.15</v>
      </c>
      <c r="H38" s="20">
        <v>925</v>
      </c>
      <c r="I38" s="20">
        <v>624</v>
      </c>
      <c r="J38" s="23">
        <f>Table1[[#This Row],[a'[mm']]]/Table1[[#This Row],[d'[mm']]]</f>
        <v>1.4823717948717949</v>
      </c>
      <c r="K38" s="20">
        <v>700</v>
      </c>
      <c r="L38" s="20" t="s">
        <v>28</v>
      </c>
      <c r="M38" s="20">
        <v>1550</v>
      </c>
      <c r="N38" s="23" t="s">
        <v>130</v>
      </c>
      <c r="O38" s="30" t="s">
        <v>131</v>
      </c>
      <c r="P38" s="6">
        <v>968.22</v>
      </c>
      <c r="Q38" s="6">
        <f>IF(Table1[[#This Row],[P_F1]]="","",Table1[Pu(kN)]/Table1[[#This Row],[P_F1]])</f>
        <v>1.6008758340046683</v>
      </c>
      <c r="R38" s="6">
        <v>0.32169999999999999</v>
      </c>
      <c r="S38" s="6">
        <v>968.36</v>
      </c>
      <c r="T38" s="5">
        <v>1311.7</v>
      </c>
      <c r="U38" s="6">
        <f>IF(Table1[[#This Row],[P_R1]]="","",Table1[Pu(kN)]/Table1[[#This Row],[P_R1]])</f>
        <v>1.1816726385606464</v>
      </c>
      <c r="V38">
        <v>0.54259999999999997</v>
      </c>
      <c r="W38">
        <v>1311.7</v>
      </c>
      <c r="X38" s="5">
        <v>1050.82</v>
      </c>
      <c r="Y38" s="6">
        <f>IF(Table1[[#This Row],[P_F2]]="","",Table1[Pu(kN)]/Table1[[#This Row],[P_F2]])</f>
        <v>1.4750385413296283</v>
      </c>
      <c r="Z38">
        <v>0.43009999999999998</v>
      </c>
      <c r="AA38">
        <v>1050.82</v>
      </c>
      <c r="AB38" s="10">
        <v>1326.56</v>
      </c>
      <c r="AC38" s="8">
        <f>IF(Table1[[#This Row],[P_R2]]="","",Table1[Pu(kN)]/Table1[[#This Row],[P_R2]])</f>
        <v>1.1684356531178386</v>
      </c>
      <c r="AD38" s="8">
        <v>0.69430000000000003</v>
      </c>
      <c r="AE38" s="9">
        <v>1326.56</v>
      </c>
      <c r="AF38" s="2">
        <v>903.3</v>
      </c>
      <c r="AG38" s="2">
        <f>IF(Table1[[#This Row],[P_F3]]="","",Table1[Pu(kN)]/Table1[[#This Row],[P_F3]])</f>
        <v>1.715930477139378</v>
      </c>
      <c r="AH38" s="2">
        <v>0.26290000000000002</v>
      </c>
      <c r="AI38">
        <v>903.3</v>
      </c>
      <c r="AJ38" s="5">
        <v>1327.48</v>
      </c>
      <c r="AK38">
        <f>IF(Table1[[#This Row],[P_R3]]="","",Table1[Pu(kN)]/Table1[[#This Row],[P_R3]])</f>
        <v>1.1676258776026758</v>
      </c>
      <c r="AL38">
        <v>0.68730000000000002</v>
      </c>
      <c r="AM38">
        <v>1327.48</v>
      </c>
      <c r="AN38" s="5">
        <v>1317.9</v>
      </c>
      <c r="AO38" s="6">
        <f>IF(Table1[[#This Row],[P_R4]]="","",Table1[Pu(kN)]/Table1[[#This Row],[P_R4]])</f>
        <v>1.1761135139236663</v>
      </c>
      <c r="AP38" s="6">
        <v>0.69020000000000004</v>
      </c>
      <c r="AQ38">
        <v>1319.92</v>
      </c>
      <c r="AR38" s="5">
        <v>1058.02</v>
      </c>
      <c r="AS38">
        <f>IF(Table1[[#This Row],[P_F4]]="","",Table1[Pu(kN)]/Table1[[#This Row],[P_F4]])</f>
        <v>1.4650006616132021</v>
      </c>
      <c r="AT38">
        <v>0.36230000000000001</v>
      </c>
      <c r="AU38" s="7">
        <v>1065.26</v>
      </c>
      <c r="AV38">
        <v>1061.94</v>
      </c>
      <c r="AW38">
        <f>IF(Table1[[#This Row],[P_F5]]="","",Table1[Pu(kN)]/Table1[[#This Row],[P_F5]])</f>
        <v>1.4595928206866677</v>
      </c>
      <c r="AX38">
        <v>0.33629999999999999</v>
      </c>
      <c r="AY38" s="7">
        <v>1061.94</v>
      </c>
      <c r="AZ38">
        <v>1359.96</v>
      </c>
      <c r="BA38">
        <f>IF(Table1[[#This Row],[P_R5]]="","",Table1[Pu(kN)]/Table1[[#This Row],[P_R5]])</f>
        <v>1.1397394041001205</v>
      </c>
      <c r="BB38">
        <v>0.85770000000000002</v>
      </c>
      <c r="BC38">
        <v>1359.96</v>
      </c>
      <c r="BD38" s="5">
        <v>952.42</v>
      </c>
      <c r="BE38" s="6">
        <f>IF(Table1[[#This Row],[P_F6]]="","",Table1[Pu(kN)]/Table1[[#This Row],[P_F6]])</f>
        <v>1.6274332752357155</v>
      </c>
      <c r="BF38" s="6">
        <v>0.39129999999999998</v>
      </c>
      <c r="BG38" s="6">
        <v>952.42</v>
      </c>
      <c r="BH38" s="5">
        <v>1285.94</v>
      </c>
      <c r="BI38" s="6">
        <f>IF(Table1[[#This Row],[P_R6]]="","",Table1[Pu(kN)]/Table1[[#This Row],[P_R6]])</f>
        <v>1.2053439507286499</v>
      </c>
      <c r="BJ38" s="6">
        <v>0.44269999999999998</v>
      </c>
      <c r="BK38" s="6">
        <v>1289.96</v>
      </c>
      <c r="BL38" s="5">
        <v>1020.86</v>
      </c>
      <c r="BM38" s="6">
        <f>IF(Table1[[#This Row],[P_F7]]="","",Table1[Pu(kN)]/Table1[[#This Row],[P_F7]])</f>
        <v>1.5183276845013027</v>
      </c>
      <c r="BN38" s="6">
        <v>0.37709999999999999</v>
      </c>
      <c r="BO38" s="6">
        <v>1027.5</v>
      </c>
      <c r="BP38" s="5">
        <v>1011.18</v>
      </c>
      <c r="BQ38" s="6">
        <f>IF(Table1[[#This Row],[P_F8]]="","",Table1[Pu(kN)]/Table1[[#This Row],[P_F8]])</f>
        <v>1.5328625961747662</v>
      </c>
      <c r="BR38" s="6">
        <v>0.30819999999999997</v>
      </c>
      <c r="BS38" s="6">
        <v>1011.18</v>
      </c>
      <c r="BT38" s="5">
        <v>1318.2</v>
      </c>
      <c r="BU38" s="6">
        <f>IF(Table1[[#This Row],[P_R7]]="","",Table1[Pu(kN)]/Table1[[#This Row],[P_R7]])</f>
        <v>1.1758458504020635</v>
      </c>
      <c r="BV38" s="6">
        <v>0.66469999999999996</v>
      </c>
      <c r="BW38" s="6">
        <v>1318.2</v>
      </c>
      <c r="BX38" s="5">
        <v>1024.9000000000001</v>
      </c>
      <c r="BY38" s="6">
        <f>IF(Table1[[#This Row],[P_F9]]="","",Table1[Pu(kN)]/Table1[[#This Row],[P_F9]])</f>
        <v>1.5123426675773244</v>
      </c>
      <c r="BZ38" s="6">
        <v>0.36380000000000001</v>
      </c>
      <c r="CA38" s="7">
        <v>1024.9000000000001</v>
      </c>
      <c r="CB38" s="5">
        <v>1322.1</v>
      </c>
      <c r="CC38" s="6">
        <f>IF(Table1[[#This Row],[P_R8]]="","",Table1[Pu(kN)]/Table1[[#This Row],[P_R8]])</f>
        <v>1.1723772785719688</v>
      </c>
      <c r="CD38" s="6">
        <v>0.69569999999999999</v>
      </c>
      <c r="CE38" s="6">
        <v>1324.28</v>
      </c>
      <c r="CF38" s="5">
        <v>1086.58</v>
      </c>
      <c r="CG38">
        <f>IF(Table1[[#This Row],[P_R9]]="","",Table1[Pu(kN)]/Table1[[#This Row],[P_R9]])</f>
        <v>1.4264941375692541</v>
      </c>
      <c r="CH38">
        <v>0.21809999999999999</v>
      </c>
      <c r="CI38">
        <v>1088.5999999999999</v>
      </c>
      <c r="CJ38" s="5">
        <v>978.36</v>
      </c>
      <c r="CK38" s="6">
        <f>IF(Table1[[#This Row],[P_F10]]="","",Table1[Pu(kN)]/Table1[[#This Row],[P_F10]])</f>
        <v>1.5842839036755387</v>
      </c>
      <c r="CL38" s="6">
        <v>0.2777</v>
      </c>
      <c r="CM38" s="7">
        <v>988.62</v>
      </c>
      <c r="CN38" s="38">
        <f>Table1[[#This Row],[P_R8]]</f>
        <v>1322.1</v>
      </c>
      <c r="CO38" s="38">
        <f>Table1[[#This Row],[Pu(kN)]]/Table1[[#This Row],[P_R8_2]]</f>
        <v>1.1723772785719688</v>
      </c>
      <c r="CP38" s="38">
        <f>Table1[[#This Row],[DUCTIL_R8]]</f>
        <v>0.69569999999999999</v>
      </c>
      <c r="CQ38" s="38">
        <f>Table1[[#This Row],[P_R8_2]]</f>
        <v>1322.1</v>
      </c>
    </row>
    <row r="39" spans="1:95" x14ac:dyDescent="0.3">
      <c r="A39" s="27" t="s">
        <v>34</v>
      </c>
      <c r="B39" s="20" t="s">
        <v>93</v>
      </c>
      <c r="C39" s="20" t="s">
        <v>32</v>
      </c>
      <c r="D39" s="20">
        <v>2015</v>
      </c>
      <c r="E39" s="20" t="s">
        <v>90</v>
      </c>
      <c r="F39" s="20">
        <f>0.8*77.5</f>
        <v>62</v>
      </c>
      <c r="G39" s="23">
        <v>1.17</v>
      </c>
      <c r="H39" s="20">
        <v>1500</v>
      </c>
      <c r="I39" s="20">
        <v>269.5</v>
      </c>
      <c r="J39" s="23">
        <f>Table1[[#This Row],[a'[mm']]]/Table1[[#This Row],[d'[mm']]]</f>
        <v>5.5658627087198518</v>
      </c>
      <c r="K39" s="20">
        <v>300</v>
      </c>
      <c r="L39" s="20" t="s">
        <v>28</v>
      </c>
      <c r="M39" s="20">
        <v>115.9</v>
      </c>
      <c r="N39" s="20" t="s">
        <v>130</v>
      </c>
      <c r="O39" s="30" t="s">
        <v>130</v>
      </c>
      <c r="P39" s="6">
        <v>131.25</v>
      </c>
      <c r="Q39">
        <f>IF(Table1[[#This Row],[P_F1]]="","",Table1[Pu(kN)]/Table1[[#This Row],[P_F1]])</f>
        <v>0.88304761904761908</v>
      </c>
      <c r="R39">
        <v>8.4900000000000003E-2</v>
      </c>
      <c r="S39">
        <v>131.25</v>
      </c>
      <c r="T39" s="5">
        <v>122.94</v>
      </c>
      <c r="U39" s="6">
        <f>IF(Table1[[#This Row],[P_R1]]="","",Table1[Pu(kN)]/Table1[[#This Row],[P_R1]])</f>
        <v>0.9427362941272166</v>
      </c>
      <c r="V39">
        <v>2.4299999999999999E-2</v>
      </c>
      <c r="W39">
        <v>122.94</v>
      </c>
      <c r="X39" s="5">
        <v>152.63999999999999</v>
      </c>
      <c r="Y39" s="6">
        <f>IF(Table1[[#This Row],[P_F2]]="","",Table1[Pu(kN)]/Table1[[#This Row],[P_F2]])</f>
        <v>0.75930293501048229</v>
      </c>
      <c r="Z39">
        <v>0.90190000000000003</v>
      </c>
      <c r="AA39">
        <v>152.63999999999999</v>
      </c>
      <c r="AB39" s="10">
        <v>145.9</v>
      </c>
      <c r="AC39" s="8">
        <f>IF(Table1[[#This Row],[P_R2]]="","",Table1[Pu(kN)]/Table1[[#This Row],[P_R2]])</f>
        <v>0.79437971213159697</v>
      </c>
      <c r="AD39" s="8">
        <v>0.85189999999999999</v>
      </c>
      <c r="AE39" s="9">
        <v>145.9</v>
      </c>
      <c r="AF39" s="2">
        <v>155.13999999999999</v>
      </c>
      <c r="AG39" s="2">
        <f>IF(Table1[[#This Row],[P_F3]]="","",Table1[Pu(kN)]/Table1[[#This Row],[P_F3]])</f>
        <v>0.74706716514116289</v>
      </c>
      <c r="AH39" s="2">
        <v>0.91410000000000002</v>
      </c>
      <c r="AI39">
        <v>155.21</v>
      </c>
      <c r="AJ39" s="5">
        <v>148.02000000000001</v>
      </c>
      <c r="AK39">
        <f>IF(Table1[[#This Row],[P_R3]]="","",Table1[Pu(kN)]/Table1[[#This Row],[P_R3]])</f>
        <v>0.78300229698689361</v>
      </c>
      <c r="AL39">
        <v>0.88300000000000001</v>
      </c>
      <c r="AM39">
        <v>148.02000000000001</v>
      </c>
      <c r="AN39" s="5">
        <v>142.69</v>
      </c>
      <c r="AO39" s="6">
        <f>IF(Table1[[#This Row],[P_R4]]="","",Table1[Pu(kN)]/Table1[[#This Row],[P_R4]])</f>
        <v>0.81225033288948079</v>
      </c>
      <c r="AP39" s="6">
        <v>0.86719999999999997</v>
      </c>
      <c r="AQ39">
        <v>142.87</v>
      </c>
      <c r="AR39" s="5">
        <v>132.96</v>
      </c>
      <c r="AS39">
        <f>IF(Table1[[#This Row],[P_F4]]="","",Table1[Pu(kN)]/Table1[[#This Row],[P_F4]])</f>
        <v>0.87169073405535502</v>
      </c>
      <c r="AT39">
        <v>0.34610000000000002</v>
      </c>
      <c r="AU39" s="7">
        <v>132.96</v>
      </c>
      <c r="AV39">
        <v>147.84</v>
      </c>
      <c r="AW39">
        <f>IF(Table1[[#This Row],[P_F5]]="","",Table1[Pu(kN)]/Table1[[#This Row],[P_F5]])</f>
        <v>0.78395562770562777</v>
      </c>
      <c r="AX39">
        <v>0.85980000000000001</v>
      </c>
      <c r="AY39" s="7">
        <v>147.97999999999999</v>
      </c>
      <c r="AZ39">
        <v>140.78</v>
      </c>
      <c r="BA39">
        <f>IF(Table1[[#This Row],[P_R5]]="","",Table1[Pu(kN)]/Table1[[#This Row],[P_R5]])</f>
        <v>0.82327035090211687</v>
      </c>
      <c r="BB39">
        <v>0.80520000000000003</v>
      </c>
      <c r="BC39">
        <v>140.79</v>
      </c>
      <c r="BD39" s="5">
        <v>146.1</v>
      </c>
      <c r="BE39" s="6">
        <f>IF(Table1[[#This Row],[P_F6]]="","",Table1[Pu(kN)]/Table1[[#This Row],[P_F6]])</f>
        <v>0.79329226557152643</v>
      </c>
      <c r="BF39" s="6">
        <v>0.83979999999999999</v>
      </c>
      <c r="BG39" s="6">
        <v>146.1</v>
      </c>
      <c r="BH39" s="5">
        <v>139.69</v>
      </c>
      <c r="BI39" s="6">
        <f>IF(Table1[[#This Row],[P_R6]]="","",Table1[Pu(kN)]/Table1[[#This Row],[P_R6]])</f>
        <v>0.82969432314410485</v>
      </c>
      <c r="BJ39" s="6">
        <v>0.76670000000000005</v>
      </c>
      <c r="BK39" s="6">
        <v>139.97</v>
      </c>
      <c r="BL39" s="5">
        <v>143.63999999999999</v>
      </c>
      <c r="BM39" s="6">
        <f>IF(Table1[[#This Row],[P_F7]]="","",Table1[Pu(kN)]/Table1[[#This Row],[P_F7]])</f>
        <v>0.80687830687830697</v>
      </c>
      <c r="BN39" s="6">
        <v>0.85619999999999996</v>
      </c>
      <c r="BO39" s="6">
        <v>143.86000000000001</v>
      </c>
      <c r="BP39" s="5">
        <v>137.19999999999999</v>
      </c>
      <c r="BQ39" s="6">
        <f>IF(Table1[[#This Row],[P_F8]]="","",Table1[Pu(kN)]/Table1[[#This Row],[P_F8]])</f>
        <v>0.84475218658892137</v>
      </c>
      <c r="BR39" s="6">
        <v>0.7883</v>
      </c>
      <c r="BS39" s="6">
        <v>137.44</v>
      </c>
      <c r="BT39" s="5">
        <v>139.74</v>
      </c>
      <c r="BU39" s="6">
        <f>IF(Table1[[#This Row],[P_R7]]="","",Table1[Pu(kN)]/Table1[[#This Row],[P_R7]])</f>
        <v>0.82939745241162155</v>
      </c>
      <c r="BV39" s="6">
        <v>0.71130000000000004</v>
      </c>
      <c r="BW39" s="6">
        <v>139.74</v>
      </c>
      <c r="BX39" s="5">
        <v>132.54</v>
      </c>
      <c r="BY39" s="6">
        <f>IF(Table1[[#This Row],[P_F9]]="","",Table1[Pu(kN)]/Table1[[#This Row],[P_F9]])</f>
        <v>0.87445299532216703</v>
      </c>
      <c r="BZ39" s="6">
        <v>0.30009999999999998</v>
      </c>
      <c r="CA39" s="7">
        <v>132.54</v>
      </c>
      <c r="CB39" s="5">
        <v>137.88999999999999</v>
      </c>
      <c r="CC39" s="6">
        <f>IF(Table1[[#This Row],[P_R8]]="","",Table1[Pu(kN)]/Table1[[#This Row],[P_R8]])</f>
        <v>0.84052505620422091</v>
      </c>
      <c r="CD39" s="6">
        <v>0.71030000000000004</v>
      </c>
      <c r="CE39" s="6">
        <v>137.88999999999999</v>
      </c>
      <c r="CF39" s="5">
        <v>142.55000000000001</v>
      </c>
      <c r="CG39">
        <f>IF(Table1[[#This Row],[P_R9]]="","",Table1[Pu(kN)]/Table1[[#This Row],[P_R9]])</f>
        <v>0.81304805331462637</v>
      </c>
      <c r="CH39">
        <v>0.87450000000000006</v>
      </c>
      <c r="CI39">
        <v>142.66999999999999</v>
      </c>
      <c r="CJ39" s="5">
        <v>132.01</v>
      </c>
      <c r="CK39" s="6">
        <f>IF(Table1[[#This Row],[P_F10]]="","",Table1[Pu(kN)]/Table1[[#This Row],[P_F10]])</f>
        <v>0.87796379062192265</v>
      </c>
      <c r="CL39" s="6">
        <v>0.2702</v>
      </c>
      <c r="CM39" s="7">
        <v>132.01</v>
      </c>
      <c r="CN39" s="38">
        <f>Table1[[#This Row],[P_R8]]</f>
        <v>137.88999999999999</v>
      </c>
      <c r="CO39" s="38">
        <f>Table1[[#This Row],[Pu(kN)]]/Table1[[#This Row],[P_R8_2]]</f>
        <v>0.84052505620422091</v>
      </c>
      <c r="CP39" s="38">
        <f>Table1[[#This Row],[DUCTIL_R8]]</f>
        <v>0.71030000000000004</v>
      </c>
      <c r="CQ39" s="38">
        <f>Table1[[#This Row],[P_R8_2]]</f>
        <v>137.88999999999999</v>
      </c>
    </row>
    <row r="40" spans="1:95" ht="16.5" customHeight="1" x14ac:dyDescent="0.3">
      <c r="A40" s="26" t="s">
        <v>33</v>
      </c>
      <c r="B40" s="18" t="s">
        <v>93</v>
      </c>
      <c r="C40" s="18" t="s">
        <v>32</v>
      </c>
      <c r="D40" s="18">
        <v>2015</v>
      </c>
      <c r="E40" s="18" t="s">
        <v>90</v>
      </c>
      <c r="F40" s="18">
        <f>0.8*77</f>
        <v>61.6</v>
      </c>
      <c r="G40" s="22">
        <v>1.17</v>
      </c>
      <c r="H40" s="18">
        <v>1000</v>
      </c>
      <c r="I40" s="18">
        <v>269.5</v>
      </c>
      <c r="J40" s="22">
        <f>Table1[[#This Row],[a'[mm']]]/Table1[[#This Row],[d'[mm']]]</f>
        <v>3.7105751391465676</v>
      </c>
      <c r="K40" s="18">
        <v>300</v>
      </c>
      <c r="L40" s="18" t="s">
        <v>293</v>
      </c>
      <c r="M40" s="18">
        <v>144.6</v>
      </c>
      <c r="N40" s="18" t="s">
        <v>130</v>
      </c>
      <c r="O40" s="18" t="s">
        <v>130</v>
      </c>
      <c r="P40" s="5">
        <v>131.74</v>
      </c>
      <c r="Q40">
        <f>IF(Table1[[#This Row],[P_F1]]="","",Table1[Pu(kN)]/Table1[[#This Row],[P_F1]])</f>
        <v>1.0976165173827235</v>
      </c>
      <c r="R40">
        <v>2.3099999999999999E-2</v>
      </c>
      <c r="S40">
        <v>134.16999999999999</v>
      </c>
      <c r="T40" s="5">
        <v>154.07</v>
      </c>
      <c r="U40" s="6">
        <f>IF(Table1[[#This Row],[P_R1]]="","",Table1[Pu(kN)]/Table1[[#This Row],[P_R1]])</f>
        <v>0.93853443240085677</v>
      </c>
      <c r="V40">
        <v>2.3099999999999999E-2</v>
      </c>
      <c r="W40">
        <v>154.07</v>
      </c>
      <c r="X40" s="5">
        <v>141.19999999999999</v>
      </c>
      <c r="Y40" s="6">
        <f>IF(Table1[[#This Row],[P_F2]]="","",Table1[Pu(kN)]/Table1[[#This Row],[P_F2]])</f>
        <v>1.0240793201133145</v>
      </c>
      <c r="Z40">
        <v>2.9399999999999999E-2</v>
      </c>
      <c r="AA40">
        <v>142.66</v>
      </c>
      <c r="AB40" s="10">
        <v>186.82</v>
      </c>
      <c r="AC40" s="8">
        <f>IF(Table1[[#This Row],[P_R2]]="","",Table1[Pu(kN)]/Table1[[#This Row],[P_R2]])</f>
        <v>0.77400706562466548</v>
      </c>
      <c r="AD40" s="8">
        <v>0.86260000000000003</v>
      </c>
      <c r="AE40" s="9">
        <v>186.82</v>
      </c>
      <c r="AF40" s="2">
        <v>141.72</v>
      </c>
      <c r="AG40" s="2">
        <f>IF(Table1[[#This Row],[P_F3]]="","",Table1[Pu(kN)]/Table1[[#This Row],[P_F3]])</f>
        <v>1.0203217612193056</v>
      </c>
      <c r="AH40" s="2">
        <v>2.98E-2</v>
      </c>
      <c r="AI40">
        <v>142.15</v>
      </c>
      <c r="AJ40" s="5">
        <v>187.45</v>
      </c>
      <c r="AK40">
        <f>IF(Table1[[#This Row],[P_R3]]="","",Table1[Pu(kN)]/Table1[[#This Row],[P_R3]])</f>
        <v>0.77140570818885035</v>
      </c>
      <c r="AL40">
        <v>0.84179999999999999</v>
      </c>
      <c r="AM40">
        <v>187.57</v>
      </c>
      <c r="AN40" s="5">
        <v>183.17</v>
      </c>
      <c r="AO40" s="6">
        <f>IF(Table1[[#This Row],[P_R4]]="","",Table1[Pu(kN)]/Table1[[#This Row],[P_R4]])</f>
        <v>0.78943058361085328</v>
      </c>
      <c r="AP40" s="6">
        <v>0.88439999999999996</v>
      </c>
      <c r="AQ40">
        <v>183.27</v>
      </c>
      <c r="AR40" s="5">
        <v>128.54</v>
      </c>
      <c r="AS40">
        <f>IF(Table1[[#This Row],[P_F4]]="","",Table1[Pu(kN)]/Table1[[#This Row],[P_F4]])</f>
        <v>1.1249416524039211</v>
      </c>
      <c r="AT40">
        <v>3.3599999999999998E-2</v>
      </c>
      <c r="AU40" s="7">
        <v>129.36000000000001</v>
      </c>
      <c r="AV40">
        <v>156.57</v>
      </c>
      <c r="AW40">
        <f>IF(Table1[[#This Row],[P_F5]]="","",Table1[Pu(kN)]/Table1[[#This Row],[P_F5]])</f>
        <v>0.92354857252347189</v>
      </c>
      <c r="AX40">
        <v>3.1300000000000001E-2</v>
      </c>
      <c r="AY40" s="7">
        <v>156.57</v>
      </c>
      <c r="AZ40">
        <v>184.69</v>
      </c>
      <c r="BA40">
        <f>IF(Table1[[#This Row],[P_R5]]="","",Table1[Pu(kN)]/Table1[[#This Row],[P_R5]])</f>
        <v>0.78293356435107475</v>
      </c>
      <c r="BB40">
        <v>0.86170000000000002</v>
      </c>
      <c r="BC40">
        <v>184.93</v>
      </c>
      <c r="BD40" s="5">
        <v>151.44999999999999</v>
      </c>
      <c r="BE40" s="6">
        <f>IF(Table1[[#This Row],[P_F6]]="","",Table1[Pu(kN)]/Table1[[#This Row],[P_F6]])</f>
        <v>0.954770551337075</v>
      </c>
      <c r="BF40" s="6">
        <v>2.7400000000000001E-2</v>
      </c>
      <c r="BG40" s="6">
        <v>151.44999999999999</v>
      </c>
      <c r="BH40" s="5">
        <v>186.86</v>
      </c>
      <c r="BI40" s="6">
        <f>IF(Table1[[#This Row],[P_R6]]="","",Table1[Pu(kN)]/Table1[[#This Row],[P_R6]])</f>
        <v>0.77384137857219304</v>
      </c>
      <c r="BJ40" s="6">
        <v>0.85140000000000005</v>
      </c>
      <c r="BK40" s="6">
        <v>186.86</v>
      </c>
      <c r="BL40" s="5">
        <v>161.52000000000001</v>
      </c>
      <c r="BM40" s="6">
        <f>IF(Table1[[#This Row],[P_F7]]="","",Table1[Pu(kN)]/Table1[[#This Row],[P_F7]])</f>
        <v>0.89524517087667155</v>
      </c>
      <c r="BN40" s="6">
        <v>7.8100000000000003E-2</v>
      </c>
      <c r="BO40" s="6">
        <v>162.31</v>
      </c>
      <c r="BP40" s="5">
        <v>144.04</v>
      </c>
      <c r="BQ40" s="6">
        <f>IF(Table1[[#This Row],[P_F8]]="","",Table1[Pu(kN)]/Table1[[#This Row],[P_F8]])</f>
        <v>1.0038878089419605</v>
      </c>
      <c r="BR40" s="6">
        <v>2.98E-2</v>
      </c>
      <c r="BS40" s="6">
        <v>145.47</v>
      </c>
      <c r="BT40" s="5">
        <v>181.5</v>
      </c>
      <c r="BU40" s="6">
        <f>IF(Table1[[#This Row],[P_R7]]="","",Table1[Pu(kN)]/Table1[[#This Row],[P_R7]])</f>
        <v>0.79669421487603298</v>
      </c>
      <c r="BV40" s="6">
        <v>0.73770000000000002</v>
      </c>
      <c r="BW40" s="6">
        <v>185.56</v>
      </c>
      <c r="BX40" s="5">
        <v>126.9</v>
      </c>
      <c r="BY40" s="6">
        <f>IF(Table1[[#This Row],[P_F9]]="","",Table1[Pu(kN)]/Table1[[#This Row],[P_F9]])</f>
        <v>1.1394799054373521</v>
      </c>
      <c r="BZ40" s="6">
        <v>4.9799999999999997E-2</v>
      </c>
      <c r="CA40" s="7">
        <v>127.59</v>
      </c>
      <c r="CB40" s="5">
        <v>185.14</v>
      </c>
      <c r="CC40" s="6">
        <f>IF(Table1[[#This Row],[P_R8]]="","",Table1[Pu(kN)]/Table1[[#This Row],[P_R8]])</f>
        <v>0.78103057145943611</v>
      </c>
      <c r="CD40" s="6">
        <v>0.83509999999999995</v>
      </c>
      <c r="CE40" s="6">
        <v>185.14</v>
      </c>
      <c r="CF40" s="5">
        <v>173.53</v>
      </c>
      <c r="CG40">
        <f>IF(Table1[[#This Row],[P_R9]]="","",Table1[Pu(kN)]/Table1[[#This Row],[P_R9]])</f>
        <v>0.83328531089725111</v>
      </c>
      <c r="CH40">
        <v>0.13650000000000001</v>
      </c>
      <c r="CI40">
        <v>173.53</v>
      </c>
      <c r="CJ40" s="5">
        <v>128.9</v>
      </c>
      <c r="CK40" s="6">
        <f>IF(Table1[[#This Row],[P_F10]]="","",Table1[Pu(kN)]/Table1[[#This Row],[P_F10]])</f>
        <v>1.1217998448409618</v>
      </c>
      <c r="CL40" s="6">
        <v>3.3300000000000003E-2</v>
      </c>
      <c r="CM40" s="7">
        <v>129.75</v>
      </c>
      <c r="CN40" s="38">
        <v>135.4</v>
      </c>
      <c r="CO40" s="38">
        <f>Table1[[#This Row],[Pu(kN)]]/Table1[[#This Row],[P_R8_2]]</f>
        <v>1.0679468242245198</v>
      </c>
      <c r="CP40" s="38">
        <v>0</v>
      </c>
      <c r="CQ40" s="38">
        <f>Table1[[#This Row],[P_R8_2]]</f>
        <v>135.4</v>
      </c>
    </row>
    <row r="41" spans="1:95" ht="1.5" customHeight="1" x14ac:dyDescent="0.3">
      <c r="A41" s="27" t="s">
        <v>31</v>
      </c>
      <c r="B41" s="20" t="s">
        <v>93</v>
      </c>
      <c r="C41" s="20" t="s">
        <v>32</v>
      </c>
      <c r="D41" s="20">
        <v>2015</v>
      </c>
      <c r="E41" s="20" t="s">
        <v>90</v>
      </c>
      <c r="F41" s="20">
        <f>0.8*78.5</f>
        <v>62.800000000000004</v>
      </c>
      <c r="G41" s="23">
        <v>1.1599999999999999</v>
      </c>
      <c r="H41" s="20">
        <v>1000</v>
      </c>
      <c r="I41" s="20">
        <v>270.5</v>
      </c>
      <c r="J41" s="23">
        <f>Table1[[#This Row],[a'[mm']]]/Table1[[#This Row],[d'[mm']]]</f>
        <v>3.6968576709796674</v>
      </c>
      <c r="K41" s="20">
        <v>300</v>
      </c>
      <c r="L41" s="20" t="s">
        <v>29</v>
      </c>
      <c r="M41" s="20">
        <v>152.30000000000001</v>
      </c>
      <c r="N41" s="20" t="s">
        <v>130</v>
      </c>
      <c r="O41" s="20" t="s">
        <v>130</v>
      </c>
      <c r="P41" s="5">
        <v>144.43</v>
      </c>
      <c r="Q41">
        <f>IF(Table1[[#This Row],[P_F1]]="","",Table1[Pu(kN)]/Table1[[#This Row],[P_F1]])</f>
        <v>1.0544900643910544</v>
      </c>
      <c r="R41">
        <v>0.02</v>
      </c>
      <c r="S41">
        <v>146.22999999999999</v>
      </c>
      <c r="T41" s="5">
        <v>125.72</v>
      </c>
      <c r="U41" s="6">
        <f>IF(Table1[[#This Row],[P_R1]]="","",Table1[Pu(kN)]/Table1[[#This Row],[P_R1]])</f>
        <v>1.211422208081451</v>
      </c>
      <c r="V41">
        <v>1.9900000000000001E-2</v>
      </c>
      <c r="W41">
        <v>125.72</v>
      </c>
      <c r="X41" s="5">
        <v>135.77000000000001</v>
      </c>
      <c r="Y41" s="6">
        <f>IF(Table1[[#This Row],[P_F2]]="","",Table1[Pu(kN)]/Table1[[#This Row],[P_F2]])</f>
        <v>1.1217500184134934</v>
      </c>
      <c r="Z41">
        <v>2.9100000000000001E-2</v>
      </c>
      <c r="AA41">
        <v>138.65</v>
      </c>
      <c r="AB41" s="10">
        <v>165.3</v>
      </c>
      <c r="AC41" s="8">
        <f>IF(Table1[[#This Row],[P_R2]]="","",Table1[Pu(kN)]/Table1[[#This Row],[P_R2]])</f>
        <v>0.92135511191772534</v>
      </c>
      <c r="AD41" s="8">
        <v>0.12130000000000001</v>
      </c>
      <c r="AE41" s="9">
        <v>165.3</v>
      </c>
      <c r="AF41" s="2">
        <v>132.26</v>
      </c>
      <c r="AG41" s="2">
        <f>IF(Table1[[#This Row],[P_F3]]="","",Table1[Pu(kN)]/Table1[[#This Row],[P_F3]])</f>
        <v>1.1515197338575536</v>
      </c>
      <c r="AH41" s="2">
        <v>3.4500000000000003E-2</v>
      </c>
      <c r="AI41">
        <v>133.65</v>
      </c>
      <c r="AJ41" s="5">
        <v>183.84</v>
      </c>
      <c r="AK41">
        <f>IF(Table1[[#This Row],[P_R3]]="","",Table1[Pu(kN)]/Table1[[#This Row],[P_R3]])</f>
        <v>0.82843777197563107</v>
      </c>
      <c r="AL41">
        <v>0.77839999999999998</v>
      </c>
      <c r="AM41">
        <v>183.84</v>
      </c>
      <c r="AN41" s="5">
        <v>175.46</v>
      </c>
      <c r="AO41" s="6">
        <f>IF(Table1[[#This Row],[P_R4]]="","",Table1[Pu(kN)]/Table1[[#This Row],[P_R4]])</f>
        <v>0.86800410349937307</v>
      </c>
      <c r="AP41" s="6">
        <v>0.3533</v>
      </c>
      <c r="AQ41">
        <v>175.46</v>
      </c>
      <c r="AR41" s="5">
        <v>114.41</v>
      </c>
      <c r="AS41">
        <f>IF(Table1[[#This Row],[P_F4]]="","",Table1[Pu(kN)]/Table1[[#This Row],[P_F4]])</f>
        <v>1.3311773446377066</v>
      </c>
      <c r="AT41">
        <v>3.2300000000000002E-2</v>
      </c>
      <c r="AU41" s="7">
        <v>120.34</v>
      </c>
      <c r="AV41">
        <v>147.69</v>
      </c>
      <c r="AW41">
        <f>IF(Table1[[#This Row],[P_F5]]="","",Table1[Pu(kN)]/Table1[[#This Row],[P_F5]])</f>
        <v>1.0312140293858758</v>
      </c>
      <c r="AX41">
        <v>2.6599999999999999E-2</v>
      </c>
      <c r="AY41" s="7">
        <v>148.21</v>
      </c>
      <c r="AZ41">
        <v>183.79</v>
      </c>
      <c r="BA41">
        <f>IF(Table1[[#This Row],[P_R5]]="","",Table1[Pu(kN)]/Table1[[#This Row],[P_R5]])</f>
        <v>0.82866314815822417</v>
      </c>
      <c r="BB41">
        <v>0.78</v>
      </c>
      <c r="BC41">
        <v>184.07</v>
      </c>
      <c r="BD41" s="5">
        <v>150.19</v>
      </c>
      <c r="BE41" s="6">
        <f>IF(Table1[[#This Row],[P_F6]]="","",Table1[Pu(kN)]/Table1[[#This Row],[P_F6]])</f>
        <v>1.0140488714295226</v>
      </c>
      <c r="BF41" s="6">
        <v>2.93E-2</v>
      </c>
      <c r="BG41" s="6">
        <v>150.19</v>
      </c>
      <c r="BH41" s="5">
        <v>171.41</v>
      </c>
      <c r="BI41" s="6">
        <f>IF(Table1[[#This Row],[P_R6]]="","",Table1[Pu(kN)]/Table1[[#This Row],[P_R6]])</f>
        <v>0.88851292223324196</v>
      </c>
      <c r="BJ41" s="6">
        <v>0.2041</v>
      </c>
      <c r="BK41" s="6">
        <v>171.41</v>
      </c>
      <c r="BL41" s="5">
        <v>167.33</v>
      </c>
      <c r="BM41" s="6">
        <f>IF(Table1[[#This Row],[P_F7]]="","",Table1[Pu(kN)]/Table1[[#This Row],[P_F7]])</f>
        <v>0.91017749357556921</v>
      </c>
      <c r="BN41" s="6">
        <v>5.7299999999999997E-2</v>
      </c>
      <c r="BO41" s="6">
        <v>168.49</v>
      </c>
      <c r="BP41" s="5">
        <v>131.59</v>
      </c>
      <c r="BQ41" s="6">
        <f>IF(Table1[[#This Row],[P_F8]]="","",Table1[Pu(kN)]/Table1[[#This Row],[P_F8]])</f>
        <v>1.1573827798464928</v>
      </c>
      <c r="BR41" s="6">
        <v>2.8000000000000001E-2</v>
      </c>
      <c r="BS41" s="6">
        <v>132.72</v>
      </c>
      <c r="BT41" s="5">
        <v>183.64</v>
      </c>
      <c r="BU41" s="6">
        <f>IF(Table1[[#This Row],[P_R7]]="","",Table1[Pu(kN)]/Table1[[#This Row],[P_R7]])</f>
        <v>0.82934001306904825</v>
      </c>
      <c r="BV41" s="6">
        <v>0.78449999999999998</v>
      </c>
      <c r="BW41" s="6">
        <v>185.18</v>
      </c>
      <c r="BX41" s="5">
        <v>132.54</v>
      </c>
      <c r="BY41" s="6">
        <f>IF(Table1[[#This Row],[P_F9]]="","",Table1[Pu(kN)]/Table1[[#This Row],[P_F9]])</f>
        <v>1.149087068054927</v>
      </c>
      <c r="BZ41" s="6">
        <v>0.30009999999999998</v>
      </c>
      <c r="CA41" s="7">
        <v>132.54</v>
      </c>
      <c r="CB41" s="5">
        <v>178.31</v>
      </c>
      <c r="CC41" s="6">
        <f>IF(Table1[[#This Row],[P_R8]]="","",Table1[Pu(kN)]/Table1[[#This Row],[P_R8]])</f>
        <v>0.85413044697437057</v>
      </c>
      <c r="CD41" s="6">
        <v>0.39579999999999999</v>
      </c>
      <c r="CE41" s="6">
        <v>178.31</v>
      </c>
      <c r="CF41" s="5">
        <v>145.78</v>
      </c>
      <c r="CG41">
        <f>IF(Table1[[#This Row],[P_R9]]="","",Table1[Pu(kN)]/Table1[[#This Row],[P_R9]])</f>
        <v>1.044724927973659</v>
      </c>
      <c r="CH41">
        <v>1.66E-2</v>
      </c>
      <c r="CI41">
        <v>145.78</v>
      </c>
      <c r="CJ41" s="5">
        <v>128.56</v>
      </c>
      <c r="CK41" s="6">
        <f>IF(Table1[[#This Row],[P_F10]]="","",Table1[Pu(kN)]/Table1[[#This Row],[P_F10]])</f>
        <v>1.1846608587429994</v>
      </c>
      <c r="CL41" s="6">
        <v>3.0599999999999999E-2</v>
      </c>
      <c r="CM41" s="7">
        <v>128.56</v>
      </c>
      <c r="CN41" s="38">
        <v>131.30000000000001</v>
      </c>
      <c r="CO41" s="38">
        <f>Table1[[#This Row],[Pu(kN)]]/Table1[[#This Row],[P_R8_2]]</f>
        <v>1.15993907083016</v>
      </c>
      <c r="CP41" s="38">
        <v>0</v>
      </c>
      <c r="CQ41" s="38">
        <f>Table1[[#This Row],[P_R8_2]]</f>
        <v>131.30000000000001</v>
      </c>
    </row>
    <row r="42" spans="1:95" x14ac:dyDescent="0.3">
      <c r="A42" s="26" t="s">
        <v>35</v>
      </c>
      <c r="B42" s="18" t="s">
        <v>93</v>
      </c>
      <c r="C42" s="18" t="s">
        <v>32</v>
      </c>
      <c r="D42" s="18">
        <v>2015</v>
      </c>
      <c r="E42" s="18" t="s">
        <v>90</v>
      </c>
      <c r="F42" s="18">
        <f>0.8*79.3</f>
        <v>63.44</v>
      </c>
      <c r="G42" s="22">
        <v>1.1599999999999999</v>
      </c>
      <c r="H42" s="18">
        <v>1250</v>
      </c>
      <c r="I42" s="18">
        <v>270</v>
      </c>
      <c r="J42" s="22">
        <f>Table1[[#This Row],[a'[mm']]]/Table1[[#This Row],[d'[mm']]]</f>
        <v>4.6296296296296298</v>
      </c>
      <c r="K42" s="18">
        <v>300</v>
      </c>
      <c r="L42" s="18" t="s">
        <v>28</v>
      </c>
      <c r="M42" s="18">
        <v>138</v>
      </c>
      <c r="N42" s="18" t="s">
        <v>130</v>
      </c>
      <c r="O42" s="18" t="s">
        <v>130</v>
      </c>
      <c r="P42" s="5">
        <v>124.94</v>
      </c>
      <c r="Q42">
        <f>IF(Table1[[#This Row],[P_F1]]="","",Table1[Pu(kN)]/Table1[[#This Row],[P_F1]])</f>
        <v>1.1045301744837521</v>
      </c>
      <c r="R42">
        <v>2.3199999999999998E-2</v>
      </c>
      <c r="S42">
        <v>125.12</v>
      </c>
      <c r="T42" s="5">
        <v>125.87</v>
      </c>
      <c r="U42" s="6">
        <f>IF(Table1[[#This Row],[P_R1]]="","",Table1[Pu(kN)]/Table1[[#This Row],[P_R1]])</f>
        <v>1.0963692698816239</v>
      </c>
      <c r="V42">
        <v>1.78E-2</v>
      </c>
      <c r="W42">
        <v>125.87</v>
      </c>
      <c r="X42" s="5">
        <v>146.88999999999999</v>
      </c>
      <c r="Y42" s="6">
        <f>IF(Table1[[#This Row],[P_F2]]="","",Table1[Pu(kN)]/Table1[[#This Row],[P_F2]])</f>
        <v>0.93947852134250132</v>
      </c>
      <c r="Z42">
        <v>0.1227</v>
      </c>
      <c r="AA42">
        <v>147.86000000000001</v>
      </c>
      <c r="AB42" s="10">
        <v>134.97999999999999</v>
      </c>
      <c r="AC42" s="8">
        <f>IF(Table1[[#This Row],[P_R2]]="","",Table1[Pu(kN)]/Table1[[#This Row],[P_R2]])</f>
        <v>1.0223736849903691</v>
      </c>
      <c r="AD42" s="8">
        <v>7.3499999999999996E-2</v>
      </c>
      <c r="AE42" s="9">
        <v>134.97999999999999</v>
      </c>
      <c r="AF42" s="2">
        <v>150.51</v>
      </c>
      <c r="AG42" s="2">
        <f>IF(Table1[[#This Row],[P_F3]]="","",Table1[Pu(kN)]/Table1[[#This Row],[P_F3]])</f>
        <v>0.91688259916284642</v>
      </c>
      <c r="AH42" s="2">
        <v>0.3019</v>
      </c>
      <c r="AI42">
        <v>150.51</v>
      </c>
      <c r="AJ42" s="5">
        <v>144.57</v>
      </c>
      <c r="AK42">
        <f>IF(Table1[[#This Row],[P_R3]]="","",Table1[Pu(kN)]/Table1[[#This Row],[P_R3]])</f>
        <v>0.9545548869059971</v>
      </c>
      <c r="AL42">
        <v>0.1615</v>
      </c>
      <c r="AM42">
        <v>144.57</v>
      </c>
      <c r="AN42" s="5">
        <v>146.31</v>
      </c>
      <c r="AO42" s="6">
        <f>IF(Table1[[#This Row],[P_R4]]="","",Table1[Pu(kN)]/Table1[[#This Row],[P_R4]])</f>
        <v>0.94320278859954887</v>
      </c>
      <c r="AP42" s="6">
        <v>0.25940000000000002</v>
      </c>
      <c r="AQ42">
        <v>146.58000000000001</v>
      </c>
      <c r="AR42" s="5">
        <v>136.37</v>
      </c>
      <c r="AS42">
        <f>IF(Table1[[#This Row],[P_F4]]="","",Table1[Pu(kN)]/Table1[[#This Row],[P_F4]])</f>
        <v>1.0119527755371416</v>
      </c>
      <c r="AT42">
        <v>3.9800000000000002E-2</v>
      </c>
      <c r="AU42" s="7">
        <v>136.37</v>
      </c>
      <c r="AV42">
        <v>165.41</v>
      </c>
      <c r="AW42">
        <f>IF(Table1[[#This Row],[P_F5]]="","",Table1[Pu(kN)]/Table1[[#This Row],[P_F5]])</f>
        <v>0.83429055075267522</v>
      </c>
      <c r="AX42">
        <v>0.84850000000000003</v>
      </c>
      <c r="AY42" s="7">
        <v>165.52</v>
      </c>
      <c r="AZ42">
        <v>140.52000000000001</v>
      </c>
      <c r="BA42">
        <f>IF(Table1[[#This Row],[P_R5]]="","",Table1[Pu(kN)]/Table1[[#This Row],[P_R5]])</f>
        <v>0.98206660973526894</v>
      </c>
      <c r="BB42">
        <v>9.6199999999999994E-2</v>
      </c>
      <c r="BC42">
        <v>140.52000000000001</v>
      </c>
      <c r="BD42" s="5">
        <v>149.57</v>
      </c>
      <c r="BE42" s="6">
        <f>IF(Table1[[#This Row],[P_F6]]="","",Table1[Pu(kN)]/Table1[[#This Row],[P_F6]])</f>
        <v>0.92264491542421612</v>
      </c>
      <c r="BF42" s="6">
        <v>0.24490000000000001</v>
      </c>
      <c r="BG42" s="6">
        <v>149.57</v>
      </c>
      <c r="BH42" s="5">
        <v>149.63999999999999</v>
      </c>
      <c r="BI42" s="6">
        <f>IF(Table1[[#This Row],[P_R6]]="","",Table1[Pu(kN)]/Table1[[#This Row],[P_R6]])</f>
        <v>0.92221331194867695</v>
      </c>
      <c r="BJ42" s="6">
        <v>0.25619999999999998</v>
      </c>
      <c r="BK42" s="6">
        <v>149.63999999999999</v>
      </c>
      <c r="BL42" s="5">
        <v>164.52</v>
      </c>
      <c r="BM42" s="6">
        <f>IF(Table1[[#This Row],[P_F7]]="","",Table1[Pu(kN)]/Table1[[#This Row],[P_F7]])</f>
        <v>0.83880379285193285</v>
      </c>
      <c r="BN42" s="6">
        <v>0.84419999999999995</v>
      </c>
      <c r="BO42" s="6">
        <v>164.92</v>
      </c>
      <c r="BP42" s="5">
        <v>144.63999999999999</v>
      </c>
      <c r="BQ42" s="6">
        <f>IF(Table1[[#This Row],[P_F8]]="","",Table1[Pu(kN)]/Table1[[#This Row],[P_F8]])</f>
        <v>0.95409292035398241</v>
      </c>
      <c r="BR42" s="6">
        <v>0.08</v>
      </c>
      <c r="BS42" s="6">
        <v>144.63999999999999</v>
      </c>
      <c r="BT42" s="5">
        <v>130.82</v>
      </c>
      <c r="BU42" s="6">
        <f>IF(Table1[[#This Row],[P_R7]]="","",Table1[Pu(kN)]/Table1[[#This Row],[P_R7]])</f>
        <v>1.0548845742241248</v>
      </c>
      <c r="BV42" s="6">
        <v>5.4399999999999997E-2</v>
      </c>
      <c r="BW42" s="6">
        <v>133.94999999999999</v>
      </c>
      <c r="BX42" s="5">
        <v>126.9</v>
      </c>
      <c r="BY42" s="6">
        <f>IF(Table1[[#This Row],[P_F9]]="","",Table1[Pu(kN)]/Table1[[#This Row],[P_F9]])</f>
        <v>1.0874704491725768</v>
      </c>
      <c r="BZ42" s="6">
        <v>4.9799999999999997E-2</v>
      </c>
      <c r="CA42" s="7">
        <v>127.59</v>
      </c>
      <c r="CB42" s="5">
        <v>132.41</v>
      </c>
      <c r="CC42" s="6">
        <f>IF(Table1[[#This Row],[P_R8]]="","",Table1[Pu(kN)]/Table1[[#This Row],[P_R8]])</f>
        <v>1.0422173551846539</v>
      </c>
      <c r="CD42" s="6">
        <v>4.1599999999999998E-2</v>
      </c>
      <c r="CE42" s="6">
        <v>132.83000000000001</v>
      </c>
      <c r="CF42" s="5">
        <v>129.09</v>
      </c>
      <c r="CG42">
        <f>IF(Table1[[#This Row],[P_R9]]="","",Table1[Pu(kN)]/Table1[[#This Row],[P_R9]])</f>
        <v>1.0690216128282592</v>
      </c>
      <c r="CH42">
        <v>4.0399999999999998E-2</v>
      </c>
      <c r="CI42">
        <v>129.11000000000001</v>
      </c>
      <c r="CJ42" s="5">
        <v>130.13</v>
      </c>
      <c r="CK42" s="6">
        <f>IF(Table1[[#This Row],[P_F10]]="","",Table1[Pu(kN)]/Table1[[#This Row],[P_F10]])</f>
        <v>1.0604779835549067</v>
      </c>
      <c r="CL42" s="6">
        <v>3.7199999999999997E-2</v>
      </c>
      <c r="CM42" s="7">
        <v>131.06</v>
      </c>
      <c r="CN42" s="38">
        <f>Table1[[#This Row],[P_R8]]</f>
        <v>132.41</v>
      </c>
      <c r="CO42" s="38">
        <f>Table1[[#This Row],[Pu(kN)]]/Table1[[#This Row],[P_R8_2]]</f>
        <v>1.0422173551846539</v>
      </c>
      <c r="CP42" s="38">
        <f>Table1[[#This Row],[DUCTIL_R8]]</f>
        <v>4.1599999999999998E-2</v>
      </c>
      <c r="CQ42" s="38">
        <f>Table1[[#This Row],[P_R8_2]]</f>
        <v>132.41</v>
      </c>
    </row>
    <row r="43" spans="1:95" x14ac:dyDescent="0.3">
      <c r="A43" s="27" t="s">
        <v>36</v>
      </c>
      <c r="B43" s="20" t="s">
        <v>93</v>
      </c>
      <c r="C43" s="20" t="s">
        <v>32</v>
      </c>
      <c r="D43" s="20">
        <v>2015</v>
      </c>
      <c r="E43" s="20" t="s">
        <v>90</v>
      </c>
      <c r="F43" s="20">
        <f>78.5*0.8</f>
        <v>62.800000000000004</v>
      </c>
      <c r="G43" s="23">
        <v>0.9</v>
      </c>
      <c r="H43" s="20">
        <v>1250</v>
      </c>
      <c r="I43" s="20">
        <v>274</v>
      </c>
      <c r="J43" s="23">
        <f>Table1[[#This Row],[a'[mm']]]/Table1[[#This Row],[d'[mm']]]</f>
        <v>4.562043795620438</v>
      </c>
      <c r="K43" s="20">
        <v>300</v>
      </c>
      <c r="L43" s="20" t="s">
        <v>28</v>
      </c>
      <c r="M43" s="20">
        <v>105.6</v>
      </c>
      <c r="N43" s="23" t="s">
        <v>130</v>
      </c>
      <c r="O43" s="20" t="s">
        <v>130</v>
      </c>
      <c r="P43" s="5">
        <v>130.01</v>
      </c>
      <c r="Q43">
        <f>IF(Table1[[#This Row],[P_F1]]="","",Table1[Pu(kN)]/Table1[[#This Row],[P_F1]])</f>
        <v>0.81224521190677645</v>
      </c>
      <c r="R43">
        <v>0.85340000000000005</v>
      </c>
      <c r="S43">
        <v>131.56</v>
      </c>
      <c r="T43" s="5">
        <v>100.75</v>
      </c>
      <c r="U43" s="6">
        <f>IF(Table1[[#This Row],[P_R1]]="","",Table1[Pu(kN)]/Table1[[#This Row],[P_R1]])</f>
        <v>1.0481389578163771</v>
      </c>
      <c r="V43">
        <v>2.2499999999999999E-2</v>
      </c>
      <c r="W43">
        <v>100.75</v>
      </c>
      <c r="X43" s="5">
        <v>130.69</v>
      </c>
      <c r="Y43" s="6">
        <f>IF(Table1[[#This Row],[P_F2]]="","",Table1[Pu(kN)]/Table1[[#This Row],[P_F2]])</f>
        <v>0.80801897620322893</v>
      </c>
      <c r="Z43">
        <v>0.85629999999999995</v>
      </c>
      <c r="AA43">
        <v>130.82</v>
      </c>
      <c r="AB43" s="10">
        <v>124.28</v>
      </c>
      <c r="AC43" s="8">
        <f>IF(Table1[[#This Row],[P_R2]]="","",Table1[Pu(kN)]/Table1[[#This Row],[P_R2]])</f>
        <v>0.84969423881557771</v>
      </c>
      <c r="AD43" s="8">
        <v>0.77600000000000002</v>
      </c>
      <c r="AE43" s="9">
        <v>124.28</v>
      </c>
      <c r="AF43" s="2">
        <v>137.38999999999999</v>
      </c>
      <c r="AG43" s="2">
        <f>IF(Table1[[#This Row],[P_F3]]="","",Table1[Pu(kN)]/Table1[[#This Row],[P_F3]])</f>
        <v>0.76861489191353083</v>
      </c>
      <c r="AH43" s="2">
        <v>0.90390000000000004</v>
      </c>
      <c r="AI43">
        <v>137.38999999999999</v>
      </c>
      <c r="AJ43" s="5">
        <v>124.28</v>
      </c>
      <c r="AK43">
        <f>IF(Table1[[#This Row],[P_R3]]="","",Table1[Pu(kN)]/Table1[[#This Row],[P_R3]])</f>
        <v>0.84969423881557771</v>
      </c>
      <c r="AL43">
        <v>0.81989999999999996</v>
      </c>
      <c r="AM43">
        <v>124.28</v>
      </c>
      <c r="AN43" s="5">
        <v>117.36</v>
      </c>
      <c r="AO43" s="6">
        <f>IF(Table1[[#This Row],[P_R4]]="","",Table1[Pu(kN)]/Table1[[#This Row],[P_R4]])</f>
        <v>0.89979550102249484</v>
      </c>
      <c r="AP43" s="6">
        <v>0.45069999999999999</v>
      </c>
      <c r="AQ43">
        <v>117.36</v>
      </c>
      <c r="AR43" s="5">
        <v>109.55</v>
      </c>
      <c r="AS43">
        <f>IF(Table1[[#This Row],[P_F4]]="","",Table1[Pu(kN)]/Table1[[#This Row],[P_F4]])</f>
        <v>0.96394340483797347</v>
      </c>
      <c r="AT43">
        <v>6.3500000000000001E-2</v>
      </c>
      <c r="AU43" s="7">
        <v>109.64</v>
      </c>
      <c r="AV43">
        <v>137.96</v>
      </c>
      <c r="AW43">
        <f>IF(Table1[[#This Row],[P_F5]]="","",Table1[Pu(kN)]/Table1[[#This Row],[P_F5]])</f>
        <v>0.76543925775587118</v>
      </c>
      <c r="AX43">
        <v>0.91359999999999997</v>
      </c>
      <c r="AY43" s="7">
        <v>138.03</v>
      </c>
      <c r="AZ43">
        <v>123.77</v>
      </c>
      <c r="BA43">
        <f>IF(Table1[[#This Row],[P_R5]]="","",Table1[Pu(kN)]/Table1[[#This Row],[P_R5]])</f>
        <v>0.85319544316070128</v>
      </c>
      <c r="BB43">
        <v>0.80349999999999999</v>
      </c>
      <c r="BC43">
        <v>123.95</v>
      </c>
      <c r="BD43" s="5">
        <v>125.51</v>
      </c>
      <c r="BE43" s="6">
        <f>IF(Table1[[#This Row],[P_F6]]="","",Table1[Pu(kN)]/Table1[[#This Row],[P_F6]])</f>
        <v>0.84136722173531986</v>
      </c>
      <c r="BF43" s="6">
        <v>0.73270000000000002</v>
      </c>
      <c r="BG43" s="6">
        <v>125.51</v>
      </c>
      <c r="BH43" s="5">
        <v>131.93</v>
      </c>
      <c r="BI43" s="6">
        <f>IF(Table1[[#This Row],[P_R6]]="","",Table1[Pu(kN)]/Table1[[#This Row],[P_R6]])</f>
        <v>0.80042446752065477</v>
      </c>
      <c r="BJ43" s="6">
        <v>0.89</v>
      </c>
      <c r="BK43" s="6">
        <v>131.93</v>
      </c>
      <c r="BL43" s="5">
        <v>132.81</v>
      </c>
      <c r="BM43" s="6">
        <f>IF(Table1[[#This Row],[P_F7]]="","",Table1[Pu(kN)]/Table1[[#This Row],[P_F7]])</f>
        <v>0.79512084933363447</v>
      </c>
      <c r="BN43" s="6">
        <v>0.87660000000000005</v>
      </c>
      <c r="BO43" s="6">
        <v>132.81</v>
      </c>
      <c r="BP43" s="5">
        <v>119.82</v>
      </c>
      <c r="BQ43" s="6">
        <f>IF(Table1[[#This Row],[P_F8]]="","",Table1[Pu(kN)]/Table1[[#This Row],[P_F8]])</f>
        <v>0.88132198297446174</v>
      </c>
      <c r="BR43" s="6">
        <v>0.46750000000000003</v>
      </c>
      <c r="BS43" s="6">
        <v>120.36</v>
      </c>
      <c r="BT43" s="5">
        <v>117.06</v>
      </c>
      <c r="BU43" s="6">
        <f>IF(Table1[[#This Row],[P_R7]]="","",Table1[Pu(kN)]/Table1[[#This Row],[P_R7]])</f>
        <v>0.90210148641722188</v>
      </c>
      <c r="BV43" s="6">
        <v>0.36570000000000003</v>
      </c>
      <c r="BW43" s="6">
        <v>119.02</v>
      </c>
      <c r="BX43" s="5">
        <v>99.82</v>
      </c>
      <c r="BY43" s="6">
        <f>IF(Table1[[#This Row],[P_F9]]="","",Table1[Pu(kN)]/Table1[[#This Row],[P_F9]])</f>
        <v>1.0579042276096975</v>
      </c>
      <c r="BZ43" s="6">
        <v>3.78E-2</v>
      </c>
      <c r="CA43" s="7">
        <v>101.06</v>
      </c>
      <c r="CB43" s="5">
        <v>119.5</v>
      </c>
      <c r="CC43" s="6">
        <f>IF(Table1[[#This Row],[P_R8]]="","",Table1[Pu(kN)]/Table1[[#This Row],[P_R8]])</f>
        <v>0.88368200836820077</v>
      </c>
      <c r="CD43" s="6">
        <v>0.64990000000000003</v>
      </c>
      <c r="CE43" s="6">
        <v>119.5</v>
      </c>
      <c r="CF43" s="5">
        <v>119.97</v>
      </c>
      <c r="CG43">
        <f>IF(Table1[[#This Row],[P_R9]]="","",Table1[Pu(kN)]/Table1[[#This Row],[P_R9]])</f>
        <v>0.88022005501375344</v>
      </c>
      <c r="CH43">
        <v>0.66720000000000002</v>
      </c>
      <c r="CI43">
        <v>119.97</v>
      </c>
      <c r="CJ43" s="5">
        <v>109.95</v>
      </c>
      <c r="CK43" s="6">
        <f>IF(Table1[[#This Row],[P_F10]]="","",Table1[Pu(kN)]/Table1[[#This Row],[P_F10]])</f>
        <v>0.96043656207366979</v>
      </c>
      <c r="CL43" s="6">
        <v>4.19E-2</v>
      </c>
      <c r="CM43" s="7">
        <v>109.95</v>
      </c>
      <c r="CN43" s="38">
        <f>Table1[[#This Row],[P_R8]]</f>
        <v>119.5</v>
      </c>
      <c r="CO43" s="38">
        <f>Table1[[#This Row],[Pu(kN)]]/Table1[[#This Row],[P_R8_2]]</f>
        <v>0.88368200836820077</v>
      </c>
      <c r="CP43" s="38">
        <f>Table1[[#This Row],[DUCTIL_R8]]</f>
        <v>0.64990000000000003</v>
      </c>
      <c r="CQ43" s="38">
        <f>Table1[[#This Row],[P_R8_2]]</f>
        <v>119.5</v>
      </c>
    </row>
    <row r="44" spans="1:95" x14ac:dyDescent="0.3">
      <c r="A44" s="26" t="s">
        <v>37</v>
      </c>
      <c r="B44" s="18" t="s">
        <v>93</v>
      </c>
      <c r="C44" s="18" t="s">
        <v>32</v>
      </c>
      <c r="D44" s="18">
        <v>2015</v>
      </c>
      <c r="E44" s="18" t="s">
        <v>90</v>
      </c>
      <c r="F44" s="18">
        <f>0.8*78.5</f>
        <v>62.800000000000004</v>
      </c>
      <c r="G44" s="22">
        <v>0.9</v>
      </c>
      <c r="H44" s="18">
        <v>750</v>
      </c>
      <c r="I44" s="18">
        <v>274</v>
      </c>
      <c r="J44" s="22">
        <f>Table1[[#This Row],[a'[mm']]]/Table1[[#This Row],[d'[mm']]]</f>
        <v>2.7372262773722627</v>
      </c>
      <c r="K44" s="18">
        <v>300</v>
      </c>
      <c r="L44" s="18" t="s">
        <v>293</v>
      </c>
      <c r="M44" s="18">
        <v>145</v>
      </c>
      <c r="N44" s="22" t="s">
        <v>130</v>
      </c>
      <c r="O44" s="18" t="s">
        <v>130</v>
      </c>
      <c r="P44" s="5">
        <v>121.86</v>
      </c>
      <c r="Q44">
        <f>IF(Table1[[#This Row],[P_F1]]="","",Table1[Pu(kN)]/Table1[[#This Row],[P_F1]])</f>
        <v>1.1898900377482358</v>
      </c>
      <c r="R44">
        <v>1.5100000000000001E-2</v>
      </c>
      <c r="S44">
        <v>123.6</v>
      </c>
      <c r="T44" s="5">
        <v>177.54</v>
      </c>
      <c r="U44" s="6">
        <f>IF(Table1[[#This Row],[P_R1]]="","",Table1[Pu(kN)]/Table1[[#This Row],[P_R1]])</f>
        <v>0.81671735946828883</v>
      </c>
      <c r="V44">
        <v>0.7238</v>
      </c>
      <c r="W44">
        <v>179.32</v>
      </c>
      <c r="X44" s="5">
        <v>113.58</v>
      </c>
      <c r="Y44" s="6">
        <f>IF(Table1[[#This Row],[P_F2]]="","",Table1[Pu(kN)]/Table1[[#This Row],[P_F2]])</f>
        <v>1.2766332100721958</v>
      </c>
      <c r="Z44">
        <v>2.52E-2</v>
      </c>
      <c r="AA44">
        <v>115.65</v>
      </c>
      <c r="AB44" s="10">
        <v>179.98</v>
      </c>
      <c r="AC44" s="8">
        <f>IF(Table1[[#This Row],[P_R2]]="","",Table1[Pu(kN)]/Table1[[#This Row],[P_R2]])</f>
        <v>0.80564507167463051</v>
      </c>
      <c r="AD44" s="8">
        <v>0.84419999999999995</v>
      </c>
      <c r="AE44" s="9">
        <v>184.62</v>
      </c>
      <c r="AF44" s="2">
        <v>119.5</v>
      </c>
      <c r="AG44" s="2">
        <f>IF(Table1[[#This Row],[P_F3]]="","",Table1[Pu(kN)]/Table1[[#This Row],[P_F3]])</f>
        <v>1.2133891213389121</v>
      </c>
      <c r="AH44" s="2">
        <v>2.2599999999999999E-2</v>
      </c>
      <c r="AI44">
        <v>121</v>
      </c>
      <c r="AJ44" s="5">
        <v>184.61</v>
      </c>
      <c r="AK44">
        <f>IF(Table1[[#This Row],[P_R3]]="","",Table1[Pu(kN)]/Table1[[#This Row],[P_R3]])</f>
        <v>0.78543957532094677</v>
      </c>
      <c r="AL44">
        <v>0.84530000000000005</v>
      </c>
      <c r="AM44">
        <v>184.88</v>
      </c>
      <c r="AN44" s="5">
        <v>145.62</v>
      </c>
      <c r="AO44" s="6">
        <f>IF(Table1[[#This Row],[P_R4]]="","",Table1[Pu(kN)]/Table1[[#This Row],[P_R4]])</f>
        <v>0.99574234308474108</v>
      </c>
      <c r="AP44" s="6">
        <v>1.1900000000000001E-2</v>
      </c>
      <c r="AQ44">
        <v>145.62</v>
      </c>
      <c r="AR44" s="5">
        <v>127.85</v>
      </c>
      <c r="AS44">
        <f>IF(Table1[[#This Row],[P_F4]]="","",Table1[Pu(kN)]/Table1[[#This Row],[P_F4]])</f>
        <v>1.1341415721548691</v>
      </c>
      <c r="AT44">
        <v>1.8800000000000001E-2</v>
      </c>
      <c r="AU44" s="7">
        <v>127.85</v>
      </c>
      <c r="AV44">
        <v>130.59</v>
      </c>
      <c r="AW44">
        <f>IF(Table1[[#This Row],[P_F5]]="","",Table1[Pu(kN)]/Table1[[#This Row],[P_F5]])</f>
        <v>1.1103453556933915</v>
      </c>
      <c r="AX44">
        <v>2.18E-2</v>
      </c>
      <c r="AY44" s="7">
        <v>132.19</v>
      </c>
      <c r="AZ44">
        <v>181.43</v>
      </c>
      <c r="BA44">
        <f>IF(Table1[[#This Row],[P_R5]]="","",Table1[Pu(kN)]/Table1[[#This Row],[P_R5]])</f>
        <v>0.79920630546216165</v>
      </c>
      <c r="BB44">
        <v>0.81279999999999997</v>
      </c>
      <c r="BC44">
        <v>182.53</v>
      </c>
      <c r="BD44" s="5">
        <v>132.53</v>
      </c>
      <c r="BE44" s="6">
        <f>IF(Table1[[#This Row],[P_F6]]="","",Table1[Pu(kN)]/Table1[[#This Row],[P_F6]])</f>
        <v>1.0940919037199124</v>
      </c>
      <c r="BF44" s="6">
        <v>2.3300000000000001E-2</v>
      </c>
      <c r="BG44" s="6">
        <v>132.53</v>
      </c>
      <c r="BH44" s="5">
        <v>182.52</v>
      </c>
      <c r="BI44" s="6">
        <f>IF(Table1[[#This Row],[P_R6]]="","",Table1[Pu(kN)]/Table1[[#This Row],[P_R6]])</f>
        <v>0.79443348674117897</v>
      </c>
      <c r="BJ44" s="6">
        <v>0.85189999999999999</v>
      </c>
      <c r="BK44" s="6">
        <v>186.48</v>
      </c>
      <c r="BL44" s="5">
        <v>141.33000000000001</v>
      </c>
      <c r="BM44" s="6">
        <f>IF(Table1[[#This Row],[P_F7]]="","",Table1[Pu(kN)]/Table1[[#This Row],[P_F7]])</f>
        <v>1.0259675935753201</v>
      </c>
      <c r="BN44" s="6">
        <v>4.1599999999999998E-2</v>
      </c>
      <c r="BO44" s="6">
        <v>143.09</v>
      </c>
      <c r="BP44" s="5">
        <v>111.42</v>
      </c>
      <c r="BQ44" s="6">
        <f>IF(Table1[[#This Row],[P_F8]]="","",Table1[Pu(kN)]/Table1[[#This Row],[P_F8]])</f>
        <v>1.3013821576018667</v>
      </c>
      <c r="BR44" s="6">
        <v>2.46E-2</v>
      </c>
      <c r="BS44" s="6">
        <v>112.14</v>
      </c>
      <c r="BT44" s="5">
        <v>180.9</v>
      </c>
      <c r="BU44" s="6">
        <f>IF(Table1[[#This Row],[P_R7]]="","",Table1[Pu(kN)]/Table1[[#This Row],[P_R7]])</f>
        <v>0.80154781647318962</v>
      </c>
      <c r="BV44" s="6">
        <v>0.72109999999999996</v>
      </c>
      <c r="BW44" s="6">
        <v>183.72</v>
      </c>
      <c r="BX44" s="5">
        <v>121.88</v>
      </c>
      <c r="BY44" s="6">
        <f>IF(Table1[[#This Row],[P_F9]]="","",Table1[Pu(kN)]/Table1[[#This Row],[P_F9]])</f>
        <v>1.1896947817525436</v>
      </c>
      <c r="BZ44" s="6">
        <v>2.07E-2</v>
      </c>
      <c r="CA44" s="7">
        <v>121.88</v>
      </c>
      <c r="CB44" s="5">
        <v>146.79</v>
      </c>
      <c r="CC44" s="6">
        <f>IF(Table1[[#This Row],[P_R8]]="","",Table1[Pu(kN)]/Table1[[#This Row],[P_R8]])</f>
        <v>0.98780570883575181</v>
      </c>
      <c r="CD44" s="6">
        <v>2.7E-2</v>
      </c>
      <c r="CE44" s="6">
        <v>146.79</v>
      </c>
      <c r="CF44" s="5">
        <v>173.75</v>
      </c>
      <c r="CG44">
        <f>IF(Table1[[#This Row],[P_R9]]="","",Table1[Pu(kN)]/Table1[[#This Row],[P_R9]])</f>
        <v>0.83453237410071945</v>
      </c>
      <c r="CH44">
        <v>0.42059999999999997</v>
      </c>
      <c r="CI44">
        <v>173.75</v>
      </c>
      <c r="CJ44" s="5">
        <v>106.04</v>
      </c>
      <c r="CK44" s="6">
        <f>IF(Table1[[#This Row],[P_F10]]="","",Table1[Pu(kN)]/Table1[[#This Row],[P_F10]])</f>
        <v>1.3674085250848735</v>
      </c>
      <c r="CL44" s="6">
        <v>2.7400000000000001E-2</v>
      </c>
      <c r="CM44" s="7">
        <v>106.73</v>
      </c>
      <c r="CN44" s="38">
        <f>Table1[[#This Row],[P_R8]]</f>
        <v>146.79</v>
      </c>
      <c r="CO44" s="38">
        <f>Table1[[#This Row],[Pu(kN)]]/Table1[[#This Row],[P_R8_2]]</f>
        <v>0.98780570883575181</v>
      </c>
      <c r="CP44" s="38">
        <f>Table1[[#This Row],[DUCTIL_R8]]</f>
        <v>2.7E-2</v>
      </c>
      <c r="CQ44" s="38">
        <f>Table1[[#This Row],[P_R8_2]]</f>
        <v>146.79</v>
      </c>
    </row>
    <row r="45" spans="1:95" ht="16.5" customHeight="1" x14ac:dyDescent="0.3">
      <c r="A45" s="27" t="s">
        <v>38</v>
      </c>
      <c r="B45" s="20" t="s">
        <v>93</v>
      </c>
      <c r="C45" s="20" t="s">
        <v>32</v>
      </c>
      <c r="D45" s="20">
        <v>2015</v>
      </c>
      <c r="E45" s="20" t="s">
        <v>90</v>
      </c>
      <c r="F45" s="20">
        <v>62.8</v>
      </c>
      <c r="G45" s="23">
        <v>0.9</v>
      </c>
      <c r="H45" s="20">
        <v>995</v>
      </c>
      <c r="I45" s="20">
        <v>276</v>
      </c>
      <c r="J45" s="23">
        <f>Table1[[#This Row],[a'[mm']]]/Table1[[#This Row],[d'[mm']]]</f>
        <v>3.6050724637681157</v>
      </c>
      <c r="K45" s="20">
        <v>300</v>
      </c>
      <c r="L45" s="20" t="s">
        <v>293</v>
      </c>
      <c r="M45" s="20">
        <v>120.7</v>
      </c>
      <c r="N45" s="20" t="s">
        <v>130</v>
      </c>
      <c r="O45" s="20" t="s">
        <v>130</v>
      </c>
      <c r="P45" s="5">
        <v>123.43</v>
      </c>
      <c r="Q45">
        <f>IF(Table1[[#This Row],[P_F1]]="","",Table1[Pu(kN)]/Table1[[#This Row],[P_F1]])</f>
        <v>0.97788220043749485</v>
      </c>
      <c r="R45">
        <v>1.9900000000000001E-2</v>
      </c>
      <c r="S45">
        <v>124.61</v>
      </c>
      <c r="T45" s="5">
        <v>107.17</v>
      </c>
      <c r="U45" s="6">
        <f>IF(Table1[[#This Row],[P_R1]]="","",Table1[Pu(kN)]/Table1[[#This Row],[P_R1]])</f>
        <v>1.1262480171689839</v>
      </c>
      <c r="V45">
        <v>1.95E-2</v>
      </c>
      <c r="W45">
        <v>107.17</v>
      </c>
      <c r="X45" s="5">
        <v>125.78</v>
      </c>
      <c r="Y45" s="6">
        <f>IF(Table1[[#This Row],[P_F2]]="","",Table1[Pu(kN)]/Table1[[#This Row],[P_F2]])</f>
        <v>0.95961202098902842</v>
      </c>
      <c r="Z45">
        <v>3.0700000000000002E-2</v>
      </c>
      <c r="AA45">
        <v>126.76</v>
      </c>
      <c r="AB45" s="10">
        <v>146.27000000000001</v>
      </c>
      <c r="AC45" s="8">
        <f>IF(Table1[[#This Row],[P_R2]]="","",Table1[Pu(kN)]/Table1[[#This Row],[P_R2]])</f>
        <v>0.82518629930949605</v>
      </c>
      <c r="AD45" s="8">
        <v>0.8115</v>
      </c>
      <c r="AE45" s="9">
        <v>148.19999999999999</v>
      </c>
      <c r="AF45" s="2">
        <v>127.88</v>
      </c>
      <c r="AG45" s="2">
        <f>IF(Table1[[#This Row],[P_F3]]="","",Table1[Pu(kN)]/Table1[[#This Row],[P_F3]])</f>
        <v>0.94385361276196444</v>
      </c>
      <c r="AH45" s="2">
        <v>3.2899999999999999E-2</v>
      </c>
      <c r="AI45">
        <v>128.84</v>
      </c>
      <c r="AJ45" s="5">
        <v>141.01</v>
      </c>
      <c r="AK45">
        <f>IF(Table1[[#This Row],[P_R3]]="","",Table1[Pu(kN)]/Table1[[#This Row],[P_R3]])</f>
        <v>0.8559676618679527</v>
      </c>
      <c r="AL45">
        <v>0.50749999999999995</v>
      </c>
      <c r="AM45">
        <v>141.01</v>
      </c>
      <c r="AN45" s="5">
        <v>138.74</v>
      </c>
      <c r="AO45" s="6">
        <f>IF(Table1[[#This Row],[P_R4]]="","",Table1[Pu(kN)]/Table1[[#This Row],[P_R4]])</f>
        <v>0.86997261063860454</v>
      </c>
      <c r="AP45" s="6">
        <v>0.50319999999999998</v>
      </c>
      <c r="AQ45">
        <v>138.74</v>
      </c>
      <c r="AR45" s="5">
        <v>112.83</v>
      </c>
      <c r="AS45">
        <f>IF(Table1[[#This Row],[P_F4]]="","",Table1[Pu(kN)]/Table1[[#This Row],[P_F4]])</f>
        <v>1.0697509527607907</v>
      </c>
      <c r="AT45">
        <v>3.2500000000000001E-2</v>
      </c>
      <c r="AU45" s="7">
        <v>113.87</v>
      </c>
      <c r="AV45">
        <v>139.19999999999999</v>
      </c>
      <c r="AW45">
        <f>IF(Table1[[#This Row],[P_F5]]="","",Table1[Pu(kN)]/Table1[[#This Row],[P_F5]])</f>
        <v>0.86709770114942541</v>
      </c>
      <c r="AX45">
        <v>0.27</v>
      </c>
      <c r="AY45" s="7">
        <v>139.19999999999999</v>
      </c>
      <c r="AZ45">
        <v>144.91999999999999</v>
      </c>
      <c r="BA45">
        <f>IF(Table1[[#This Row],[P_R5]]="","",Table1[Pu(kN)]/Table1[[#This Row],[P_R5]])</f>
        <v>0.83287330941208948</v>
      </c>
      <c r="BB45">
        <v>0.79790000000000005</v>
      </c>
      <c r="BC45">
        <v>145.38</v>
      </c>
      <c r="BD45" s="5">
        <v>126.87</v>
      </c>
      <c r="BE45" s="6">
        <f>IF(Table1[[#This Row],[P_F6]]="","",Table1[Pu(kN)]/Table1[[#This Row],[P_F6]])</f>
        <v>0.95136754157799319</v>
      </c>
      <c r="BF45" s="6">
        <v>2.92E-2</v>
      </c>
      <c r="BG45" s="6">
        <v>127.07</v>
      </c>
      <c r="BH45" s="5">
        <v>144.6</v>
      </c>
      <c r="BI45" s="6">
        <f>IF(Table1[[#This Row],[P_R6]]="","",Table1[Pu(kN)]/Table1[[#This Row],[P_R6]])</f>
        <v>0.83471645919778703</v>
      </c>
      <c r="BJ45" s="6">
        <v>0.7</v>
      </c>
      <c r="BK45" s="6">
        <f>Table1[[#This Row],[P_R6]]</f>
        <v>144.6</v>
      </c>
      <c r="BL45" s="5">
        <v>141.86000000000001</v>
      </c>
      <c r="BM45" s="6">
        <f>IF(Table1[[#This Row],[P_F7]]="","",Table1[Pu(kN)]/Table1[[#This Row],[P_F7]])</f>
        <v>0.85083885520936131</v>
      </c>
      <c r="BN45" s="6">
        <v>0.39319999999999999</v>
      </c>
      <c r="BO45" s="6">
        <v>143.47</v>
      </c>
      <c r="BP45" s="5">
        <v>132.09</v>
      </c>
      <c r="BQ45" s="6">
        <f>IF(Table1[[#This Row],[P_F8]]="","",Table1[Pu(kN)]/Table1[[#This Row],[P_F8]])</f>
        <v>0.9137709137709138</v>
      </c>
      <c r="BR45" s="6">
        <v>5.57E-2</v>
      </c>
      <c r="BS45" s="6">
        <v>132.09</v>
      </c>
      <c r="BT45" s="5">
        <v>143.13999999999999</v>
      </c>
      <c r="BU45" s="6">
        <f>IF(Table1[[#This Row],[P_R7]]="","",Table1[Pu(kN)]/Table1[[#This Row],[P_R7]])</f>
        <v>0.8432304038004752</v>
      </c>
      <c r="BV45" s="6">
        <v>0.70030000000000003</v>
      </c>
      <c r="BW45" s="6">
        <v>143.13999999999999</v>
      </c>
      <c r="BX45" s="5">
        <v>105.19</v>
      </c>
      <c r="BY45" s="6">
        <f>IF(Table1[[#This Row],[P_F9]]="","",Table1[Pu(kN)]/Table1[[#This Row],[P_F9]])</f>
        <v>1.1474474759958171</v>
      </c>
      <c r="BZ45" s="6">
        <v>3.2500000000000001E-2</v>
      </c>
      <c r="CA45" s="7">
        <v>106.15</v>
      </c>
      <c r="CB45" s="5">
        <v>143.21</v>
      </c>
      <c r="CC45" s="6">
        <f>IF(Table1[[#This Row],[P_R8]]="","",Table1[Pu(kN)]/Table1[[#This Row],[P_R8]])</f>
        <v>0.84281823894979402</v>
      </c>
      <c r="CD45" s="6">
        <v>0.7258</v>
      </c>
      <c r="CE45" s="6">
        <v>143.21</v>
      </c>
      <c r="CF45" s="5">
        <v>134.28</v>
      </c>
      <c r="CG45">
        <f>IF(Table1[[#This Row],[P_R9]]="","",Table1[Pu(kN)]/Table1[[#This Row],[P_R9]])</f>
        <v>0.89886803693774209</v>
      </c>
      <c r="CH45">
        <v>0.15679999999999999</v>
      </c>
      <c r="CI45">
        <v>134.28</v>
      </c>
      <c r="CJ45" s="5">
        <v>107.95</v>
      </c>
      <c r="CK45" s="6">
        <f>IF(Table1[[#This Row],[P_F10]]="","",Table1[Pu(kN)]/Table1[[#This Row],[P_F10]])</f>
        <v>1.1181102362204725</v>
      </c>
      <c r="CL45" s="6">
        <v>3.2300000000000002E-2</v>
      </c>
      <c r="CM45" s="7">
        <v>109.12</v>
      </c>
      <c r="CN45" s="38">
        <v>132</v>
      </c>
      <c r="CO45" s="38">
        <f>Table1[[#This Row],[Pu(kN)]]/Table1[[#This Row],[P_R8_2]]</f>
        <v>0.91439393939393943</v>
      </c>
      <c r="CP45" s="38">
        <v>0.11</v>
      </c>
      <c r="CQ45" s="38">
        <f>Table1[[#This Row],[P_R8_2]]</f>
        <v>132</v>
      </c>
    </row>
    <row r="46" spans="1:95" x14ac:dyDescent="0.3">
      <c r="A46" s="26" t="s">
        <v>104</v>
      </c>
      <c r="B46" s="18" t="s">
        <v>93</v>
      </c>
      <c r="C46" s="18" t="s">
        <v>32</v>
      </c>
      <c r="D46" s="18">
        <v>2015</v>
      </c>
      <c r="E46" s="18" t="s">
        <v>90</v>
      </c>
      <c r="F46" s="18">
        <f>81.8*0.8</f>
        <v>65.44</v>
      </c>
      <c r="G46" s="22">
        <v>0.59</v>
      </c>
      <c r="H46" s="18">
        <v>1800</v>
      </c>
      <c r="I46" s="18">
        <v>471.5</v>
      </c>
      <c r="J46" s="22">
        <f>Table1[[#This Row],[a'[mm']]]/Table1[[#This Row],[d'[mm']]]</f>
        <v>3.8176033934252387</v>
      </c>
      <c r="K46" s="18">
        <v>500</v>
      </c>
      <c r="L46" s="18" t="s">
        <v>293</v>
      </c>
      <c r="M46" s="18">
        <v>165.7</v>
      </c>
      <c r="N46" s="18" t="s">
        <v>130</v>
      </c>
      <c r="O46" s="18" t="s">
        <v>130</v>
      </c>
      <c r="P46" s="5">
        <v>176.2</v>
      </c>
      <c r="Q46">
        <f>IF(Table1[[#This Row],[P_F1]]="","",Table1[Pu(kN)]/Table1[[#This Row],[P_F1]])</f>
        <v>0.94040862656072643</v>
      </c>
      <c r="R46">
        <v>1.1900000000000001E-2</v>
      </c>
      <c r="S46">
        <v>176.79</v>
      </c>
      <c r="T46" s="5">
        <v>105.56</v>
      </c>
      <c r="U46" s="6">
        <f>IF(Table1[[#This Row],[P_R1]]="","",Table1[Pu(kN)]/Table1[[#This Row],[P_R1]])</f>
        <v>1.5697233800682076</v>
      </c>
      <c r="V46">
        <v>1.32E-2</v>
      </c>
      <c r="W46">
        <v>105.56</v>
      </c>
      <c r="X46" s="5">
        <v>197.77</v>
      </c>
      <c r="Y46" s="6">
        <f>IF(Table1[[#This Row],[P_F2]]="","",Table1[Pu(kN)]/Table1[[#This Row],[P_F2]])</f>
        <v>0.83784193760428771</v>
      </c>
      <c r="Z46">
        <v>0.69430000000000003</v>
      </c>
      <c r="AA46">
        <v>197.98</v>
      </c>
      <c r="AB46" s="10">
        <v>188.92</v>
      </c>
      <c r="AC46" s="8">
        <f>IF(Table1[[#This Row],[P_R2]]="","",Table1[Pu(kN)]/Table1[[#This Row],[P_R2]])</f>
        <v>0.87709083209824268</v>
      </c>
      <c r="AD46" s="8">
        <v>0.48020000000000002</v>
      </c>
      <c r="AE46" s="9">
        <v>189.53</v>
      </c>
      <c r="AF46" s="2">
        <v>199.19</v>
      </c>
      <c r="AG46" s="2">
        <f>IF(Table1[[#This Row],[P_F3]]="","",Table1[Pu(kN)]/Table1[[#This Row],[P_F3]])</f>
        <v>0.83186906973241626</v>
      </c>
      <c r="AH46" s="2">
        <v>0.72440000000000004</v>
      </c>
      <c r="AI46">
        <v>199.26</v>
      </c>
      <c r="AJ46" s="5">
        <v>189.9</v>
      </c>
      <c r="AK46">
        <f>IF(Table1[[#This Row],[P_R3]]="","",Table1[Pu(kN)]/Table1[[#This Row],[P_R3]])</f>
        <v>0.87256450763559756</v>
      </c>
      <c r="AL46">
        <v>0.55630000000000002</v>
      </c>
      <c r="AM46">
        <v>189.9</v>
      </c>
      <c r="AN46" s="5">
        <v>195.55</v>
      </c>
      <c r="AO46" s="6">
        <f>IF(Table1[[#This Row],[P_R4]]="","",Table1[Pu(kN)]/Table1[[#This Row],[P_R4]])</f>
        <v>0.84735361800051123</v>
      </c>
      <c r="AP46" s="6">
        <v>0.75280000000000002</v>
      </c>
      <c r="AQ46">
        <v>195.55</v>
      </c>
      <c r="AR46" s="5">
        <v>173.9</v>
      </c>
      <c r="AS46">
        <f>IF(Table1[[#This Row],[P_F4]]="","",Table1[Pu(kN)]/Table1[[#This Row],[P_F4]])</f>
        <v>0.95284646348476121</v>
      </c>
      <c r="AT46">
        <v>4.4499999999999998E-2</v>
      </c>
      <c r="AU46" s="7">
        <v>175.95</v>
      </c>
      <c r="AV46">
        <v>199.19</v>
      </c>
      <c r="AW46">
        <f>IF(Table1[[#This Row],[P_F5]]="","",Table1[Pu(kN)]/Table1[[#This Row],[P_F5]])</f>
        <v>0.83186906973241626</v>
      </c>
      <c r="AX46">
        <v>0.81120000000000003</v>
      </c>
      <c r="AY46" s="7">
        <v>199.19</v>
      </c>
      <c r="AZ46">
        <v>187.21</v>
      </c>
      <c r="BA46">
        <f>IF(Table1[[#This Row],[P_R5]]="","",Table1[Pu(kN)]/Table1[[#This Row],[P_R5]])</f>
        <v>0.88510229154425502</v>
      </c>
      <c r="BB46">
        <v>0.51819999999999999</v>
      </c>
      <c r="BC46">
        <v>187.21</v>
      </c>
      <c r="BD46" s="5">
        <v>175.67</v>
      </c>
      <c r="BE46" s="6">
        <f>IF(Table1[[#This Row],[P_F6]]="","",Table1[Pu(kN)]/Table1[[#This Row],[P_F6]])</f>
        <v>0.94324585871235844</v>
      </c>
      <c r="BF46" s="6">
        <v>2.1700000000000001E-2</v>
      </c>
      <c r="BG46" s="6">
        <v>176.21</v>
      </c>
      <c r="BH46" s="5">
        <v>182.11</v>
      </c>
      <c r="BI46" s="6">
        <f>IF(Table1[[#This Row],[P_R6]]="","",Table1[Pu(kN)]/Table1[[#This Row],[P_R6]])</f>
        <v>0.90988962714842669</v>
      </c>
      <c r="BJ46">
        <v>0.23769999999999999</v>
      </c>
      <c r="BK46">
        <v>182.11</v>
      </c>
      <c r="BL46" s="5">
        <v>200.81</v>
      </c>
      <c r="BM46" s="6">
        <f>IF(Table1[[#This Row],[P_F7]]="","",Table1[Pu(kN)]/Table1[[#This Row],[P_F7]])</f>
        <v>0.82515810965589353</v>
      </c>
      <c r="BN46" s="6">
        <v>0.78559999999999997</v>
      </c>
      <c r="BO46" s="6">
        <v>200.91</v>
      </c>
      <c r="BP46" s="5">
        <v>181.23</v>
      </c>
      <c r="BQ46" s="6">
        <f>IF(Table1[[#This Row],[P_F8]]="","",Table1[Pu(kN)]/Table1[[#This Row],[P_F8]])</f>
        <v>0.91430778568669646</v>
      </c>
      <c r="BR46" s="6">
        <v>5.9900000000000002E-2</v>
      </c>
      <c r="BS46" s="6">
        <v>182.08</v>
      </c>
      <c r="BT46" s="5">
        <v>165.17</v>
      </c>
      <c r="BU46" s="6">
        <f>IF(Table1[[#This Row],[P_R7]]="","",Table1[Pu(kN)]/Table1[[#This Row],[P_R7]])</f>
        <v>1.0032088151601382</v>
      </c>
      <c r="BV46" s="6">
        <v>1.6500000000000001E-2</v>
      </c>
      <c r="BW46" s="6">
        <v>170.99</v>
      </c>
      <c r="BX46" s="5">
        <v>148.22999999999999</v>
      </c>
      <c r="BY46" s="6">
        <f>IF(Table1[[#This Row],[P_F9]]="","",Table1[Pu(kN)]/Table1[[#This Row],[P_F9]])</f>
        <v>1.1178573837954531</v>
      </c>
      <c r="BZ46" s="6">
        <v>1.83E-2</v>
      </c>
      <c r="CA46" s="7">
        <v>149.81</v>
      </c>
      <c r="CB46" s="5">
        <v>185.27</v>
      </c>
      <c r="CC46" s="6">
        <f>IF(Table1[[#This Row],[P_R8]]="","",Table1[Pu(kN)]/Table1[[#This Row],[P_R8]])</f>
        <v>0.89437037836670796</v>
      </c>
      <c r="CD46" s="6">
        <v>0.41499999999999998</v>
      </c>
      <c r="CE46" s="6">
        <v>185.27</v>
      </c>
      <c r="CF46" s="5">
        <v>195.37</v>
      </c>
      <c r="CG46">
        <f>IF(Table1[[#This Row],[P_R9]]="","",Table1[Pu(kN)]/Table1[[#This Row],[P_R9]])</f>
        <v>0.84813430925935396</v>
      </c>
      <c r="CH46">
        <v>0.83540000000000003</v>
      </c>
      <c r="CI46">
        <v>195.37</v>
      </c>
      <c r="CJ46" s="5">
        <v>176.34</v>
      </c>
      <c r="CK46" s="6">
        <f>IF(Table1[[#This Row],[P_F10]]="","",Table1[Pu(kN)]/Table1[[#This Row],[P_F10]])</f>
        <v>0.93966201655892023</v>
      </c>
      <c r="CL46" s="6">
        <v>1.5100000000000001E-2</v>
      </c>
      <c r="CM46" s="7">
        <v>176.74</v>
      </c>
      <c r="CN46" s="38">
        <f>Table1[[#This Row],[P_R8]]</f>
        <v>185.27</v>
      </c>
      <c r="CO46" s="38">
        <f>Table1[[#This Row],[Pu(kN)]]/Table1[[#This Row],[P_R8_2]]</f>
        <v>0.89437037836670796</v>
      </c>
      <c r="CP46" s="38">
        <f>Table1[[#This Row],[DUCTIL_R8]]</f>
        <v>0.41499999999999998</v>
      </c>
      <c r="CQ46" s="38">
        <f>Table1[[#This Row],[P_R8_2]]</f>
        <v>185.27</v>
      </c>
    </row>
    <row r="47" spans="1:95" x14ac:dyDescent="0.3">
      <c r="A47" s="27" t="s">
        <v>105</v>
      </c>
      <c r="B47" s="20" t="s">
        <v>93</v>
      </c>
      <c r="C47" s="20" t="s">
        <v>32</v>
      </c>
      <c r="D47" s="20">
        <v>2015</v>
      </c>
      <c r="E47" s="20" t="s">
        <v>90</v>
      </c>
      <c r="F47" s="20">
        <f>81.9*0.8</f>
        <v>65.52000000000001</v>
      </c>
      <c r="G47" s="23">
        <v>0.59</v>
      </c>
      <c r="H47" s="20">
        <v>1900</v>
      </c>
      <c r="I47" s="20">
        <v>472.5</v>
      </c>
      <c r="J47" s="23">
        <f>Table1[[#This Row],[a'[mm']]]/Table1[[#This Row],[d'[mm']]]</f>
        <v>4.0211640211640214</v>
      </c>
      <c r="K47" s="20">
        <v>500</v>
      </c>
      <c r="L47" s="20" t="s">
        <v>28</v>
      </c>
      <c r="M47" s="20">
        <v>166.9</v>
      </c>
      <c r="N47" s="20" t="s">
        <v>130</v>
      </c>
      <c r="O47" s="20" t="s">
        <v>130</v>
      </c>
      <c r="P47" s="5">
        <v>182.49</v>
      </c>
      <c r="Q47" s="6">
        <f>IF(Table1[[#This Row],[P_F1]]="","",Table1[Pu(kN)]/Table1[[#This Row],[P_F1]])</f>
        <v>0.91457066140610443</v>
      </c>
      <c r="R47">
        <v>0.19220000000000001</v>
      </c>
      <c r="S47">
        <v>182.72</v>
      </c>
      <c r="T47" s="5">
        <v>102.7</v>
      </c>
      <c r="U47" s="6">
        <f>IF(Table1[[#This Row],[P_R1]]="","",Table1[Pu(kN)]/Table1[[#This Row],[P_R1]])</f>
        <v>1.6251217137293086</v>
      </c>
      <c r="V47">
        <v>4.8999999999999998E-3</v>
      </c>
      <c r="W47">
        <v>102.71</v>
      </c>
      <c r="X47" s="5">
        <v>194.16</v>
      </c>
      <c r="Y47" s="6">
        <f>IF(Table1[[#This Row],[P_F2]]="","",Table1[Pu(kN)]/Table1[[#This Row],[P_F2]])</f>
        <v>0.85960032962505151</v>
      </c>
      <c r="Z47">
        <v>0.71660000000000001</v>
      </c>
      <c r="AA47">
        <v>194.26</v>
      </c>
      <c r="AB47" s="10">
        <v>186.64</v>
      </c>
      <c r="AC47" s="8">
        <f>IF(Table1[[#This Row],[P_R2]]="","",Table1[Pu(kN)]/Table1[[#This Row],[P_R2]])</f>
        <v>0.89423489069867135</v>
      </c>
      <c r="AD47" s="8">
        <v>0.64259999999999995</v>
      </c>
      <c r="AE47" s="9">
        <v>186.73</v>
      </c>
      <c r="AF47" s="2">
        <v>198.1</v>
      </c>
      <c r="AG47" s="2">
        <f>IF(Table1[[#This Row],[P_F3]]="","",Table1[Pu(kN)]/Table1[[#This Row],[P_F3]])</f>
        <v>0.84250378596668352</v>
      </c>
      <c r="AH47" s="2">
        <v>0.80159999999999998</v>
      </c>
      <c r="AI47">
        <v>198.17</v>
      </c>
      <c r="AJ47" s="5">
        <v>189.78</v>
      </c>
      <c r="AK47">
        <f>IF(Table1[[#This Row],[P_R3]]="","",Table1[Pu(kN)]/Table1[[#This Row],[P_R3]])</f>
        <v>0.87943935082727376</v>
      </c>
      <c r="AL47">
        <v>0.77270000000000005</v>
      </c>
      <c r="AM47">
        <v>189.86</v>
      </c>
      <c r="AN47" s="5">
        <v>115.79</v>
      </c>
      <c r="AO47" s="6">
        <f>IF(Table1[[#This Row],[P_R4]]="","",Table1[Pu(kN)]/Table1[[#This Row],[P_R4]])</f>
        <v>1.4414025390793679</v>
      </c>
      <c r="AP47" s="6">
        <v>1.7100000000000001E-2</v>
      </c>
      <c r="AQ47">
        <v>115.79</v>
      </c>
      <c r="AR47" s="5">
        <v>175.54</v>
      </c>
      <c r="AS47">
        <f>IF(Table1[[#This Row],[P_F4]]="","",Table1[Pu(kN)]/Table1[[#This Row],[P_F4]])</f>
        <v>0.95078044890053559</v>
      </c>
      <c r="AT47">
        <v>5.91E-2</v>
      </c>
      <c r="AU47" s="7">
        <v>177.43</v>
      </c>
      <c r="AV47">
        <v>215.9</v>
      </c>
      <c r="AW47">
        <f>IF(Table1[[#This Row],[P_F5]]="","",Table1[Pu(kN)]/Table1[[#This Row],[P_F5]])</f>
        <v>0.77304307549791573</v>
      </c>
      <c r="AX47">
        <v>0.7913</v>
      </c>
      <c r="AY47" s="7">
        <v>215.9</v>
      </c>
      <c r="AZ47">
        <v>182.16</v>
      </c>
      <c r="BA47">
        <f>IF(Table1[[#This Row],[P_R5]]="","",Table1[Pu(kN)]/Table1[[#This Row],[P_R5]])</f>
        <v>0.91622749231444889</v>
      </c>
      <c r="BB47">
        <v>0.62</v>
      </c>
      <c r="BC47">
        <v>182.62</v>
      </c>
      <c r="BD47" s="5">
        <v>199.7</v>
      </c>
      <c r="BE47" s="6">
        <f>IF(Table1[[#This Row],[P_F6]]="","",Table1[Pu(kN)]/Table1[[#This Row],[P_F6]])</f>
        <v>0.83575363044566853</v>
      </c>
      <c r="BF47" s="6">
        <v>0.83520000000000005</v>
      </c>
      <c r="BG47" s="6">
        <v>199.7</v>
      </c>
      <c r="BH47" s="5">
        <v>192.04</v>
      </c>
      <c r="BI47" s="6">
        <f>IF(Table1[[#This Row],[P_R6]]="","",Table1[Pu(kN)]/Table1[[#This Row],[P_R6]])</f>
        <v>0.86908977296396595</v>
      </c>
      <c r="BJ47">
        <v>0.82050000000000001</v>
      </c>
      <c r="BK47">
        <v>192.04</v>
      </c>
      <c r="BL47" s="5">
        <v>198.71</v>
      </c>
      <c r="BM47" s="6">
        <f>IF(Table1[[#This Row],[P_F7]]="","",Table1[Pu(kN)]/Table1[[#This Row],[P_F7]])</f>
        <v>0.83991746766644859</v>
      </c>
      <c r="BN47" s="6">
        <v>0.81179999999999997</v>
      </c>
      <c r="BO47" s="6">
        <v>198.71</v>
      </c>
      <c r="BP47" s="5">
        <v>176.87</v>
      </c>
      <c r="BQ47" s="6">
        <f>IF(Table1[[#This Row],[P_F8]]="","",Table1[Pu(kN)]/Table1[[#This Row],[P_F8]])</f>
        <v>0.94363091536156496</v>
      </c>
      <c r="BR47" s="6">
        <v>7.3700000000000002E-2</v>
      </c>
      <c r="BS47" s="6">
        <v>177.34</v>
      </c>
      <c r="BT47" s="5">
        <v>168.97</v>
      </c>
      <c r="BU47" s="6">
        <f>IF(Table1[[#This Row],[P_R7]]="","",Table1[Pu(kN)]/Table1[[#This Row],[P_R7]])</f>
        <v>0.98774930461028587</v>
      </c>
      <c r="BV47" s="6">
        <v>3.3500000000000002E-2</v>
      </c>
      <c r="BW47" s="6">
        <v>169.59</v>
      </c>
      <c r="BX47" s="5">
        <v>169.73</v>
      </c>
      <c r="BY47" s="6">
        <f>IF(Table1[[#This Row],[P_F9]]="","",Table1[Pu(kN)]/Table1[[#This Row],[P_F9]])</f>
        <v>0.98332645967124266</v>
      </c>
      <c r="BZ47" s="6">
        <v>3.4200000000000001E-2</v>
      </c>
      <c r="CA47" s="7">
        <v>170.35</v>
      </c>
      <c r="CB47" s="5">
        <v>191.45</v>
      </c>
      <c r="CC47" s="6">
        <f>IF(Table1[[#This Row],[P_R8]]="","",Table1[Pu(kN)]/Table1[[#This Row],[P_R8]])</f>
        <v>0.87176808566205288</v>
      </c>
      <c r="CD47" s="6">
        <v>0.83640000000000003</v>
      </c>
      <c r="CE47" s="6">
        <v>191.56</v>
      </c>
      <c r="CF47" s="5">
        <v>179.95</v>
      </c>
      <c r="CG47">
        <f>IF(Table1[[#This Row],[P_R9]]="","",Table1[Pu(kN)]/Table1[[#This Row],[P_R9]])</f>
        <v>0.927479855515421</v>
      </c>
      <c r="CH47">
        <v>0.26050000000000001</v>
      </c>
      <c r="CI47">
        <v>179.95</v>
      </c>
      <c r="CJ47" s="5">
        <v>127.79</v>
      </c>
      <c r="CK47" s="6">
        <f>IF(Table1[[#This Row],[P_F10]]="","",Table1[Pu(kN)]/Table1[[#This Row],[P_F10]])</f>
        <v>1.3060489866186713</v>
      </c>
      <c r="CL47" s="6">
        <v>1.8599999999999998E-2</v>
      </c>
      <c r="CM47" s="7">
        <v>127.79</v>
      </c>
      <c r="CN47" s="38">
        <f>Table1[[#This Row],[P_R8]]</f>
        <v>191.45</v>
      </c>
      <c r="CO47" s="38">
        <f>Table1[[#This Row],[Pu(kN)]]/Table1[[#This Row],[P_R8_2]]</f>
        <v>0.87176808566205288</v>
      </c>
      <c r="CP47" s="38">
        <f>Table1[[#This Row],[DUCTIL_R8]]</f>
        <v>0.83640000000000003</v>
      </c>
      <c r="CQ47" s="38">
        <f>Table1[[#This Row],[P_R8_2]]</f>
        <v>191.45</v>
      </c>
    </row>
    <row r="48" spans="1:95" x14ac:dyDescent="0.3">
      <c r="A48" s="26" t="s">
        <v>98</v>
      </c>
      <c r="B48" s="18" t="s">
        <v>93</v>
      </c>
      <c r="C48" s="18" t="s">
        <v>32</v>
      </c>
      <c r="D48" s="18">
        <v>2015</v>
      </c>
      <c r="E48" s="18" t="s">
        <v>90</v>
      </c>
      <c r="F48" s="18">
        <f>81*0.8</f>
        <v>64.8</v>
      </c>
      <c r="G48" s="22">
        <v>0.67</v>
      </c>
      <c r="H48" s="18">
        <v>2250</v>
      </c>
      <c r="I48" s="18">
        <v>471.5</v>
      </c>
      <c r="J48" s="22">
        <f>Table1[[#This Row],[a'[mm']]]/Table1[[#This Row],[d'[mm']]]</f>
        <v>4.7720042417815485</v>
      </c>
      <c r="K48" s="18">
        <v>500</v>
      </c>
      <c r="L48" s="18" t="s">
        <v>28</v>
      </c>
      <c r="M48" s="18">
        <v>175.1</v>
      </c>
      <c r="N48" s="18" t="s">
        <v>130</v>
      </c>
      <c r="O48" s="18" t="s">
        <v>130</v>
      </c>
      <c r="P48" s="5">
        <v>204.59</v>
      </c>
      <c r="Q48" s="6">
        <f>IF(Table1[[#This Row],[P_F1]]="","",Table1[Pu(kN)]/Table1[[#This Row],[P_F1]])</f>
        <v>0.8558580575785717</v>
      </c>
      <c r="R48">
        <v>0.43880000000000002</v>
      </c>
      <c r="S48">
        <v>204.88</v>
      </c>
      <c r="T48" s="5">
        <v>103.7</v>
      </c>
      <c r="U48" s="6">
        <f>IF(Table1[[#This Row],[P_R1]]="","",Table1[Pu(kN)]/Table1[[#This Row],[P_R1]])</f>
        <v>1.6885245901639343</v>
      </c>
      <c r="V48">
        <v>1.23E-2</v>
      </c>
      <c r="W48">
        <v>103.7</v>
      </c>
      <c r="X48" s="5">
        <v>215.66</v>
      </c>
      <c r="Y48" s="6">
        <f>IF(Table1[[#This Row],[P_F2]]="","",Table1[Pu(kN)]/Table1[[#This Row],[P_F2]])</f>
        <v>0.81192618009830286</v>
      </c>
      <c r="Z48">
        <v>0.79139999999999999</v>
      </c>
      <c r="AA48">
        <v>215.66</v>
      </c>
      <c r="AB48" s="10">
        <v>205.8</v>
      </c>
      <c r="AC48" s="8">
        <f>IF(Table1[[#This Row],[P_R2]]="","",Table1[Pu(kN)]/Table1[[#This Row],[P_R2]])</f>
        <v>0.85082604470359569</v>
      </c>
      <c r="AD48" s="8">
        <v>0.65859999999999996</v>
      </c>
      <c r="AE48" s="9">
        <v>205.99</v>
      </c>
      <c r="AF48" s="2">
        <v>216.97</v>
      </c>
      <c r="AG48" s="2">
        <f>IF(Table1[[#This Row],[P_F3]]="","",Table1[Pu(kN)]/Table1[[#This Row],[P_F3]])</f>
        <v>0.8070240125362953</v>
      </c>
      <c r="AH48" s="2">
        <v>0.80979999999999996</v>
      </c>
      <c r="AI48">
        <v>216.97</v>
      </c>
      <c r="AJ48" s="5">
        <v>204.16</v>
      </c>
      <c r="AK48">
        <f>IF(Table1[[#This Row],[P_R3]]="","",Table1[Pu(kN)]/Table1[[#This Row],[P_R3]])</f>
        <v>0.85766065830721006</v>
      </c>
      <c r="AL48">
        <v>0.63190000000000002</v>
      </c>
      <c r="AM48">
        <v>204.16</v>
      </c>
      <c r="AN48" s="5">
        <v>191.38</v>
      </c>
      <c r="AO48" s="6">
        <f>IF(Table1[[#This Row],[P_R4]]="","",Table1[Pu(kN)]/Table1[[#This Row],[P_R4]])</f>
        <v>0.91493363987877518</v>
      </c>
      <c r="AP48" s="6">
        <v>8.4500000000000006E-2</v>
      </c>
      <c r="AQ48">
        <v>191.65</v>
      </c>
      <c r="AR48" s="5">
        <v>207.24</v>
      </c>
      <c r="AS48">
        <f>IF(Table1[[#This Row],[P_F4]]="","",Table1[Pu(kN)]/Table1[[#This Row],[P_F4]])</f>
        <v>0.8449141092453194</v>
      </c>
      <c r="AT48">
        <v>0.59389999999999998</v>
      </c>
      <c r="AU48" s="7">
        <v>207.24</v>
      </c>
      <c r="AV48">
        <v>222.45</v>
      </c>
      <c r="AW48">
        <f>IF(Table1[[#This Row],[P_F5]]="","",Table1[Pu(kN)]/Table1[[#This Row],[P_F5]])</f>
        <v>0.78714317824230162</v>
      </c>
      <c r="AX48">
        <v>0.78890000000000005</v>
      </c>
      <c r="AY48" s="7">
        <v>222.45</v>
      </c>
      <c r="AZ48">
        <v>172.98</v>
      </c>
      <c r="BA48">
        <f>IF(Table1[[#This Row],[P_R5]]="","",Table1[Pu(kN)]/Table1[[#This Row],[P_R5]])</f>
        <v>1.0122557521100706</v>
      </c>
      <c r="BB48">
        <v>1.8100000000000002E-2</v>
      </c>
      <c r="BC48">
        <v>173.42</v>
      </c>
      <c r="BD48" s="5">
        <v>205.91</v>
      </c>
      <c r="BE48" s="6">
        <f>IF(Table1[[#This Row],[P_F6]]="","",Table1[Pu(kN)]/Table1[[#This Row],[P_F6]])</f>
        <v>0.85037152153853623</v>
      </c>
      <c r="BF48" s="6">
        <v>0.43309999999999998</v>
      </c>
      <c r="BG48" s="6">
        <v>205.91</v>
      </c>
      <c r="BH48" s="5">
        <v>204.9</v>
      </c>
      <c r="BI48" s="6">
        <f>IF(Table1[[#This Row],[P_R6]]="","",Table1[Pu(kN)]/Table1[[#This Row],[P_R6]])</f>
        <v>0.85456320156173737</v>
      </c>
      <c r="BJ48">
        <v>0.66810000000000003</v>
      </c>
      <c r="BK48">
        <v>204.95</v>
      </c>
      <c r="BL48" s="5">
        <v>218.3</v>
      </c>
      <c r="BM48" s="6">
        <f>IF(Table1[[#This Row],[P_F7]]="","",Table1[Pu(kN)]/Table1[[#This Row],[P_F7]])</f>
        <v>0.8021071919377003</v>
      </c>
      <c r="BN48" s="6">
        <v>0.80379999999999996</v>
      </c>
      <c r="BO48" s="6">
        <v>218.3</v>
      </c>
      <c r="BP48" s="5">
        <v>198.64</v>
      </c>
      <c r="BQ48" s="6">
        <f>IF(Table1[[#This Row],[P_F8]]="","",Table1[Pu(kN)]/Table1[[#This Row],[P_F8]])</f>
        <v>0.88149416028997185</v>
      </c>
      <c r="BR48" s="6">
        <v>0.14080000000000001</v>
      </c>
      <c r="BS48" s="6">
        <v>199.07</v>
      </c>
      <c r="BT48" s="5">
        <v>193.5</v>
      </c>
      <c r="BU48" s="6">
        <f>IF(Table1[[#This Row],[P_R7]]="","",Table1[Pu(kN)]/Table1[[#This Row],[P_R7]])</f>
        <v>0.90490956072351414</v>
      </c>
      <c r="BV48" s="6">
        <v>7.2099999999999997E-2</v>
      </c>
      <c r="BW48" s="6">
        <v>194.47</v>
      </c>
      <c r="BX48" s="5">
        <v>169</v>
      </c>
      <c r="BY48" s="6">
        <f>IF(Table1[[#This Row],[P_F9]]="","",Table1[Pu(kN)]/Table1[[#This Row],[P_F9]])</f>
        <v>1.036094674556213</v>
      </c>
      <c r="BZ48" s="6">
        <v>0.37369999999999998</v>
      </c>
      <c r="CA48" s="7">
        <v>201.79</v>
      </c>
      <c r="CB48" s="5">
        <v>193.87</v>
      </c>
      <c r="CC48" s="6">
        <f>IF(Table1[[#This Row],[P_R8]]="","",Table1[Pu(kN)]/Table1[[#This Row],[P_R8]])</f>
        <v>0.90318254500438433</v>
      </c>
      <c r="CD48" s="6">
        <v>0.1125</v>
      </c>
      <c r="CE48" s="6">
        <v>194.29</v>
      </c>
      <c r="CF48" s="5">
        <v>198.38</v>
      </c>
      <c r="CG48">
        <f>IF(Table1[[#This Row],[P_R9]]="","",Table1[Pu(kN)]/Table1[[#This Row],[P_R9]])</f>
        <v>0.88264946063111205</v>
      </c>
      <c r="CH48">
        <v>0.30030000000000001</v>
      </c>
      <c r="CI48">
        <v>198.57</v>
      </c>
      <c r="CJ48" s="5">
        <v>192.51</v>
      </c>
      <c r="CK48" s="6">
        <f>IF(Table1[[#This Row],[P_F10]]="","",Table1[Pu(kN)]/Table1[[#This Row],[P_F10]])</f>
        <v>0.90956313957716484</v>
      </c>
      <c r="CL48" s="6">
        <v>1.6E-2</v>
      </c>
      <c r="CM48" s="7">
        <v>193.01</v>
      </c>
      <c r="CN48" s="38">
        <f>Table1[[#This Row],[P_R8]]</f>
        <v>193.87</v>
      </c>
      <c r="CO48" s="38">
        <f>Table1[[#This Row],[Pu(kN)]]/Table1[[#This Row],[P_R8_2]]</f>
        <v>0.90318254500438433</v>
      </c>
      <c r="CP48" s="38">
        <f>Table1[[#This Row],[DUCTIL_R8]]</f>
        <v>0.1125</v>
      </c>
      <c r="CQ48" s="38">
        <f>Table1[[#This Row],[P_R8_2]]</f>
        <v>193.87</v>
      </c>
    </row>
    <row r="49" spans="1:95" x14ac:dyDescent="0.3">
      <c r="A49" s="27" t="s">
        <v>99</v>
      </c>
      <c r="B49" s="20" t="s">
        <v>93</v>
      </c>
      <c r="C49" s="20" t="s">
        <v>32</v>
      </c>
      <c r="D49" s="20">
        <v>2015</v>
      </c>
      <c r="E49" s="20" t="s">
        <v>90</v>
      </c>
      <c r="F49" s="20">
        <v>64.8</v>
      </c>
      <c r="G49" s="23">
        <v>0.67</v>
      </c>
      <c r="H49" s="20">
        <v>2000</v>
      </c>
      <c r="I49" s="20">
        <v>471.5</v>
      </c>
      <c r="J49" s="23">
        <f>Table1[[#This Row],[a'[mm']]]/Table1[[#This Row],[d'[mm']]]</f>
        <v>4.2417815482502652</v>
      </c>
      <c r="K49" s="20">
        <v>500</v>
      </c>
      <c r="L49" s="20" t="s">
        <v>28</v>
      </c>
      <c r="M49" s="20">
        <v>179.5</v>
      </c>
      <c r="N49" s="20" t="s">
        <v>130</v>
      </c>
      <c r="O49" s="20" t="s">
        <v>130</v>
      </c>
      <c r="P49" s="5">
        <v>172.85</v>
      </c>
      <c r="Q49" s="6">
        <f>IF(Table1[[#This Row],[P_F1]]="","",Table1[Pu(kN)]/Table1[[#This Row],[P_F1]])</f>
        <v>1.038472664159676</v>
      </c>
      <c r="R49">
        <v>1.0500000000000001E-2</v>
      </c>
      <c r="S49">
        <v>173.72</v>
      </c>
      <c r="T49" s="5">
        <v>108.42</v>
      </c>
      <c r="U49" s="6">
        <f>IF(Table1[[#This Row],[P_R1]]="","",Table1[Pu(kN)]/Table1[[#This Row],[P_R1]])</f>
        <v>1.6555985980446413</v>
      </c>
      <c r="V49">
        <v>1.4500000000000001E-2</v>
      </c>
      <c r="W49">
        <v>108.42</v>
      </c>
      <c r="X49" s="5">
        <v>195.47</v>
      </c>
      <c r="Y49" s="6">
        <f>IF(Table1[[#This Row],[P_F2]]="","",Table1[Pu(kN)]/Table1[[#This Row],[P_F2]])</f>
        <v>0.91829948329666955</v>
      </c>
      <c r="Z49">
        <v>2.1399999999999999E-2</v>
      </c>
      <c r="AA49">
        <v>196.19</v>
      </c>
      <c r="AB49" s="10">
        <v>203.4</v>
      </c>
      <c r="AC49" s="8">
        <f>IF(Table1[[#This Row],[P_R2]]="","",Table1[Pu(kN)]/Table1[[#This Row],[P_R2]])</f>
        <v>0.88249754178957718</v>
      </c>
      <c r="AD49" s="8">
        <v>0.32540000000000002</v>
      </c>
      <c r="AE49" s="9">
        <v>204</v>
      </c>
      <c r="AF49" s="2">
        <v>210.25</v>
      </c>
      <c r="AG49" s="2">
        <f>IF(Table1[[#This Row],[P_F3]]="","",Table1[Pu(kN)]/Table1[[#This Row],[P_F3]])</f>
        <v>0.85374554102259215</v>
      </c>
      <c r="AH49" s="2">
        <v>0.4546</v>
      </c>
      <c r="AI49">
        <v>210.51</v>
      </c>
      <c r="AJ49" s="5">
        <v>204.94</v>
      </c>
      <c r="AK49">
        <f>IF(Table1[[#This Row],[P_R3]]="","",Table1[Pu(kN)]/Table1[[#This Row],[P_R3]])</f>
        <v>0.87586610715331314</v>
      </c>
      <c r="AL49">
        <v>0.42059999999999997</v>
      </c>
      <c r="AM49">
        <v>205.46</v>
      </c>
      <c r="AN49" s="5">
        <v>180.36</v>
      </c>
      <c r="AO49" s="6">
        <f>IF(Table1[[#This Row],[P_R4]]="","",Table1[Pu(kN)]/Table1[[#This Row],[P_R4]])</f>
        <v>0.99523175870481251</v>
      </c>
      <c r="AP49" s="6">
        <v>1.89E-2</v>
      </c>
      <c r="AQ49">
        <v>180.36</v>
      </c>
      <c r="AR49" s="5">
        <v>201.75</v>
      </c>
      <c r="AS49">
        <f>IF(Table1[[#This Row],[P_F4]]="","",Table1[Pu(kN)]/Table1[[#This Row],[P_F4]])</f>
        <v>0.88971499380421315</v>
      </c>
      <c r="AT49">
        <v>0.15740000000000001</v>
      </c>
      <c r="AU49" s="7">
        <v>203.15</v>
      </c>
      <c r="AV49">
        <v>207.37</v>
      </c>
      <c r="AW49">
        <f>IF(Table1[[#This Row],[P_F5]]="","",Table1[Pu(kN)]/Table1[[#This Row],[P_F5]])</f>
        <v>0.86560254617350629</v>
      </c>
      <c r="AX49">
        <v>1.8599999999999998E-2</v>
      </c>
      <c r="AY49" s="7">
        <v>208.33</v>
      </c>
      <c r="AZ49">
        <v>204.59</v>
      </c>
      <c r="BA49">
        <f>IF(Table1[[#This Row],[P_R5]]="","",Table1[Pu(kN)]/Table1[[#This Row],[P_R5]])</f>
        <v>0.87736448506769638</v>
      </c>
      <c r="BB49">
        <v>0.2394</v>
      </c>
      <c r="BC49">
        <v>204.59</v>
      </c>
      <c r="BD49" s="5">
        <v>208.48</v>
      </c>
      <c r="BE49" s="6">
        <f>IF(Table1[[#This Row],[P_F6]]="","",Table1[Pu(kN)]/Table1[[#This Row],[P_F6]])</f>
        <v>0.86099386032233316</v>
      </c>
      <c r="BF49" s="6">
        <v>0.2354</v>
      </c>
      <c r="BG49" s="6">
        <v>208.48</v>
      </c>
      <c r="BH49" s="5">
        <v>204.01</v>
      </c>
      <c r="BI49" s="6">
        <f>IF(Table1[[#This Row],[P_R6]]="","",Table1[Pu(kN)]/Table1[[#This Row],[P_R6]])</f>
        <v>0.87985883044948776</v>
      </c>
      <c r="BJ49">
        <v>0.30669999999999997</v>
      </c>
      <c r="BK49">
        <v>204.67</v>
      </c>
      <c r="BL49" s="5">
        <v>224.45</v>
      </c>
      <c r="BM49" s="6">
        <f>IF(Table1[[#This Row],[P_F7]]="","",Table1[Pu(kN)]/Table1[[#This Row],[P_F7]])</f>
        <v>0.7997326798841613</v>
      </c>
      <c r="BN49" s="6">
        <v>0.80049999999999999</v>
      </c>
      <c r="BO49" s="6">
        <v>224.45</v>
      </c>
      <c r="BP49" s="5">
        <v>202.4</v>
      </c>
      <c r="BQ49" s="6">
        <f>IF(Table1[[#This Row],[P_F8]]="","",Table1[Pu(kN)]/Table1[[#This Row],[P_F8]])</f>
        <v>0.88685770750988135</v>
      </c>
      <c r="BR49" s="6">
        <v>4.5600000000000002E-2</v>
      </c>
      <c r="BS49" s="6">
        <v>203.03</v>
      </c>
      <c r="BT49" s="5">
        <v>188.58</v>
      </c>
      <c r="BU49" s="6">
        <f>IF(Table1[[#This Row],[P_R7]]="","",Table1[Pu(kN)]/Table1[[#This Row],[P_R7]])</f>
        <v>0.95185067345423691</v>
      </c>
      <c r="BV49" s="6">
        <v>1.89E-2</v>
      </c>
      <c r="BW49" s="6">
        <v>192.68</v>
      </c>
      <c r="BX49" s="5">
        <v>184.81</v>
      </c>
      <c r="BY49" s="6">
        <f>IF(Table1[[#This Row],[P_F9]]="","",Table1[Pu(kN)]/Table1[[#This Row],[P_F9]])</f>
        <v>0.97126778853958118</v>
      </c>
      <c r="BZ49" s="6">
        <v>2.01E-2</v>
      </c>
      <c r="CA49" s="7">
        <v>185.89</v>
      </c>
      <c r="CB49" s="5">
        <v>177.52</v>
      </c>
      <c r="CC49" s="6">
        <f>IF(Table1[[#This Row],[P_R8]]="","",Table1[Pu(kN)]/Table1[[#This Row],[P_R8]])</f>
        <v>1.011153672825597</v>
      </c>
      <c r="CD49" s="6">
        <v>2.12E-2</v>
      </c>
      <c r="CE49" s="6">
        <v>177.69</v>
      </c>
      <c r="CF49" s="5">
        <v>199.31</v>
      </c>
      <c r="CG49">
        <f>IF(Table1[[#This Row],[P_R9]]="","",Table1[Pu(kN)]/Table1[[#This Row],[P_R9]])</f>
        <v>0.900607094475942</v>
      </c>
      <c r="CH49">
        <v>6.1899999999999997E-2</v>
      </c>
      <c r="CI49">
        <v>199.45</v>
      </c>
      <c r="CJ49" s="5">
        <v>187.99</v>
      </c>
      <c r="CK49" s="6">
        <f>IF(Table1[[#This Row],[P_F10]]="","",Table1[Pu(kN)]/Table1[[#This Row],[P_F10]])</f>
        <v>0.9548380232991116</v>
      </c>
      <c r="CL49" s="6">
        <v>1.61E-2</v>
      </c>
      <c r="CM49" s="7">
        <v>188.67</v>
      </c>
      <c r="CN49" s="38">
        <f>Table1[[#This Row],[P_R8]]</f>
        <v>177.52</v>
      </c>
      <c r="CO49" s="38">
        <f>Table1[[#This Row],[Pu(kN)]]/Table1[[#This Row],[P_R8_2]]</f>
        <v>1.011153672825597</v>
      </c>
      <c r="CP49" s="38">
        <f>Table1[[#This Row],[DUCTIL_R8]]</f>
        <v>2.12E-2</v>
      </c>
      <c r="CQ49" s="38">
        <f>Table1[[#This Row],[P_R8_2]]</f>
        <v>177.52</v>
      </c>
    </row>
    <row r="50" spans="1:95" x14ac:dyDescent="0.3">
      <c r="A50" s="26" t="s">
        <v>100</v>
      </c>
      <c r="B50" s="18" t="s">
        <v>93</v>
      </c>
      <c r="C50" s="18" t="s">
        <v>32</v>
      </c>
      <c r="D50" s="18">
        <v>2015</v>
      </c>
      <c r="E50" s="18" t="s">
        <v>90</v>
      </c>
      <c r="F50" s="18">
        <v>64.8</v>
      </c>
      <c r="G50" s="22">
        <v>0.67</v>
      </c>
      <c r="H50" s="18">
        <v>1750</v>
      </c>
      <c r="I50" s="18">
        <v>471.5</v>
      </c>
      <c r="J50" s="22">
        <f>Table1[[#This Row],[a'[mm']]]/Table1[[#This Row],[d'[mm']]]</f>
        <v>3.7115588547189819</v>
      </c>
      <c r="K50" s="18">
        <v>500</v>
      </c>
      <c r="L50" s="18" t="s">
        <v>28</v>
      </c>
      <c r="M50" s="18">
        <v>185.7</v>
      </c>
      <c r="N50" s="22" t="s">
        <v>130</v>
      </c>
      <c r="O50" s="18" t="s">
        <v>130</v>
      </c>
      <c r="P50" s="5">
        <v>175.82</v>
      </c>
      <c r="Q50" s="6">
        <f>IF(Table1[[#This Row],[P_F1]]="","",Table1[Pu(kN)]/Table1[[#This Row],[P_F1]])</f>
        <v>1.0561938346035717</v>
      </c>
      <c r="R50">
        <v>1.15E-2</v>
      </c>
      <c r="S50">
        <v>177.22</v>
      </c>
      <c r="T50" s="5">
        <v>112.16</v>
      </c>
      <c r="U50" s="6">
        <f>IF(Table1[[#This Row],[P_R1]]="","",Table1[Pu(kN)]/Table1[[#This Row],[P_R1]])</f>
        <v>1.6556704707560628</v>
      </c>
      <c r="V50">
        <v>1.2200000000000001E-2</v>
      </c>
      <c r="W50">
        <v>112.16</v>
      </c>
      <c r="X50" s="5">
        <v>187.94</v>
      </c>
      <c r="Y50" s="6">
        <f>IF(Table1[[#This Row],[P_F2]]="","",Table1[Pu(kN)]/Table1[[#This Row],[P_F2]])</f>
        <v>0.9880813025433649</v>
      </c>
      <c r="Z50">
        <v>1.5100000000000001E-2</v>
      </c>
      <c r="AA50">
        <v>189.46</v>
      </c>
      <c r="AB50" s="10">
        <v>218.12</v>
      </c>
      <c r="AC50" s="8">
        <f>IF(Table1[[#This Row],[P_R2]]="","",Table1[Pu(kN)]/Table1[[#This Row],[P_R2]])</f>
        <v>0.85136622042912147</v>
      </c>
      <c r="AD50" s="8">
        <v>0.26910000000000001</v>
      </c>
      <c r="AE50" s="9">
        <v>218.12</v>
      </c>
      <c r="AF50" s="2">
        <v>196.61</v>
      </c>
      <c r="AG50" s="2">
        <f>IF(Table1[[#This Row],[P_F3]]="","",Table1[Pu(kN)]/Table1[[#This Row],[P_F3]])</f>
        <v>0.94450943492192652</v>
      </c>
      <c r="AH50" s="2">
        <v>1.3100000000000001E-2</v>
      </c>
      <c r="AI50" s="2">
        <v>197.18</v>
      </c>
      <c r="AJ50" s="5">
        <v>217.13</v>
      </c>
      <c r="AK50" s="8">
        <f>IF(Table1[[#This Row],[P_R3]]="","",Table1[Pu(kN)]/Table1[[#This Row],[P_R3]])</f>
        <v>0.85524800810574308</v>
      </c>
      <c r="AL50">
        <v>0.28239999999999998</v>
      </c>
      <c r="AM50">
        <v>217.21</v>
      </c>
      <c r="AN50" s="10">
        <v>178.12</v>
      </c>
      <c r="AO50" s="8">
        <f>IF(Table1[[#This Row],[P_R4]]="","",Table1[Pu(kN)]/Table1[[#This Row],[P_R4]])</f>
        <v>1.0425555805075228</v>
      </c>
      <c r="AP50" s="8">
        <v>1.47E-2</v>
      </c>
      <c r="AQ50" s="8">
        <v>179.06</v>
      </c>
      <c r="AR50" s="5">
        <v>166.18</v>
      </c>
      <c r="AS50">
        <f>IF(Table1[[#This Row],[P_F4]]="","",Table1[Pu(kN)]/Table1[[#This Row],[P_F4]])</f>
        <v>1.1174629919364543</v>
      </c>
      <c r="AT50">
        <v>1.6799999999999999E-2</v>
      </c>
      <c r="AU50" s="7">
        <v>168.51</v>
      </c>
      <c r="AV50">
        <v>223.35</v>
      </c>
      <c r="AW50">
        <f>IF(Table1[[#This Row],[P_F5]]="","",Table1[Pu(kN)]/Table1[[#This Row],[P_F5]])</f>
        <v>0.83143049026192073</v>
      </c>
      <c r="AX50">
        <v>0.2828</v>
      </c>
      <c r="AY50" s="7">
        <v>223.79</v>
      </c>
      <c r="AZ50">
        <v>204.88</v>
      </c>
      <c r="BA50">
        <f>IF(Table1[[#This Row],[P_R5]]="","",Table1[Pu(kN)]/Table1[[#This Row],[P_R5]])</f>
        <v>0.90638422491214365</v>
      </c>
      <c r="BB50">
        <v>6.0299999999999999E-2</v>
      </c>
      <c r="BC50">
        <v>204.88</v>
      </c>
      <c r="BD50" s="5">
        <v>231.37</v>
      </c>
      <c r="BE50" s="6">
        <f>IF(Table1[[#This Row],[P_F6]]="","",Table1[Pu(kN)]/Table1[[#This Row],[P_F6]])</f>
        <v>0.80261053723473219</v>
      </c>
      <c r="BF50" s="6">
        <v>0.68400000000000005</v>
      </c>
      <c r="BG50" s="6">
        <v>231.37</v>
      </c>
      <c r="BH50" s="5">
        <v>211.73</v>
      </c>
      <c r="BI50" s="6">
        <f>IF(Table1[[#This Row],[P_R6]]="","",Table1[Pu(kN)]/Table1[[#This Row],[P_R6]])</f>
        <v>0.8770604071222784</v>
      </c>
      <c r="BJ50">
        <v>0.1167</v>
      </c>
      <c r="BK50">
        <v>211.83</v>
      </c>
      <c r="BL50" s="5">
        <v>211.14</v>
      </c>
      <c r="BM50" s="6">
        <f>IF(Table1[[#This Row],[P_F7]]="","",Table1[Pu(kN)]/Table1[[#This Row],[P_F7]])</f>
        <v>0.87951122477976695</v>
      </c>
      <c r="BN50" s="6">
        <v>3.6700000000000003E-2</v>
      </c>
      <c r="BO50" s="6">
        <v>212.57</v>
      </c>
      <c r="BP50" s="5">
        <v>190.92</v>
      </c>
      <c r="BQ50" s="6">
        <f>IF(Table1[[#This Row],[P_F8]]="","",Table1[Pu(kN)]/Table1[[#This Row],[P_F8]])</f>
        <v>0.97265870521684472</v>
      </c>
      <c r="BR50" s="6">
        <v>1.5599999999999999E-2</v>
      </c>
      <c r="BS50" s="6">
        <v>191.94</v>
      </c>
      <c r="BT50" s="5">
        <v>172.12</v>
      </c>
      <c r="BU50" s="6">
        <f>IF(Table1[[#This Row],[P_R7]]="","",Table1[Pu(kN)]/Table1[[#This Row],[P_R7]])</f>
        <v>1.0788984429467812</v>
      </c>
      <c r="BV50" s="6">
        <v>1.47E-2</v>
      </c>
      <c r="BW50" s="6">
        <v>173.61</v>
      </c>
      <c r="BX50" s="5">
        <v>179.76</v>
      </c>
      <c r="BY50" s="6">
        <f>IF(Table1[[#This Row],[P_F9]]="","",Table1[Pu(kN)]/Table1[[#This Row],[P_F9]])</f>
        <v>1.0330440587449934</v>
      </c>
      <c r="BZ50" s="6">
        <v>2.0799999999999999E-2</v>
      </c>
      <c r="CA50" s="7">
        <v>179.76</v>
      </c>
      <c r="CB50" s="5">
        <v>170.89</v>
      </c>
      <c r="CC50" s="6">
        <f>IF(Table1[[#This Row],[P_R8]]="","",Table1[Pu(kN)]/Table1[[#This Row],[P_R8]])</f>
        <v>1.0866639358651764</v>
      </c>
      <c r="CD50" s="6">
        <v>1.67E-2</v>
      </c>
      <c r="CE50" s="6">
        <v>171.05</v>
      </c>
      <c r="CF50" s="5">
        <v>168.96</v>
      </c>
      <c r="CG50">
        <f>IF(Table1[[#This Row],[P_R9]]="","",Table1[Pu(kN)]/Table1[[#This Row],[P_R9]])</f>
        <v>1.0990767045454544</v>
      </c>
      <c r="CH50">
        <v>1.55E-2</v>
      </c>
      <c r="CI50">
        <v>169.72</v>
      </c>
      <c r="CJ50" s="5">
        <v>177.67</v>
      </c>
      <c r="CK50" s="6">
        <f>IF(Table1[[#This Row],[P_F10]]="","",Table1[Pu(kN)]/Table1[[#This Row],[P_F10]])</f>
        <v>1.0451961501660381</v>
      </c>
      <c r="CL50" s="6">
        <v>1.54E-2</v>
      </c>
      <c r="CM50" s="7">
        <v>178.97</v>
      </c>
      <c r="CN50" s="38">
        <f>Table1[[#This Row],[P_R8]]</f>
        <v>170.89</v>
      </c>
      <c r="CO50" s="38">
        <f>Table1[[#This Row],[Pu(kN)]]/Table1[[#This Row],[P_R8_2]]</f>
        <v>1.0866639358651764</v>
      </c>
      <c r="CP50" s="38">
        <f>Table1[[#This Row],[DUCTIL_R8]]</f>
        <v>1.67E-2</v>
      </c>
      <c r="CQ50" s="38">
        <f>Table1[[#This Row],[P_R8_2]]</f>
        <v>170.89</v>
      </c>
    </row>
    <row r="51" spans="1:95" x14ac:dyDescent="0.3">
      <c r="A51" s="27" t="s">
        <v>101</v>
      </c>
      <c r="B51" s="20" t="s">
        <v>93</v>
      </c>
      <c r="C51" s="20" t="s">
        <v>32</v>
      </c>
      <c r="D51" s="20">
        <v>2015</v>
      </c>
      <c r="E51" s="20" t="s">
        <v>90</v>
      </c>
      <c r="F51" s="20">
        <f>81.1*0.8</f>
        <v>64.88</v>
      </c>
      <c r="G51" s="23">
        <v>0.67</v>
      </c>
      <c r="H51" s="20">
        <v>1700</v>
      </c>
      <c r="I51" s="20">
        <v>471.5</v>
      </c>
      <c r="J51" s="23">
        <f>Table1[[#This Row],[a'[mm']]]/Table1[[#This Row],[d'[mm']]]</f>
        <v>3.6055143160127252</v>
      </c>
      <c r="K51" s="20">
        <v>500</v>
      </c>
      <c r="L51" s="20" t="s">
        <v>28</v>
      </c>
      <c r="M51" s="20">
        <v>193.6</v>
      </c>
      <c r="N51" s="23" t="s">
        <v>130</v>
      </c>
      <c r="O51" s="20" t="s">
        <v>130</v>
      </c>
      <c r="P51" s="5">
        <v>184.42</v>
      </c>
      <c r="Q51" s="6">
        <f>IF(Table1[[#This Row],[P_F1]]="","",Table1[Pu(kN)]/Table1[[#This Row],[P_F1]])</f>
        <v>1.0497776813794599</v>
      </c>
      <c r="R51">
        <v>1.03E-2</v>
      </c>
      <c r="S51">
        <v>185.86</v>
      </c>
      <c r="T51" s="5">
        <v>119.05</v>
      </c>
      <c r="U51" s="6">
        <f>IF(Table1[[#This Row],[P_R1]]="","",Table1[Pu(kN)]/Table1[[#This Row],[P_R1]])</f>
        <v>1.626207475850483</v>
      </c>
      <c r="V51">
        <v>1.41E-2</v>
      </c>
      <c r="W51">
        <v>119.05</v>
      </c>
      <c r="X51" s="5">
        <v>199.38</v>
      </c>
      <c r="Y51" s="6">
        <f>IF(Table1[[#This Row],[P_F2]]="","",Table1[Pu(kN)]/Table1[[#This Row],[P_F2]])</f>
        <v>0.97101013140736281</v>
      </c>
      <c r="Z51">
        <v>1.44E-2</v>
      </c>
      <c r="AA51">
        <v>200.13</v>
      </c>
      <c r="AB51" s="10">
        <v>192.23</v>
      </c>
      <c r="AC51" s="8">
        <f>IF(Table1[[#This Row],[P_R2]]="","",Table1[Pu(kN)]/Table1[[#This Row],[P_R2]])</f>
        <v>1.0071268792592207</v>
      </c>
      <c r="AD51" s="8">
        <v>1.5599999999999999E-2</v>
      </c>
      <c r="AE51" s="9">
        <v>192.86</v>
      </c>
      <c r="AF51" s="2">
        <v>212.85</v>
      </c>
      <c r="AG51" s="2">
        <f>IF(Table1[[#This Row],[P_F3]]="","",Table1[Pu(kN)]/Table1[[#This Row],[P_F3]])</f>
        <v>0.90956072351421191</v>
      </c>
      <c r="AH51" s="2">
        <v>6.1699999999999998E-2</v>
      </c>
      <c r="AI51" s="8">
        <v>212.94</v>
      </c>
      <c r="AJ51" s="5">
        <v>221.17</v>
      </c>
      <c r="AK51" s="8">
        <f>IF(Table1[[#This Row],[P_R3]]="","",Table1[Pu(kN)]/Table1[[#This Row],[P_R3]])</f>
        <v>0.87534475742641404</v>
      </c>
      <c r="AL51">
        <v>0.31790000000000002</v>
      </c>
      <c r="AM51">
        <v>221.17</v>
      </c>
      <c r="AN51" s="10">
        <v>189.94</v>
      </c>
      <c r="AO51" s="8">
        <f>IF(Table1[[#This Row],[P_R4]]="","",Table1[Pu(kN)]/Table1[[#This Row],[P_R4]])</f>
        <v>1.0192692429188164</v>
      </c>
      <c r="AP51" s="8">
        <v>1.95E-2</v>
      </c>
      <c r="AQ51" s="8">
        <v>191.44</v>
      </c>
      <c r="AR51" s="5">
        <v>192.05</v>
      </c>
      <c r="AS51">
        <f>IF(Table1[[#This Row],[P_F4]]="","",Table1[Pu(kN)]/Table1[[#This Row],[P_F4]])</f>
        <v>1.008070814891955</v>
      </c>
      <c r="AT51">
        <v>1.54E-2</v>
      </c>
      <c r="AU51" s="7">
        <v>193.08</v>
      </c>
      <c r="AV51">
        <v>196.32</v>
      </c>
      <c r="AW51">
        <f>IF(Table1[[#This Row],[P_F5]]="","",Table1[Pu(kN)]/Table1[[#This Row],[P_F5]])</f>
        <v>0.98614506927465362</v>
      </c>
      <c r="AX51">
        <v>1.1599999999999999E-2</v>
      </c>
      <c r="AY51" s="7">
        <v>197.5</v>
      </c>
      <c r="AZ51">
        <v>220.13</v>
      </c>
      <c r="BA51">
        <f>IF(Table1[[#This Row],[P_R5]]="","",Table1[Pu(kN)]/Table1[[#This Row],[P_R5]])</f>
        <v>0.87948030709126424</v>
      </c>
      <c r="BB51">
        <v>0.3004</v>
      </c>
      <c r="BC51">
        <v>220.13</v>
      </c>
      <c r="BD51" s="5">
        <v>227.67</v>
      </c>
      <c r="BE51" s="6">
        <f>IF(Table1[[#This Row],[P_F6]]="","",Table1[Pu(kN)]/Table1[[#This Row],[P_F6]])</f>
        <v>0.85035358193877109</v>
      </c>
      <c r="BF51" s="6">
        <v>0.45369999999999999</v>
      </c>
      <c r="BG51" s="6">
        <v>227.67</v>
      </c>
      <c r="BH51" s="5">
        <v>187.35</v>
      </c>
      <c r="BI51" s="6">
        <f>IF(Table1[[#This Row],[P_R6]]="","",Table1[Pu(kN)]/Table1[[#This Row],[P_R6]])</f>
        <v>1.0333600213504137</v>
      </c>
      <c r="BJ51">
        <v>1.32E-2</v>
      </c>
      <c r="BK51">
        <v>188.69</v>
      </c>
      <c r="BL51" s="5">
        <v>212.5</v>
      </c>
      <c r="BM51" s="6">
        <f>IF(Table1[[#This Row],[P_F7]]="","",Table1[Pu(kN)]/Table1[[#This Row],[P_F7]])</f>
        <v>0.9110588235294117</v>
      </c>
      <c r="BN51" s="6">
        <v>3.7400000000000003E-2</v>
      </c>
      <c r="BO51" s="6">
        <v>213.33</v>
      </c>
      <c r="BP51" s="5">
        <v>203.97</v>
      </c>
      <c r="BQ51" s="6">
        <f>IF(Table1[[#This Row],[P_F8]]="","",Table1[Pu(kN)]/Table1[[#This Row],[P_F8]])</f>
        <v>0.94915919007697203</v>
      </c>
      <c r="BR51" s="6">
        <v>1.6899999999999998E-2</v>
      </c>
      <c r="BS51" s="6">
        <v>204.9</v>
      </c>
      <c r="BT51" s="5">
        <v>187.73</v>
      </c>
      <c r="BU51" s="6">
        <f>IF(Table1[[#This Row],[P_R7]]="","",Table1[Pu(kN)]/Table1[[#This Row],[P_R7]])</f>
        <v>1.0312683108719971</v>
      </c>
      <c r="BV51" s="6">
        <v>1.5900000000000001E-2</v>
      </c>
      <c r="BW51" s="6">
        <v>190.34</v>
      </c>
      <c r="BX51" s="5">
        <v>190.63</v>
      </c>
      <c r="BY51" s="6">
        <f>IF(Table1[[#This Row],[P_F9]]="","",Table1[Pu(kN)]/Table1[[#This Row],[P_F9]])</f>
        <v>1.0155799192152337</v>
      </c>
      <c r="BZ51" s="6">
        <v>1.5299999999999999E-2</v>
      </c>
      <c r="CA51" s="7">
        <v>191.4</v>
      </c>
      <c r="CB51" s="5">
        <v>207.06</v>
      </c>
      <c r="CC51" s="6">
        <f>IF(Table1[[#This Row],[P_R8]]="","",Table1[Pu(kN)]/Table1[[#This Row],[P_R8]])</f>
        <v>0.93499468753018444</v>
      </c>
      <c r="CD51" s="6">
        <v>4.65E-2</v>
      </c>
      <c r="CE51" s="6">
        <v>207.06</v>
      </c>
      <c r="CF51" s="5">
        <v>171.84</v>
      </c>
      <c r="CG51">
        <f>IF(Table1[[#This Row],[P_R9]]="","",Table1[Pu(kN)]/Table1[[#This Row],[P_R9]])</f>
        <v>1.1266294227188081</v>
      </c>
      <c r="CH51">
        <v>1.4200000000000001E-2</v>
      </c>
      <c r="CI51">
        <v>172.97</v>
      </c>
      <c r="CJ51" s="5">
        <v>194.77</v>
      </c>
      <c r="CK51" s="6">
        <f>IF(Table1[[#This Row],[P_F10]]="","",Table1[Pu(kN)]/Table1[[#This Row],[P_F10]])</f>
        <v>0.99399291471992601</v>
      </c>
      <c r="CL51" s="6">
        <v>1.47E-2</v>
      </c>
      <c r="CM51" s="7">
        <v>194.77</v>
      </c>
      <c r="CN51" s="38">
        <f>Table1[[#This Row],[P_R8]]</f>
        <v>207.06</v>
      </c>
      <c r="CO51" s="38">
        <f>Table1[[#This Row],[Pu(kN)]]/Table1[[#This Row],[P_R8_2]]</f>
        <v>0.93499468753018444</v>
      </c>
      <c r="CP51" s="38">
        <f>Table1[[#This Row],[DUCTIL_R8]]</f>
        <v>4.65E-2</v>
      </c>
      <c r="CQ51" s="38">
        <f>Table1[[#This Row],[P_R8_2]]</f>
        <v>207.06</v>
      </c>
    </row>
    <row r="52" spans="1:95" x14ac:dyDescent="0.3">
      <c r="A52" s="26" t="s">
        <v>102</v>
      </c>
      <c r="B52" s="18" t="s">
        <v>93</v>
      </c>
      <c r="C52" s="18" t="s">
        <v>32</v>
      </c>
      <c r="D52" s="18">
        <v>2015</v>
      </c>
      <c r="E52" s="18" t="s">
        <v>90</v>
      </c>
      <c r="F52" s="18">
        <v>64.900000000000006</v>
      </c>
      <c r="G52" s="22">
        <v>0.67</v>
      </c>
      <c r="H52" s="18">
        <v>1500</v>
      </c>
      <c r="I52" s="18">
        <v>471.5</v>
      </c>
      <c r="J52" s="22">
        <f>Table1[[#This Row],[a'[mm']]]/Table1[[#This Row],[d'[mm']]]</f>
        <v>3.1813361611876987</v>
      </c>
      <c r="K52" s="18">
        <v>500</v>
      </c>
      <c r="L52" s="18" t="s">
        <v>293</v>
      </c>
      <c r="M52" s="18">
        <v>202.4</v>
      </c>
      <c r="N52" s="18" t="s">
        <v>130</v>
      </c>
      <c r="O52" s="18" t="s">
        <v>130</v>
      </c>
      <c r="P52" s="5">
        <v>205.99</v>
      </c>
      <c r="Q52" s="6">
        <f>IF(Table1[[#This Row],[P_F1]]="","",Table1[Pu(kN)]/Table1[[#This Row],[P_F1]])</f>
        <v>0.98257196951308312</v>
      </c>
      <c r="R52">
        <v>4.7000000000000002E-3</v>
      </c>
      <c r="S52">
        <v>206.04</v>
      </c>
      <c r="T52" s="5">
        <v>125.92</v>
      </c>
      <c r="U52" s="6">
        <f>IF(Table1[[#This Row],[P_R1]]="","",Table1[Pu(kN)]/Table1[[#This Row],[P_R1]])</f>
        <v>1.6073697585768743</v>
      </c>
      <c r="V52">
        <v>1.2E-2</v>
      </c>
      <c r="W52">
        <v>125.92</v>
      </c>
      <c r="X52" s="5">
        <v>196.77</v>
      </c>
      <c r="Y52" s="6">
        <f>IF(Table1[[#This Row],[P_F2]]="","",Table1[Pu(kN)]/Table1[[#This Row],[P_F2]])</f>
        <v>1.0286120851755858</v>
      </c>
      <c r="Z52">
        <v>1.35E-2</v>
      </c>
      <c r="AA52">
        <v>197.75</v>
      </c>
      <c r="AB52" s="10">
        <v>235.38</v>
      </c>
      <c r="AC52" s="8">
        <f>IF(Table1[[#This Row],[P_R2]]="","",Table1[Pu(kN)]/Table1[[#This Row],[P_R2]])</f>
        <v>0.85988614155833121</v>
      </c>
      <c r="AD52" s="8">
        <v>0.21809999999999999</v>
      </c>
      <c r="AE52" s="9">
        <v>235.38</v>
      </c>
      <c r="AF52" s="2">
        <v>189.22</v>
      </c>
      <c r="AG52" s="2">
        <f>IF(Table1[[#This Row],[P_F3]]="","",Table1[Pu(kN)]/Table1[[#This Row],[P_F3]])</f>
        <v>1.0696543705739352</v>
      </c>
      <c r="AH52" s="2">
        <v>1.7000000000000001E-2</v>
      </c>
      <c r="AI52" s="8">
        <v>190.63</v>
      </c>
      <c r="AJ52" s="5">
        <v>235.79</v>
      </c>
      <c r="AK52" s="8">
        <f>IF(Table1[[#This Row],[P_R3]]="","",Table1[Pu(kN)]/Table1[[#This Row],[P_R3]])</f>
        <v>0.85839094109164937</v>
      </c>
      <c r="AL52">
        <v>0.2281</v>
      </c>
      <c r="AM52">
        <v>235.79</v>
      </c>
      <c r="AN52" s="10">
        <v>198.65</v>
      </c>
      <c r="AO52" s="8">
        <f>IF(Table1[[#This Row],[P_R4]]="","",Table1[Pu(kN)]/Table1[[#This Row],[P_R4]])</f>
        <v>1.0188774226025674</v>
      </c>
      <c r="AP52" s="8">
        <v>2.0799999999999999E-2</v>
      </c>
      <c r="AQ52" s="8">
        <v>198.86</v>
      </c>
      <c r="AR52" s="5">
        <v>158.18</v>
      </c>
      <c r="AS52">
        <f>IF(Table1[[#This Row],[P_F4]]="","",Table1[Pu(kN)]/Table1[[#This Row],[P_F4]])</f>
        <v>1.2795549374130737</v>
      </c>
      <c r="AT52">
        <v>1.2500000000000001E-2</v>
      </c>
      <c r="AU52" s="7">
        <v>158.69999999999999</v>
      </c>
      <c r="AV52">
        <v>189.81</v>
      </c>
      <c r="AW52">
        <f>IF(Table1[[#This Row],[P_F5]]="","",Table1[Pu(kN)]/Table1[[#This Row],[P_F5]])</f>
        <v>1.066329487382119</v>
      </c>
      <c r="AX52">
        <v>1.21E-2</v>
      </c>
      <c r="AY52" s="7">
        <v>191.8</v>
      </c>
      <c r="AZ52">
        <v>234.06</v>
      </c>
      <c r="BA52">
        <f>IF(Table1[[#This Row],[P_R5]]="","",Table1[Pu(kN)]/Table1[[#This Row],[P_R5]])</f>
        <v>0.86473553789626589</v>
      </c>
      <c r="BB52">
        <v>0.24709999999999999</v>
      </c>
      <c r="BC52">
        <v>234.06</v>
      </c>
      <c r="BD52" s="5">
        <v>232.62</v>
      </c>
      <c r="BE52" s="6">
        <f>IF(Table1[[#This Row],[P_F6]]="","",Table1[Pu(kN)]/Table1[[#This Row],[P_F6]])</f>
        <v>0.87008855644398586</v>
      </c>
      <c r="BF52" s="6">
        <v>8.6499999999999994E-2</v>
      </c>
      <c r="BG52" s="6">
        <v>232.62</v>
      </c>
      <c r="BH52" s="5">
        <v>198.55</v>
      </c>
      <c r="BI52" s="6">
        <f>IF(Table1[[#This Row],[P_R6]]="","",Table1[Pu(kN)]/Table1[[#This Row],[P_R6]])</f>
        <v>1.0193905817174516</v>
      </c>
      <c r="BJ52">
        <v>2.6100000000000002E-2</v>
      </c>
      <c r="BK52">
        <v>198.55</v>
      </c>
      <c r="BL52" s="5">
        <v>201.33</v>
      </c>
      <c r="BM52" s="6">
        <f>IF(Table1[[#This Row],[P_F7]]="","",Table1[Pu(kN)]/Table1[[#This Row],[P_F7]])</f>
        <v>1.0053146575274425</v>
      </c>
      <c r="BN52" s="6">
        <v>1.0200000000000001E-2</v>
      </c>
      <c r="BO52" s="6">
        <v>202.09</v>
      </c>
      <c r="BP52" s="5">
        <v>180.58</v>
      </c>
      <c r="BQ52" s="6">
        <f>IF(Table1[[#This Row],[P_F8]]="","",Table1[Pu(kN)]/Table1[[#This Row],[P_F8]])</f>
        <v>1.1208328718573486</v>
      </c>
      <c r="BR52" s="6">
        <v>1.3899999999999999E-2</v>
      </c>
      <c r="BS52" s="6">
        <v>181.77</v>
      </c>
      <c r="BT52" s="5">
        <v>236.79</v>
      </c>
      <c r="BU52" s="6">
        <f>IF(Table1[[#This Row],[P_R7]]="","",Table1[Pu(kN)]/Table1[[#This Row],[P_R7]])</f>
        <v>0.85476582625955488</v>
      </c>
      <c r="BV52" s="6">
        <v>0.42420000000000002</v>
      </c>
      <c r="BW52" s="6">
        <v>236.79</v>
      </c>
      <c r="BX52" s="5">
        <v>157.43</v>
      </c>
      <c r="BY52" s="6">
        <f>IF(Table1[[#This Row],[P_F9]]="","",Table1[Pu(kN)]/Table1[[#This Row],[P_F9]])</f>
        <v>1.2856507654195515</v>
      </c>
      <c r="BZ52" s="6">
        <v>1.2699999999999999E-2</v>
      </c>
      <c r="CA52" s="7">
        <v>157.43</v>
      </c>
      <c r="CB52" s="5">
        <v>191.44</v>
      </c>
      <c r="CC52" s="6">
        <f>IF(Table1[[#This Row],[P_R8]]="","",Table1[Pu(kN)]/Table1[[#This Row],[P_R8]])</f>
        <v>1.0572503134141247</v>
      </c>
      <c r="CD52" s="6">
        <v>1.44E-2</v>
      </c>
      <c r="CE52" s="6">
        <v>192.56</v>
      </c>
      <c r="CF52" s="5">
        <v>173.53</v>
      </c>
      <c r="CG52">
        <f>IF(Table1[[#This Row],[P_R9]]="","",Table1[Pu(kN)]/Table1[[#This Row],[P_R9]])</f>
        <v>1.1663689275629574</v>
      </c>
      <c r="CH52">
        <v>1.5100000000000001E-2</v>
      </c>
      <c r="CI52">
        <v>173.71</v>
      </c>
      <c r="CJ52" s="5">
        <v>181.18</v>
      </c>
      <c r="CK52" s="6">
        <f>IF(Table1[[#This Row],[P_F10]]="","",Table1[Pu(kN)]/Table1[[#This Row],[P_F10]])</f>
        <v>1.117121095043603</v>
      </c>
      <c r="CL52" s="6">
        <v>1.15E-2</v>
      </c>
      <c r="CM52" s="7">
        <v>182.53</v>
      </c>
      <c r="CN52" s="38">
        <f>Table1[[#This Row],[P_R8]]</f>
        <v>191.44</v>
      </c>
      <c r="CO52" s="38">
        <f>Table1[[#This Row],[Pu(kN)]]/Table1[[#This Row],[P_R8_2]]</f>
        <v>1.0572503134141247</v>
      </c>
      <c r="CP52" s="38">
        <f>Table1[[#This Row],[DUCTIL_R8]]</f>
        <v>1.44E-2</v>
      </c>
      <c r="CQ52" s="38">
        <f>Table1[[#This Row],[P_R8_2]]</f>
        <v>191.44</v>
      </c>
    </row>
    <row r="53" spans="1:95" x14ac:dyDescent="0.3">
      <c r="A53" s="27" t="s">
        <v>103</v>
      </c>
      <c r="B53" s="20" t="s">
        <v>93</v>
      </c>
      <c r="C53" s="20" t="s">
        <v>32</v>
      </c>
      <c r="D53" s="20">
        <v>2015</v>
      </c>
      <c r="E53" s="20" t="s">
        <v>90</v>
      </c>
      <c r="F53" s="20">
        <f>81.7*0.8</f>
        <v>65.36</v>
      </c>
      <c r="G53" s="23">
        <v>0.67</v>
      </c>
      <c r="H53" s="20">
        <v>1250</v>
      </c>
      <c r="I53" s="20">
        <v>471.5</v>
      </c>
      <c r="J53" s="23">
        <f>Table1[[#This Row],[a'[mm']]]/Table1[[#This Row],[d'[mm']]]</f>
        <v>2.6511134676564159</v>
      </c>
      <c r="K53" s="20">
        <v>500</v>
      </c>
      <c r="L53" s="20" t="s">
        <v>293</v>
      </c>
      <c r="M53" s="20">
        <v>183.2</v>
      </c>
      <c r="N53" s="20" t="s">
        <v>130</v>
      </c>
      <c r="O53" s="20" t="s">
        <v>130</v>
      </c>
      <c r="P53" s="5">
        <v>176.66</v>
      </c>
      <c r="Q53" s="6">
        <f>IF(Table1[[#This Row],[P_F1]]="","",Table1[Pu(kN)]/Table1[[#This Row],[P_F1]])</f>
        <v>1.0370202649156572</v>
      </c>
      <c r="R53">
        <v>1.04E-2</v>
      </c>
      <c r="S53">
        <v>177.55</v>
      </c>
      <c r="T53" s="5">
        <v>131.78</v>
      </c>
      <c r="U53" s="6">
        <f>IF(Table1[[#This Row],[P_R1]]="","",Table1[Pu(kN)]/Table1[[#This Row],[P_R1]])</f>
        <v>1.3901957808468659</v>
      </c>
      <c r="V53">
        <v>1.23E-2</v>
      </c>
      <c r="W53">
        <v>131.78</v>
      </c>
      <c r="X53" s="5">
        <v>194.05</v>
      </c>
      <c r="Y53" s="6">
        <f>IF(Table1[[#This Row],[P_F2]]="","",Table1[Pu(kN)]/Table1[[#This Row],[P_F2]])</f>
        <v>0.94408657562483889</v>
      </c>
      <c r="Z53">
        <v>1.4E-2</v>
      </c>
      <c r="AA53">
        <v>195.4</v>
      </c>
      <c r="AB53" s="10">
        <v>258</v>
      </c>
      <c r="AC53" s="8">
        <f>IF(Table1[[#This Row],[P_R2]]="","",Table1[Pu(kN)]/Table1[[#This Row],[P_R2]])</f>
        <v>0.71007751937984487</v>
      </c>
      <c r="AD53" s="8">
        <v>0.1191</v>
      </c>
      <c r="AE53" s="9">
        <v>258</v>
      </c>
      <c r="AF53" s="2">
        <v>173.16</v>
      </c>
      <c r="AG53" s="2">
        <f>IF(Table1[[#This Row],[P_F3]]="","",Table1[Pu(kN)]/Table1[[#This Row],[P_F3]])</f>
        <v>1.057981057981058</v>
      </c>
      <c r="AH53" s="2">
        <v>1.3299999999999999E-2</v>
      </c>
      <c r="AI53" s="8">
        <v>175.11</v>
      </c>
      <c r="AJ53" s="5">
        <v>259.27999999999997</v>
      </c>
      <c r="AK53" s="8">
        <f>IF(Table1[[#This Row],[P_R3]]="","",Table1[Pu(kN)]/Table1[[#This Row],[P_R3]])</f>
        <v>0.70657204566491827</v>
      </c>
      <c r="AL53">
        <v>0.1419</v>
      </c>
      <c r="AM53">
        <v>259.27999999999997</v>
      </c>
      <c r="AN53" s="10">
        <v>252.8</v>
      </c>
      <c r="AO53" s="8">
        <f>IF(Table1[[#This Row],[P_R4]]="","",Table1[Pu(kN)]/Table1[[#This Row],[P_R4]])</f>
        <v>0.72468354430379744</v>
      </c>
      <c r="AP53" s="8">
        <v>6.5600000000000006E-2</v>
      </c>
      <c r="AQ53" s="8">
        <v>254.92</v>
      </c>
      <c r="AR53" s="5">
        <v>169.38</v>
      </c>
      <c r="AS53">
        <f>IF(Table1[[#This Row],[P_F4]]="","",Table1[Pu(kN)]/Table1[[#This Row],[P_F4]])</f>
        <v>1.0815916873302633</v>
      </c>
      <c r="AT53">
        <v>1.4999999999999999E-2</v>
      </c>
      <c r="AU53" s="7">
        <v>176.37</v>
      </c>
      <c r="AV53">
        <v>223.04</v>
      </c>
      <c r="AW53">
        <f>IF(Table1[[#This Row],[P_F5]]="","",Table1[Pu(kN)]/Table1[[#This Row],[P_F5]])</f>
        <v>0.82137733142037306</v>
      </c>
      <c r="AX53">
        <v>1.5599999999999999E-2</v>
      </c>
      <c r="AY53" s="7">
        <v>224.37</v>
      </c>
      <c r="AZ53">
        <v>259.44</v>
      </c>
      <c r="BA53">
        <f>IF(Table1[[#This Row],[P_R5]]="","",Table1[Pu(kN)]/Table1[[#This Row],[P_R5]])</f>
        <v>0.7061362935553499</v>
      </c>
      <c r="BB53">
        <v>0.22739999999999999</v>
      </c>
      <c r="BC53">
        <v>259.44</v>
      </c>
      <c r="BD53" s="5">
        <v>213.64</v>
      </c>
      <c r="BE53" s="6">
        <f>IF(Table1[[#This Row],[P_F6]]="","",Table1[Pu(kN)]/Table1[[#This Row],[P_F6]])</f>
        <v>0.85751731885414717</v>
      </c>
      <c r="BF53" s="6">
        <v>1.09E-2</v>
      </c>
      <c r="BG53" s="6">
        <v>213.64</v>
      </c>
      <c r="BH53" s="5">
        <v>260.08999999999997</v>
      </c>
      <c r="BI53" s="6">
        <f>IF(Table1[[#This Row],[P_R6]]="","",Table1[Pu(kN)]/Table1[[#This Row],[P_R6]])</f>
        <v>0.70437156368949216</v>
      </c>
      <c r="BJ53">
        <v>0.1258</v>
      </c>
      <c r="BK53">
        <v>260.08999999999997</v>
      </c>
      <c r="BL53" s="5">
        <v>196.9</v>
      </c>
      <c r="BM53" s="6">
        <f>IF(Table1[[#This Row],[P_F7]]="","",Table1[Pu(kN)]/Table1[[#This Row],[P_F7]])</f>
        <v>0.93042153377348902</v>
      </c>
      <c r="BN53" s="6">
        <v>1.21E-2</v>
      </c>
      <c r="BO53" s="6">
        <v>197.77</v>
      </c>
      <c r="BP53" s="5">
        <v>172.29</v>
      </c>
      <c r="BQ53" s="6">
        <f>IF(Table1[[#This Row],[P_F8]]="","",Table1[Pu(kN)]/Table1[[#This Row],[P_F8]])</f>
        <v>1.0633234662487665</v>
      </c>
      <c r="BR53" s="6">
        <v>1.0699999999999999E-2</v>
      </c>
      <c r="BS53" s="6">
        <v>173.67</v>
      </c>
      <c r="BT53" s="5">
        <v>257.81</v>
      </c>
      <c r="BU53" s="6">
        <f>IF(Table1[[#This Row],[P_R7]]="","",Table1[Pu(kN)]/Table1[[#This Row],[P_R7]])</f>
        <v>0.71060083006865515</v>
      </c>
      <c r="BV53" s="6">
        <v>0.1019</v>
      </c>
      <c r="BW53" s="6">
        <v>257.81</v>
      </c>
      <c r="BX53" s="5">
        <v>173.77</v>
      </c>
      <c r="BY53" s="6">
        <f>IF(Table1[[#This Row],[P_F9]]="","",Table1[Pu(kN)]/Table1[[#This Row],[P_F9]])</f>
        <v>1.0542671347183057</v>
      </c>
      <c r="BZ53" s="6">
        <v>1.4E-2</v>
      </c>
      <c r="CA53" s="7">
        <v>174.08</v>
      </c>
      <c r="CB53" s="5">
        <v>254.94</v>
      </c>
      <c r="CC53" s="6">
        <f>IF(Table1[[#This Row],[P_R8]]="","",Table1[Pu(kN)]/Table1[[#This Row],[P_R8]])</f>
        <v>0.7186004550090217</v>
      </c>
      <c r="CD53" s="6">
        <v>9.0999999999999998E-2</v>
      </c>
      <c r="CE53" s="6">
        <v>254.94</v>
      </c>
      <c r="CF53" s="5">
        <v>218.79</v>
      </c>
      <c r="CG53">
        <f>IF(Table1[[#This Row],[P_R9]]="","",Table1[Pu(kN)]/Table1[[#This Row],[P_R9]])</f>
        <v>0.83733260203848436</v>
      </c>
      <c r="CH53">
        <v>8.8999999999999999E-3</v>
      </c>
      <c r="CI53">
        <v>218.79</v>
      </c>
      <c r="CJ53" s="5">
        <v>186.51</v>
      </c>
      <c r="CK53" s="6">
        <f>IF(Table1[[#This Row],[P_F10]]="","",Table1[Pu(kN)]/Table1[[#This Row],[P_F10]])</f>
        <v>0.98225296230765102</v>
      </c>
      <c r="CL53" s="6">
        <v>1.3100000000000001E-2</v>
      </c>
      <c r="CM53" s="7">
        <v>187.11</v>
      </c>
      <c r="CN53" s="38">
        <v>190.3</v>
      </c>
      <c r="CO53" s="38">
        <f>Table1[[#This Row],[Pu(kN)]]/Table1[[#This Row],[P_R8_2]]</f>
        <v>0.96269048870204932</v>
      </c>
      <c r="CP53" s="38">
        <f>Table1[[#This Row],[DUCTIL_R8]]</f>
        <v>9.0999999999999998E-2</v>
      </c>
      <c r="CQ53" s="38">
        <f>Table1[[#This Row],[P_R8_2]]</f>
        <v>190.3</v>
      </c>
    </row>
    <row r="54" spans="1:95" x14ac:dyDescent="0.3">
      <c r="A54" s="26" t="s">
        <v>109</v>
      </c>
      <c r="B54" s="18" t="s">
        <v>93</v>
      </c>
      <c r="C54" s="18" t="s">
        <v>32</v>
      </c>
      <c r="D54" s="18">
        <v>2015</v>
      </c>
      <c r="E54" s="18" t="s">
        <v>90</v>
      </c>
      <c r="F54" s="18">
        <f>23*0.8</f>
        <v>18.400000000000002</v>
      </c>
      <c r="G54" s="22">
        <v>0.42</v>
      </c>
      <c r="H54" s="18">
        <v>1000</v>
      </c>
      <c r="I54" s="18">
        <v>272.5</v>
      </c>
      <c r="J54" s="22">
        <f>Table1[[#This Row],[a'[mm']]]/Table1[[#This Row],[d'[mm']]]</f>
        <v>3.669724770642202</v>
      </c>
      <c r="K54" s="18">
        <v>300</v>
      </c>
      <c r="L54" s="18" t="s">
        <v>28</v>
      </c>
      <c r="M54" s="18">
        <v>58.6</v>
      </c>
      <c r="N54" s="18" t="s">
        <v>130</v>
      </c>
      <c r="O54" s="18" t="s">
        <v>130</v>
      </c>
      <c r="P54" s="5">
        <v>62.07</v>
      </c>
      <c r="Q54" s="6">
        <f>IF(Table1[[#This Row],[P_F1]]="","",Table1[Pu(kN)]/Table1[[#This Row],[P_F1]])</f>
        <v>0.94409537618817463</v>
      </c>
      <c r="R54">
        <v>0.47570000000000001</v>
      </c>
      <c r="S54">
        <v>62.07</v>
      </c>
      <c r="T54" s="5">
        <v>57.933</v>
      </c>
      <c r="U54" s="6">
        <f>IF(Table1[[#This Row],[P_R1]]="","",Table1[Pu(kN)]/Table1[[#This Row],[P_R1]])</f>
        <v>1.0115132998463743</v>
      </c>
      <c r="V54">
        <v>7.4999999999999997E-3</v>
      </c>
      <c r="W54">
        <v>57.933</v>
      </c>
      <c r="X54" s="5">
        <v>62.853999999999999</v>
      </c>
      <c r="Y54" s="6">
        <f>IF(Table1[[#This Row],[P_F2]]="","",Table1[Pu(kN)]/Table1[[#This Row],[P_F2]])</f>
        <v>0.9323193432398893</v>
      </c>
      <c r="Z54">
        <v>0.66339999999999999</v>
      </c>
      <c r="AA54">
        <v>62.853999999999999</v>
      </c>
      <c r="AB54" s="10">
        <v>61.381</v>
      </c>
      <c r="AC54" s="8">
        <f>IF(Table1[[#This Row],[P_R2]]="","",Table1[Pu(kN)]/Table1[[#This Row],[P_R2]])</f>
        <v>0.95469282025382451</v>
      </c>
      <c r="AD54" s="8">
        <v>0.65539999999999998</v>
      </c>
      <c r="AE54" s="9">
        <v>61.381</v>
      </c>
      <c r="AF54" s="2">
        <v>62.825000000000003</v>
      </c>
      <c r="AG54" s="2">
        <f>IF(Table1[[#This Row],[P_F3]]="","",Table1[Pu(kN)]/Table1[[#This Row],[P_F3]])</f>
        <v>0.93274970155192993</v>
      </c>
      <c r="AH54" s="2">
        <v>0.64929999999999999</v>
      </c>
      <c r="AI54" s="2">
        <v>62.825000000000003</v>
      </c>
      <c r="AJ54" s="5">
        <v>61.518000000000001</v>
      </c>
      <c r="AK54" s="8">
        <f>IF(Table1[[#This Row],[P_R3]]="","",Table1[Pu(kN)]/Table1[[#This Row],[P_R3]])</f>
        <v>0.95256672843720536</v>
      </c>
      <c r="AL54">
        <v>0.6361</v>
      </c>
      <c r="AM54">
        <v>61.518000000000001</v>
      </c>
      <c r="AN54" s="10">
        <v>61.344999999999999</v>
      </c>
      <c r="AO54" s="8">
        <f>IF(Table1[[#This Row],[P_R4]]="","",Table1[Pu(kN)]/Table1[[#This Row],[P_R4]])</f>
        <v>0.95525307686037986</v>
      </c>
      <c r="AP54" s="8">
        <v>0.63460000000000005</v>
      </c>
      <c r="AQ54" s="9">
        <v>61.344999999999999</v>
      </c>
      <c r="AR54">
        <v>62.829000000000001</v>
      </c>
      <c r="AS54">
        <f>IF(Table1[[#This Row],[P_F4]]="","",Table1[Pu(kN)]/Table1[[#This Row],[P_F4]])</f>
        <v>0.93269031816517856</v>
      </c>
      <c r="AT54">
        <v>0.62670000000000003</v>
      </c>
      <c r="AU54" s="7">
        <v>62.829000000000001</v>
      </c>
      <c r="AV54">
        <v>63.353999999999999</v>
      </c>
      <c r="AW54">
        <f>IF(Table1[[#This Row],[P_F5]]="","",Table1[Pu(kN)]/Table1[[#This Row],[P_F5]])</f>
        <v>0.92496132840862455</v>
      </c>
      <c r="AX54">
        <v>0.64790000000000003</v>
      </c>
      <c r="AY54" s="7">
        <v>63.353999999999999</v>
      </c>
      <c r="AZ54">
        <v>59.155999999999999</v>
      </c>
      <c r="BA54">
        <f>IF(Table1[[#This Row],[P_R5]]="","",Table1[Pu(kN)]/Table1[[#This Row],[P_R5]])</f>
        <v>0.99060112245587939</v>
      </c>
      <c r="BB54">
        <v>0.23250000000000001</v>
      </c>
      <c r="BC54">
        <v>59.155999999999999</v>
      </c>
      <c r="BD54" s="5">
        <v>64.866</v>
      </c>
      <c r="BE54" s="6">
        <f>IF(Table1[[#This Row],[P_F6]]="","",Table1[Pu(kN)]/Table1[[#This Row],[P_F6]])</f>
        <v>0.90340085715166651</v>
      </c>
      <c r="BF54" s="6">
        <v>0.8</v>
      </c>
      <c r="BG54" s="6">
        <v>64.866</v>
      </c>
      <c r="BH54" s="5">
        <v>61.554000000000002</v>
      </c>
      <c r="BI54" s="6">
        <f>IF(Table1[[#This Row],[P_R6]]="","",Table1[Pu(kN)]/Table1[[#This Row],[P_R6]])</f>
        <v>0.95200961757156322</v>
      </c>
      <c r="BJ54" s="6">
        <v>0.66500000000000004</v>
      </c>
      <c r="BK54" s="6">
        <v>61.554000000000002</v>
      </c>
      <c r="BL54" s="5">
        <v>63.161000000000001</v>
      </c>
      <c r="BM54" s="6">
        <f>IF(Table1[[#This Row],[P_F7]]="","",Table1[Pu(kN)]/Table1[[#This Row],[P_F7]])</f>
        <v>0.92778771710390906</v>
      </c>
      <c r="BN54" s="6">
        <v>0.64329999999999998</v>
      </c>
      <c r="BO54" s="6">
        <v>63.161000000000001</v>
      </c>
      <c r="BP54" s="5">
        <v>62.63</v>
      </c>
      <c r="BQ54" s="6">
        <f>IF(Table1[[#This Row],[P_F8]]="","",Table1[Pu(kN)]/Table1[[#This Row],[P_F8]])</f>
        <v>0.93565384001277341</v>
      </c>
      <c r="BR54" s="6">
        <v>0.65249999999999997</v>
      </c>
      <c r="BS54" s="6">
        <v>62.63</v>
      </c>
      <c r="BT54" s="5">
        <v>61.289000000000001</v>
      </c>
      <c r="BU54" s="6">
        <f>IF(Table1[[#This Row],[P_R7]]="","",Table1[Pu(kN)]/Table1[[#This Row],[P_R7]])</f>
        <v>0.95612589534826808</v>
      </c>
      <c r="BV54" s="6">
        <v>0.6653</v>
      </c>
      <c r="BW54" s="6">
        <v>61.289000000000001</v>
      </c>
      <c r="BX54" s="5">
        <v>62.502000000000002</v>
      </c>
      <c r="BY54" s="6">
        <f>IF(Table1[[#This Row],[P_F9]]="","",Table1[Pu(kN)]/Table1[[#This Row],[P_F9]])</f>
        <v>0.93756999776007166</v>
      </c>
      <c r="BZ54" s="6">
        <v>0.64510000000000001</v>
      </c>
      <c r="CA54" s="7">
        <v>62.502000000000002</v>
      </c>
      <c r="CB54" s="5">
        <v>61.357999999999997</v>
      </c>
      <c r="CC54" s="6">
        <f>IF(Table1[[#This Row],[P_R8]]="","",Table1[Pu(kN)]/Table1[[#This Row],[P_R8]])</f>
        <v>0.95505068613709709</v>
      </c>
      <c r="CD54" s="6">
        <v>0.66210000000000002</v>
      </c>
      <c r="CE54" s="6">
        <v>61.357999999999997</v>
      </c>
      <c r="CF54" s="5">
        <v>61.100999999999999</v>
      </c>
      <c r="CG54">
        <f>IF(Table1[[#This Row],[P_R9]]="","",Table1[Pu(kN)]/Table1[[#This Row],[P_R9]])</f>
        <v>0.95906777303153801</v>
      </c>
      <c r="CH54">
        <v>0.63890000000000002</v>
      </c>
      <c r="CI54">
        <v>61.100999999999999</v>
      </c>
      <c r="CJ54" s="5">
        <v>62.539000000000001</v>
      </c>
      <c r="CK54" s="6">
        <f>IF(Table1[[#This Row],[P_F10]]="","",Table1[Pu(kN)]/Table1[[#This Row],[P_F10]])</f>
        <v>0.9370153024512704</v>
      </c>
      <c r="CL54" s="6">
        <v>0.6421</v>
      </c>
      <c r="CM54" s="7">
        <v>62.539000000000001</v>
      </c>
      <c r="CN54" s="38">
        <f>Table1[[#This Row],[P_R8]]</f>
        <v>61.357999999999997</v>
      </c>
      <c r="CO54" s="38">
        <f>Table1[[#This Row],[Pu(kN)]]/Table1[[#This Row],[P_R8_2]]</f>
        <v>0.95505068613709709</v>
      </c>
      <c r="CP54" s="38">
        <f>Table1[[#This Row],[DUCTIL_R8]]</f>
        <v>0.66210000000000002</v>
      </c>
      <c r="CQ54" s="38">
        <f>Table1[[#This Row],[P_R8_2]]</f>
        <v>61.357999999999997</v>
      </c>
    </row>
    <row r="55" spans="1:95" x14ac:dyDescent="0.3">
      <c r="A55" s="27" t="s">
        <v>108</v>
      </c>
      <c r="B55" s="20" t="s">
        <v>93</v>
      </c>
      <c r="C55" s="20" t="s">
        <v>32</v>
      </c>
      <c r="D55" s="20">
        <v>2015</v>
      </c>
      <c r="E55" s="20" t="s">
        <v>90</v>
      </c>
      <c r="F55" s="20">
        <v>18.399999999999999</v>
      </c>
      <c r="G55" s="23">
        <v>0.42</v>
      </c>
      <c r="H55" s="20">
        <v>850</v>
      </c>
      <c r="I55" s="20">
        <v>272.5</v>
      </c>
      <c r="J55" s="23">
        <f>Table1[[#This Row],[a'[mm']]]/Table1[[#This Row],[d'[mm']]]</f>
        <v>3.1192660550458715</v>
      </c>
      <c r="K55" s="20">
        <v>300</v>
      </c>
      <c r="L55" s="20" t="s">
        <v>28</v>
      </c>
      <c r="M55" s="20">
        <v>58.5</v>
      </c>
      <c r="N55" s="20" t="s">
        <v>130</v>
      </c>
      <c r="O55" s="20" t="s">
        <v>130</v>
      </c>
      <c r="P55" s="5">
        <v>71.632999999999996</v>
      </c>
      <c r="Q55" s="6">
        <f>IF(Table1[[#This Row],[P_F1]]="","",Table1[Pu(kN)]/Table1[[#This Row],[P_F1]])</f>
        <v>0.81666271132020163</v>
      </c>
      <c r="R55">
        <v>0.62470000000000003</v>
      </c>
      <c r="S55">
        <v>71.632999999999996</v>
      </c>
      <c r="T55" s="5">
        <v>68.685000000000002</v>
      </c>
      <c r="U55" s="6">
        <f>IF(Table1[[#This Row],[P_R1]]="","",Table1[Pu(kN)]/Table1[[#This Row],[P_R1]])</f>
        <v>0.85171434811094127</v>
      </c>
      <c r="V55">
        <v>0.42149999999999999</v>
      </c>
      <c r="W55">
        <v>68.685000000000002</v>
      </c>
      <c r="X55" s="5">
        <v>65.313999999999993</v>
      </c>
      <c r="Y55" s="6">
        <f>IF(Table1[[#This Row],[P_F2]]="","",Table1[Pu(kN)]/Table1[[#This Row],[P_F2]])</f>
        <v>0.89567320941911388</v>
      </c>
      <c r="Z55">
        <v>2.1600000000000001E-2</v>
      </c>
      <c r="AA55">
        <v>65.775000000000006</v>
      </c>
      <c r="AB55" s="10">
        <v>69.826999999999998</v>
      </c>
      <c r="AC55" s="8">
        <f>IF(Table1[[#This Row],[P_R2]]="","",Table1[Pu(kN)]/Table1[[#This Row],[P_R2]])</f>
        <v>0.83778481103298152</v>
      </c>
      <c r="AD55" s="8">
        <v>0.4259</v>
      </c>
      <c r="AE55" s="9">
        <v>69.826999999999998</v>
      </c>
      <c r="AF55" s="2">
        <v>71.819999999999993</v>
      </c>
      <c r="AG55" s="2">
        <f>IF(Table1[[#This Row],[P_F3]]="","",Table1[Pu(kN)]/Table1[[#This Row],[P_F3]])</f>
        <v>0.81453634085213045</v>
      </c>
      <c r="AH55" s="2">
        <v>0.64810000000000001</v>
      </c>
      <c r="AI55" s="2">
        <v>71.819999999999993</v>
      </c>
      <c r="AJ55" s="5">
        <v>69.849999999999994</v>
      </c>
      <c r="AK55" s="8">
        <f>IF(Table1[[#This Row],[P_R3]]="","",Table1[Pu(kN)]/Table1[[#This Row],[P_R3]])</f>
        <v>0.83750894774516826</v>
      </c>
      <c r="AL55">
        <v>0.4496</v>
      </c>
      <c r="AM55">
        <v>69.849999999999994</v>
      </c>
      <c r="AN55" s="10">
        <v>69.676000000000002</v>
      </c>
      <c r="AO55" s="8">
        <f>IF(Table1[[#This Row],[P_R4]]="","",Table1[Pu(kN)]/Table1[[#This Row],[P_R4]])</f>
        <v>0.83960043630518399</v>
      </c>
      <c r="AP55" s="8">
        <v>0.40089999999999998</v>
      </c>
      <c r="AQ55" s="9">
        <v>69.676000000000002</v>
      </c>
      <c r="AR55">
        <v>69.698999999999998</v>
      </c>
      <c r="AS55">
        <f>IF(Table1[[#This Row],[P_F4]]="","",Table1[Pu(kN)]/Table1[[#This Row],[P_F4]])</f>
        <v>0.83932337623208375</v>
      </c>
      <c r="AT55">
        <v>0.39350000000000002</v>
      </c>
      <c r="AU55" s="7">
        <v>69.706000000000003</v>
      </c>
      <c r="AV55">
        <v>72.231999999999999</v>
      </c>
      <c r="AW55">
        <f>IF(Table1[[#This Row],[P_F5]]="","",Table1[Pu(kN)]/Table1[[#This Row],[P_F5]])</f>
        <v>0.809890353306014</v>
      </c>
      <c r="AX55">
        <v>0.61280000000000001</v>
      </c>
      <c r="AY55" s="7">
        <v>72.275000000000006</v>
      </c>
      <c r="AZ55">
        <v>67.869</v>
      </c>
      <c r="BA55">
        <f>IF(Table1[[#This Row],[P_R5]]="","",Table1[Pu(kN)]/Table1[[#This Row],[P_R5]])</f>
        <v>0.86195464792467846</v>
      </c>
      <c r="BB55">
        <v>0.38219999999999998</v>
      </c>
      <c r="BC55">
        <v>67.869</v>
      </c>
      <c r="BD55" s="5">
        <v>73.902000000000001</v>
      </c>
      <c r="BE55" s="6">
        <f>IF(Table1[[#This Row],[P_F6]]="","",Table1[Pu(kN)]/Table1[[#This Row],[P_F6]])</f>
        <v>0.79158886092392622</v>
      </c>
      <c r="BF55" s="6">
        <v>0.76959999999999995</v>
      </c>
      <c r="BG55" s="6">
        <v>73.902000000000001</v>
      </c>
      <c r="BH55" s="5">
        <v>70.805000000000007</v>
      </c>
      <c r="BI55" s="6">
        <f>IF(Table1[[#This Row],[P_R6]]="","",Table1[Pu(kN)]/Table1[[#This Row],[P_R6]])</f>
        <v>0.826212838076407</v>
      </c>
      <c r="BJ55" s="6">
        <v>0.65110000000000001</v>
      </c>
      <c r="BK55" s="6">
        <v>70.805000000000007</v>
      </c>
      <c r="BL55" s="5">
        <v>72.331000000000003</v>
      </c>
      <c r="BM55" s="6">
        <f>IF(Table1[[#This Row],[P_F7]]="","",Table1[Pu(kN)]/Table1[[#This Row],[P_F7]])</f>
        <v>0.80878185010576376</v>
      </c>
      <c r="BN55" s="6">
        <v>0.63670000000000004</v>
      </c>
      <c r="BO55" s="6">
        <v>72.331000000000003</v>
      </c>
      <c r="BP55" s="5">
        <v>71.983000000000004</v>
      </c>
      <c r="BQ55" s="6">
        <f>IF(Table1[[#This Row],[P_F8]]="","",Table1[Pu(kN)]/Table1[[#This Row],[P_F8]])</f>
        <v>0.81269188558409622</v>
      </c>
      <c r="BR55" s="6">
        <v>0.63039999999999996</v>
      </c>
      <c r="BS55" s="6">
        <v>71.983000000000004</v>
      </c>
      <c r="BT55" s="5">
        <v>69.346999999999994</v>
      </c>
      <c r="BU55" s="6">
        <f>IF(Table1[[#This Row],[P_R7]]="","",Table1[Pu(kN)]/Table1[[#This Row],[P_R7]])</f>
        <v>0.84358371667123311</v>
      </c>
      <c r="BV55" s="6">
        <v>0.37109999999999999</v>
      </c>
      <c r="BW55" s="6">
        <v>69.346999999999994</v>
      </c>
      <c r="BX55" s="5">
        <v>62.718000000000004</v>
      </c>
      <c r="BY55" s="6">
        <f>IF(Table1[[#This Row],[P_F9]]="","",Table1[Pu(kN)]/Table1[[#This Row],[P_F9]])</f>
        <v>0.93274657992920684</v>
      </c>
      <c r="BZ55" s="6">
        <v>1.52E-2</v>
      </c>
      <c r="CA55" s="7">
        <v>63.164000000000001</v>
      </c>
      <c r="CB55" s="5">
        <v>69.286000000000001</v>
      </c>
      <c r="CC55" s="6">
        <f>IF(Table1[[#This Row],[P_R8]]="","",Table1[Pu(kN)]/Table1[[#This Row],[P_R8]])</f>
        <v>0.84432641514880347</v>
      </c>
      <c r="CD55" s="6">
        <v>0.37080000000000002</v>
      </c>
      <c r="CE55" s="6">
        <v>69.286000000000001</v>
      </c>
      <c r="CF55" s="5">
        <v>68.051000000000002</v>
      </c>
      <c r="CG55">
        <f>IF(Table1[[#This Row],[P_R9]]="","",Table1[Pu(kN)]/Table1[[#This Row],[P_R9]])</f>
        <v>0.85964938061160012</v>
      </c>
      <c r="CH55">
        <v>0.25009999999999999</v>
      </c>
      <c r="CI55">
        <v>68.084000000000003</v>
      </c>
      <c r="CJ55" s="5">
        <v>64.741</v>
      </c>
      <c r="CK55" s="6">
        <f>IF(Table1[[#This Row],[P_F10]]="","",Table1[Pu(kN)]/Table1[[#This Row],[P_F10]])</f>
        <v>0.90360050045566176</v>
      </c>
      <c r="CL55" s="6">
        <v>1.1299999999999999E-2</v>
      </c>
      <c r="CM55" s="6">
        <v>64.908000000000001</v>
      </c>
      <c r="CN55" s="39">
        <v>65.430000000000007</v>
      </c>
      <c r="CO55" s="38">
        <f>Table1[[#This Row],[Pu(kN)]]/Table1[[#This Row],[P_R8_2]]</f>
        <v>0.89408528198074266</v>
      </c>
      <c r="CP55" s="38">
        <f>Table1[[#This Row],[DUCTIL_R8]]</f>
        <v>0.37080000000000002</v>
      </c>
      <c r="CQ55" s="38">
        <f>Table1[[#This Row],[P_R8_2]]</f>
        <v>65.430000000000007</v>
      </c>
    </row>
    <row r="56" spans="1:95" x14ac:dyDescent="0.3">
      <c r="A56" s="26" t="s">
        <v>39</v>
      </c>
      <c r="B56" s="18" t="s">
        <v>93</v>
      </c>
      <c r="C56" s="18" t="s">
        <v>32</v>
      </c>
      <c r="D56" s="18">
        <v>2015</v>
      </c>
      <c r="E56" s="18" t="s">
        <v>90</v>
      </c>
      <c r="F56" s="18">
        <v>18.399999999999999</v>
      </c>
      <c r="G56" s="22">
        <v>0.74</v>
      </c>
      <c r="H56" s="18">
        <v>1250</v>
      </c>
      <c r="I56" s="18">
        <v>270</v>
      </c>
      <c r="J56" s="22">
        <f>Table1[[#This Row],[a'[mm']]]/Table1[[#This Row],[d'[mm']]]</f>
        <v>4.6296296296296298</v>
      </c>
      <c r="K56" s="18">
        <v>300</v>
      </c>
      <c r="L56" s="18" t="s">
        <v>28</v>
      </c>
      <c r="M56" s="18">
        <v>76.5</v>
      </c>
      <c r="N56" s="18" t="s">
        <v>130</v>
      </c>
      <c r="O56" s="18" t="s">
        <v>130</v>
      </c>
      <c r="P56" s="5">
        <v>89.805999999999997</v>
      </c>
      <c r="Q56" s="6">
        <f>IF(Table1[[#This Row],[P_F1]]="","",Table1[Pu(kN)]/Table1[[#This Row],[P_F1]])</f>
        <v>0.85183618021067642</v>
      </c>
      <c r="R56">
        <v>0.38319999999999999</v>
      </c>
      <c r="S56">
        <v>89.962999999999994</v>
      </c>
      <c r="T56" s="5">
        <v>69.715000000000003</v>
      </c>
      <c r="U56" s="6">
        <f>IF(Table1[[#This Row],[P_R1]]="","",Table1[Pu(kN)]/Table1[[#This Row],[P_R1]])</f>
        <v>1.0973248224915728</v>
      </c>
      <c r="V56">
        <v>9.7999999999999997E-3</v>
      </c>
      <c r="W56">
        <v>69.715000000000003</v>
      </c>
      <c r="X56" s="5">
        <v>88.454999999999998</v>
      </c>
      <c r="Y56" s="6">
        <f>IF(Table1[[#This Row],[P_F2]]="","",Table1[Pu(kN)]/Table1[[#This Row],[P_F2]])</f>
        <v>0.86484653213498386</v>
      </c>
      <c r="Z56">
        <v>0.22239999999999999</v>
      </c>
      <c r="AA56">
        <v>88.795000000000002</v>
      </c>
      <c r="AB56" s="10">
        <v>80.025999999999996</v>
      </c>
      <c r="AC56" s="8">
        <f>IF(Table1[[#This Row],[P_R2]]="","",Table1[Pu(kN)]/Table1[[#This Row],[P_R2]])</f>
        <v>0.9559393197210907</v>
      </c>
      <c r="AD56" s="8">
        <v>1.9400000000000001E-2</v>
      </c>
      <c r="AE56" s="9">
        <v>80.025999999999996</v>
      </c>
      <c r="AF56" s="2">
        <v>88.899000000000001</v>
      </c>
      <c r="AG56" s="2">
        <f>IF(Table1[[#This Row],[P_F3]]="","",Table1[Pu(kN)]/Table1[[#This Row],[P_F3]])</f>
        <v>0.86052711504066415</v>
      </c>
      <c r="AH56" s="2">
        <v>0.30859999999999999</v>
      </c>
      <c r="AI56" s="2">
        <v>88.986999999999995</v>
      </c>
      <c r="AJ56" s="5">
        <v>87.391000000000005</v>
      </c>
      <c r="AK56" s="8">
        <f>IF(Table1[[#This Row],[P_R3]]="","",Table1[Pu(kN)]/Table1[[#This Row],[P_R3]])</f>
        <v>0.87537618290212948</v>
      </c>
      <c r="AL56" s="8">
        <v>0.1004</v>
      </c>
      <c r="AM56" s="8">
        <v>87.391000000000005</v>
      </c>
      <c r="AN56" s="10">
        <v>76.793000000000006</v>
      </c>
      <c r="AO56" s="8">
        <f>IF(Table1[[#This Row],[P_R4]]="","",Table1[Pu(kN)]/Table1[[#This Row],[P_R4]])</f>
        <v>0.9961845480707876</v>
      </c>
      <c r="AP56" s="8">
        <v>1.23E-2</v>
      </c>
      <c r="AQ56" s="9">
        <v>76.793000000000006</v>
      </c>
      <c r="AR56">
        <v>90.694000000000003</v>
      </c>
      <c r="AS56">
        <f>IF(Table1[[#This Row],[P_F4]]="","",Table1[Pu(kN)]/Table1[[#This Row],[P_F4]])</f>
        <v>0.84349571085187547</v>
      </c>
      <c r="AT56">
        <v>0.58609999999999995</v>
      </c>
      <c r="AU56" s="7">
        <v>90.694000000000003</v>
      </c>
      <c r="AV56">
        <v>91.602999999999994</v>
      </c>
      <c r="AW56">
        <f>IF(Table1[[#This Row],[P_F5]]="","",Table1[Pu(kN)]/Table1[[#This Row],[P_F5]])</f>
        <v>0.83512548715653423</v>
      </c>
      <c r="AX56">
        <v>0.6835</v>
      </c>
      <c r="AY56" s="7">
        <v>91.602999999999994</v>
      </c>
      <c r="AZ56">
        <v>78.088999999999999</v>
      </c>
      <c r="BA56">
        <f>IF(Table1[[#This Row],[P_R5]]="","",Table1[Pu(kN)]/Table1[[#This Row],[P_R5]])</f>
        <v>0.97965142337589162</v>
      </c>
      <c r="BB56">
        <v>2.63E-2</v>
      </c>
      <c r="BC56">
        <v>78.088999999999999</v>
      </c>
      <c r="BD56" s="5">
        <v>91.852000000000004</v>
      </c>
      <c r="BE56" s="6">
        <f>IF(Table1[[#This Row],[P_F6]]="","",Table1[Pu(kN)]/Table1[[#This Row],[P_F6]])</f>
        <v>0.83286155990070976</v>
      </c>
      <c r="BF56" s="6">
        <v>0.68359999999999999</v>
      </c>
      <c r="BG56" s="6">
        <v>91.852000000000004</v>
      </c>
      <c r="BH56" s="5">
        <v>87.05</v>
      </c>
      <c r="BI56" s="6">
        <f>IF(Table1[[#This Row],[P_R6]]="","",Table1[Pu(kN)]/Table1[[#This Row],[P_R6]])</f>
        <v>0.87880528431935667</v>
      </c>
      <c r="BJ56" s="6">
        <v>0.12230000000000001</v>
      </c>
      <c r="BK56" s="6">
        <v>87.05</v>
      </c>
      <c r="BL56" s="5">
        <v>90.313000000000002</v>
      </c>
      <c r="BM56" s="6">
        <f>IF(Table1[[#This Row],[P_F7]]="","",Table1[Pu(kN)]/Table1[[#This Row],[P_F7]])</f>
        <v>0.84705413395635176</v>
      </c>
      <c r="BN56" s="6">
        <v>0.36799999999999999</v>
      </c>
      <c r="BO56" s="6">
        <v>90.313000000000002</v>
      </c>
      <c r="BP56" s="5">
        <v>79.53</v>
      </c>
      <c r="BQ56" s="6">
        <f>IF(Table1[[#This Row],[P_F8]]="","",Table1[Pu(kN)]/Table1[[#This Row],[P_F8]])</f>
        <v>0.96190116937004899</v>
      </c>
      <c r="BR56" s="6">
        <v>2.1700000000000001E-2</v>
      </c>
      <c r="BS56" s="6">
        <v>79.760000000000005</v>
      </c>
      <c r="BT56" s="5">
        <v>69.343999999999994</v>
      </c>
      <c r="BU56" s="6">
        <f>IF(Table1[[#This Row],[P_R7]]="","",Table1[Pu(kN)]/Table1[[#This Row],[P_R7]])</f>
        <v>1.1031956622058146</v>
      </c>
      <c r="BV56" s="6">
        <v>1.14E-2</v>
      </c>
      <c r="BW56" s="6">
        <v>70.320999999999998</v>
      </c>
      <c r="BX56" s="5">
        <v>88.488</v>
      </c>
      <c r="BY56" s="6">
        <f>IF(Table1[[#This Row],[P_F9]]="","",Table1[Pu(kN)]/Table1[[#This Row],[P_F9]])</f>
        <v>0.8645240032546786</v>
      </c>
      <c r="BZ56" s="6">
        <v>0.26650000000000001</v>
      </c>
      <c r="CA56" s="7">
        <v>88.676000000000002</v>
      </c>
      <c r="CB56" s="5">
        <v>69.353999999999999</v>
      </c>
      <c r="CC56" s="6">
        <f>IF(Table1[[#This Row],[P_R8]]="","",Table1[Pu(kN)]/Table1[[#This Row],[P_R8]])</f>
        <v>1.1030365948611471</v>
      </c>
      <c r="CD56" s="6">
        <v>1.8100000000000002E-2</v>
      </c>
      <c r="CE56" s="6">
        <v>69.481999999999999</v>
      </c>
      <c r="CF56" s="5">
        <v>78.555000000000007</v>
      </c>
      <c r="CG56">
        <f>IF(Table1[[#This Row],[P_R9]]="","",Table1[Pu(kN)]/Table1[[#This Row],[P_R9]])</f>
        <v>0.97383998472407862</v>
      </c>
      <c r="CH56">
        <v>1.6899999999999998E-2</v>
      </c>
      <c r="CI56">
        <v>78.887</v>
      </c>
      <c r="CJ56" s="5">
        <v>88.328999999999994</v>
      </c>
      <c r="CK56" s="6">
        <f>IF(Table1[[#This Row],[P_F10]]="","",Table1[Pu(kN)]/Table1[[#This Row],[P_F10]])</f>
        <v>0.86608022280338293</v>
      </c>
      <c r="CL56" s="6">
        <v>0.20480000000000001</v>
      </c>
      <c r="CM56" s="6">
        <v>88.42</v>
      </c>
      <c r="CN56" s="39">
        <f>Table1[[#This Row],[P_R8]]</f>
        <v>69.353999999999999</v>
      </c>
      <c r="CO56" s="38">
        <f>Table1[[#This Row],[Pu(kN)]]/Table1[[#This Row],[P_R8_2]]</f>
        <v>1.1030365948611471</v>
      </c>
      <c r="CP56" s="38">
        <f>Table1[[#This Row],[DUCTIL_R8]]</f>
        <v>1.8100000000000002E-2</v>
      </c>
      <c r="CQ56" s="38">
        <f>Table1[[#This Row],[P_R8_2]]</f>
        <v>69.353999999999999</v>
      </c>
    </row>
    <row r="57" spans="1:95" x14ac:dyDescent="0.3">
      <c r="A57" s="27" t="s">
        <v>106</v>
      </c>
      <c r="B57" s="20" t="s">
        <v>93</v>
      </c>
      <c r="C57" s="20" t="s">
        <v>32</v>
      </c>
      <c r="D57" s="18">
        <v>2015</v>
      </c>
      <c r="E57" s="20" t="s">
        <v>90</v>
      </c>
      <c r="F57" s="20">
        <v>18.399999999999999</v>
      </c>
      <c r="G57" s="23">
        <v>0.74</v>
      </c>
      <c r="H57" s="20">
        <v>1000</v>
      </c>
      <c r="I57" s="20">
        <v>270</v>
      </c>
      <c r="J57" s="23">
        <f>Table1[[#This Row],[a'[mm']]]/Table1[[#This Row],[d'[mm']]]</f>
        <v>3.7037037037037037</v>
      </c>
      <c r="K57" s="20">
        <v>300</v>
      </c>
      <c r="L57" s="20" t="s">
        <v>28</v>
      </c>
      <c r="M57" s="20">
        <v>82.8</v>
      </c>
      <c r="N57" s="20" t="s">
        <v>130</v>
      </c>
      <c r="O57" s="20" t="s">
        <v>130</v>
      </c>
      <c r="P57" s="5">
        <v>88.292000000000002</v>
      </c>
      <c r="Q57" s="6">
        <f>IF(Table1[[#This Row],[P_F1]]="","",Table1[Pu(kN)]/Table1[[#This Row],[P_F1]])</f>
        <v>0.93779730892946134</v>
      </c>
      <c r="R57">
        <v>1.1599999999999999E-2</v>
      </c>
      <c r="S57">
        <v>88.638000000000005</v>
      </c>
      <c r="T57" s="5">
        <v>77.605999999999995</v>
      </c>
      <c r="U57" s="6">
        <f>IF(Table1[[#This Row],[P_R1]]="","",Table1[Pu(kN)]/Table1[[#This Row],[P_R1]])</f>
        <v>1.0669278148596759</v>
      </c>
      <c r="V57">
        <v>8.3999999999999995E-3</v>
      </c>
      <c r="W57">
        <v>78.234999999999999</v>
      </c>
      <c r="X57" s="5">
        <v>86.834999999999994</v>
      </c>
      <c r="Y57" s="6">
        <f>IF(Table1[[#This Row],[P_F2]]="","",Table1[Pu(kN)]/Table1[[#This Row],[P_F2]])</f>
        <v>0.95353256175505274</v>
      </c>
      <c r="Z57">
        <v>1.6899999999999998E-2</v>
      </c>
      <c r="AA57">
        <v>86.834999999999994</v>
      </c>
      <c r="AB57" s="10">
        <v>96.051000000000002</v>
      </c>
      <c r="AC57" s="8">
        <f>IF(Table1[[#This Row],[P_R2]]="","",Table1[Pu(kN)]/Table1[[#This Row],[P_R2]])</f>
        <v>0.8620420401661617</v>
      </c>
      <c r="AD57" s="8">
        <v>9.7600000000000006E-2</v>
      </c>
      <c r="AE57" s="9">
        <v>96.051000000000002</v>
      </c>
      <c r="AF57" s="2">
        <v>90.201999999999998</v>
      </c>
      <c r="AG57" s="2">
        <f>IF(Table1[[#This Row],[P_F3]]="","",Table1[Pu(kN)]/Table1[[#This Row],[P_F3]])</f>
        <v>0.91793973526085892</v>
      </c>
      <c r="AH57" s="2">
        <v>1.55E-2</v>
      </c>
      <c r="AI57" s="2">
        <v>90.796999999999997</v>
      </c>
      <c r="AJ57" s="10">
        <v>98.266999999999996</v>
      </c>
      <c r="AK57" s="8">
        <f>IF(Table1[[#This Row],[P_R3]]="","",Table1[Pu(kN)]/Table1[[#This Row],[P_R3]])</f>
        <v>0.84260229782124219</v>
      </c>
      <c r="AL57" s="8">
        <v>8.3799999999999999E-2</v>
      </c>
      <c r="AM57" s="8">
        <v>98.269000000000005</v>
      </c>
      <c r="AN57" s="10">
        <v>89.638999999999996</v>
      </c>
      <c r="AO57" s="8">
        <f>IF(Table1[[#This Row],[P_R4]]="","",Table1[Pu(kN)]/Table1[[#This Row],[P_R4]])</f>
        <v>0.92370508372471805</v>
      </c>
      <c r="AP57" s="8">
        <v>5.5500000000000001E-2</v>
      </c>
      <c r="AQ57" s="9">
        <v>89.710999999999999</v>
      </c>
      <c r="AR57">
        <v>82.533000000000001</v>
      </c>
      <c r="AS57">
        <f>IF(Table1[[#This Row],[P_F4]]="","",Table1[Pu(kN)]/Table1[[#This Row],[P_F4]])</f>
        <v>1.0032350696085202</v>
      </c>
      <c r="AT57">
        <v>2.0799999999999999E-2</v>
      </c>
      <c r="AU57" s="7">
        <v>83.274000000000001</v>
      </c>
      <c r="AV57">
        <v>87.834999999999994</v>
      </c>
      <c r="AW57">
        <f>IF(Table1[[#This Row],[P_F5]]="","",Table1[Pu(kN)]/Table1[[#This Row],[P_F5]])</f>
        <v>0.94267660955200094</v>
      </c>
      <c r="AX57">
        <v>1.9800000000000002E-2</v>
      </c>
      <c r="AY57" s="7">
        <v>88.585999999999999</v>
      </c>
      <c r="AZ57">
        <v>97.617000000000004</v>
      </c>
      <c r="BA57">
        <f>IF(Table1[[#This Row],[P_R5]]="","",Table1[Pu(kN)]/Table1[[#This Row],[P_R5]])</f>
        <v>0.84821291373428798</v>
      </c>
      <c r="BB57">
        <v>8.3699999999999997E-2</v>
      </c>
      <c r="BC57">
        <v>97.617000000000004</v>
      </c>
      <c r="BD57" s="5">
        <v>85.540999999999997</v>
      </c>
      <c r="BE57" s="6">
        <f>IF(Table1[[#This Row],[P_F6]]="","",Table1[Pu(kN)]/Table1[[#This Row],[P_F6]])</f>
        <v>0.96795688617154352</v>
      </c>
      <c r="BF57" s="6">
        <v>1.9300000000000001E-2</v>
      </c>
      <c r="BG57" s="6">
        <v>85.540999999999997</v>
      </c>
      <c r="BH57" s="5">
        <v>100.67</v>
      </c>
      <c r="BI57" s="6">
        <f>IF(Table1[[#This Row],[P_R6]]="","",Table1[Pu(kN)]/Table1[[#This Row],[P_R6]])</f>
        <v>0.82248932154564414</v>
      </c>
      <c r="BJ57" s="6">
        <v>9.4399999999999998E-2</v>
      </c>
      <c r="BK57" s="6">
        <v>100.67</v>
      </c>
      <c r="BL57" s="5">
        <v>100.08</v>
      </c>
      <c r="BM57" s="6">
        <f>IF(Table1[[#This Row],[P_F7]]="","",Table1[Pu(kN)]/Table1[[#This Row],[P_F7]])</f>
        <v>0.82733812949640284</v>
      </c>
      <c r="BN57" s="6">
        <v>2.9600000000000001E-2</v>
      </c>
      <c r="BO57" s="6">
        <v>100.08</v>
      </c>
      <c r="BP57" s="5">
        <v>93.924999999999997</v>
      </c>
      <c r="BQ57" s="6">
        <f>IF(Table1[[#This Row],[P_F8]]="","",Table1[Pu(kN)]/Table1[[#This Row],[P_F8]])</f>
        <v>0.88155443172744208</v>
      </c>
      <c r="BR57" s="6">
        <v>1.72E-2</v>
      </c>
      <c r="BS57" s="6">
        <v>94.462999999999994</v>
      </c>
      <c r="BT57" s="5">
        <v>100.52</v>
      </c>
      <c r="BU57" s="6">
        <f>IF(Table1[[#This Row],[P_R7]]="","",Table1[Pu(kN)]/Table1[[#This Row],[P_R7]])</f>
        <v>0.82371667329884601</v>
      </c>
      <c r="BV57" s="6">
        <v>0.1067</v>
      </c>
      <c r="BW57" s="6">
        <v>100.52</v>
      </c>
      <c r="BX57" s="5">
        <v>89.168000000000006</v>
      </c>
      <c r="BY57" s="6">
        <f>IF(Table1[[#This Row],[P_F9]]="","",Table1[Pu(kN)]/Table1[[#This Row],[P_F9]])</f>
        <v>0.92858424546922658</v>
      </c>
      <c r="BZ57" s="6">
        <v>1.7000000000000001E-2</v>
      </c>
      <c r="CA57" s="7">
        <v>89.168000000000006</v>
      </c>
      <c r="CB57" s="5">
        <v>96.298000000000002</v>
      </c>
      <c r="CC57" s="6">
        <f>IF(Table1[[#This Row],[P_R8]]="","",Table1[Pu(kN)]/Table1[[#This Row],[P_R8]])</f>
        <v>0.85983094145257422</v>
      </c>
      <c r="CD57" s="6">
        <v>6.5500000000000003E-2</v>
      </c>
      <c r="CE57" s="6">
        <v>96.298000000000002</v>
      </c>
      <c r="CF57" s="5">
        <v>75.91</v>
      </c>
      <c r="CG57">
        <f>IF(Table1[[#This Row],[P_R9]]="","",Table1[Pu(kN)]/Table1[[#This Row],[P_R9]])</f>
        <v>1.0907653800553287</v>
      </c>
      <c r="CH57">
        <v>1.6E-2</v>
      </c>
      <c r="CI57">
        <v>76.262</v>
      </c>
      <c r="CJ57" s="5">
        <v>85.926000000000002</v>
      </c>
      <c r="CK57" s="6">
        <f>IF(Table1[[#This Row],[P_F10]]="","",Table1[Pu(kN)]/Table1[[#This Row],[P_F10]])</f>
        <v>0.96361985894839741</v>
      </c>
      <c r="CL57" s="6">
        <v>1.6299999999999999E-2</v>
      </c>
      <c r="CM57" s="6">
        <v>85.926000000000002</v>
      </c>
      <c r="CN57" s="39">
        <v>72.64</v>
      </c>
      <c r="CO57" s="38">
        <f>Table1[[#This Row],[Pu(kN)]]/Table1[[#This Row],[P_R8_2]]</f>
        <v>1.1398678414096917</v>
      </c>
      <c r="CP57" s="38">
        <f>Table1[[#This Row],[DUCTIL_R8]]</f>
        <v>6.5500000000000003E-2</v>
      </c>
      <c r="CQ57" s="38">
        <f>Table1[[#This Row],[P_R8_2]]</f>
        <v>72.64</v>
      </c>
    </row>
    <row r="58" spans="1:95" x14ac:dyDescent="0.3">
      <c r="A58" s="26" t="s">
        <v>107</v>
      </c>
      <c r="B58" s="18" t="s">
        <v>93</v>
      </c>
      <c r="C58" s="18" t="s">
        <v>32</v>
      </c>
      <c r="D58" s="18">
        <v>2015</v>
      </c>
      <c r="E58" s="18" t="s">
        <v>90</v>
      </c>
      <c r="F58" s="18">
        <v>18.399999999999999</v>
      </c>
      <c r="G58" s="22">
        <v>0.91</v>
      </c>
      <c r="H58" s="18">
        <v>1000</v>
      </c>
      <c r="I58" s="18">
        <v>271.5</v>
      </c>
      <c r="J58" s="22">
        <f>Table1[[#This Row],[a'[mm']]]/Table1[[#This Row],[d'[mm']]]</f>
        <v>3.6832412523020257</v>
      </c>
      <c r="K58" s="18">
        <v>300</v>
      </c>
      <c r="L58" s="18" t="s">
        <v>293</v>
      </c>
      <c r="M58" s="18">
        <v>84.1</v>
      </c>
      <c r="N58" s="18" t="s">
        <v>130</v>
      </c>
      <c r="O58" s="18" t="s">
        <v>130</v>
      </c>
      <c r="P58" s="5">
        <v>94.902000000000001</v>
      </c>
      <c r="Q58" s="6">
        <f>IF(Table1[[#This Row],[P_F1]]="","",Table1[Pu(kN)]/Table1[[#This Row],[P_F1]])</f>
        <v>0.8861773197614381</v>
      </c>
      <c r="R58">
        <v>1.83E-2</v>
      </c>
      <c r="S58">
        <v>95.263000000000005</v>
      </c>
      <c r="T58" s="5">
        <v>87.349000000000004</v>
      </c>
      <c r="U58" s="6">
        <f>IF(Table1[[#This Row],[P_R1]]="","",Table1[Pu(kN)]/Table1[[#This Row],[P_R1]])</f>
        <v>0.96280438241994748</v>
      </c>
      <c r="V58">
        <v>7.4999999999999997E-3</v>
      </c>
      <c r="W58">
        <v>87.64</v>
      </c>
      <c r="X58" s="5">
        <v>99.257999999999996</v>
      </c>
      <c r="Y58" s="6">
        <f>IF(Table1[[#This Row],[P_F2]]="","",Table1[Pu(kN)]/Table1[[#This Row],[P_F2]])</f>
        <v>0.84728686856475044</v>
      </c>
      <c r="Z58">
        <v>2.1100000000000001E-2</v>
      </c>
      <c r="AA58">
        <v>99.891999999999996</v>
      </c>
      <c r="AB58" s="10">
        <v>111.35</v>
      </c>
      <c r="AC58" s="8">
        <f>IF(Table1[[#This Row],[P_R2]]="","",Table1[Pu(kN)]/Table1[[#This Row],[P_R2]])</f>
        <v>0.75527615626403233</v>
      </c>
      <c r="AD58" s="8">
        <v>3.7100000000000001E-2</v>
      </c>
      <c r="AE58" s="9">
        <v>111.35</v>
      </c>
      <c r="AF58" s="2">
        <v>96.08</v>
      </c>
      <c r="AG58" s="2">
        <f>IF(Table1[[#This Row],[P_F3]]="","",Table1[Pu(kN)]/Table1[[#This Row],[P_F3]])</f>
        <v>0.87531223980016648</v>
      </c>
      <c r="AH58" s="2">
        <v>2.1399999999999999E-2</v>
      </c>
      <c r="AI58" s="2">
        <v>96.662999999999997</v>
      </c>
      <c r="AJ58" s="10">
        <v>117.88</v>
      </c>
      <c r="AK58" s="8">
        <f>IF(Table1[[#This Row],[P_R3]]="","",Table1[Pu(kN)]/Table1[[#This Row],[P_R3]])</f>
        <v>0.71343739395995931</v>
      </c>
      <c r="AL58" s="8">
        <v>4.3700000000000003E-2</v>
      </c>
      <c r="AM58" s="8">
        <v>117.88</v>
      </c>
      <c r="AN58" s="10">
        <v>95.79</v>
      </c>
      <c r="AO58" s="8">
        <f>IF(Table1[[#This Row],[P_R4]]="","",Table1[Pu(kN)]/Table1[[#This Row],[P_R4]])</f>
        <v>0.87796220899885158</v>
      </c>
      <c r="AP58" s="8">
        <v>2.5899999999999999E-2</v>
      </c>
      <c r="AQ58" s="9">
        <v>96.174999999999997</v>
      </c>
      <c r="AR58">
        <v>91.197000000000003</v>
      </c>
      <c r="AS58">
        <f>IF(Table1[[#This Row],[P_F4]]="","",Table1[Pu(kN)]/Table1[[#This Row],[P_F4]])</f>
        <v>0.92217945765759834</v>
      </c>
      <c r="AT58">
        <v>2.1700000000000001E-2</v>
      </c>
      <c r="AU58" s="7">
        <v>92.073999999999998</v>
      </c>
      <c r="AV58">
        <v>100.86</v>
      </c>
      <c r="AW58">
        <f>IF(Table1[[#This Row],[P_F5]]="","",Table1[Pu(kN)]/Table1[[#This Row],[P_F5]])</f>
        <v>0.83382906999801698</v>
      </c>
      <c r="AX58">
        <v>2.07E-2</v>
      </c>
      <c r="AY58" s="7">
        <v>100.95</v>
      </c>
      <c r="AZ58">
        <v>123.53</v>
      </c>
      <c r="BA58">
        <f>IF(Table1[[#This Row],[P_R5]]="","",Table1[Pu(kN)]/Table1[[#This Row],[P_R5]])</f>
        <v>0.68080628187484815</v>
      </c>
      <c r="BB58">
        <v>0.10630000000000001</v>
      </c>
      <c r="BC58">
        <v>123.53</v>
      </c>
      <c r="BD58" s="5">
        <v>99.721999999999994</v>
      </c>
      <c r="BE58" s="6">
        <f>IF(Table1[[#This Row],[P_F6]]="","",Table1[Pu(kN)]/Table1[[#This Row],[P_F6]])</f>
        <v>0.84334449770361608</v>
      </c>
      <c r="BF58" s="6">
        <v>1.67E-2</v>
      </c>
      <c r="BG58" s="6">
        <v>99.721999999999994</v>
      </c>
      <c r="BH58" s="5">
        <v>118.51</v>
      </c>
      <c r="BI58" s="6">
        <f>IF(Table1[[#This Row],[P_R6]]="","",Table1[Pu(kN)]/Table1[[#This Row],[P_R6]])</f>
        <v>0.70964475571681707</v>
      </c>
      <c r="BJ58" s="6">
        <v>3.7600000000000001E-2</v>
      </c>
      <c r="BK58" s="6">
        <v>118.51</v>
      </c>
      <c r="BL58" s="5">
        <v>102.87</v>
      </c>
      <c r="BM58" s="6">
        <f>IF(Table1[[#This Row],[P_F7]]="","",Table1[Pu(kN)]/Table1[[#This Row],[P_F7]])</f>
        <v>0.81753669680178853</v>
      </c>
      <c r="BN58" s="6">
        <v>1.4800000000000001E-2</v>
      </c>
      <c r="BO58" s="6">
        <v>103.39</v>
      </c>
      <c r="BP58" s="5">
        <v>94.549000000000007</v>
      </c>
      <c r="BQ58" s="6">
        <f>IF(Table1[[#This Row],[P_F8]]="","",Table1[Pu(kN)]/Table1[[#This Row],[P_F8]])</f>
        <v>0.8894858750489163</v>
      </c>
      <c r="BR58" s="6">
        <v>2.1600000000000001E-2</v>
      </c>
      <c r="BS58" s="6">
        <v>94.549000000000007</v>
      </c>
      <c r="BT58" s="5">
        <v>103.22</v>
      </c>
      <c r="BU58" s="6">
        <f>IF(Table1[[#This Row],[P_R7]]="","",Table1[Pu(kN)]/Table1[[#This Row],[P_R7]])</f>
        <v>0.81476458050765355</v>
      </c>
      <c r="BV58" s="6">
        <v>5.8000000000000003E-2</v>
      </c>
      <c r="BW58" s="6">
        <v>103.57</v>
      </c>
      <c r="BX58" s="5">
        <v>86.537000000000006</v>
      </c>
      <c r="BY58" s="6">
        <f>IF(Table1[[#This Row],[P_F9]]="","",Table1[Pu(kN)]/Table1[[#This Row],[P_F9]])</f>
        <v>0.97183863549695493</v>
      </c>
      <c r="BZ58" s="6">
        <v>1.78E-2</v>
      </c>
      <c r="CA58" s="7">
        <v>88.19</v>
      </c>
      <c r="CB58" s="5">
        <v>106.42</v>
      </c>
      <c r="CC58" s="6">
        <f>IF(Table1[[#This Row],[P_R8]]="","",Table1[Pu(kN)]/Table1[[#This Row],[P_R8]])</f>
        <v>0.79026498778425103</v>
      </c>
      <c r="CD58" s="6">
        <v>4.7500000000000001E-2</v>
      </c>
      <c r="CE58" s="6">
        <v>106.42</v>
      </c>
      <c r="CF58" s="5">
        <v>83.03</v>
      </c>
      <c r="CG58">
        <f>IF(Table1[[#This Row],[P_R9]]="","",Table1[Pu(kN)]/Table1[[#This Row],[P_R9]])</f>
        <v>1.0128869083463807</v>
      </c>
      <c r="CH58">
        <v>1.9699999999999999E-2</v>
      </c>
      <c r="CI58">
        <v>83.388999999999996</v>
      </c>
      <c r="CJ58" s="5">
        <v>83.61</v>
      </c>
      <c r="CK58" s="6">
        <f>IF(Table1[[#This Row],[P_F10]]="","",Table1[Pu(kN)]/Table1[[#This Row],[P_F10]])</f>
        <v>1.0058605429972491</v>
      </c>
      <c r="CL58" s="6">
        <v>2.1600000000000001E-2</v>
      </c>
      <c r="CM58" s="6">
        <v>84.858000000000004</v>
      </c>
      <c r="CN58" s="39">
        <v>75.900000000000006</v>
      </c>
      <c r="CO58" s="38">
        <f>Table1[[#This Row],[Pu(kN)]]/Table1[[#This Row],[P_R8_2]]</f>
        <v>1.1080368906455862</v>
      </c>
      <c r="CP58" s="38">
        <f>Table1[[#This Row],[DUCTIL_R8]]</f>
        <v>4.7500000000000001E-2</v>
      </c>
      <c r="CQ58" s="38">
        <f>Table1[[#This Row],[P_R8_2]]</f>
        <v>75.900000000000006</v>
      </c>
    </row>
    <row r="59" spans="1:95" x14ac:dyDescent="0.3">
      <c r="A59" s="27" t="s">
        <v>62</v>
      </c>
      <c r="B59" s="20" t="s">
        <v>97</v>
      </c>
      <c r="C59" s="20" t="s">
        <v>61</v>
      </c>
      <c r="D59" s="18">
        <v>2015</v>
      </c>
      <c r="E59" s="20" t="s">
        <v>90</v>
      </c>
      <c r="F59" s="20">
        <v>42.8</v>
      </c>
      <c r="G59" s="23">
        <v>1.25</v>
      </c>
      <c r="H59" s="20">
        <v>1200</v>
      </c>
      <c r="I59" s="20">
        <v>357.5</v>
      </c>
      <c r="J59" s="23">
        <f>Table1[[#This Row],[a'[mm']]]/Table1[[#This Row],[d'[mm']]]</f>
        <v>3.3566433566433567</v>
      </c>
      <c r="K59" s="20">
        <v>400</v>
      </c>
      <c r="L59" s="20" t="s">
        <v>28</v>
      </c>
      <c r="M59" s="20">
        <v>342.84</v>
      </c>
      <c r="N59" s="23" t="s">
        <v>130</v>
      </c>
      <c r="O59" s="20" t="s">
        <v>131</v>
      </c>
      <c r="P59" s="5">
        <v>290.95999999999998</v>
      </c>
      <c r="Q59" s="6">
        <f>IF(Table1[[#This Row],[P_F1]]="","",Table1[Pu(kN)]/Table1[[#This Row],[P_F1]])</f>
        <v>1.1783062963981303</v>
      </c>
      <c r="R59">
        <v>0.90920000000000001</v>
      </c>
      <c r="S59" s="6">
        <v>290.95999999999998</v>
      </c>
      <c r="T59" s="5">
        <v>286.14</v>
      </c>
      <c r="U59" s="6">
        <f>IF(Table1[[#This Row],[P_R1]]="","",Table1[Pu(kN)]/Table1[[#This Row],[P_R1]])</f>
        <v>1.1981547494233591</v>
      </c>
      <c r="V59">
        <v>0.90310000000000001</v>
      </c>
      <c r="W59">
        <v>286.16000000000003</v>
      </c>
      <c r="X59" s="5">
        <v>293.33999999999997</v>
      </c>
      <c r="Y59" s="6">
        <f>IF(Table1[[#This Row],[P_F2]]="","",Table1[Pu(kN)]/Table1[[#This Row],[P_F2]])</f>
        <v>1.1687461648598896</v>
      </c>
      <c r="Z59">
        <v>0.90200000000000002</v>
      </c>
      <c r="AA59">
        <v>293.33999999999997</v>
      </c>
      <c r="AB59" s="10">
        <v>286.95999999999998</v>
      </c>
      <c r="AC59" s="8">
        <f>IF(Table1[[#This Row],[P_R2]]="","",Table1[Pu(kN)]/Table1[[#This Row],[P_R2]])</f>
        <v>1.1947309729579036</v>
      </c>
      <c r="AD59" s="8">
        <v>0.90700000000000003</v>
      </c>
      <c r="AE59" s="9">
        <v>286.95999999999998</v>
      </c>
      <c r="AF59" s="2">
        <v>292.62</v>
      </c>
      <c r="AG59" s="2">
        <f>IF(Table1[[#This Row],[P_F3]]="","",Table1[Pu(kN)]/Table1[[#This Row],[P_F3]])</f>
        <v>1.1716218987082221</v>
      </c>
      <c r="AH59" s="2">
        <v>0.89039999999999997</v>
      </c>
      <c r="AI59" s="8">
        <v>292.62</v>
      </c>
      <c r="AJ59" s="10">
        <v>287.02</v>
      </c>
      <c r="AK59" s="8">
        <f>IF(Table1[[#This Row],[P_R3]]="","",Table1[Pu(kN)]/Table1[[#This Row],[P_R3]])</f>
        <v>1.1944812208208486</v>
      </c>
      <c r="AL59" s="8">
        <v>0.90229999999999999</v>
      </c>
      <c r="AM59" s="8">
        <v>287.02</v>
      </c>
      <c r="AN59" s="10">
        <v>288.76</v>
      </c>
      <c r="AO59" s="8">
        <f>IF(Table1[[#This Row],[P_R4]]="","",Table1[Pu(kN)]/Table1[[#This Row],[P_R4]])</f>
        <v>1.1872835572794016</v>
      </c>
      <c r="AP59" s="8">
        <v>0.91410000000000002</v>
      </c>
      <c r="AQ59" s="9">
        <v>288.76</v>
      </c>
      <c r="AR59">
        <v>292.95999999999998</v>
      </c>
      <c r="AS59">
        <f>IF(Table1[[#This Row],[P_F4]]="","",Table1[Pu(kN)]/Table1[[#This Row],[P_F4]])</f>
        <v>1.1702621518296012</v>
      </c>
      <c r="AT59">
        <v>0.90810000000000002</v>
      </c>
      <c r="AU59" s="7">
        <v>292.95999999999998</v>
      </c>
      <c r="AV59">
        <v>294.04000000000002</v>
      </c>
      <c r="AW59">
        <f>IF(Table1[[#This Row],[P_F5]]="","",Table1[Pu(kN)]/Table1[[#This Row],[P_F5]])</f>
        <v>1.1659638144470139</v>
      </c>
      <c r="AX59">
        <v>0.90100000000000002</v>
      </c>
      <c r="AY59" s="7">
        <v>294.04000000000002</v>
      </c>
      <c r="AZ59">
        <v>288.60000000000002</v>
      </c>
      <c r="BA59">
        <f>IF(Table1[[#This Row],[P_R5]]="","",Table1[Pu(kN)]/Table1[[#This Row],[P_R5]])</f>
        <v>1.1879417879417877</v>
      </c>
      <c r="BB59">
        <v>0.9143</v>
      </c>
      <c r="BC59">
        <v>288.64</v>
      </c>
      <c r="BD59" s="5">
        <v>280.36</v>
      </c>
      <c r="BE59" s="6">
        <f>IF(Table1[[#This Row],[P_F6]]="","",Table1[Pu(kN)]/Table1[[#This Row],[P_F6]])</f>
        <v>1.2228563275788271</v>
      </c>
      <c r="BF59" s="6">
        <v>0.62890000000000001</v>
      </c>
      <c r="BG59" s="6">
        <v>280.36</v>
      </c>
      <c r="BH59" s="5">
        <v>287.82</v>
      </c>
      <c r="BI59" s="6">
        <f>IF(Table1[[#This Row],[P_R6]]="","",Table1[Pu(kN)]/Table1[[#This Row],[P_R6]])</f>
        <v>1.1911611423806545</v>
      </c>
      <c r="BJ59" s="6">
        <v>0.89749999999999996</v>
      </c>
      <c r="BK59" s="6">
        <v>287.82</v>
      </c>
      <c r="BL59" s="5">
        <v>293.64</v>
      </c>
      <c r="BM59" s="6">
        <f>IF(Table1[[#This Row],[P_F7]]="","",Table1[Pu(kN)]/Table1[[#This Row],[P_F7]])</f>
        <v>1.1675521046178994</v>
      </c>
      <c r="BN59" s="6">
        <v>0.89700000000000002</v>
      </c>
      <c r="BO59" s="6">
        <v>293.64</v>
      </c>
      <c r="BP59" s="5">
        <v>293.74</v>
      </c>
      <c r="BQ59" s="6">
        <f>IF(Table1[[#This Row],[P_F8]]="","",Table1[Pu(kN)]/Table1[[#This Row],[P_F8]])</f>
        <v>1.1671546265404777</v>
      </c>
      <c r="BR59" s="6">
        <v>0.91190000000000004</v>
      </c>
      <c r="BS59" s="6">
        <v>293.74</v>
      </c>
      <c r="BT59" s="5">
        <v>287.39999999999998</v>
      </c>
      <c r="BU59" s="6">
        <f>IF(Table1[[#This Row],[P_R7]]="","",Table1[Pu(kN)]/Table1[[#This Row],[P_R7]])</f>
        <v>1.192901878914405</v>
      </c>
      <c r="BV59" s="6">
        <v>0.91559999999999997</v>
      </c>
      <c r="BW59" s="6">
        <v>287.39999999999998</v>
      </c>
      <c r="BX59" s="5">
        <v>293.10000000000002</v>
      </c>
      <c r="BY59" s="6">
        <f>IF(Table1[[#This Row],[P_F9]]="","",Table1[Pu(kN)]/Table1[[#This Row],[P_F9]])</f>
        <v>1.1697031729785055</v>
      </c>
      <c r="BZ59" s="6">
        <v>0.89759999999999995</v>
      </c>
      <c r="CA59" s="7">
        <v>293.10000000000002</v>
      </c>
      <c r="CB59" s="5">
        <v>289.2</v>
      </c>
      <c r="CC59" s="6">
        <f>IF(Table1[[#This Row],[P_R8]]="","",Table1[Pu(kN)]/Table1[[#This Row],[P_R8]])</f>
        <v>1.1854771784232365</v>
      </c>
      <c r="CD59" s="6">
        <v>0.9173</v>
      </c>
      <c r="CE59" s="6">
        <v>289.2</v>
      </c>
      <c r="CF59" s="5">
        <v>287.74</v>
      </c>
      <c r="CG59">
        <f>IF(Table1[[#This Row],[P_R9]]="","",Table1[Pu(kN)]/Table1[[#This Row],[P_R9]])</f>
        <v>1.1914923194550635</v>
      </c>
      <c r="CH59">
        <v>0.91159999999999997</v>
      </c>
      <c r="CI59">
        <v>287.74</v>
      </c>
      <c r="CJ59" s="5">
        <v>293.72000000000003</v>
      </c>
      <c r="CK59" s="6">
        <f>IF(Table1[[#This Row],[P_F10]]="","",Table1[Pu(kN)]/Table1[[#This Row],[P_F10]])</f>
        <v>1.1672341005038811</v>
      </c>
      <c r="CL59">
        <f>CH59</f>
        <v>0.91159999999999997</v>
      </c>
      <c r="CM59">
        <f>CI59*2</f>
        <v>575.48</v>
      </c>
      <c r="CN59" s="39">
        <f>Table1[[#This Row],[P_R8]]</f>
        <v>289.2</v>
      </c>
      <c r="CO59" s="38">
        <f>Table1[[#This Row],[Pu(kN)]]/Table1[[#This Row],[P_R8_2]]</f>
        <v>1.1854771784232365</v>
      </c>
      <c r="CP59" s="38">
        <f>Table1[[#This Row],[DUCTIL_R8]]</f>
        <v>0.9173</v>
      </c>
      <c r="CQ59" s="38">
        <f>Table1[[#This Row],[P_R8_2]]</f>
        <v>289.2</v>
      </c>
    </row>
    <row r="60" spans="1:95" x14ac:dyDescent="0.3">
      <c r="A60" s="26" t="s">
        <v>63</v>
      </c>
      <c r="B60" s="18" t="s">
        <v>97</v>
      </c>
      <c r="C60" s="18" t="s">
        <v>61</v>
      </c>
      <c r="D60" s="18">
        <v>2015</v>
      </c>
      <c r="E60" s="18" t="s">
        <v>90</v>
      </c>
      <c r="F60" s="18">
        <v>42.8</v>
      </c>
      <c r="G60" s="22">
        <v>2.2000000000000002</v>
      </c>
      <c r="H60" s="18">
        <v>1200</v>
      </c>
      <c r="I60" s="18">
        <v>357.5</v>
      </c>
      <c r="J60" s="22">
        <f>Table1[[#This Row],[a'[mm']]]/Table1[[#This Row],[d'[mm']]]</f>
        <v>3.3566433566433567</v>
      </c>
      <c r="K60" s="18">
        <v>400</v>
      </c>
      <c r="L60" s="18" t="s">
        <v>28</v>
      </c>
      <c r="M60" s="18">
        <v>461.3</v>
      </c>
      <c r="N60" s="22" t="s">
        <v>130</v>
      </c>
      <c r="O60" s="18" t="s">
        <v>131</v>
      </c>
      <c r="P60" s="5">
        <v>369.28</v>
      </c>
      <c r="Q60" s="6">
        <f>IF(Table1[[#This Row],[P_F1]]="","",Table1[Pu(kN)]/Table1[[#This Row],[P_F1]])</f>
        <v>1.2491876083188909</v>
      </c>
      <c r="R60">
        <v>2.8799999999999999E-2</v>
      </c>
      <c r="S60">
        <v>371.84</v>
      </c>
      <c r="T60" s="5">
        <v>486.24</v>
      </c>
      <c r="U60" s="6">
        <f>IF(Table1[[#This Row],[P_R1]]="","",Table1[Pu(kN)]/Table1[[#This Row],[P_R1]])</f>
        <v>0.94870845672918724</v>
      </c>
      <c r="V60">
        <v>0.89449999999999996</v>
      </c>
      <c r="W60">
        <v>486.24</v>
      </c>
      <c r="X60" s="5">
        <v>457.5</v>
      </c>
      <c r="Y60" s="6">
        <f>IF(Table1[[#This Row],[P_F2]]="","",Table1[Pu(kN)]/Table1[[#This Row],[P_F2]])</f>
        <v>1.0083060109289619</v>
      </c>
      <c r="Z60">
        <v>0.41789999999999999</v>
      </c>
      <c r="AA60">
        <v>458.68</v>
      </c>
      <c r="AB60" s="10">
        <v>484.8</v>
      </c>
      <c r="AC60" s="8">
        <f>IF(Table1[[#This Row],[P_R2]]="","",Table1[Pu(kN)]/Table1[[#This Row],[P_R2]])</f>
        <v>0.951526402640264</v>
      </c>
      <c r="AD60" s="8">
        <v>0.89370000000000005</v>
      </c>
      <c r="AE60" s="9">
        <v>484.9</v>
      </c>
      <c r="AF60" s="2">
        <v>455.62</v>
      </c>
      <c r="AG60" s="2">
        <f>IF(Table1[[#This Row],[P_F3]]="","",Table1[Pu(kN)]/Table1[[#This Row],[P_F3]])</f>
        <v>1.0124665291251482</v>
      </c>
      <c r="AH60" s="2">
        <v>0.3962</v>
      </c>
      <c r="AI60" s="2">
        <v>455.62</v>
      </c>
      <c r="AJ60" s="10">
        <v>486.02</v>
      </c>
      <c r="AK60" s="8">
        <f>IF(Table1[[#This Row],[P_R3]]="","",Table1[Pu(kN)]/Table1[[#This Row],[P_R3]])</f>
        <v>0.94913789555985362</v>
      </c>
      <c r="AL60" s="8">
        <v>0.89480000000000004</v>
      </c>
      <c r="AM60" s="9">
        <v>486.02</v>
      </c>
      <c r="AN60" s="10">
        <v>484.52</v>
      </c>
      <c r="AO60" s="8">
        <f>IF(Table1[[#This Row],[P_R4]]="","",Table1[Pu(kN)]/Table1[[#This Row],[P_R4]])</f>
        <v>0.9520762816808388</v>
      </c>
      <c r="AP60" s="8">
        <v>0.89410000000000001</v>
      </c>
      <c r="AQ60" s="9">
        <v>484.7</v>
      </c>
      <c r="AR60">
        <v>461.28</v>
      </c>
      <c r="AS60">
        <f>IF(Table1[[#This Row],[P_F4]]="","",Table1[Pu(kN)]/Table1[[#This Row],[P_F4]])</f>
        <v>1.000043357613597</v>
      </c>
      <c r="AT60">
        <v>0.41239999999999999</v>
      </c>
      <c r="AU60" s="7">
        <v>461.28</v>
      </c>
      <c r="AV60">
        <v>480.76</v>
      </c>
      <c r="AW60">
        <f>IF(Table1[[#This Row],[P_F5]]="","",Table1[Pu(kN)]/Table1[[#This Row],[P_F5]])</f>
        <v>0.95952242283051836</v>
      </c>
      <c r="AX60">
        <v>0.74029999999999996</v>
      </c>
      <c r="AY60" s="7">
        <v>480.94</v>
      </c>
      <c r="AZ60">
        <v>483.56</v>
      </c>
      <c r="BA60">
        <f>IF(Table1[[#This Row],[P_R5]]="","",Table1[Pu(kN)]/Table1[[#This Row],[P_R5]])</f>
        <v>0.9539664157498553</v>
      </c>
      <c r="BB60">
        <v>0.90039999999999998</v>
      </c>
      <c r="BC60">
        <v>483.56</v>
      </c>
      <c r="BD60" s="5">
        <v>484.26</v>
      </c>
      <c r="BE60" s="6">
        <f>IF(Table1[[#This Row],[P_F6]]="","",Table1[Pu(kN)]/Table1[[#This Row],[P_F6]])</f>
        <v>0.95258745302110437</v>
      </c>
      <c r="BF60" s="6">
        <v>0.82020000000000004</v>
      </c>
      <c r="BG60" s="6">
        <v>484.26</v>
      </c>
      <c r="BH60" s="5">
        <v>486.18</v>
      </c>
      <c r="BI60" s="6">
        <f>IF(Table1[[#This Row],[P_R6]]="","",Table1[Pu(kN)]/Table1[[#This Row],[P_R6]])</f>
        <v>0.94882553786663382</v>
      </c>
      <c r="BJ60" s="6">
        <v>0.89359999999999995</v>
      </c>
      <c r="BK60" s="6">
        <v>486.24</v>
      </c>
      <c r="BL60" s="5">
        <v>476.78</v>
      </c>
      <c r="BM60" s="6">
        <f>IF(Table1[[#This Row],[P_F7]]="","",Table1[Pu(kN)]/Table1[[#This Row],[P_F7]])</f>
        <v>0.96753219514241373</v>
      </c>
      <c r="BN60" s="6">
        <v>0.65549999999999997</v>
      </c>
      <c r="BO60" s="6">
        <v>477</v>
      </c>
      <c r="BP60" s="5">
        <v>460.44</v>
      </c>
      <c r="BQ60" s="6">
        <f>IF(Table1[[#This Row],[P_F8]]="","",Table1[Pu(kN)]/Table1[[#This Row],[P_F8]])</f>
        <v>1.001867778646512</v>
      </c>
      <c r="BR60" s="6">
        <v>0.39229999999999998</v>
      </c>
      <c r="BS60" s="6">
        <v>460.52</v>
      </c>
      <c r="BT60" s="5">
        <v>485.08</v>
      </c>
      <c r="BU60" s="6">
        <f>IF(Table1[[#This Row],[P_R7]]="","",Table1[Pu(kN)]/Table1[[#This Row],[P_R7]])</f>
        <v>0.95097715840686081</v>
      </c>
      <c r="BV60" s="6">
        <v>0.89700000000000002</v>
      </c>
      <c r="BW60" s="6">
        <v>485.08</v>
      </c>
      <c r="BX60" s="5">
        <v>463.42</v>
      </c>
      <c r="BY60" s="6">
        <f>IF(Table1[[#This Row],[P_F9]]="","",Table1[Pu(kN)]/Table1[[#This Row],[P_F9]])</f>
        <v>0.99542531612791851</v>
      </c>
      <c r="BZ60" s="6">
        <v>0.42580000000000001</v>
      </c>
      <c r="CA60" s="7">
        <v>463.96</v>
      </c>
      <c r="CB60" s="5">
        <v>485.22</v>
      </c>
      <c r="CC60" s="6">
        <f>IF(Table1[[#This Row],[P_R8]]="","",Table1[Pu(kN)]/Table1[[#This Row],[P_R8]])</f>
        <v>0.95070277399942293</v>
      </c>
      <c r="CD60" s="6">
        <v>0.89449999999999996</v>
      </c>
      <c r="CE60" s="6">
        <v>485.24</v>
      </c>
      <c r="CF60" s="5">
        <v>484.44</v>
      </c>
      <c r="CG60">
        <f>IF(Table1[[#This Row],[P_R9]]="","",Table1[Pu(kN)]/Table1[[#This Row],[P_R9]])</f>
        <v>0.95223350672941953</v>
      </c>
      <c r="CH60">
        <v>0.89119999999999999</v>
      </c>
      <c r="CI60">
        <v>484.44</v>
      </c>
      <c r="CJ60" s="5">
        <v>423.58</v>
      </c>
      <c r="CK60" s="6">
        <f>IF(Table1[[#This Row],[P_F10]]="","",Table1[Pu(kN)]/Table1[[#This Row],[P_F10]])</f>
        <v>1.0890504745266538</v>
      </c>
      <c r="CL60">
        <f t="shared" ref="CL60:CL73" si="0">CH60</f>
        <v>0.89119999999999999</v>
      </c>
      <c r="CM60">
        <f t="shared" ref="CM60:CM73" si="1">CI60*2</f>
        <v>968.88</v>
      </c>
      <c r="CN60" s="39">
        <f>Table1[[#This Row],[P_R8]]</f>
        <v>485.22</v>
      </c>
      <c r="CO60" s="38">
        <f>Table1[[#This Row],[Pu(kN)]]/Table1[[#This Row],[P_R8_2]]</f>
        <v>0.95070277399942293</v>
      </c>
      <c r="CP60" s="38">
        <f>Table1[[#This Row],[DUCTIL_R8]]</f>
        <v>0.89449999999999996</v>
      </c>
      <c r="CQ60" s="38">
        <f>Table1[[#This Row],[P_R8_2]]</f>
        <v>485.22</v>
      </c>
    </row>
    <row r="61" spans="1:95" x14ac:dyDescent="0.3">
      <c r="A61" s="27" t="s">
        <v>64</v>
      </c>
      <c r="B61" s="20" t="s">
        <v>97</v>
      </c>
      <c r="C61" s="20" t="s">
        <v>61</v>
      </c>
      <c r="D61" s="18">
        <v>2015</v>
      </c>
      <c r="E61" s="20" t="s">
        <v>90</v>
      </c>
      <c r="F61" s="20">
        <v>73.599999999999994</v>
      </c>
      <c r="G61" s="23">
        <v>2.2000000000000002</v>
      </c>
      <c r="H61" s="20">
        <v>1200</v>
      </c>
      <c r="I61" s="20">
        <v>357.5</v>
      </c>
      <c r="J61" s="23">
        <f>Table1[[#This Row],[a'[mm']]]/Table1[[#This Row],[d'[mm']]]</f>
        <v>3.3566433566433567</v>
      </c>
      <c r="K61" s="20">
        <v>400</v>
      </c>
      <c r="L61" s="20" t="s">
        <v>28</v>
      </c>
      <c r="M61" s="20">
        <v>500.9</v>
      </c>
      <c r="N61" s="23" t="s">
        <v>130</v>
      </c>
      <c r="O61" s="20" t="s">
        <v>131</v>
      </c>
      <c r="P61" s="5">
        <v>407.02</v>
      </c>
      <c r="Q61" s="6">
        <f>IF(Table1[[#This Row],[P_F1]]="","",Table1[Pu(kN)]/Table1[[#This Row],[P_F1]])</f>
        <v>1.2306520564100045</v>
      </c>
      <c r="R61">
        <v>0.28439999999999999</v>
      </c>
      <c r="S61">
        <v>407.02</v>
      </c>
      <c r="T61" s="5">
        <v>495.86</v>
      </c>
      <c r="U61" s="6">
        <f>IF(Table1[[#This Row],[P_R1]]="","",Table1[Pu(kN)]/Table1[[#This Row],[P_R1]])</f>
        <v>1.0101641592384947</v>
      </c>
      <c r="V61">
        <v>0.9284</v>
      </c>
      <c r="W61">
        <v>495.86</v>
      </c>
      <c r="X61" s="5">
        <v>476.12</v>
      </c>
      <c r="Y61" s="6">
        <f>IF(Table1[[#This Row],[P_F2]]="","",Table1[Pu(kN)]/Table1[[#This Row],[P_F2]])</f>
        <v>1.0520457027640091</v>
      </c>
      <c r="Z61">
        <v>0.61019999999999996</v>
      </c>
      <c r="AA61">
        <v>477.14</v>
      </c>
      <c r="AB61" s="10">
        <v>495.82</v>
      </c>
      <c r="AC61" s="8">
        <f>IF(Table1[[#This Row],[P_R2]]="","",Table1[Pu(kN)]/Table1[[#This Row],[P_R2]])</f>
        <v>1.0102456536646363</v>
      </c>
      <c r="AD61">
        <v>0.93100000000000005</v>
      </c>
      <c r="AE61" s="9">
        <v>495.82</v>
      </c>
      <c r="AF61" s="2">
        <v>477.78</v>
      </c>
      <c r="AG61" s="2">
        <f>IF(Table1[[#This Row],[P_F3]]="","",Table1[Pu(kN)]/Table1[[#This Row],[P_F3]])</f>
        <v>1.0483904726024531</v>
      </c>
      <c r="AH61" s="2">
        <v>0.623</v>
      </c>
      <c r="AI61" s="2">
        <v>477.78</v>
      </c>
      <c r="AJ61" s="10">
        <v>495.32</v>
      </c>
      <c r="AK61" s="8">
        <f>IF(Table1[[#This Row],[P_R3]]="","",Table1[Pu(kN)]/Table1[[#This Row],[P_R3]])</f>
        <v>1.0112654445610918</v>
      </c>
      <c r="AL61" s="8">
        <v>0.93</v>
      </c>
      <c r="AM61" s="9">
        <v>495.32</v>
      </c>
      <c r="AN61" s="10">
        <v>491.06</v>
      </c>
      <c r="AO61" s="8">
        <f>IF(Table1[[#This Row],[P_R4]]="","",Table1[Pu(kN)]/Table1[[#This Row],[P_R4]])</f>
        <v>1.020038284527349</v>
      </c>
      <c r="AP61" s="8">
        <v>0.91390000000000005</v>
      </c>
      <c r="AQ61" s="9">
        <v>491.06</v>
      </c>
      <c r="AR61">
        <v>490.28</v>
      </c>
      <c r="AS61">
        <f>IF(Table1[[#This Row],[P_F4]]="","",Table1[Pu(kN)]/Table1[[#This Row],[P_F4]])</f>
        <v>1.0216610916211144</v>
      </c>
      <c r="AT61">
        <v>0.80410000000000004</v>
      </c>
      <c r="AU61" s="7">
        <v>490.46</v>
      </c>
      <c r="AV61">
        <v>470.02</v>
      </c>
      <c r="AW61">
        <f>IF(Table1[[#This Row],[P_F5]]="","",Table1[Pu(kN)]/Table1[[#This Row],[P_F5]])</f>
        <v>1.0656993319433214</v>
      </c>
      <c r="AX61">
        <v>0.48380000000000001</v>
      </c>
      <c r="AY61" s="7">
        <v>470.28</v>
      </c>
      <c r="AZ61">
        <v>494.56</v>
      </c>
      <c r="BA61">
        <f>IF(Table1[[#This Row],[P_R5]]="","",Table1[Pu(kN)]/Table1[[#This Row],[P_R5]])</f>
        <v>1.0128194758977676</v>
      </c>
      <c r="BB61">
        <v>0.93689999999999996</v>
      </c>
      <c r="BC61">
        <v>494.56</v>
      </c>
      <c r="BD61" s="5">
        <v>489.68</v>
      </c>
      <c r="BE61" s="6">
        <f>IF(Table1[[#This Row],[P_F6]]="","",Table1[Pu(kN)]/Table1[[#This Row],[P_F6]])</f>
        <v>1.0229129227250449</v>
      </c>
      <c r="BF61" s="6">
        <v>0.81659999999999999</v>
      </c>
      <c r="BG61" s="6">
        <v>489.68</v>
      </c>
      <c r="BH61" s="5">
        <v>496.62</v>
      </c>
      <c r="BI61" s="6">
        <f>IF(Table1[[#This Row],[P_R6]]="","",Table1[Pu(kN)]/Table1[[#This Row],[P_R6]])</f>
        <v>1.0086182594337723</v>
      </c>
      <c r="BJ61" s="6">
        <v>0.9274</v>
      </c>
      <c r="BK61" s="6">
        <v>496.62</v>
      </c>
      <c r="BL61" s="5">
        <v>503.7</v>
      </c>
      <c r="BM61" s="6">
        <f>IF(Table1[[#This Row],[P_F7]]="","",Table1[Pu(kN)]/Table1[[#This Row],[P_F7]])</f>
        <v>0.9944411355965852</v>
      </c>
      <c r="BN61" s="6">
        <v>0.90620000000000001</v>
      </c>
      <c r="BO61" s="6">
        <v>503.7</v>
      </c>
      <c r="BP61" s="5">
        <v>413.08</v>
      </c>
      <c r="BQ61" s="6">
        <f>IF(Table1[[#This Row],[P_F8]]="","",Table1[Pu(kN)]/Table1[[#This Row],[P_F8]])</f>
        <v>1.2125980439624287</v>
      </c>
      <c r="BR61" s="6">
        <v>0.4335</v>
      </c>
      <c r="BS61" s="6">
        <v>413.08</v>
      </c>
      <c r="BT61" s="5">
        <v>494.58</v>
      </c>
      <c r="BU61" s="6">
        <f>IF(Table1[[#This Row],[P_R7]]="","",Table1[Pu(kN)]/Table1[[#This Row],[P_R7]])</f>
        <v>1.0127785191475596</v>
      </c>
      <c r="BV61" s="6">
        <v>0.9294</v>
      </c>
      <c r="BW61" s="6">
        <v>494.58</v>
      </c>
      <c r="BX61" s="5">
        <v>443</v>
      </c>
      <c r="BY61" s="6">
        <f>IF(Table1[[#This Row],[P_F9]]="","",Table1[Pu(kN)]/Table1[[#This Row],[P_F9]])</f>
        <v>1.1306997742663656</v>
      </c>
      <c r="BZ61" s="6">
        <v>0.31619999999999998</v>
      </c>
      <c r="CA61" s="7">
        <v>444.18</v>
      </c>
      <c r="CB61" s="5">
        <v>489.34</v>
      </c>
      <c r="CC61" s="6">
        <f>IF(Table1[[#This Row],[P_R8]]="","",Table1[Pu(kN)]/Table1[[#This Row],[P_R8]])</f>
        <v>1.0236236563534558</v>
      </c>
      <c r="CD61" s="6">
        <v>0.90659999999999996</v>
      </c>
      <c r="CE61" s="6">
        <v>489.34</v>
      </c>
      <c r="CF61" s="5">
        <v>481.84</v>
      </c>
      <c r="CG61">
        <f>IF(Table1[[#This Row],[P_R9]]="","",Table1[Pu(kN)]/Table1[[#This Row],[P_R9]])</f>
        <v>1.0395566993192762</v>
      </c>
      <c r="CH61">
        <v>0.82720000000000005</v>
      </c>
      <c r="CI61">
        <v>481.84</v>
      </c>
      <c r="CJ61" s="5">
        <v>500.5</v>
      </c>
      <c r="CK61" s="6">
        <f>IF(Table1[[#This Row],[P_F10]]="","",Table1[Pu(kN)]/Table1[[#This Row],[P_F10]])</f>
        <v>1.0007992007992008</v>
      </c>
      <c r="CL61">
        <f t="shared" si="0"/>
        <v>0.82720000000000005</v>
      </c>
      <c r="CM61">
        <f t="shared" si="1"/>
        <v>963.68</v>
      </c>
      <c r="CN61" s="39">
        <f>Table1[[#This Row],[P_R8]]</f>
        <v>489.34</v>
      </c>
      <c r="CO61" s="38">
        <f>Table1[[#This Row],[Pu(kN)]]/Table1[[#This Row],[P_R8_2]]</f>
        <v>1.0236236563534558</v>
      </c>
      <c r="CP61" s="38">
        <f>Table1[[#This Row],[DUCTIL_R8]]</f>
        <v>0.90659999999999996</v>
      </c>
      <c r="CQ61" s="38">
        <f>Table1[[#This Row],[P_R8_2]]</f>
        <v>489.34</v>
      </c>
    </row>
    <row r="62" spans="1:95" x14ac:dyDescent="0.3">
      <c r="A62" s="26" t="s">
        <v>65</v>
      </c>
      <c r="B62" s="18" t="s">
        <v>97</v>
      </c>
      <c r="C62" s="18" t="s">
        <v>61</v>
      </c>
      <c r="D62" s="18">
        <v>2015</v>
      </c>
      <c r="E62" s="18" t="s">
        <v>90</v>
      </c>
      <c r="F62" s="18">
        <v>72.8</v>
      </c>
      <c r="G62" s="22">
        <v>3.46</v>
      </c>
      <c r="H62" s="18">
        <v>1200</v>
      </c>
      <c r="I62" s="18">
        <v>340.8</v>
      </c>
      <c r="J62" s="22">
        <f>Table1[[#This Row],[a'[mm']]]/Table1[[#This Row],[d'[mm']]]</f>
        <v>3.52112676056338</v>
      </c>
      <c r="K62" s="18">
        <v>400</v>
      </c>
      <c r="L62" s="18" t="s">
        <v>28</v>
      </c>
      <c r="M62" s="18">
        <v>751.96</v>
      </c>
      <c r="N62" s="22" t="s">
        <v>130</v>
      </c>
      <c r="O62" s="18" t="s">
        <v>131</v>
      </c>
      <c r="P62" s="5">
        <v>456.6</v>
      </c>
      <c r="Q62" s="6">
        <f>IF(Table1[[#This Row],[P_F1]]="","",Table1[Pu(kN)]/Table1[[#This Row],[P_F1]])</f>
        <v>1.646868155935173</v>
      </c>
      <c r="R62">
        <v>0.15290000000000001</v>
      </c>
      <c r="S62">
        <v>462.64</v>
      </c>
      <c r="T62" s="5">
        <v>681.1</v>
      </c>
      <c r="U62" s="6">
        <f>IF(Table1[[#This Row],[P_R1]]="","",Table1[Pu(kN)]/Table1[[#This Row],[P_R1]])</f>
        <v>1.1040375862575247</v>
      </c>
      <c r="V62">
        <v>0.90739999999999998</v>
      </c>
      <c r="W62">
        <v>681.22</v>
      </c>
      <c r="X62" s="5">
        <v>444.8</v>
      </c>
      <c r="Y62" s="6">
        <f>IF(Table1[[#This Row],[P_F2]]="","",Table1[Pu(kN)]/Table1[[#This Row],[P_F2]])</f>
        <v>1.6905575539568345</v>
      </c>
      <c r="Z62">
        <v>0.25540000000000002</v>
      </c>
      <c r="AA62">
        <v>444.8</v>
      </c>
      <c r="AB62" s="10">
        <v>683.44</v>
      </c>
      <c r="AC62" s="8">
        <f>IF(Table1[[#This Row],[P_R2]]="","",Table1[Pu(kN)]/Table1[[#This Row],[P_R2]])</f>
        <v>1.1002575207772445</v>
      </c>
      <c r="AD62">
        <v>0.90910000000000002</v>
      </c>
      <c r="AE62" s="9">
        <v>683.56</v>
      </c>
      <c r="AF62" s="2">
        <v>466.72</v>
      </c>
      <c r="AG62" s="2">
        <f>IF(Table1[[#This Row],[P_F3]]="","",Table1[Pu(kN)]/Table1[[#This Row],[P_F3]])</f>
        <v>1.6111587247171753</v>
      </c>
      <c r="AH62" s="2">
        <v>0.17030000000000001</v>
      </c>
      <c r="AI62" s="2">
        <v>466.72</v>
      </c>
      <c r="AJ62" s="10">
        <v>680.16</v>
      </c>
      <c r="AK62" s="8">
        <f>IF(Table1[[#This Row],[P_R3]]="","",Table1[Pu(kN)]/Table1[[#This Row],[P_R3]])</f>
        <v>1.1055633968478007</v>
      </c>
      <c r="AL62" s="8">
        <v>0.9002</v>
      </c>
      <c r="AM62" s="9">
        <v>680.16</v>
      </c>
      <c r="AN62" s="10">
        <v>673.86</v>
      </c>
      <c r="AO62" s="8">
        <f>IF(Table1[[#This Row],[P_R4]]="","",Table1[Pu(kN)]/Table1[[#This Row],[P_R4]])</f>
        <v>1.1158994449885733</v>
      </c>
      <c r="AP62" s="8">
        <v>0.86829999999999996</v>
      </c>
      <c r="AQ62" s="9">
        <v>673.86</v>
      </c>
      <c r="AR62">
        <v>429.46</v>
      </c>
      <c r="AS62">
        <f>IF(Table1[[#This Row],[P_F4]]="","",Table1[Pu(kN)]/Table1[[#This Row],[P_F4]])</f>
        <v>1.7509430447538772</v>
      </c>
      <c r="AT62">
        <v>0.2802</v>
      </c>
      <c r="AU62" s="7">
        <v>429.46</v>
      </c>
      <c r="AV62">
        <v>505.2</v>
      </c>
      <c r="AW62">
        <f>IF(Table1[[#This Row],[P_F5]]="","",Table1[Pu(kN)]/Table1[[#This Row],[P_F5]])</f>
        <v>1.4884402216943786</v>
      </c>
      <c r="AX62">
        <v>0.3785</v>
      </c>
      <c r="AY62" s="7">
        <v>509.78</v>
      </c>
      <c r="AZ62">
        <v>676.92</v>
      </c>
      <c r="BA62">
        <f>IF(Table1[[#This Row],[P_R5]]="","",Table1[Pu(kN)]/Table1[[#This Row],[P_R5]])</f>
        <v>1.1108550493411335</v>
      </c>
      <c r="BB62">
        <v>0.90620000000000001</v>
      </c>
      <c r="BC62">
        <v>676.92</v>
      </c>
      <c r="BD62" s="5">
        <v>498.36</v>
      </c>
      <c r="BE62" s="6">
        <f>IF(Table1[[#This Row],[P_F6]]="","",Table1[Pu(kN)]/Table1[[#This Row],[P_F6]])</f>
        <v>1.5088690906172246</v>
      </c>
      <c r="BF62" s="6">
        <v>0.17349999999999999</v>
      </c>
      <c r="BG62" s="6">
        <v>498.36</v>
      </c>
      <c r="BH62" s="5">
        <v>686.42</v>
      </c>
      <c r="BI62" s="6">
        <f>IF(Table1[[#This Row],[P_R6]]="","",Table1[Pu(kN)]/Table1[[#This Row],[P_R6]])</f>
        <v>1.0954809009061508</v>
      </c>
      <c r="BJ62" s="6">
        <v>0.90610000000000002</v>
      </c>
      <c r="BK62" s="6">
        <v>686.58</v>
      </c>
      <c r="BL62" s="5">
        <v>468.92</v>
      </c>
      <c r="BM62" s="6">
        <f>IF(Table1[[#This Row],[P_F7]]="","",Table1[Pu(kN)]/Table1[[#This Row],[P_F7]])</f>
        <v>1.6035997611532884</v>
      </c>
      <c r="BN62" s="6">
        <v>0.22720000000000001</v>
      </c>
      <c r="BO62" s="6">
        <v>468.92</v>
      </c>
      <c r="BP62" s="5">
        <v>477.42</v>
      </c>
      <c r="BQ62" s="6">
        <f>IF(Table1[[#This Row],[P_F8]]="","",Table1[Pu(kN)]/Table1[[#This Row],[P_F8]])</f>
        <v>1.5750492229064557</v>
      </c>
      <c r="BR62" s="6">
        <v>0.3427</v>
      </c>
      <c r="BS62" s="6">
        <v>477.42</v>
      </c>
      <c r="BT62" s="5">
        <v>683.3</v>
      </c>
      <c r="BU62" s="6">
        <f>IF(Table1[[#This Row],[P_R7]]="","",Table1[Pu(kN)]/Table1[[#This Row],[P_R7]])</f>
        <v>1.100482950387824</v>
      </c>
      <c r="BV62" s="6">
        <v>0.90839999999999999</v>
      </c>
      <c r="BW62" s="6">
        <v>683.38</v>
      </c>
      <c r="BX62" s="5">
        <v>459.76</v>
      </c>
      <c r="BY62" s="6">
        <f>IF(Table1[[#This Row],[P_F9]]="","",Table1[Pu(kN)]/Table1[[#This Row],[P_F9]])</f>
        <v>1.6355489820776059</v>
      </c>
      <c r="BZ62" s="6">
        <v>0.26889999999999997</v>
      </c>
      <c r="CA62" s="7">
        <v>459.76</v>
      </c>
      <c r="CB62" s="5">
        <v>668.02</v>
      </c>
      <c r="CC62" s="6">
        <f>IF(Table1[[#This Row],[P_R8]]="","",Table1[Pu(kN)]/Table1[[#This Row],[P_R8]])</f>
        <v>1.125654920511362</v>
      </c>
      <c r="CD62" s="6">
        <v>0.83109999999999995</v>
      </c>
      <c r="CE62" s="6">
        <v>668.02</v>
      </c>
      <c r="CF62" s="5">
        <v>669.42</v>
      </c>
      <c r="CG62">
        <f>IF(Table1[[#This Row],[P_R9]]="","",Table1[Pu(kN)]/Table1[[#This Row],[P_R9]])</f>
        <v>1.1233007678288669</v>
      </c>
      <c r="CH62">
        <v>0.82940000000000003</v>
      </c>
      <c r="CI62">
        <v>669.42</v>
      </c>
      <c r="CJ62" s="5">
        <v>527.17999999999995</v>
      </c>
      <c r="CK62" s="6">
        <f>IF(Table1[[#This Row],[P_F10]]="","",Table1[Pu(kN)]/Table1[[#This Row],[P_F10]])</f>
        <v>1.4263818809514779</v>
      </c>
      <c r="CL62">
        <f t="shared" si="0"/>
        <v>0.82940000000000003</v>
      </c>
      <c r="CM62">
        <f t="shared" si="1"/>
        <v>1338.84</v>
      </c>
      <c r="CN62" s="39">
        <f>Table1[[#This Row],[P_R8]]</f>
        <v>668.02</v>
      </c>
      <c r="CO62" s="38">
        <f>Table1[[#This Row],[Pu(kN)]]/Table1[[#This Row],[P_R8_2]]</f>
        <v>1.125654920511362</v>
      </c>
      <c r="CP62" s="38">
        <f>Table1[[#This Row],[DUCTIL_R8]]</f>
        <v>0.83109999999999995</v>
      </c>
      <c r="CQ62" s="38">
        <f>Table1[[#This Row],[P_R8_2]]</f>
        <v>668.02</v>
      </c>
    </row>
    <row r="63" spans="1:95" x14ac:dyDescent="0.3">
      <c r="A63" s="27" t="s">
        <v>66</v>
      </c>
      <c r="B63" s="20" t="s">
        <v>97</v>
      </c>
      <c r="C63" s="20" t="s">
        <v>61</v>
      </c>
      <c r="D63" s="18">
        <v>2015</v>
      </c>
      <c r="E63" s="20" t="s">
        <v>90</v>
      </c>
      <c r="F63" s="20">
        <v>72.8</v>
      </c>
      <c r="G63" s="23">
        <v>3.46</v>
      </c>
      <c r="H63" s="20">
        <v>1200</v>
      </c>
      <c r="I63" s="20">
        <v>340.8</v>
      </c>
      <c r="J63" s="23">
        <f>Table1[[#This Row],[a'[mm']]]/Table1[[#This Row],[d'[mm']]]</f>
        <v>3.52112676056338</v>
      </c>
      <c r="K63" s="20">
        <v>400</v>
      </c>
      <c r="L63" s="20" t="s">
        <v>28</v>
      </c>
      <c r="M63" s="20">
        <v>730.22</v>
      </c>
      <c r="N63" s="23" t="s">
        <v>130</v>
      </c>
      <c r="O63" s="20" t="s">
        <v>131</v>
      </c>
      <c r="P63" s="5">
        <v>545.88</v>
      </c>
      <c r="Q63" s="6">
        <f>IF(Table1[[#This Row],[P_F1]]="","",Table1[Pu(kN)]/Table1[[#This Row],[P_F1]])</f>
        <v>1.3376932659192498</v>
      </c>
      <c r="R63">
        <v>0.2767</v>
      </c>
      <c r="S63">
        <v>545.88</v>
      </c>
      <c r="T63" s="5">
        <v>682.3</v>
      </c>
      <c r="U63" s="6">
        <f>IF(Table1[[#This Row],[P_R1]]="","",Table1[Pu(kN)]/Table1[[#This Row],[P_R1]])</f>
        <v>1.0702330353217062</v>
      </c>
      <c r="V63">
        <v>0.91459999999999997</v>
      </c>
      <c r="W63">
        <v>682.3</v>
      </c>
      <c r="X63" s="5">
        <v>636.58000000000004</v>
      </c>
      <c r="Y63" s="6">
        <f>IF(Table1[[#This Row],[P_F2]]="","",Table1[Pu(kN)]/Table1[[#This Row],[P_F2]])</f>
        <v>1.147098557918879</v>
      </c>
      <c r="Z63">
        <v>0.53839999999999999</v>
      </c>
      <c r="AA63">
        <v>636.58000000000004</v>
      </c>
      <c r="AB63" s="10">
        <v>682.5</v>
      </c>
      <c r="AC63" s="8">
        <f>IF(Table1[[#This Row],[P_R2]]="","",Table1[Pu(kN)]/Table1[[#This Row],[P_R2]])</f>
        <v>1.0699194139194139</v>
      </c>
      <c r="AE63" s="9">
        <v>682.74</v>
      </c>
      <c r="AF63" s="2">
        <v>525.16</v>
      </c>
      <c r="AG63" s="2">
        <f>IF(Table1[[#This Row],[P_F3]]="","",Table1[Pu(kN)]/Table1[[#This Row],[P_F3]])</f>
        <v>1.3904714753598904</v>
      </c>
      <c r="AH63" s="2">
        <v>0.28789999999999999</v>
      </c>
      <c r="AI63" s="2">
        <v>525.16</v>
      </c>
      <c r="AJ63" s="10">
        <v>685.38</v>
      </c>
      <c r="AK63" s="8">
        <f>IF(Table1[[#This Row],[P_R3]]="","",Table1[Pu(kN)]/Table1[[#This Row],[P_R3]])</f>
        <v>1.0654235606524849</v>
      </c>
      <c r="AL63" s="8">
        <v>0.91579999999999995</v>
      </c>
      <c r="AM63" s="9">
        <v>685.38</v>
      </c>
      <c r="AN63" s="10">
        <v>673.44</v>
      </c>
      <c r="AO63" s="8">
        <f>IF(Table1[[#This Row],[P_R4]]="","",Table1[Pu(kN)]/Table1[[#This Row],[P_R4]])</f>
        <v>1.0843133760988357</v>
      </c>
      <c r="AP63" s="8">
        <v>0.86780000000000002</v>
      </c>
      <c r="AQ63" s="9">
        <v>673.44</v>
      </c>
      <c r="AR63">
        <v>557.36</v>
      </c>
      <c r="AS63">
        <f>IF(Table1[[#This Row],[P_F4]]="","",Table1[Pu(kN)]/Table1[[#This Row],[P_F4]])</f>
        <v>1.3101406631261663</v>
      </c>
      <c r="AT63">
        <v>0.154</v>
      </c>
      <c r="AU63" s="7">
        <v>562.04</v>
      </c>
      <c r="AV63">
        <v>594.84</v>
      </c>
      <c r="AW63">
        <f>IF(Table1[[#This Row],[P_F5]]="","",Table1[Pu(kN)]/Table1[[#This Row],[P_F5]])</f>
        <v>1.227590612601708</v>
      </c>
      <c r="AX63">
        <v>0.29399999999999998</v>
      </c>
      <c r="AY63" s="7">
        <v>598.46</v>
      </c>
      <c r="AZ63">
        <v>679.8</v>
      </c>
      <c r="BA63">
        <f>IF(Table1[[#This Row],[P_R5]]="","",Table1[Pu(kN)]/Table1[[#This Row],[P_R5]])</f>
        <v>1.0741688731979995</v>
      </c>
      <c r="BB63">
        <v>0.91749999999999998</v>
      </c>
      <c r="BC63">
        <v>679.8</v>
      </c>
      <c r="BD63" s="5">
        <v>615.29999999999995</v>
      </c>
      <c r="BE63" s="6">
        <f>IF(Table1[[#This Row],[P_F6]]="","",Table1[Pu(kN)]/Table1[[#This Row],[P_F6]])</f>
        <v>1.1867706809686334</v>
      </c>
      <c r="BF63" s="6">
        <v>0.38450000000000001</v>
      </c>
      <c r="BG63" s="6">
        <v>615.29999999999995</v>
      </c>
      <c r="BH63" s="5">
        <v>687.7</v>
      </c>
      <c r="BI63" s="6">
        <f>IF(Table1[[#This Row],[P_R6]]="","",Table1[Pu(kN)]/Table1[[#This Row],[P_R6]])</f>
        <v>1.0618292860258833</v>
      </c>
      <c r="BJ63" s="6">
        <v>0.91379999999999995</v>
      </c>
      <c r="BK63" s="6">
        <v>687.8</v>
      </c>
      <c r="BL63" s="5">
        <v>596.6</v>
      </c>
      <c r="BM63" s="6">
        <f>IF(Table1[[#This Row],[P_F7]]="","",Table1[Pu(kN)]/Table1[[#This Row],[P_F7]])</f>
        <v>1.2239691585652028</v>
      </c>
      <c r="BN63" s="6">
        <v>0.16550000000000001</v>
      </c>
      <c r="BO63" s="6">
        <v>600.12</v>
      </c>
      <c r="BP63" s="5">
        <v>589.05999999999995</v>
      </c>
      <c r="BQ63" s="6">
        <f>IF(Table1[[#This Row],[P_F8]]="","",Table1[Pu(kN)]/Table1[[#This Row],[P_F8]])</f>
        <v>1.2396360302855398</v>
      </c>
      <c r="BR63" s="6">
        <v>0.3342</v>
      </c>
      <c r="BS63" s="6">
        <v>591.76</v>
      </c>
      <c r="BT63" s="5">
        <v>682.94</v>
      </c>
      <c r="BU63" s="6">
        <f>IF(Table1[[#This Row],[P_R7]]="","",Table1[Pu(kN)]/Table1[[#This Row],[P_R7]])</f>
        <v>1.0692300934196268</v>
      </c>
      <c r="BV63" s="6">
        <v>0.91110000000000002</v>
      </c>
      <c r="BW63" s="6">
        <v>683.02</v>
      </c>
      <c r="BX63" s="5">
        <v>617.12</v>
      </c>
      <c r="BY63" s="6">
        <f>IF(Table1[[#This Row],[P_F9]]="","",Table1[Pu(kN)]/Table1[[#This Row],[P_F9]])</f>
        <v>1.1832706766917294</v>
      </c>
      <c r="BZ63" s="6">
        <v>0.45</v>
      </c>
      <c r="CA63" s="7">
        <v>617.12</v>
      </c>
      <c r="CB63" s="5">
        <v>681.66</v>
      </c>
      <c r="CC63" s="6">
        <f>IF(Table1[[#This Row],[P_R8]]="","",Table1[Pu(kN)]/Table1[[#This Row],[P_R8]])</f>
        <v>1.0712378605169735</v>
      </c>
      <c r="CD63" s="6">
        <v>0.9083</v>
      </c>
      <c r="CE63" s="6">
        <v>681.66</v>
      </c>
      <c r="CF63" s="5">
        <v>669.48</v>
      </c>
      <c r="CG63">
        <f>IF(Table1[[#This Row],[P_R9]]="","",Table1[Pu(kN)]/Table1[[#This Row],[P_R9]])</f>
        <v>1.0907271315050486</v>
      </c>
      <c r="CH63">
        <v>0.84570000000000001</v>
      </c>
      <c r="CI63">
        <v>669.48</v>
      </c>
      <c r="CJ63" s="5">
        <v>643.84</v>
      </c>
      <c r="CK63" s="6">
        <f>IF(Table1[[#This Row],[P_F10]]="","",Table1[Pu(kN)]/Table1[[#This Row],[P_F10]])</f>
        <v>1.1341637673956262</v>
      </c>
      <c r="CL63">
        <f t="shared" si="0"/>
        <v>0.84570000000000001</v>
      </c>
      <c r="CM63">
        <f t="shared" si="1"/>
        <v>1338.96</v>
      </c>
      <c r="CN63" s="39">
        <f>Table1[[#This Row],[P_R8]]</f>
        <v>681.66</v>
      </c>
      <c r="CO63" s="38">
        <f>Table1[[#This Row],[Pu(kN)]]/Table1[[#This Row],[P_R8_2]]</f>
        <v>1.0712378605169735</v>
      </c>
      <c r="CP63" s="38">
        <f>Table1[[#This Row],[DUCTIL_R8]]</f>
        <v>0.9083</v>
      </c>
      <c r="CQ63" s="38">
        <f>Table1[[#This Row],[P_R8_2]]</f>
        <v>681.66</v>
      </c>
    </row>
    <row r="64" spans="1:95" x14ac:dyDescent="0.3">
      <c r="A64" s="26" t="s">
        <v>67</v>
      </c>
      <c r="B64" s="18" t="s">
        <v>97</v>
      </c>
      <c r="C64" s="18" t="s">
        <v>61</v>
      </c>
      <c r="D64" s="18">
        <v>2015</v>
      </c>
      <c r="E64" s="18" t="s">
        <v>90</v>
      </c>
      <c r="F64" s="18">
        <v>72.8</v>
      </c>
      <c r="G64" s="22">
        <v>3.46</v>
      </c>
      <c r="H64" s="18">
        <v>1200</v>
      </c>
      <c r="I64" s="18">
        <v>340.5</v>
      </c>
      <c r="J64" s="22">
        <f>Table1[[#This Row],[a'[mm']]]/Table1[[#This Row],[d'[mm']]]</f>
        <v>3.5242290748898677</v>
      </c>
      <c r="K64" s="18">
        <v>400</v>
      </c>
      <c r="L64" s="18" t="s">
        <v>28</v>
      </c>
      <c r="M64" s="18">
        <v>742.94</v>
      </c>
      <c r="N64" s="22" t="s">
        <v>130</v>
      </c>
      <c r="O64" s="18" t="s">
        <v>131</v>
      </c>
      <c r="P64" s="5">
        <v>626.34</v>
      </c>
      <c r="Q64" s="6">
        <f>IF(Table1[[#This Row],[P_F1]]="","",Table1[Pu(kN)]/Table1[[#This Row],[P_F1]])</f>
        <v>1.1861608710923779</v>
      </c>
      <c r="R64">
        <v>0.35709999999999997</v>
      </c>
      <c r="S64">
        <v>628.28</v>
      </c>
      <c r="T64" s="5">
        <v>681.68</v>
      </c>
      <c r="U64" s="6">
        <f>IF(Table1[[#This Row],[P_R1]]="","",Table1[Pu(kN)]/Table1[[#This Row],[P_R1]])</f>
        <v>1.0898662128858116</v>
      </c>
      <c r="V64">
        <v>0.91410000000000002</v>
      </c>
      <c r="W64">
        <v>681.82</v>
      </c>
      <c r="X64" s="5">
        <v>688.94</v>
      </c>
      <c r="Y64" s="6">
        <f>IF(Table1[[#This Row],[P_F2]]="","",Table1[Pu(kN)]/Table1[[#This Row],[P_F2]])</f>
        <v>1.0783812813888001</v>
      </c>
      <c r="Z64">
        <v>0.9073</v>
      </c>
      <c r="AA64">
        <v>689.12</v>
      </c>
      <c r="AB64" s="10">
        <v>684.92</v>
      </c>
      <c r="AC64" s="8">
        <f>IF(Table1[[#This Row],[P_R2]]="","",Table1[Pu(kN)]/Table1[[#This Row],[P_R2]])</f>
        <v>1.0847106231384689</v>
      </c>
      <c r="AD64">
        <v>0.91720000000000002</v>
      </c>
      <c r="AE64" s="9">
        <v>684.92</v>
      </c>
      <c r="AF64" s="2">
        <v>689.18</v>
      </c>
      <c r="AG64" s="2">
        <f>IF(Table1[[#This Row],[P_F3]]="","",Table1[Pu(kN)]/Table1[[#This Row],[P_F3]])</f>
        <v>1.0780057459589658</v>
      </c>
      <c r="AH64" s="2">
        <v>0.90949999999999998</v>
      </c>
      <c r="AI64" s="2">
        <v>689.28</v>
      </c>
      <c r="AJ64" s="10">
        <v>686.26</v>
      </c>
      <c r="AK64" s="8">
        <f>IF(Table1[[#This Row],[P_R3]]="","",Table1[Pu(kN)]/Table1[[#This Row],[P_R3]])</f>
        <v>1.0825926033864717</v>
      </c>
      <c r="AL64" s="8">
        <v>0.9173</v>
      </c>
      <c r="AM64" s="9">
        <v>686.26</v>
      </c>
      <c r="AN64" s="10">
        <v>683.86</v>
      </c>
      <c r="AO64" s="8">
        <f>IF(Table1[[#This Row],[P_R4]]="","",Table1[Pu(kN)]/Table1[[#This Row],[P_R4]])</f>
        <v>1.0863919515690346</v>
      </c>
      <c r="AP64" s="8">
        <v>0.9153</v>
      </c>
      <c r="AQ64" s="9">
        <v>683.86</v>
      </c>
      <c r="AR64">
        <v>683</v>
      </c>
      <c r="AS64">
        <f>IF(Table1[[#This Row],[P_F4]]="","",Table1[Pu(kN)]/Table1[[#This Row],[P_F4]])</f>
        <v>1.0877598828696926</v>
      </c>
      <c r="AT64">
        <v>0.86529999999999996</v>
      </c>
      <c r="AU64" s="7">
        <v>683</v>
      </c>
      <c r="AV64">
        <v>693.52</v>
      </c>
      <c r="AW64">
        <f>IF(Table1[[#This Row],[P_F5]]="","",Table1[Pu(kN)]/Table1[[#This Row],[P_F5]])</f>
        <v>1.0712596608605376</v>
      </c>
      <c r="AX64">
        <v>0.91020000000000001</v>
      </c>
      <c r="AY64" s="7">
        <v>693.6</v>
      </c>
      <c r="AZ64">
        <v>679.2</v>
      </c>
      <c r="BA64">
        <f>IF(Table1[[#This Row],[P_R5]]="","",Table1[Pu(kN)]/Table1[[#This Row],[P_R5]])</f>
        <v>1.0938457008244995</v>
      </c>
      <c r="BB64">
        <v>0.91710000000000003</v>
      </c>
      <c r="BC64">
        <v>679.28</v>
      </c>
      <c r="BD64" s="5">
        <v>622.02</v>
      </c>
      <c r="BE64" s="6">
        <f>IF(Table1[[#This Row],[P_F6]]="","",Table1[Pu(kN)]/Table1[[#This Row],[P_F6]])</f>
        <v>1.1943988939262404</v>
      </c>
      <c r="BF64" s="6">
        <v>0.4027</v>
      </c>
      <c r="BG64" s="6">
        <v>622.02</v>
      </c>
      <c r="BH64" s="5">
        <v>689</v>
      </c>
      <c r="BI64" s="6">
        <f>IF(Table1[[#This Row],[P_R6]]="","",Table1[Pu(kN)]/Table1[[#This Row],[P_R6]])</f>
        <v>1.0782873730043543</v>
      </c>
      <c r="BJ64" s="6">
        <v>0.91600000000000004</v>
      </c>
      <c r="BK64" s="6">
        <v>689.04</v>
      </c>
      <c r="BL64" s="5">
        <v>647.08000000000004</v>
      </c>
      <c r="BM64" s="6">
        <f>IF(Table1[[#This Row],[P_F7]]="","",Table1[Pu(kN)]/Table1[[#This Row],[P_F7]])</f>
        <v>1.148142424429746</v>
      </c>
      <c r="BN64" s="6">
        <v>0.52949999999999997</v>
      </c>
      <c r="BO64" s="6">
        <v>648.74</v>
      </c>
      <c r="BP64" s="5">
        <v>645.64</v>
      </c>
      <c r="BQ64" s="6">
        <f>IF(Table1[[#This Row],[P_F8]]="","",Table1[Pu(kN)]/Table1[[#This Row],[P_F8]])</f>
        <v>1.1507031782417447</v>
      </c>
      <c r="BR64" s="6">
        <v>0.62939999999999996</v>
      </c>
      <c r="BS64" s="6">
        <v>645.64</v>
      </c>
      <c r="BT64" s="5">
        <v>683.86</v>
      </c>
      <c r="BU64" s="6">
        <f>IF(Table1[[#This Row],[P_R7]]="","",Table1[Pu(kN)]/Table1[[#This Row],[P_R7]])</f>
        <v>1.0863919515690346</v>
      </c>
      <c r="BV64" s="6">
        <v>0.91449999999999998</v>
      </c>
      <c r="BW64" s="6">
        <v>683.86</v>
      </c>
      <c r="BX64" s="5">
        <v>684.48</v>
      </c>
      <c r="BY64" s="6">
        <f>IF(Table1[[#This Row],[P_F9]]="","",Table1[Pu(kN)]/Table1[[#This Row],[P_F9]])</f>
        <v>1.0854079008882656</v>
      </c>
      <c r="BZ64" s="6">
        <v>0.88480000000000003</v>
      </c>
      <c r="CA64" s="7">
        <v>684.48</v>
      </c>
      <c r="CB64" s="5">
        <v>683.5</v>
      </c>
      <c r="CC64" s="6">
        <f>IF(Table1[[#This Row],[P_R8]]="","",Table1[Pu(kN)]/Table1[[#This Row],[P_R8]])</f>
        <v>1.0869641550841258</v>
      </c>
      <c r="CD64" s="6">
        <v>0.91539999999999999</v>
      </c>
      <c r="CE64" s="6">
        <v>683.5</v>
      </c>
      <c r="CF64" s="5">
        <v>671.96</v>
      </c>
      <c r="CG64">
        <f>IF(Table1[[#This Row],[P_R9]]="","",Table1[Pu(kN)]/Table1[[#This Row],[P_R9]])</f>
        <v>1.1056312875766414</v>
      </c>
      <c r="CH64">
        <v>0.86909999999999998</v>
      </c>
      <c r="CI64">
        <v>671.96</v>
      </c>
      <c r="CJ64" s="5">
        <v>677.34</v>
      </c>
      <c r="CK64" s="6">
        <f>IF(Table1[[#This Row],[P_F10]]="","",Table1[Pu(kN)]/Table1[[#This Row],[P_F10]])</f>
        <v>1.0968494404582632</v>
      </c>
      <c r="CL64">
        <f t="shared" si="0"/>
        <v>0.86909999999999998</v>
      </c>
      <c r="CM64">
        <f t="shared" si="1"/>
        <v>1343.92</v>
      </c>
      <c r="CN64" s="39">
        <f>Table1[[#This Row],[P_R8]]</f>
        <v>683.5</v>
      </c>
      <c r="CO64" s="38">
        <f>Table1[[#This Row],[Pu(kN)]]/Table1[[#This Row],[P_R8_2]]</f>
        <v>1.0869641550841258</v>
      </c>
      <c r="CP64" s="38">
        <f>Table1[[#This Row],[DUCTIL_R8]]</f>
        <v>0.91539999999999999</v>
      </c>
      <c r="CQ64" s="38">
        <f>Table1[[#This Row],[P_R8_2]]</f>
        <v>683.5</v>
      </c>
    </row>
    <row r="65" spans="1:95" x14ac:dyDescent="0.3">
      <c r="A65" s="27" t="s">
        <v>75</v>
      </c>
      <c r="B65" s="20" t="s">
        <v>97</v>
      </c>
      <c r="C65" s="20" t="s">
        <v>61</v>
      </c>
      <c r="D65" s="18">
        <v>2015</v>
      </c>
      <c r="E65" s="20" t="s">
        <v>90</v>
      </c>
      <c r="F65" s="20">
        <v>77</v>
      </c>
      <c r="G65" s="23">
        <v>3.46</v>
      </c>
      <c r="H65" s="20">
        <v>1200</v>
      </c>
      <c r="I65" s="20">
        <v>340.8</v>
      </c>
      <c r="J65" s="23">
        <f>Table1[[#This Row],[a'[mm']]]/Table1[[#This Row],[d'[mm']]]</f>
        <v>3.52112676056338</v>
      </c>
      <c r="K65" s="20">
        <v>400</v>
      </c>
      <c r="L65" s="20" t="s">
        <v>28</v>
      </c>
      <c r="M65" s="20">
        <v>765.06</v>
      </c>
      <c r="N65" s="23" t="s">
        <v>130</v>
      </c>
      <c r="O65" s="20" t="s">
        <v>131</v>
      </c>
      <c r="P65" s="5">
        <v>466.82</v>
      </c>
      <c r="Q65" s="6">
        <f>IF(Table1[[#This Row],[P_F1]]="","",Table1[Pu(kN)]/Table1[[#This Row],[P_F1]])</f>
        <v>1.6388757979521014</v>
      </c>
      <c r="R65">
        <v>0.1363</v>
      </c>
      <c r="S65">
        <v>470.08</v>
      </c>
      <c r="T65" s="5">
        <v>693.52</v>
      </c>
      <c r="U65" s="6">
        <f>IF(Table1[[#This Row],[P_R1]]="","",Table1[Pu(kN)]/Table1[[#This Row],[P_R1]])</f>
        <v>1.1031549198292767</v>
      </c>
      <c r="V65">
        <v>0.92889999999999995</v>
      </c>
      <c r="W65">
        <v>693.64</v>
      </c>
      <c r="X65" s="5">
        <v>447.78</v>
      </c>
      <c r="Y65" s="6">
        <f>IF(Table1[[#This Row],[P_F2]]="","",Table1[Pu(kN)]/Table1[[#This Row],[P_F2]])</f>
        <v>1.7085622403859038</v>
      </c>
      <c r="Z65">
        <v>0.2051</v>
      </c>
      <c r="AA65">
        <v>449.08</v>
      </c>
      <c r="AB65" s="10">
        <v>694.98</v>
      </c>
      <c r="AC65" s="8">
        <f>IF(Table1[[#This Row],[P_R2]]="","",Table1[Pu(kN)]/Table1[[#This Row],[P_R2]])</f>
        <v>1.1008374341707674</v>
      </c>
      <c r="AD65">
        <v>0.92889999999999995</v>
      </c>
      <c r="AE65" s="9">
        <v>694.98</v>
      </c>
      <c r="AF65" s="2">
        <v>466.36</v>
      </c>
      <c r="AG65" s="2">
        <f>IF(Table1[[#This Row],[P_F3]]="","",Table1[Pu(kN)]/Table1[[#This Row],[P_F3]])</f>
        <v>1.6404923235268889</v>
      </c>
      <c r="AH65" s="2">
        <v>0.1603</v>
      </c>
      <c r="AI65" s="2">
        <v>466.36</v>
      </c>
      <c r="AJ65" s="10">
        <v>696.2</v>
      </c>
      <c r="AK65" s="8">
        <f>IF(Table1[[#This Row],[P_R3]]="","",Table1[Pu(kN)]/Table1[[#This Row],[P_R3]])</f>
        <v>1.0989083596667624</v>
      </c>
      <c r="AL65" s="8">
        <v>0.93030000000000002</v>
      </c>
      <c r="AM65" s="9">
        <v>696.2</v>
      </c>
      <c r="AN65" s="10">
        <v>687.84</v>
      </c>
      <c r="AO65" s="8">
        <f>IF(Table1[[#This Row],[P_R4]]="","",Table1[Pu(kN)]/Table1[[#This Row],[P_R4]])</f>
        <v>1.1122644801116537</v>
      </c>
      <c r="AP65" s="8">
        <v>0.91200000000000003</v>
      </c>
      <c r="AQ65" s="9">
        <v>687.84</v>
      </c>
      <c r="AR65">
        <v>449.86</v>
      </c>
      <c r="AS65">
        <f>IF(Table1[[#This Row],[P_F4]]="","",Table1[Pu(kN)]/Table1[[#This Row],[P_F4]])</f>
        <v>1.7006624283110299</v>
      </c>
      <c r="AT65">
        <v>0.2419</v>
      </c>
      <c r="AU65" s="7">
        <v>449.86</v>
      </c>
      <c r="AV65">
        <v>492.12</v>
      </c>
      <c r="AW65">
        <f>IF(Table1[[#This Row],[P_F5]]="","",Table1[Pu(kN)]/Table1[[#This Row],[P_F5]])</f>
        <v>1.5546208241892221</v>
      </c>
      <c r="AX65">
        <v>0.24329999999999999</v>
      </c>
      <c r="AY65" s="7">
        <v>494.3</v>
      </c>
      <c r="AZ65">
        <v>689</v>
      </c>
      <c r="BA65">
        <f>IF(Table1[[#This Row],[P_R5]]="","",Table1[Pu(kN)]/Table1[[#This Row],[P_R5]])</f>
        <v>1.1103918722786648</v>
      </c>
      <c r="BB65">
        <v>0.93079999999999996</v>
      </c>
      <c r="BC65">
        <v>689.2</v>
      </c>
      <c r="BD65" s="5">
        <v>495.08</v>
      </c>
      <c r="BE65" s="6">
        <f>IF(Table1[[#This Row],[P_F6]]="","",Table1[Pu(kN)]/Table1[[#This Row],[P_F6]])</f>
        <v>1.5453260079179123</v>
      </c>
      <c r="BF65" s="6">
        <v>0.19439999999999999</v>
      </c>
      <c r="BG65" s="6">
        <v>495.08</v>
      </c>
      <c r="BH65" s="5">
        <v>697.64</v>
      </c>
      <c r="BI65" s="6">
        <f>IF(Table1[[#This Row],[P_R6]]="","",Table1[Pu(kN)]/Table1[[#This Row],[P_R6]])</f>
        <v>1.0966401009116449</v>
      </c>
      <c r="BJ65" s="6">
        <v>0.92469999999999997</v>
      </c>
      <c r="BK65" s="6">
        <v>697.64</v>
      </c>
      <c r="BL65" s="5">
        <v>507.2</v>
      </c>
      <c r="BM65" s="6">
        <f>IF(Table1[[#This Row],[P_F7]]="","",Table1[Pu(kN)]/Table1[[#This Row],[P_F7]])</f>
        <v>1.5083990536277603</v>
      </c>
      <c r="BN65" s="6">
        <v>0.21929999999999999</v>
      </c>
      <c r="BO65" s="6">
        <v>507.2</v>
      </c>
      <c r="BP65" s="5">
        <v>422.62</v>
      </c>
      <c r="BQ65" s="6">
        <f>IF(Table1[[#This Row],[P_F8]]="","",Table1[Pu(kN)]/Table1[[#This Row],[P_F8]])</f>
        <v>1.8102787374000282</v>
      </c>
      <c r="BR65" s="6">
        <v>0.36399999999999999</v>
      </c>
      <c r="BS65" s="6">
        <v>422.62</v>
      </c>
      <c r="BT65" s="5">
        <v>693.36</v>
      </c>
      <c r="BU65" s="6">
        <f>IF(Table1[[#This Row],[P_R7]]="","",Table1[Pu(kN)]/Table1[[#This Row],[P_R7]])</f>
        <v>1.1034094842506057</v>
      </c>
      <c r="BV65" s="6">
        <v>0.92549999999999999</v>
      </c>
      <c r="BW65" s="6">
        <v>693.36</v>
      </c>
      <c r="BX65" s="5">
        <v>513.72</v>
      </c>
      <c r="BY65" s="6">
        <f>IF(Table1[[#This Row],[P_F9]]="","",Table1[Pu(kN)]/Table1[[#This Row],[P_F9]])</f>
        <v>1.4892548469983646</v>
      </c>
      <c r="BZ65" s="6">
        <v>0.28939999999999999</v>
      </c>
      <c r="CA65" s="7">
        <v>513.72</v>
      </c>
      <c r="CB65" s="5">
        <v>662.48</v>
      </c>
      <c r="CC65" s="6">
        <f>IF(Table1[[#This Row],[P_R8]]="","",Table1[Pu(kN)]/Table1[[#This Row],[P_R8]])</f>
        <v>1.1548424103369157</v>
      </c>
      <c r="CD65" s="6">
        <v>0.72489999999999999</v>
      </c>
      <c r="CE65" s="6">
        <v>662.48</v>
      </c>
      <c r="CF65" s="5">
        <v>676.02</v>
      </c>
      <c r="CG65">
        <f>IF(Table1[[#This Row],[P_R9]]="","",Table1[Pu(kN)]/Table1[[#This Row],[P_R9]])</f>
        <v>1.1317120795242743</v>
      </c>
      <c r="CH65">
        <v>0.8538</v>
      </c>
      <c r="CI65">
        <v>676.02</v>
      </c>
      <c r="CJ65" s="5">
        <v>534.14</v>
      </c>
      <c r="CK65" s="6">
        <f>IF(Table1[[#This Row],[P_F10]]="","",Table1[Pu(kN)]/Table1[[#This Row],[P_F10]])</f>
        <v>1.4323211143145991</v>
      </c>
      <c r="CL65">
        <f t="shared" si="0"/>
        <v>0.8538</v>
      </c>
      <c r="CM65">
        <f t="shared" si="1"/>
        <v>1352.04</v>
      </c>
      <c r="CN65" s="39">
        <f>Table1[[#This Row],[P_R8]]</f>
        <v>662.48</v>
      </c>
      <c r="CO65" s="38">
        <f>Table1[[#This Row],[Pu(kN)]]/Table1[[#This Row],[P_R8_2]]</f>
        <v>1.1548424103369157</v>
      </c>
      <c r="CP65" s="38">
        <f>Table1[[#This Row],[DUCTIL_R8]]</f>
        <v>0.72489999999999999</v>
      </c>
      <c r="CQ65" s="38">
        <f>Table1[[#This Row],[P_R8_2]]</f>
        <v>662.48</v>
      </c>
    </row>
    <row r="66" spans="1:95" x14ac:dyDescent="0.3">
      <c r="A66" s="26" t="s">
        <v>76</v>
      </c>
      <c r="B66" s="18" t="s">
        <v>97</v>
      </c>
      <c r="C66" s="18" t="s">
        <v>61</v>
      </c>
      <c r="D66" s="18">
        <v>2015</v>
      </c>
      <c r="E66" s="18" t="s">
        <v>90</v>
      </c>
      <c r="F66" s="18">
        <v>72.8</v>
      </c>
      <c r="G66" s="22">
        <v>3.46</v>
      </c>
      <c r="H66" s="18">
        <v>1200</v>
      </c>
      <c r="I66" s="18">
        <v>340.8</v>
      </c>
      <c r="J66" s="22">
        <f>Table1[[#This Row],[a'[mm']]]/Table1[[#This Row],[d'[mm']]]</f>
        <v>3.52112676056338</v>
      </c>
      <c r="K66" s="18">
        <v>400</v>
      </c>
      <c r="L66" s="18" t="s">
        <v>28</v>
      </c>
      <c r="M66" s="18">
        <v>772.8</v>
      </c>
      <c r="N66" s="18" t="s">
        <v>130</v>
      </c>
      <c r="O66" s="18" t="s">
        <v>131</v>
      </c>
      <c r="P66" s="5">
        <v>466.12</v>
      </c>
      <c r="Q66" s="6">
        <f>IF(Table1[[#This Row],[P_F1]]="","",Table1[Pu(kN)]/Table1[[#This Row],[P_F1]])</f>
        <v>1.6579421608169569</v>
      </c>
      <c r="R66">
        <v>0.17219999999999999</v>
      </c>
      <c r="S66">
        <v>466.94</v>
      </c>
      <c r="T66" s="5">
        <v>697.54</v>
      </c>
      <c r="U66" s="6">
        <f>IF(Table1[[#This Row],[P_R1]]="","",Table1[Pu(kN)]/Table1[[#This Row],[P_R1]])</f>
        <v>1.1078934541388308</v>
      </c>
      <c r="V66">
        <v>0.9365</v>
      </c>
      <c r="W66">
        <v>697.54</v>
      </c>
      <c r="X66" s="5">
        <v>447.88</v>
      </c>
      <c r="Y66" s="6">
        <f>IF(Table1[[#This Row],[P_F2]]="","",Table1[Pu(kN)]/Table1[[#This Row],[P_F2]])</f>
        <v>1.725462177368938</v>
      </c>
      <c r="Z66">
        <v>0.1457</v>
      </c>
      <c r="AA66">
        <v>447.88</v>
      </c>
      <c r="AB66" s="10">
        <v>696.04</v>
      </c>
      <c r="AC66" s="8">
        <f>IF(Table1[[#This Row],[P_R2]]="","",Table1[Pu(kN)]/Table1[[#This Row],[P_R2]])</f>
        <v>1.1102810183322798</v>
      </c>
      <c r="AD66">
        <v>0.9335</v>
      </c>
      <c r="AE66" s="9">
        <v>696.18</v>
      </c>
      <c r="AF66" s="2">
        <v>457.9</v>
      </c>
      <c r="AG66" s="2">
        <f>IF(Table1[[#This Row],[P_F3]]="","",Table1[Pu(kN)]/Table1[[#This Row],[P_F3]])</f>
        <v>1.6877047390259883</v>
      </c>
      <c r="AH66" s="2">
        <v>0.24060000000000001</v>
      </c>
      <c r="AI66" s="2">
        <v>461.32</v>
      </c>
      <c r="AJ66" s="10">
        <v>697.18</v>
      </c>
      <c r="AK66" s="8">
        <f>IF(Table1[[#This Row],[P_R3]]="","",Table1[Pu(kN)]/Table1[[#This Row],[P_R3]])</f>
        <v>1.1084655325740842</v>
      </c>
      <c r="AL66" s="8">
        <v>0.93530000000000002</v>
      </c>
      <c r="AM66" s="9">
        <v>697.18</v>
      </c>
      <c r="AN66" s="10">
        <v>681.02</v>
      </c>
      <c r="AO66" s="8">
        <f>IF(Table1[[#This Row],[P_R4]]="","",Table1[Pu(kN)]/Table1[[#This Row],[P_R4]])</f>
        <v>1.1347684355819212</v>
      </c>
      <c r="AP66" s="8">
        <v>0.88470000000000004</v>
      </c>
      <c r="AQ66" s="9">
        <v>681.02</v>
      </c>
      <c r="AR66">
        <v>481.56</v>
      </c>
      <c r="AS66">
        <f>IF(Table1[[#This Row],[P_F4]]="","",Table1[Pu(kN)]/Table1[[#This Row],[P_F4]])</f>
        <v>1.6047844505357587</v>
      </c>
      <c r="AT66">
        <v>0.2339</v>
      </c>
      <c r="AU66" s="7">
        <v>481.56</v>
      </c>
      <c r="AV66">
        <v>518</v>
      </c>
      <c r="AW66">
        <f>IF(Table1[[#This Row],[P_F5]]="","",Table1[Pu(kN)]/Table1[[#This Row],[P_F5]])</f>
        <v>1.4918918918918918</v>
      </c>
      <c r="AX66">
        <v>0.2863</v>
      </c>
      <c r="AY66" s="7">
        <v>520.41999999999996</v>
      </c>
      <c r="AZ66">
        <v>690.9</v>
      </c>
      <c r="BA66">
        <f>IF(Table1[[#This Row],[P_R5]]="","",Table1[Pu(kN)]/Table1[[#This Row],[P_R5]])</f>
        <v>1.1185410334346504</v>
      </c>
      <c r="BB66">
        <v>0.93830000000000002</v>
      </c>
      <c r="BC66">
        <v>691.08</v>
      </c>
      <c r="BD66" s="5">
        <v>479.16</v>
      </c>
      <c r="BE66" s="6">
        <f>IF(Table1[[#This Row],[P_F6]]="","",Table1[Pu(kN)]/Table1[[#This Row],[P_F6]])</f>
        <v>1.61282243926872</v>
      </c>
      <c r="BF66" s="6">
        <v>0.2346</v>
      </c>
      <c r="BG66" s="6">
        <v>479.16</v>
      </c>
      <c r="BH66" s="5">
        <v>698.52</v>
      </c>
      <c r="BI66" s="6">
        <f>IF(Table1[[#This Row],[P_R6]]="","",Table1[Pu(kN)]/Table1[[#This Row],[P_R6]])</f>
        <v>1.1063391169902079</v>
      </c>
      <c r="BJ66" s="6">
        <v>0.92920000000000003</v>
      </c>
      <c r="BK66" s="6">
        <v>698.68</v>
      </c>
      <c r="BL66" s="5">
        <v>471.92</v>
      </c>
      <c r="BM66" s="6">
        <f>IF(Table1[[#This Row],[P_F7]]="","",Table1[Pu(kN)]/Table1[[#This Row],[P_F7]])</f>
        <v>1.6375656890998473</v>
      </c>
      <c r="BN66" s="6">
        <v>0.1701</v>
      </c>
      <c r="BO66" s="6">
        <v>476.54</v>
      </c>
      <c r="BP66" s="5">
        <v>409.7</v>
      </c>
      <c r="BQ66" s="6">
        <f>IF(Table1[[#This Row],[P_F8]]="","",Table1[Pu(kN)]/Table1[[#This Row],[P_F8]])</f>
        <v>1.886258237734928</v>
      </c>
      <c r="BR66" s="6">
        <v>0.36709999999999998</v>
      </c>
      <c r="BS66" s="6">
        <v>409.7</v>
      </c>
      <c r="BT66" s="5">
        <v>693.96</v>
      </c>
      <c r="BU66" s="6">
        <f>IF(Table1[[#This Row],[P_R7]]="","",Table1[Pu(kN)]/Table1[[#This Row],[P_R7]])</f>
        <v>1.1136088535362267</v>
      </c>
      <c r="BV66" s="6">
        <v>0.92889999999999995</v>
      </c>
      <c r="BW66" s="6">
        <v>693.98</v>
      </c>
      <c r="BX66" s="5">
        <v>493.4</v>
      </c>
      <c r="BY66" s="6">
        <f>IF(Table1[[#This Row],[P_F9]]="","",Table1[Pu(kN)]/Table1[[#This Row],[P_F9]])</f>
        <v>1.566274827725983</v>
      </c>
      <c r="BZ66" s="6">
        <v>0.35299999999999998</v>
      </c>
      <c r="CA66" s="7">
        <v>493.4</v>
      </c>
      <c r="CB66" s="5">
        <v>682.36</v>
      </c>
      <c r="CC66" s="6">
        <f>IF(Table1[[#This Row],[P_R8]]="","",Table1[Pu(kN)]/Table1[[#This Row],[P_R8]])</f>
        <v>1.1325400082068116</v>
      </c>
      <c r="CD66" s="6">
        <v>0.88549999999999995</v>
      </c>
      <c r="CE66" s="6">
        <v>682.36</v>
      </c>
      <c r="CF66" s="5">
        <v>672.38</v>
      </c>
      <c r="CG66">
        <f>IF(Table1[[#This Row],[P_R9]]="","",Table1[Pu(kN)]/Table1[[#This Row],[P_R9]])</f>
        <v>1.1493500699009489</v>
      </c>
      <c r="CH66">
        <v>0.81769999999999998</v>
      </c>
      <c r="CI66">
        <v>672.38</v>
      </c>
      <c r="CJ66" s="5">
        <v>520.58000000000004</v>
      </c>
      <c r="CK66" s="6">
        <f>IF(Table1[[#This Row],[P_F10]]="","",Table1[Pu(kN)]/Table1[[#This Row],[P_F10]])</f>
        <v>1.484498059856314</v>
      </c>
      <c r="CL66">
        <f t="shared" si="0"/>
        <v>0.81769999999999998</v>
      </c>
      <c r="CM66">
        <f t="shared" si="1"/>
        <v>1344.76</v>
      </c>
      <c r="CN66" s="39">
        <f>Table1[[#This Row],[P_R8]]</f>
        <v>682.36</v>
      </c>
      <c r="CO66" s="38">
        <f>Table1[[#This Row],[Pu(kN)]]/Table1[[#This Row],[P_R8_2]]</f>
        <v>1.1325400082068116</v>
      </c>
      <c r="CP66" s="38">
        <f>Table1[[#This Row],[DUCTIL_R8]]</f>
        <v>0.88549999999999995</v>
      </c>
      <c r="CQ66" s="38">
        <f>Table1[[#This Row],[P_R8_2]]</f>
        <v>682.36</v>
      </c>
    </row>
    <row r="67" spans="1:95" x14ac:dyDescent="0.3">
      <c r="A67" s="27" t="s">
        <v>68</v>
      </c>
      <c r="B67" s="20" t="s">
        <v>97</v>
      </c>
      <c r="C67" s="20" t="s">
        <v>61</v>
      </c>
      <c r="D67" s="18">
        <v>2015</v>
      </c>
      <c r="E67" s="20" t="s">
        <v>90</v>
      </c>
      <c r="F67" s="20">
        <v>77</v>
      </c>
      <c r="G67" s="23">
        <v>4.7300000000000004</v>
      </c>
      <c r="H67" s="20">
        <v>1200</v>
      </c>
      <c r="I67" s="20">
        <v>332.5</v>
      </c>
      <c r="J67" s="23">
        <f>Table1[[#This Row],[a'[mm']]]/Table1[[#This Row],[d'[mm']]]</f>
        <v>3.6090225563909772</v>
      </c>
      <c r="K67" s="20">
        <v>400</v>
      </c>
      <c r="L67" s="20" t="s">
        <v>28</v>
      </c>
      <c r="M67" s="20">
        <v>950.4</v>
      </c>
      <c r="N67" s="20" t="s">
        <v>130</v>
      </c>
      <c r="O67" s="20" t="s">
        <v>131</v>
      </c>
      <c r="P67" s="5">
        <v>504.04</v>
      </c>
      <c r="Q67" s="6">
        <f>IF(Table1[[#This Row],[P_F1]]="","",Table1[Pu(kN)]/Table1[[#This Row],[P_F1]])</f>
        <v>1.8855646377271644</v>
      </c>
      <c r="R67">
        <v>0.27729999999999999</v>
      </c>
      <c r="S67">
        <v>506.16</v>
      </c>
      <c r="T67" s="5">
        <v>771.26</v>
      </c>
      <c r="U67" s="6">
        <f>IF(Table1[[#This Row],[P_R1]]="","",Table1[Pu(kN)]/Table1[[#This Row],[P_R1]])</f>
        <v>1.2322692736560952</v>
      </c>
      <c r="V67">
        <v>0.45540000000000003</v>
      </c>
      <c r="W67">
        <v>773.94</v>
      </c>
      <c r="X67" s="5">
        <v>481.3</v>
      </c>
      <c r="Y67" s="6">
        <f>IF(Table1[[#This Row],[P_F2]]="","",Table1[Pu(kN)]/Table1[[#This Row],[P_F2]])</f>
        <v>1.9746519842094328</v>
      </c>
      <c r="Z67">
        <v>0.24210000000000001</v>
      </c>
      <c r="AA67">
        <v>483.5</v>
      </c>
      <c r="AB67" s="10">
        <v>815.66</v>
      </c>
      <c r="AC67" s="8">
        <f>IF(Table1[[#This Row],[P_R2]]="","",Table1[Pu(kN)]/Table1[[#This Row],[P_R2]])</f>
        <v>1.1651913787607582</v>
      </c>
      <c r="AD67">
        <v>0.63019999999999998</v>
      </c>
      <c r="AE67" s="9">
        <v>817.64</v>
      </c>
      <c r="AF67" s="2">
        <v>545.72</v>
      </c>
      <c r="AG67" s="2">
        <f>IF(Table1[[#This Row],[P_F3]]="","",Table1[Pu(kN)]/Table1[[#This Row],[P_F3]])</f>
        <v>1.741552444477021</v>
      </c>
      <c r="AH67" s="2">
        <v>0.2235</v>
      </c>
      <c r="AI67" s="2">
        <v>545.72</v>
      </c>
      <c r="AJ67" s="10">
        <v>814.42</v>
      </c>
      <c r="AK67" s="8">
        <f>IF(Table1[[#This Row],[P_R3]]="","",Table1[Pu(kN)]/Table1[[#This Row],[P_R3]])</f>
        <v>1.1669654478033447</v>
      </c>
      <c r="AL67" s="8">
        <v>0.62439999999999996</v>
      </c>
      <c r="AM67" s="9">
        <v>816.62</v>
      </c>
      <c r="AN67" s="10">
        <v>772.94</v>
      </c>
      <c r="AO67" s="8">
        <f>IF(Table1[[#This Row],[P_R4]]="","",Table1[Pu(kN)]/Table1[[#This Row],[P_R4]])</f>
        <v>1.2295909126193494</v>
      </c>
      <c r="AP67" s="8">
        <v>0.49740000000000001</v>
      </c>
      <c r="AQ67" s="9">
        <v>776.82</v>
      </c>
      <c r="AR67">
        <v>492.04</v>
      </c>
      <c r="AS67">
        <f>IF(Table1[[#This Row],[P_F4]]="","",Table1[Pu(kN)]/Table1[[#This Row],[P_F4]])</f>
        <v>1.9315502804650027</v>
      </c>
      <c r="AT67">
        <v>0.28210000000000002</v>
      </c>
      <c r="AU67" s="7">
        <v>492.04</v>
      </c>
      <c r="AV67">
        <v>601.86</v>
      </c>
      <c r="AW67">
        <f>IF(Table1[[#This Row],[P_F5]]="","",Table1[Pu(kN)]/Table1[[#This Row],[P_F5]])</f>
        <v>1.5791047751968896</v>
      </c>
      <c r="AX67">
        <v>0.29799999999999999</v>
      </c>
      <c r="AY67" s="7">
        <v>601.86</v>
      </c>
      <c r="AZ67">
        <v>837.14</v>
      </c>
      <c r="BA67">
        <f>IF(Table1[[#This Row],[P_R5]]="","",Table1[Pu(kN)]/Table1[[#This Row],[P_R5]])</f>
        <v>1.1352939771125499</v>
      </c>
      <c r="BB67">
        <v>0.82289999999999996</v>
      </c>
      <c r="BC67">
        <v>837.3</v>
      </c>
      <c r="BD67" s="5">
        <v>455.7</v>
      </c>
      <c r="BE67" s="6">
        <f>IF(Table1[[#This Row],[P_F6]]="","",Table1[Pu(kN)]/Table1[[#This Row],[P_F6]])</f>
        <v>2.085582620144832</v>
      </c>
      <c r="BF67" s="6">
        <v>0.19500000000000001</v>
      </c>
      <c r="BG67" s="6">
        <v>455.7</v>
      </c>
      <c r="BH67" s="5">
        <v>828.9</v>
      </c>
      <c r="BI67" s="6">
        <f>IF(Table1[[#This Row],[P_R6]]="","",Table1[Pu(kN)]/Table1[[#This Row],[P_R6]])</f>
        <v>1.1465798045602607</v>
      </c>
      <c r="BJ67" s="6">
        <v>0.68130000000000002</v>
      </c>
      <c r="BK67" s="6">
        <v>828.9</v>
      </c>
      <c r="BL67" s="5">
        <v>516.48</v>
      </c>
      <c r="BM67" s="6">
        <f>IF(Table1[[#This Row],[P_F7]]="","",Table1[Pu(kN)]/Table1[[#This Row],[P_F7]])</f>
        <v>1.8401486988847582</v>
      </c>
      <c r="BN67" s="6">
        <v>0.31740000000000002</v>
      </c>
      <c r="BO67" s="6">
        <v>516.48</v>
      </c>
      <c r="BP67" s="5">
        <v>445.98</v>
      </c>
      <c r="BQ67" s="6">
        <f>IF(Table1[[#This Row],[P_F8]]="","",Table1[Pu(kN)]/Table1[[#This Row],[P_F8]])</f>
        <v>2.1310372662451229</v>
      </c>
      <c r="BR67" s="6">
        <v>9.4600000000000004E-2</v>
      </c>
      <c r="BS67" s="6">
        <v>453.72</v>
      </c>
      <c r="BT67" s="5">
        <v>798.9</v>
      </c>
      <c r="BU67" s="6">
        <f>IF(Table1[[#This Row],[P_R7]]="","",Table1[Pu(kN)]/Table1[[#This Row],[P_R7]])</f>
        <v>1.1896357491550882</v>
      </c>
      <c r="BV67" s="6">
        <v>0.59460000000000002</v>
      </c>
      <c r="BW67" s="6">
        <v>801.74</v>
      </c>
      <c r="BX67" s="5">
        <v>446.42</v>
      </c>
      <c r="BY67" s="6">
        <f>IF(Table1[[#This Row],[P_F9]]="","",Table1[Pu(kN)]/Table1[[#This Row],[P_F9]])</f>
        <v>2.1289368755880114</v>
      </c>
      <c r="BZ67" s="6">
        <v>0.15820000000000001</v>
      </c>
      <c r="CA67" s="7">
        <v>446.42</v>
      </c>
      <c r="CB67" s="5">
        <v>761.18</v>
      </c>
      <c r="CC67" s="6">
        <f>IF(Table1[[#This Row],[P_R8]]="","",Table1[Pu(kN)]/Table1[[#This Row],[P_R8]])</f>
        <v>1.2485877190677632</v>
      </c>
      <c r="CD67" s="6">
        <v>0.46579999999999999</v>
      </c>
      <c r="CE67" s="6">
        <v>765.76</v>
      </c>
      <c r="CF67" s="5">
        <v>794.74</v>
      </c>
      <c r="CG67">
        <f>IF(Table1[[#This Row],[P_R9]]="","",Table1[Pu(kN)]/Table1[[#This Row],[P_R9]])</f>
        <v>1.1958627978961673</v>
      </c>
      <c r="CH67">
        <v>0.54259999999999997</v>
      </c>
      <c r="CI67">
        <v>798.04</v>
      </c>
      <c r="CJ67" s="5">
        <v>470.38</v>
      </c>
      <c r="CK67" s="6">
        <f>IF(Table1[[#This Row],[P_F10]]="","",Table1[Pu(kN)]/Table1[[#This Row],[P_F10]])</f>
        <v>2.0204940686253665</v>
      </c>
      <c r="CL67">
        <f t="shared" si="0"/>
        <v>0.54259999999999997</v>
      </c>
      <c r="CM67">
        <f t="shared" si="1"/>
        <v>1596.08</v>
      </c>
      <c r="CN67" s="39">
        <f>Table1[[#This Row],[P_R8]]</f>
        <v>761.18</v>
      </c>
      <c r="CO67" s="38">
        <f>Table1[[#This Row],[Pu(kN)]]/Table1[[#This Row],[P_R8_2]]</f>
        <v>1.2485877190677632</v>
      </c>
      <c r="CP67" s="38">
        <f>Table1[[#This Row],[DUCTIL_R8]]</f>
        <v>0.46579999999999999</v>
      </c>
      <c r="CQ67" s="38">
        <f>Table1[[#This Row],[P_R8_2]]</f>
        <v>761.18</v>
      </c>
    </row>
    <row r="68" spans="1:95" x14ac:dyDescent="0.3">
      <c r="A68" s="26" t="s">
        <v>69</v>
      </c>
      <c r="B68" s="18" t="s">
        <v>97</v>
      </c>
      <c r="C68" s="18" t="s">
        <v>61</v>
      </c>
      <c r="D68" s="18">
        <v>2015</v>
      </c>
      <c r="E68" s="18" t="s">
        <v>90</v>
      </c>
      <c r="F68" s="18">
        <v>85.6</v>
      </c>
      <c r="G68" s="22">
        <v>2.71</v>
      </c>
      <c r="H68" s="18">
        <v>1200</v>
      </c>
      <c r="I68" s="18">
        <v>350.8</v>
      </c>
      <c r="J68" s="22">
        <f>Table1[[#This Row],[a'[mm']]]/Table1[[#This Row],[d'[mm']]]</f>
        <v>3.420752565564424</v>
      </c>
      <c r="K68" s="18">
        <v>400</v>
      </c>
      <c r="L68" s="18" t="s">
        <v>28</v>
      </c>
      <c r="M68" s="18">
        <v>650.41999999999996</v>
      </c>
      <c r="N68" s="18" t="s">
        <v>130</v>
      </c>
      <c r="O68" s="18" t="s">
        <v>131</v>
      </c>
      <c r="P68" s="5">
        <v>481.22</v>
      </c>
      <c r="Q68" s="6">
        <f>IF(Table1[[#This Row],[P_F1]]="","",Table1[Pu(kN)]/Table1[[#This Row],[P_F1]])</f>
        <v>1.351606333901334</v>
      </c>
      <c r="R68">
        <v>0.13489999999999999</v>
      </c>
      <c r="S68">
        <v>484.86</v>
      </c>
      <c r="T68" s="5">
        <v>584.79999999999995</v>
      </c>
      <c r="U68" s="6">
        <f>IF(Table1[[#This Row],[P_R1]]="","",Table1[Pu(kN)]/Table1[[#This Row],[P_R1]])</f>
        <v>1.1122093023255815</v>
      </c>
      <c r="V68">
        <v>0.93330000000000002</v>
      </c>
      <c r="W68">
        <v>584.79999999999995</v>
      </c>
      <c r="X68" s="5">
        <v>552.36</v>
      </c>
      <c r="Y68" s="6">
        <f>IF(Table1[[#This Row],[P_F2]]="","",Table1[Pu(kN)]/Table1[[#This Row],[P_F2]])</f>
        <v>1.1775291476573249</v>
      </c>
      <c r="Z68">
        <v>0.61370000000000002</v>
      </c>
      <c r="AA68">
        <v>552.36</v>
      </c>
      <c r="AB68" s="10">
        <v>587.41999999999996</v>
      </c>
      <c r="AC68" s="8">
        <f>IF(Table1[[#This Row],[P_R2]]="","",Table1[Pu(kN)]/Table1[[#This Row],[P_R2]])</f>
        <v>1.1072486466242213</v>
      </c>
      <c r="AD68">
        <v>0.93489999999999995</v>
      </c>
      <c r="AE68" s="9">
        <v>587.41999999999996</v>
      </c>
      <c r="AF68" s="2">
        <v>545.22</v>
      </c>
      <c r="AG68" s="2">
        <f>IF(Table1[[#This Row],[P_F3]]="","",Table1[Pu(kN)]/Table1[[#This Row],[P_F3]])</f>
        <v>1.1929496350097206</v>
      </c>
      <c r="AH68" s="2">
        <v>0.50349999999999995</v>
      </c>
      <c r="AI68" s="2">
        <v>545.22</v>
      </c>
      <c r="AJ68" s="10">
        <v>587.29999999999995</v>
      </c>
      <c r="AK68" s="8">
        <f>IF(Table1[[#This Row],[P_R3]]="","",Table1[Pu(kN)]/Table1[[#This Row],[P_R3]])</f>
        <v>1.1074748850672569</v>
      </c>
      <c r="AL68" s="8">
        <v>0.93489999999999995</v>
      </c>
      <c r="AM68" s="9">
        <v>587.29999999999995</v>
      </c>
      <c r="AN68" s="10">
        <v>568.20000000000005</v>
      </c>
      <c r="AO68" s="8">
        <f>IF(Table1[[#This Row],[P_R4]]="","",Table1[Pu(kN)]/Table1[[#This Row],[P_R4]])</f>
        <v>1.1447025695177753</v>
      </c>
      <c r="AP68" s="8">
        <v>0.85029999999999994</v>
      </c>
      <c r="AQ68" s="9">
        <v>568.20000000000005</v>
      </c>
      <c r="AR68">
        <v>530.04</v>
      </c>
      <c r="AS68">
        <f>IF(Table1[[#This Row],[P_F4]]="","",Table1[Pu(kN)]/Table1[[#This Row],[P_F4]])</f>
        <v>1.2271149347219077</v>
      </c>
      <c r="AT68">
        <v>0.51739999999999997</v>
      </c>
      <c r="AU68" s="7">
        <v>530.04</v>
      </c>
      <c r="AV68">
        <v>514.32000000000005</v>
      </c>
      <c r="AW68">
        <f>IF(Table1[[#This Row],[P_F5]]="","",Table1[Pu(kN)]/Table1[[#This Row],[P_F5]])</f>
        <v>1.2646212474723906</v>
      </c>
      <c r="AX68">
        <v>0.40799999999999997</v>
      </c>
      <c r="AY68" s="7">
        <v>514.32000000000005</v>
      </c>
      <c r="AZ68">
        <v>584.44000000000005</v>
      </c>
      <c r="BA68">
        <f>IF(Table1[[#This Row],[P_R5]]="","",Table1[Pu(kN)]/Table1[[#This Row],[P_R5]])</f>
        <v>1.1128943946341796</v>
      </c>
      <c r="BB68">
        <v>0.94120000000000004</v>
      </c>
      <c r="BC68">
        <v>584.54</v>
      </c>
      <c r="BD68" s="5">
        <v>547.38</v>
      </c>
      <c r="BE68" s="6">
        <f>IF(Table1[[#This Row],[P_F6]]="","",Table1[Pu(kN)]/Table1[[#This Row],[P_F6]])</f>
        <v>1.1882421718002119</v>
      </c>
      <c r="BF68" s="6">
        <v>0.43440000000000001</v>
      </c>
      <c r="BG68" s="6">
        <v>547.38</v>
      </c>
      <c r="BH68" s="5">
        <v>589.64</v>
      </c>
      <c r="BI68" s="6">
        <f>IF(Table1[[#This Row],[P_R6]]="","",Table1[Pu(kN)]/Table1[[#This Row],[P_R6]])</f>
        <v>1.1030798453293535</v>
      </c>
      <c r="BJ68" s="6">
        <v>0.93320000000000003</v>
      </c>
      <c r="BK68" s="6">
        <v>589.64</v>
      </c>
      <c r="BL68" s="5">
        <v>556.76</v>
      </c>
      <c r="BM68" s="6">
        <f>IF(Table1[[#This Row],[P_F7]]="","",Table1[Pu(kN)]/Table1[[#This Row],[P_F7]])</f>
        <v>1.1682232919031539</v>
      </c>
      <c r="BN68" s="6">
        <v>0.6028</v>
      </c>
      <c r="BO68" s="6">
        <v>557.12</v>
      </c>
      <c r="BP68" s="5">
        <v>513.28</v>
      </c>
      <c r="BQ68" s="6">
        <f>IF(Table1[[#This Row],[P_F8]]="","",Table1[Pu(kN)]/Table1[[#This Row],[P_F8]])</f>
        <v>1.2671836034912718</v>
      </c>
      <c r="BR68" s="6">
        <v>0.38479999999999998</v>
      </c>
      <c r="BS68" s="6">
        <v>513.28</v>
      </c>
      <c r="BT68" s="5">
        <v>587.20000000000005</v>
      </c>
      <c r="BU68" s="6">
        <f>IF(Table1[[#This Row],[P_R7]]="","",Table1[Pu(kN)]/Table1[[#This Row],[P_R7]])</f>
        <v>1.1076634877384195</v>
      </c>
      <c r="BV68" s="6">
        <v>0.93520000000000003</v>
      </c>
      <c r="BW68" s="6">
        <v>587.20000000000005</v>
      </c>
      <c r="BX68" s="5">
        <v>530.91999999999996</v>
      </c>
      <c r="BY68" s="6">
        <f>IF(Table1[[#This Row],[P_F9]]="","",Table1[Pu(kN)]/Table1[[#This Row],[P_F9]])</f>
        <v>1.2250809914864764</v>
      </c>
      <c r="BZ68" s="6">
        <v>0.41620000000000001</v>
      </c>
      <c r="CA68" s="7">
        <v>530.91999999999996</v>
      </c>
      <c r="CB68" s="5">
        <v>573.62</v>
      </c>
      <c r="CC68" s="6">
        <f>IF(Table1[[#This Row],[P_R8]]="","",Table1[Pu(kN)]/Table1[[#This Row],[P_R8]])</f>
        <v>1.1338865450995432</v>
      </c>
      <c r="CD68" s="6">
        <v>0.88649999999999995</v>
      </c>
      <c r="CE68" s="6">
        <v>573.62</v>
      </c>
      <c r="CF68" s="5">
        <v>568.29999999999995</v>
      </c>
      <c r="CG68">
        <f>IF(Table1[[#This Row],[P_R9]]="","",Table1[Pu(kN)]/Table1[[#This Row],[P_R9]])</f>
        <v>1.1445011437620976</v>
      </c>
      <c r="CH68">
        <v>0.84799999999999998</v>
      </c>
      <c r="CI68">
        <v>568.29999999999995</v>
      </c>
      <c r="CJ68" s="5">
        <v>575.36</v>
      </c>
      <c r="CK68" s="6">
        <f>IF(Table1[[#This Row],[P_F10]]="","",Table1[Pu(kN)]/Table1[[#This Row],[P_F10]])</f>
        <v>1.1304574527252502</v>
      </c>
      <c r="CL68">
        <f t="shared" si="0"/>
        <v>0.84799999999999998</v>
      </c>
      <c r="CM68">
        <f t="shared" si="1"/>
        <v>1136.5999999999999</v>
      </c>
      <c r="CN68" s="39">
        <f>Table1[[#This Row],[P_R8]]</f>
        <v>573.62</v>
      </c>
      <c r="CO68" s="38">
        <f>Table1[[#This Row],[Pu(kN)]]/Table1[[#This Row],[P_R8_2]]</f>
        <v>1.1338865450995432</v>
      </c>
      <c r="CP68" s="38">
        <f>Table1[[#This Row],[DUCTIL_R8]]</f>
        <v>0.88649999999999995</v>
      </c>
      <c r="CQ68" s="38">
        <f>Table1[[#This Row],[P_R8_2]]</f>
        <v>573.62</v>
      </c>
    </row>
    <row r="69" spans="1:95" x14ac:dyDescent="0.3">
      <c r="A69" s="27" t="s">
        <v>70</v>
      </c>
      <c r="B69" s="20" t="s">
        <v>97</v>
      </c>
      <c r="C69" s="20" t="s">
        <v>61</v>
      </c>
      <c r="D69" s="18">
        <v>2015</v>
      </c>
      <c r="E69" s="20" t="s">
        <v>90</v>
      </c>
      <c r="F69" s="20">
        <v>88.1</v>
      </c>
      <c r="G69" s="23">
        <v>3.22</v>
      </c>
      <c r="H69" s="20">
        <v>1200</v>
      </c>
      <c r="I69" s="20">
        <v>346.7</v>
      </c>
      <c r="J69" s="23">
        <f>Table1[[#This Row],[a'[mm']]]/Table1[[#This Row],[d'[mm']]]</f>
        <v>3.4612056533025672</v>
      </c>
      <c r="K69" s="20">
        <v>400</v>
      </c>
      <c r="L69" s="20" t="s">
        <v>28</v>
      </c>
      <c r="M69" s="20">
        <v>730.12</v>
      </c>
      <c r="N69" s="20" t="s">
        <v>130</v>
      </c>
      <c r="O69" s="20" t="s">
        <v>131</v>
      </c>
      <c r="P69" s="5">
        <v>473.22</v>
      </c>
      <c r="Q69" s="6">
        <f>IF(Table1[[#This Row],[P_F1]]="","",Table1[Pu(kN)]/Table1[[#This Row],[P_F1]])</f>
        <v>1.5428764633785554</v>
      </c>
      <c r="R69">
        <v>0.31730000000000003</v>
      </c>
      <c r="S69">
        <v>473.22</v>
      </c>
      <c r="T69" s="5">
        <v>668.3</v>
      </c>
      <c r="U69" s="6">
        <f>IF(Table1[[#This Row],[P_R1]]="","",Table1[Pu(kN)]/Table1[[#This Row],[P_R1]])</f>
        <v>1.092503366751459</v>
      </c>
      <c r="V69">
        <v>0.93279999999999996</v>
      </c>
      <c r="W69">
        <v>668.3</v>
      </c>
      <c r="X69" s="5">
        <v>507.16</v>
      </c>
      <c r="Y69" s="6">
        <f>IF(Table1[[#This Row],[P_F2]]="","",Table1[Pu(kN)]/Table1[[#This Row],[P_F2]])</f>
        <v>1.4396245760706681</v>
      </c>
      <c r="Z69">
        <v>0.38340000000000002</v>
      </c>
      <c r="AA69">
        <v>508.74</v>
      </c>
      <c r="AB69" s="10">
        <v>669.24</v>
      </c>
      <c r="AC69" s="8">
        <f>IF(Table1[[#This Row],[P_R2]]="","",Table1[Pu(kN)]/Table1[[#This Row],[P_R2]])</f>
        <v>1.0909688601996295</v>
      </c>
      <c r="AD69">
        <v>0.93230000000000002</v>
      </c>
      <c r="AE69" s="9">
        <v>669.24</v>
      </c>
      <c r="AF69" s="2">
        <v>513.44000000000005</v>
      </c>
      <c r="AG69" s="2">
        <f>IF(Table1[[#This Row],[P_F3]]="","",Table1[Pu(kN)]/Table1[[#This Row],[P_F3]])</f>
        <v>1.4220162044250544</v>
      </c>
      <c r="AH69" s="2">
        <v>0.23760000000000001</v>
      </c>
      <c r="AI69" s="8">
        <v>513.44000000000005</v>
      </c>
      <c r="AJ69" s="10">
        <v>669.74</v>
      </c>
      <c r="AK69" s="8">
        <f>IF(Table1[[#This Row],[P_R3]]="","",Table1[Pu(kN)]/Table1[[#This Row],[P_R3]])</f>
        <v>1.090154388270075</v>
      </c>
      <c r="AL69" s="8">
        <v>0.93230000000000002</v>
      </c>
      <c r="AM69" s="9">
        <v>669.74</v>
      </c>
      <c r="AN69" s="10">
        <v>648.88</v>
      </c>
      <c r="AO69" s="8">
        <f>IF(Table1[[#This Row],[P_R4]]="","",Table1[Pu(kN)]/Table1[[#This Row],[P_R4]])</f>
        <v>1.1252003452102084</v>
      </c>
      <c r="AP69" s="8">
        <v>0.85119999999999996</v>
      </c>
      <c r="AQ69" s="9">
        <v>648.88</v>
      </c>
      <c r="AR69">
        <v>523.12</v>
      </c>
      <c r="AS69">
        <f>IF(Table1[[#This Row],[P_F4]]="","",Table1[Pu(kN)]/Table1[[#This Row],[P_F4]])</f>
        <v>1.3957027068359076</v>
      </c>
      <c r="AT69">
        <v>0.2873</v>
      </c>
      <c r="AU69" s="7">
        <v>523.12</v>
      </c>
      <c r="AV69">
        <v>508.56</v>
      </c>
      <c r="AW69">
        <f>IF(Table1[[#This Row],[P_F5]]="","",Table1[Pu(kN)]/Table1[[#This Row],[P_F5]])</f>
        <v>1.4356614755387762</v>
      </c>
      <c r="AX69">
        <v>0.24990000000000001</v>
      </c>
      <c r="AY69" s="7">
        <v>508.56</v>
      </c>
      <c r="AZ69">
        <v>664.02</v>
      </c>
      <c r="BA69">
        <f>IF(Table1[[#This Row],[P_R5]]="","",Table1[Pu(kN)]/Table1[[#This Row],[P_R5]])</f>
        <v>1.0995451944218548</v>
      </c>
      <c r="BB69">
        <v>0.9385</v>
      </c>
      <c r="BC69">
        <v>664.12</v>
      </c>
      <c r="BD69" s="5">
        <v>527</v>
      </c>
      <c r="BE69" s="6">
        <f>IF(Table1[[#This Row],[P_F6]]="","",Table1[Pu(kN)]/Table1[[#This Row],[P_F6]])</f>
        <v>1.3854269449715371</v>
      </c>
      <c r="BF69" s="6">
        <v>0.21129999999999999</v>
      </c>
      <c r="BG69" s="6">
        <v>527</v>
      </c>
      <c r="BH69" s="5">
        <v>657.14</v>
      </c>
      <c r="BI69" s="6">
        <f>IF(Table1[[#This Row],[P_R6]]="","",Table1[Pu(kN)]/Table1[[#This Row],[P_R6]])</f>
        <v>1.1110570045956722</v>
      </c>
      <c r="BJ69" s="6">
        <v>0.8891</v>
      </c>
      <c r="BK69" s="6">
        <v>657.3</v>
      </c>
      <c r="BL69" s="5">
        <v>558.48</v>
      </c>
      <c r="BM69" s="6">
        <f>IF(Table1[[#This Row],[P_F7]]="","",Table1[Pu(kN)]/Table1[[#This Row],[P_F7]])</f>
        <v>1.3073341928090532</v>
      </c>
      <c r="BN69" s="6">
        <v>0.2394</v>
      </c>
      <c r="BO69" s="6">
        <v>558.48</v>
      </c>
      <c r="BP69" s="5">
        <v>544.64</v>
      </c>
      <c r="BQ69" s="6">
        <f>IF(Table1[[#This Row],[P_F8]]="","",Table1[Pu(kN)]/Table1[[#This Row],[P_F8]])</f>
        <v>1.3405552291421856</v>
      </c>
      <c r="BR69" s="6">
        <v>0.30990000000000001</v>
      </c>
      <c r="BS69" s="6">
        <v>544.64</v>
      </c>
      <c r="BT69" s="5">
        <v>669.58</v>
      </c>
      <c r="BU69" s="6">
        <f>IF(Table1[[#This Row],[P_R7]]="","",Table1[Pu(kN)]/Table1[[#This Row],[P_R7]])</f>
        <v>1.0904148869440544</v>
      </c>
      <c r="BV69" s="6">
        <v>0.93259999999999998</v>
      </c>
      <c r="BW69" s="6">
        <v>669.58</v>
      </c>
      <c r="BX69" s="5">
        <v>513.32000000000005</v>
      </c>
      <c r="BY69" s="6">
        <f>IF(Table1[[#This Row],[P_F9]]="","",Table1[Pu(kN)]/Table1[[#This Row],[P_F9]])</f>
        <v>1.4223486324320112</v>
      </c>
      <c r="BZ69" s="6">
        <v>0.29759999999999998</v>
      </c>
      <c r="CA69" s="7">
        <v>513.32000000000005</v>
      </c>
      <c r="CB69" s="5">
        <v>657.38</v>
      </c>
      <c r="CC69" s="6">
        <f>IF(Table1[[#This Row],[P_R8]]="","",Table1[Pu(kN)]/Table1[[#This Row],[P_R8]])</f>
        <v>1.1106513736347319</v>
      </c>
      <c r="CD69" s="6">
        <v>0.8992</v>
      </c>
      <c r="CE69" s="6">
        <v>657.38</v>
      </c>
      <c r="CF69" s="5">
        <v>638.54</v>
      </c>
      <c r="CG69">
        <f>IF(Table1[[#This Row],[P_R9]]="","",Table1[Pu(kN)]/Table1[[#This Row],[P_R9]])</f>
        <v>1.1434209289942683</v>
      </c>
      <c r="CH69">
        <v>0.75390000000000001</v>
      </c>
      <c r="CI69">
        <v>638.54</v>
      </c>
      <c r="CJ69" s="5">
        <v>510.08</v>
      </c>
      <c r="CK69" s="6">
        <f>IF(Table1[[#This Row],[P_F10]]="","",Table1[Pu(kN)]/Table1[[#This Row],[P_F10]])</f>
        <v>1.4313833124215809</v>
      </c>
      <c r="CL69">
        <f t="shared" si="0"/>
        <v>0.75390000000000001</v>
      </c>
      <c r="CM69">
        <f t="shared" si="1"/>
        <v>1277.08</v>
      </c>
      <c r="CN69" s="39">
        <f>Table1[[#This Row],[P_R8]]</f>
        <v>657.38</v>
      </c>
      <c r="CO69" s="38">
        <f>Table1[[#This Row],[Pu(kN)]]/Table1[[#This Row],[P_R8_2]]</f>
        <v>1.1106513736347319</v>
      </c>
      <c r="CP69" s="38">
        <f>Table1[[#This Row],[DUCTIL_R8]]</f>
        <v>0.8992</v>
      </c>
      <c r="CQ69" s="38">
        <f>Table1[[#This Row],[P_R8_2]]</f>
        <v>657.38</v>
      </c>
    </row>
    <row r="70" spans="1:95" x14ac:dyDescent="0.3">
      <c r="A70" s="26" t="s">
        <v>71</v>
      </c>
      <c r="B70" s="18" t="s">
        <v>97</v>
      </c>
      <c r="C70" s="18" t="s">
        <v>61</v>
      </c>
      <c r="D70" s="18">
        <v>2015</v>
      </c>
      <c r="E70" s="18" t="s">
        <v>90</v>
      </c>
      <c r="F70" s="18">
        <v>85.6</v>
      </c>
      <c r="G70" s="22">
        <v>4.26</v>
      </c>
      <c r="H70" s="18">
        <v>1200</v>
      </c>
      <c r="I70" s="18">
        <v>335</v>
      </c>
      <c r="J70" s="22">
        <f>Table1[[#This Row],[a'[mm']]]/Table1[[#This Row],[d'[mm']]]</f>
        <v>3.5820895522388061</v>
      </c>
      <c r="K70" s="18">
        <v>400</v>
      </c>
      <c r="L70" s="18" t="s">
        <v>28</v>
      </c>
      <c r="M70" s="18">
        <v>901.4</v>
      </c>
      <c r="N70" s="18" t="s">
        <v>130</v>
      </c>
      <c r="O70" s="18" t="s">
        <v>131</v>
      </c>
      <c r="P70" s="5">
        <v>471.8</v>
      </c>
      <c r="Q70" s="6">
        <f>IF(Table1[[#This Row],[P_F1]]="","",Table1[Pu(kN)]/Table1[[#This Row],[P_F1]])</f>
        <v>1.9105553200508689</v>
      </c>
      <c r="R70">
        <v>0.12</v>
      </c>
      <c r="S70">
        <v>471.8</v>
      </c>
      <c r="T70" s="5">
        <v>778.2</v>
      </c>
      <c r="U70" s="6">
        <f>IF(Table1[[#This Row],[P_R1]]="","",Table1[Pu(kN)]/Table1[[#This Row],[P_R1]])</f>
        <v>1.1583140580827549</v>
      </c>
      <c r="V70">
        <v>0.6401</v>
      </c>
      <c r="W70">
        <v>780.22</v>
      </c>
      <c r="X70" s="5">
        <v>512.1</v>
      </c>
      <c r="Y70" s="6">
        <f>IF(Table1[[#This Row],[P_F2]]="","",Table1[Pu(kN)]/Table1[[#This Row],[P_F2]])</f>
        <v>1.7602030853348953</v>
      </c>
      <c r="Z70">
        <v>0.318</v>
      </c>
      <c r="AA70">
        <v>512.1</v>
      </c>
      <c r="AB70" s="10">
        <v>821.38</v>
      </c>
      <c r="AC70" s="8">
        <f>IF(Table1[[#This Row],[P_R2]]="","",Table1[Pu(kN)]/Table1[[#This Row],[P_R2]])</f>
        <v>1.0974214127444057</v>
      </c>
      <c r="AD70">
        <v>0.8972</v>
      </c>
      <c r="AE70" s="9">
        <v>821.48</v>
      </c>
      <c r="AF70" s="2">
        <v>497.88</v>
      </c>
      <c r="AG70" s="2">
        <f>IF(Table1[[#This Row],[P_F3]]="","",Table1[Pu(kN)]/Table1[[#This Row],[P_F3]])</f>
        <v>1.8104764200208885</v>
      </c>
      <c r="AH70" s="2">
        <v>0.2351</v>
      </c>
      <c r="AI70" s="8">
        <v>502.48</v>
      </c>
      <c r="AJ70" s="10">
        <v>820.42</v>
      </c>
      <c r="AK70" s="8">
        <f>IF(Table1[[#This Row],[P_R3]]="","",Table1[Pu(kN)]/Table1[[#This Row],[P_R3]])</f>
        <v>1.0987055410643329</v>
      </c>
      <c r="AL70" s="8">
        <v>0.8911</v>
      </c>
      <c r="AM70" s="9">
        <v>820.42</v>
      </c>
      <c r="AN70" s="10">
        <v>719.76</v>
      </c>
      <c r="AO70" s="8">
        <f>IF(Table1[[#This Row],[P_R4]]="","",Table1[Pu(kN)]/Table1[[#This Row],[P_R4]])</f>
        <v>1.2523618984105813</v>
      </c>
      <c r="AP70" s="8">
        <v>0.47749999999999998</v>
      </c>
      <c r="AQ70" s="9">
        <v>723.46</v>
      </c>
      <c r="AR70">
        <v>465.54</v>
      </c>
      <c r="AS70">
        <f>IF(Table1[[#This Row],[P_F4]]="","",Table1[Pu(kN)]/Table1[[#This Row],[P_F4]])</f>
        <v>1.9362460798212826</v>
      </c>
      <c r="AT70">
        <v>0.28139999999999998</v>
      </c>
      <c r="AU70" s="7">
        <v>465.54</v>
      </c>
      <c r="AV70">
        <v>490.1</v>
      </c>
      <c r="AW70">
        <f>IF(Table1[[#This Row],[P_F5]]="","",Table1[Pu(kN)]/Table1[[#This Row],[P_F5]])</f>
        <v>1.8392164864313405</v>
      </c>
      <c r="AX70">
        <v>0.28000000000000003</v>
      </c>
      <c r="AY70" s="7">
        <v>494.38</v>
      </c>
      <c r="AZ70">
        <v>814.2</v>
      </c>
      <c r="BA70">
        <f>IF(Table1[[#This Row],[P_R5]]="","",Table1[Pu(kN)]/Table1[[#This Row],[P_R5]])</f>
        <v>1.107098992876443</v>
      </c>
      <c r="BB70">
        <v>0.89549999999999996</v>
      </c>
      <c r="BC70">
        <v>814.56</v>
      </c>
      <c r="BD70" s="5">
        <v>473.56</v>
      </c>
      <c r="BE70" s="6">
        <f>IF(Table1[[#This Row],[P_F6]]="","",Table1[Pu(kN)]/Table1[[#This Row],[P_F6]])</f>
        <v>1.9034546836726074</v>
      </c>
      <c r="BF70" s="6">
        <v>0.37340000000000001</v>
      </c>
      <c r="BG70" s="6">
        <v>473.56</v>
      </c>
      <c r="BH70" s="5">
        <v>767.42</v>
      </c>
      <c r="BI70" s="6">
        <f>IF(Table1[[#This Row],[P_R6]]="","",Table1[Pu(kN)]/Table1[[#This Row],[P_R6]])</f>
        <v>1.1745849730265043</v>
      </c>
      <c r="BJ70" s="6">
        <v>0.5927</v>
      </c>
      <c r="BK70" s="6">
        <v>770.52</v>
      </c>
      <c r="BL70" s="5">
        <v>554.96</v>
      </c>
      <c r="BM70" s="6">
        <f>IF(Table1[[#This Row],[P_F7]]="","",Table1[Pu(kN)]/Table1[[#This Row],[P_F7]])</f>
        <v>1.6242612080149919</v>
      </c>
      <c r="BN70" s="6">
        <v>0.15409999999999999</v>
      </c>
      <c r="BO70" s="6">
        <v>554.96</v>
      </c>
      <c r="BP70" s="5">
        <v>436.84</v>
      </c>
      <c r="BQ70" s="6">
        <f>IF(Table1[[#This Row],[P_F8]]="","",Table1[Pu(kN)]/Table1[[#This Row],[P_F8]])</f>
        <v>2.0634557274974821</v>
      </c>
      <c r="BR70" s="6">
        <v>8.8599999999999998E-2</v>
      </c>
      <c r="BS70" s="6">
        <v>439.46</v>
      </c>
      <c r="BT70" s="5">
        <v>781.26</v>
      </c>
      <c r="BU70" s="6">
        <f>IF(Table1[[#This Row],[P_R7]]="","",Table1[Pu(kN)]/Table1[[#This Row],[P_R7]])</f>
        <v>1.1537772316514348</v>
      </c>
      <c r="BV70" s="6">
        <v>0.6804</v>
      </c>
      <c r="BW70" s="6">
        <v>783.08</v>
      </c>
      <c r="BX70" s="5">
        <v>462.42</v>
      </c>
      <c r="BY70" s="6">
        <f>IF(Table1[[#This Row],[P_F9]]="","",Table1[Pu(kN)]/Table1[[#This Row],[P_F9]])</f>
        <v>1.9493101509450281</v>
      </c>
      <c r="BZ70" s="6">
        <v>0.2472</v>
      </c>
      <c r="CA70" s="7">
        <v>462.42</v>
      </c>
      <c r="CB70" s="5">
        <v>802.62</v>
      </c>
      <c r="CC70" s="6">
        <f>IF(Table1[[#This Row],[P_R8]]="","",Table1[Pu(kN)]/Table1[[#This Row],[P_R8]])</f>
        <v>1.1230719393984701</v>
      </c>
      <c r="CD70" s="6">
        <v>0.80159999999999998</v>
      </c>
      <c r="CE70" s="6">
        <v>803.3</v>
      </c>
      <c r="CF70" s="5">
        <v>744</v>
      </c>
      <c r="CG70">
        <f>IF(Table1[[#This Row],[P_R9]]="","",Table1[Pu(kN)]/Table1[[#This Row],[P_R9]])</f>
        <v>1.2115591397849461</v>
      </c>
      <c r="CH70">
        <v>0.54330000000000001</v>
      </c>
      <c r="CI70">
        <v>746.88</v>
      </c>
      <c r="CJ70" s="5">
        <v>518.36</v>
      </c>
      <c r="CK70" s="6">
        <f>IF(Table1[[#This Row],[P_F10]]="","",Table1[Pu(kN)]/Table1[[#This Row],[P_F10]])</f>
        <v>1.738945906319932</v>
      </c>
      <c r="CL70">
        <f t="shared" si="0"/>
        <v>0.54330000000000001</v>
      </c>
      <c r="CM70">
        <f t="shared" si="1"/>
        <v>1493.76</v>
      </c>
      <c r="CN70" s="39">
        <f>Table1[[#This Row],[P_R8]]</f>
        <v>802.62</v>
      </c>
      <c r="CO70" s="38">
        <f>Table1[[#This Row],[Pu(kN)]]/Table1[[#This Row],[P_R8_2]]</f>
        <v>1.1230719393984701</v>
      </c>
      <c r="CP70" s="38">
        <f>Table1[[#This Row],[DUCTIL_R8]]</f>
        <v>0.80159999999999998</v>
      </c>
      <c r="CQ70" s="38">
        <f>Table1[[#This Row],[P_R8_2]]</f>
        <v>802.62</v>
      </c>
    </row>
    <row r="71" spans="1:95" x14ac:dyDescent="0.3">
      <c r="A71" s="27" t="s">
        <v>72</v>
      </c>
      <c r="B71" s="20" t="s">
        <v>97</v>
      </c>
      <c r="C71" s="20" t="s">
        <v>61</v>
      </c>
      <c r="D71" s="18">
        <v>2015</v>
      </c>
      <c r="E71" s="20" t="s">
        <v>90</v>
      </c>
      <c r="F71" s="20">
        <v>88.1</v>
      </c>
      <c r="G71" s="23">
        <v>5.31</v>
      </c>
      <c r="H71" s="20">
        <v>1200</v>
      </c>
      <c r="I71" s="20">
        <v>322</v>
      </c>
      <c r="J71" s="23">
        <f>Table1[[#This Row],[a'[mm']]]/Table1[[#This Row],[d'[mm']]]</f>
        <v>3.7267080745341614</v>
      </c>
      <c r="K71" s="20">
        <v>400</v>
      </c>
      <c r="L71" s="20" t="s">
        <v>28</v>
      </c>
      <c r="M71" s="20">
        <v>880.6</v>
      </c>
      <c r="N71" s="20" t="s">
        <v>130</v>
      </c>
      <c r="O71" s="20" t="s">
        <v>131</v>
      </c>
      <c r="P71" s="5">
        <v>497.6</v>
      </c>
      <c r="Q71" s="6">
        <f>IF(Table1[[#This Row],[P_F1]]="","",Table1[Pu(kN)]/Table1[[#This Row],[P_F1]])</f>
        <v>1.7696945337620578</v>
      </c>
      <c r="R71">
        <v>0.2732</v>
      </c>
      <c r="S71">
        <v>497.6</v>
      </c>
      <c r="T71" s="5">
        <v>873.94</v>
      </c>
      <c r="U71" s="6">
        <f>IF(Table1[[#This Row],[P_R1]]="","",Table1[Pu(kN)]/Table1[[#This Row],[P_R1]])</f>
        <v>1.0076206604572395</v>
      </c>
      <c r="V71">
        <v>0.55159999999999998</v>
      </c>
      <c r="W71">
        <v>877.42</v>
      </c>
      <c r="X71" s="5">
        <v>520.12</v>
      </c>
      <c r="Y71" s="6">
        <f>IF(Table1[[#This Row],[P_F2]]="","",Table1[Pu(kN)]/Table1[[#This Row],[P_F2]])</f>
        <v>1.6930708298085058</v>
      </c>
      <c r="Z71">
        <v>0.27460000000000001</v>
      </c>
      <c r="AA71">
        <v>524.91999999999996</v>
      </c>
      <c r="AB71" s="10">
        <v>851.66</v>
      </c>
      <c r="AC71" s="8">
        <f>IF(Table1[[#This Row],[P_R2]]="","",Table1[Pu(kN)]/Table1[[#This Row],[P_R2]])</f>
        <v>1.0339806965220864</v>
      </c>
      <c r="AD71">
        <v>0.52529999999999999</v>
      </c>
      <c r="AE71" s="9">
        <v>854.86</v>
      </c>
      <c r="AF71" s="2">
        <v>588.82000000000005</v>
      </c>
      <c r="AG71" s="2">
        <f>IF(Table1[[#This Row],[P_F3]]="","",Table1[Pu(kN)]/Table1[[#This Row],[P_F3]])</f>
        <v>1.4955334397608775</v>
      </c>
      <c r="AH71" s="2">
        <v>0.35920000000000002</v>
      </c>
      <c r="AI71" s="8">
        <v>592.67999999999995</v>
      </c>
      <c r="AJ71" s="10">
        <v>877.88</v>
      </c>
      <c r="AK71" s="8">
        <f>IF(Table1[[#This Row],[P_R3]]="","",Table1[Pu(kN)]/Table1[[#This Row],[P_R3]])</f>
        <v>1.0030983733539891</v>
      </c>
      <c r="AL71" s="8">
        <v>0.59550000000000003</v>
      </c>
      <c r="AM71" s="9">
        <v>881.32</v>
      </c>
      <c r="AN71" s="10">
        <v>866.3</v>
      </c>
      <c r="AO71" s="8">
        <f>IF(Table1[[#This Row],[P_R4]]="","",Table1[Pu(kN)]/Table1[[#This Row],[P_R4]])</f>
        <v>1.0165069837238832</v>
      </c>
      <c r="AP71" s="8">
        <v>0.56140000000000001</v>
      </c>
      <c r="AQ71" s="9">
        <v>869.02</v>
      </c>
      <c r="AR71">
        <v>528.46</v>
      </c>
      <c r="AS71">
        <f>IF(Table1[[#This Row],[P_F4]]="","",Table1[Pu(kN)]/Table1[[#This Row],[P_F4]])</f>
        <v>1.666351284865458</v>
      </c>
      <c r="AT71">
        <v>0.2366</v>
      </c>
      <c r="AU71" s="7">
        <v>534.58000000000004</v>
      </c>
      <c r="AV71">
        <v>567.1</v>
      </c>
      <c r="AW71">
        <f>IF(Table1[[#This Row],[P_F5]]="","",Table1[Pu(kN)]/Table1[[#This Row],[P_F5]])</f>
        <v>1.5528125551049197</v>
      </c>
      <c r="AX71">
        <v>0.1416</v>
      </c>
      <c r="AY71" s="7">
        <v>573.54</v>
      </c>
      <c r="AZ71">
        <v>863.32</v>
      </c>
      <c r="BA71">
        <f>IF(Table1[[#This Row],[P_R5]]="","",Table1[Pu(kN)]/Table1[[#This Row],[P_R5]])</f>
        <v>1.0200157531390446</v>
      </c>
      <c r="BB71">
        <v>0.62150000000000005</v>
      </c>
      <c r="BC71">
        <v>867.2</v>
      </c>
      <c r="BD71" s="5">
        <v>562.64</v>
      </c>
      <c r="BE71" s="6">
        <f>IF(Table1[[#This Row],[P_F6]]="","",Table1[Pu(kN)]/Table1[[#This Row],[P_F6]])</f>
        <v>1.5651215697426419</v>
      </c>
      <c r="BF71" s="6">
        <v>8.6599999999999996E-2</v>
      </c>
      <c r="BG71" s="6">
        <v>562.64</v>
      </c>
      <c r="BH71" s="5">
        <v>827.8</v>
      </c>
      <c r="BI71" s="6">
        <f>IF(Table1[[#This Row],[P_R6]]="","",Table1[Pu(kN)]/Table1[[#This Row],[P_R6]])</f>
        <v>1.0637835225899976</v>
      </c>
      <c r="BJ71" s="6">
        <v>0.42280000000000001</v>
      </c>
      <c r="BK71" s="6">
        <v>831.98</v>
      </c>
      <c r="BL71" s="5">
        <v>565.34</v>
      </c>
      <c r="BM71" s="6">
        <f>IF(Table1[[#This Row],[P_F7]]="","",Table1[Pu(kN)]/Table1[[#This Row],[P_F7]])</f>
        <v>1.5576467258640818</v>
      </c>
      <c r="BN71" s="6">
        <v>0.215</v>
      </c>
      <c r="BO71" s="6">
        <v>565.34</v>
      </c>
      <c r="BP71" s="5">
        <v>580.29999999999995</v>
      </c>
      <c r="BQ71" s="6">
        <f>IF(Table1[[#This Row],[P_F8]]="","",Table1[Pu(kN)]/Table1[[#This Row],[P_F8]])</f>
        <v>1.5174909529553682</v>
      </c>
      <c r="BR71" s="6">
        <v>0.43840000000000001</v>
      </c>
      <c r="BS71" s="6">
        <v>580.29999999999995</v>
      </c>
      <c r="BT71" s="5">
        <v>836.92</v>
      </c>
      <c r="BU71" s="6">
        <f>IF(Table1[[#This Row],[P_R7]]="","",Table1[Pu(kN)]/Table1[[#This Row],[P_R7]])</f>
        <v>1.052191368350619</v>
      </c>
      <c r="BV71" s="6">
        <v>0.50109999999999999</v>
      </c>
      <c r="BW71" s="6">
        <v>841.1</v>
      </c>
      <c r="BX71" s="5">
        <v>575.36</v>
      </c>
      <c r="BY71" s="6">
        <f>IF(Table1[[#This Row],[P_F9]]="","",Table1[Pu(kN)]/Table1[[#This Row],[P_F9]])</f>
        <v>1.5305200222469411</v>
      </c>
      <c r="BZ71" s="6">
        <v>0.38429999999999997</v>
      </c>
      <c r="CA71" s="7">
        <v>575.36</v>
      </c>
      <c r="CB71" s="5">
        <v>865.36</v>
      </c>
      <c r="CC71" s="6">
        <f>IF(Table1[[#This Row],[P_R8]]="","",Table1[Pu(kN)]/Table1[[#This Row],[P_R8]])</f>
        <v>1.0176111676065454</v>
      </c>
      <c r="CD71" s="6">
        <v>0.56269999999999998</v>
      </c>
      <c r="CE71" s="6">
        <v>865.36</v>
      </c>
      <c r="CF71" s="5">
        <v>881.78</v>
      </c>
      <c r="CG71">
        <f>IF(Table1[[#This Row],[P_R9]]="","",Table1[Pu(kN)]/Table1[[#This Row],[P_R9]])</f>
        <v>0.99866179772732433</v>
      </c>
      <c r="CH71">
        <v>0.58830000000000005</v>
      </c>
      <c r="CI71">
        <v>881.78</v>
      </c>
      <c r="CJ71" s="5">
        <v>558.54</v>
      </c>
      <c r="CK71" s="6">
        <f>IF(Table1[[#This Row],[P_F10]]="","",Table1[Pu(kN)]/Table1[[#This Row],[P_F10]])</f>
        <v>1.5766104486697463</v>
      </c>
      <c r="CL71">
        <f t="shared" si="0"/>
        <v>0.58830000000000005</v>
      </c>
      <c r="CM71">
        <f t="shared" si="1"/>
        <v>1763.56</v>
      </c>
      <c r="CN71" s="39">
        <f>Table1[[#This Row],[P_R8]]</f>
        <v>865.36</v>
      </c>
      <c r="CO71" s="38">
        <f>Table1[[#This Row],[Pu(kN)]]/Table1[[#This Row],[P_R8_2]]</f>
        <v>1.0176111676065454</v>
      </c>
      <c r="CP71" s="38">
        <f>Table1[[#This Row],[DUCTIL_R8]]</f>
        <v>0.56269999999999998</v>
      </c>
      <c r="CQ71" s="38">
        <f>Table1[[#This Row],[P_R8_2]]</f>
        <v>865.36</v>
      </c>
    </row>
    <row r="72" spans="1:95" x14ac:dyDescent="0.3">
      <c r="A72" s="26" t="s">
        <v>73</v>
      </c>
      <c r="B72" s="18" t="s">
        <v>97</v>
      </c>
      <c r="C72" s="18" t="s">
        <v>61</v>
      </c>
      <c r="D72" s="18">
        <v>2015</v>
      </c>
      <c r="E72" s="18" t="s">
        <v>90</v>
      </c>
      <c r="F72" s="18">
        <v>114.5</v>
      </c>
      <c r="G72" s="22">
        <v>2.2000000000000002</v>
      </c>
      <c r="H72" s="18">
        <v>1200</v>
      </c>
      <c r="I72" s="18">
        <v>357.5</v>
      </c>
      <c r="J72" s="22">
        <f>Table1[[#This Row],[a'[mm']]]/Table1[[#This Row],[d'[mm']]]</f>
        <v>3.3566433566433567</v>
      </c>
      <c r="K72" s="18">
        <v>400</v>
      </c>
      <c r="L72" s="18" t="s">
        <v>28</v>
      </c>
      <c r="M72" s="18">
        <v>605</v>
      </c>
      <c r="N72" s="18" t="s">
        <v>130</v>
      </c>
      <c r="O72" s="18" t="s">
        <v>131</v>
      </c>
      <c r="P72" s="5">
        <v>418.92</v>
      </c>
      <c r="Q72" s="6">
        <f>IF(Table1[[#This Row],[P_F1]]="","",Table1[Pu(kN)]/Table1[[#This Row],[P_F1]])</f>
        <v>1.4441898214456219</v>
      </c>
      <c r="R72">
        <v>0.1173</v>
      </c>
      <c r="S72">
        <v>419</v>
      </c>
      <c r="T72" s="5">
        <v>506.4</v>
      </c>
      <c r="U72" s="6">
        <f>IF(Table1[[#This Row],[P_R1]]="","",Table1[Pu(kN)]/Table1[[#This Row],[P_R1]])</f>
        <v>1.1947077409162719</v>
      </c>
      <c r="V72">
        <v>0.94220000000000004</v>
      </c>
      <c r="W72">
        <v>506.48</v>
      </c>
      <c r="X72" s="5">
        <v>477.44</v>
      </c>
      <c r="Y72" s="6">
        <f>IF(Table1[[#This Row],[P_F2]]="","",Table1[Pu(kN)]/Table1[[#This Row],[P_F2]])</f>
        <v>1.2671749329758712</v>
      </c>
      <c r="Z72">
        <v>0.499</v>
      </c>
      <c r="AA72">
        <v>478.22</v>
      </c>
      <c r="AB72" s="10">
        <v>506.84</v>
      </c>
      <c r="AC72" s="8">
        <f>IF(Table1[[#This Row],[P_R2]]="","",Table1[Pu(kN)]/Table1[[#This Row],[P_R2]])</f>
        <v>1.1936705863783443</v>
      </c>
      <c r="AD72">
        <v>0.94289999999999996</v>
      </c>
      <c r="AE72" s="9">
        <v>506.84</v>
      </c>
      <c r="AF72" s="2">
        <v>466.36</v>
      </c>
      <c r="AG72" s="2">
        <f>IF(Table1[[#This Row],[P_F3]]="","",Table1[Pu(kN)]/Table1[[#This Row],[P_F3]])</f>
        <v>1.2972810704177031</v>
      </c>
      <c r="AH72" s="2">
        <v>0.40749999999999997</v>
      </c>
      <c r="AI72" s="8">
        <v>466.36</v>
      </c>
      <c r="AJ72" s="10">
        <v>506.2</v>
      </c>
      <c r="AK72" s="8">
        <f>IF(Table1[[#This Row],[P_R3]]="","",Table1[Pu(kN)]/Table1[[#This Row],[P_R3]])</f>
        <v>1.1951797708415646</v>
      </c>
      <c r="AL72" s="8">
        <v>0.94230000000000003</v>
      </c>
      <c r="AM72" s="9">
        <v>506.2</v>
      </c>
      <c r="AN72" s="10">
        <v>493.76</v>
      </c>
      <c r="AO72" s="8">
        <f>IF(Table1[[#This Row],[P_R4]]="","",Table1[Pu(kN)]/Table1[[#This Row],[P_R4]])</f>
        <v>1.2252916396629943</v>
      </c>
      <c r="AP72" s="8">
        <v>0.88490000000000002</v>
      </c>
      <c r="AQ72" s="9">
        <v>493.76</v>
      </c>
      <c r="AR72">
        <v>504.64</v>
      </c>
      <c r="AS72">
        <f>IF(Table1[[#This Row],[P_F4]]="","",Table1[Pu(kN)]/Table1[[#This Row],[P_F4]])</f>
        <v>1.1988744451490172</v>
      </c>
      <c r="AT72">
        <v>0.8669</v>
      </c>
      <c r="AU72" s="7">
        <v>504.88</v>
      </c>
      <c r="AV72">
        <v>473.4</v>
      </c>
      <c r="AW72">
        <f>IF(Table1[[#This Row],[P_F5]]="","",Table1[Pu(kN)]/Table1[[#This Row],[P_F5]])</f>
        <v>1.2779890156316012</v>
      </c>
      <c r="AX72">
        <v>0.35449999999999998</v>
      </c>
      <c r="AY72" s="7">
        <v>473.94</v>
      </c>
      <c r="AZ72">
        <v>505.12</v>
      </c>
      <c r="BA72">
        <f>IF(Table1[[#This Row],[P_R5]]="","",Table1[Pu(kN)]/Table1[[#This Row],[P_R5]])</f>
        <v>1.1977351916376306</v>
      </c>
      <c r="BB72">
        <v>0.95130000000000003</v>
      </c>
      <c r="BC72">
        <v>505.12</v>
      </c>
      <c r="BD72" s="5">
        <v>497.9</v>
      </c>
      <c r="BE72" s="6">
        <f>IF(Table1[[#This Row],[P_F6]]="","",Table1[Pu(kN)]/Table1[[#This Row],[P_F6]])</f>
        <v>1.2151034344245832</v>
      </c>
      <c r="BF72" s="6">
        <v>0.80969999999999998</v>
      </c>
      <c r="BG72" s="6">
        <v>497.9</v>
      </c>
      <c r="BH72" s="5">
        <v>507.48</v>
      </c>
      <c r="BI72" s="6">
        <f>IF(Table1[[#This Row],[P_R6]]="","",Table1[Pu(kN)]/Table1[[#This Row],[P_R6]])</f>
        <v>1.1921652084811223</v>
      </c>
      <c r="BJ72" s="6">
        <v>0.94130000000000003</v>
      </c>
      <c r="BK72" s="6">
        <v>507.48</v>
      </c>
      <c r="BL72" s="5">
        <v>505.88</v>
      </c>
      <c r="BM72" s="6">
        <f>IF(Table1[[#This Row],[P_F7]]="","",Table1[Pu(kN)]/Table1[[#This Row],[P_F7]])</f>
        <v>1.1959357950502096</v>
      </c>
      <c r="BN72" s="6">
        <v>0.86950000000000005</v>
      </c>
      <c r="BO72" s="6">
        <v>505.88</v>
      </c>
      <c r="BP72" s="5">
        <v>428.32</v>
      </c>
      <c r="BQ72" s="6">
        <f>IF(Table1[[#This Row],[P_F8]]="","",Table1[Pu(kN)]/Table1[[#This Row],[P_F8]])</f>
        <v>1.4124953305939485</v>
      </c>
      <c r="BR72" s="6">
        <v>0.2175</v>
      </c>
      <c r="BS72" s="6">
        <v>428.32</v>
      </c>
      <c r="BT72" s="5">
        <v>504.9</v>
      </c>
      <c r="BU72" s="6">
        <f>IF(Table1[[#This Row],[P_R7]]="","",Table1[Pu(kN)]/Table1[[#This Row],[P_R7]])</f>
        <v>1.1982570806100219</v>
      </c>
      <c r="BV72" s="6">
        <v>0.94259999999999999</v>
      </c>
      <c r="BW72" s="6">
        <v>504.9</v>
      </c>
      <c r="BX72" s="5">
        <v>481.56</v>
      </c>
      <c r="BY72" s="6">
        <f>IF(Table1[[#This Row],[P_F9]]="","",Table1[Pu(kN)]/Table1[[#This Row],[P_F9]])</f>
        <v>1.2563335825234654</v>
      </c>
      <c r="BZ72" s="6">
        <v>0.6099</v>
      </c>
      <c r="CA72" s="7">
        <v>481.56</v>
      </c>
      <c r="CB72" s="5">
        <v>490.08</v>
      </c>
      <c r="CC72" s="6">
        <f>IF(Table1[[#This Row],[P_R8]]="","",Table1[Pu(kN)]/Table1[[#This Row],[P_R8]])</f>
        <v>1.2344923277832192</v>
      </c>
      <c r="CD72" s="6">
        <v>0.85699999999999998</v>
      </c>
      <c r="CE72" s="6">
        <v>490.08</v>
      </c>
      <c r="CF72" s="5">
        <v>493.28</v>
      </c>
      <c r="CG72">
        <f>IF(Table1[[#This Row],[P_R9]]="","",Table1[Pu(kN)]/Table1[[#This Row],[P_R9]])</f>
        <v>1.2264839442101849</v>
      </c>
      <c r="CH72">
        <v>0.8841</v>
      </c>
      <c r="CI72">
        <v>493.28</v>
      </c>
      <c r="CJ72" s="5">
        <v>450.78</v>
      </c>
      <c r="CK72" s="6">
        <f>IF(Table1[[#This Row],[P_F10]]="","",Table1[Pu(kN)]/Table1[[#This Row],[P_F10]])</f>
        <v>1.3421181063933627</v>
      </c>
      <c r="CL72">
        <f t="shared" si="0"/>
        <v>0.8841</v>
      </c>
      <c r="CM72">
        <f t="shared" si="1"/>
        <v>986.56</v>
      </c>
      <c r="CN72" s="39">
        <f>Table1[[#This Row],[P_R8]]</f>
        <v>490.08</v>
      </c>
      <c r="CO72" s="38">
        <f>Table1[[#This Row],[Pu(kN)]]/Table1[[#This Row],[P_R8_2]]</f>
        <v>1.2344923277832192</v>
      </c>
      <c r="CP72" s="38">
        <f>Table1[[#This Row],[DUCTIL_R8]]</f>
        <v>0.85699999999999998</v>
      </c>
      <c r="CQ72" s="38">
        <f>Table1[[#This Row],[P_R8_2]]</f>
        <v>490.08</v>
      </c>
    </row>
    <row r="73" spans="1:95" x14ac:dyDescent="0.3">
      <c r="A73" s="27" t="s">
        <v>74</v>
      </c>
      <c r="B73" s="20" t="s">
        <v>97</v>
      </c>
      <c r="C73" s="20" t="s">
        <v>61</v>
      </c>
      <c r="D73" s="18">
        <v>2015</v>
      </c>
      <c r="E73" s="20" t="s">
        <v>90</v>
      </c>
      <c r="F73" s="20">
        <v>126.2</v>
      </c>
      <c r="G73" s="23">
        <v>2.2000000000000002</v>
      </c>
      <c r="H73" s="20">
        <v>1200</v>
      </c>
      <c r="I73" s="20">
        <v>357.5</v>
      </c>
      <c r="J73" s="23">
        <f>Table1[[#This Row],[a'[mm']]]/Table1[[#This Row],[d'[mm']]]</f>
        <v>3.3566433566433567</v>
      </c>
      <c r="K73" s="20">
        <v>400</v>
      </c>
      <c r="L73" s="20" t="s">
        <v>28</v>
      </c>
      <c r="M73" s="20">
        <v>595.20000000000005</v>
      </c>
      <c r="N73" s="20" t="s">
        <v>130</v>
      </c>
      <c r="O73" s="20" t="s">
        <v>131</v>
      </c>
      <c r="P73" s="5">
        <v>416.74</v>
      </c>
      <c r="Q73" s="6">
        <f>IF(Table1[[#This Row],[P_F1]]="","",Table1[Pu(kN)]/Table1[[#This Row],[P_F1]])</f>
        <v>1.4282286317608102</v>
      </c>
      <c r="R73">
        <v>5.8999999999999997E-2</v>
      </c>
      <c r="S73">
        <v>418.6</v>
      </c>
      <c r="T73" s="5">
        <v>506.76</v>
      </c>
      <c r="U73" s="6">
        <f>IF(Table1[[#This Row],[P_R1]]="","",Table1[Pu(kN)]/Table1[[#This Row],[P_R1]])</f>
        <v>1.1745204830689084</v>
      </c>
      <c r="V73">
        <v>0.9405</v>
      </c>
      <c r="W73">
        <v>506.76</v>
      </c>
      <c r="X73" s="5">
        <v>437.84</v>
      </c>
      <c r="Y73" s="6">
        <f>IF(Table1[[#This Row],[P_F2]]="","",Table1[Pu(kN)]/Table1[[#This Row],[P_F2]])</f>
        <v>1.3594006943175592</v>
      </c>
      <c r="Z73">
        <v>7.6700000000000004E-2</v>
      </c>
      <c r="AA73">
        <v>439.52</v>
      </c>
      <c r="AB73" s="10">
        <v>507.14</v>
      </c>
      <c r="AC73" s="8">
        <f>IF(Table1[[#This Row],[P_R2]]="","",Table1[Pu(kN)]/Table1[[#This Row],[P_R2]])</f>
        <v>1.1736404148755768</v>
      </c>
      <c r="AD73">
        <v>0.94030000000000002</v>
      </c>
      <c r="AE73" s="9">
        <v>507.14</v>
      </c>
      <c r="AF73" s="2">
        <v>509.3</v>
      </c>
      <c r="AG73" s="2">
        <f>IF(Table1[[#This Row],[P_F3]]="","",Table1[Pu(kN)]/Table1[[#This Row],[P_F3]])</f>
        <v>1.1686628706067153</v>
      </c>
      <c r="AH73" s="2">
        <v>0.87450000000000006</v>
      </c>
      <c r="AI73" s="8">
        <v>509.3</v>
      </c>
      <c r="AJ73" s="10">
        <v>506.82</v>
      </c>
      <c r="AK73" s="8">
        <f>IF(Table1[[#This Row],[P_R3]]="","",Table1[Pu(kN)]/Table1[[#This Row],[P_R3]])</f>
        <v>1.1743814371966379</v>
      </c>
      <c r="AL73" s="8">
        <v>0.93969999999999998</v>
      </c>
      <c r="AM73" s="9">
        <v>506.82</v>
      </c>
      <c r="AN73" s="10">
        <v>480.82</v>
      </c>
      <c r="AO73" s="8">
        <f>IF(Table1[[#This Row],[P_R4]]="","",Table1[Pu(kN)]/Table1[[#This Row],[P_R4]])</f>
        <v>1.2378852793145045</v>
      </c>
      <c r="AP73" s="8">
        <v>0.6915</v>
      </c>
      <c r="AQ73" s="9">
        <v>480.82</v>
      </c>
      <c r="AR73">
        <v>472.46</v>
      </c>
      <c r="AS73">
        <f>IF(Table1[[#This Row],[P_F4]]="","",Table1[Pu(kN)]/Table1[[#This Row],[P_F4]])</f>
        <v>1.2597891885027306</v>
      </c>
      <c r="AT73">
        <v>0.3427</v>
      </c>
      <c r="AU73" s="7">
        <v>472.94</v>
      </c>
      <c r="AV73">
        <v>492.9</v>
      </c>
      <c r="AW73">
        <f>IF(Table1[[#This Row],[P_F5]]="","",Table1[Pu(kN)]/Table1[[#This Row],[P_F5]])</f>
        <v>1.2075471698113209</v>
      </c>
      <c r="AX73">
        <v>0.71350000000000002</v>
      </c>
      <c r="AY73" s="7">
        <v>493.4</v>
      </c>
      <c r="AZ73">
        <v>505.68</v>
      </c>
      <c r="BA73">
        <f>IF(Table1[[#This Row],[P_R5]]="","",Table1[Pu(kN)]/Table1[[#This Row],[P_R5]])</f>
        <v>1.17702895111533</v>
      </c>
      <c r="BB73">
        <v>0.95069999999999999</v>
      </c>
      <c r="BC73">
        <v>505.68</v>
      </c>
      <c r="BD73" s="5">
        <v>520.78</v>
      </c>
      <c r="BE73" s="6">
        <f>IF(Table1[[#This Row],[P_F6]]="","",Table1[Pu(kN)]/Table1[[#This Row],[P_F6]])</f>
        <v>1.1429010330657861</v>
      </c>
      <c r="BF73" s="6">
        <v>0.94489999999999996</v>
      </c>
      <c r="BG73" s="6">
        <v>520.78</v>
      </c>
      <c r="BH73" s="5">
        <v>507.1</v>
      </c>
      <c r="BI73" s="6">
        <f>IF(Table1[[#This Row],[P_R6]]="","",Table1[Pu(kN)]/Table1[[#This Row],[P_R6]])</f>
        <v>1.1737329915204102</v>
      </c>
      <c r="BJ73" s="6">
        <v>0.93889999999999996</v>
      </c>
      <c r="BK73" s="6">
        <v>507.1</v>
      </c>
      <c r="BL73" s="5">
        <v>480.3</v>
      </c>
      <c r="BM73" s="6">
        <f>IF(Table1[[#This Row],[P_F7]]="","",Table1[Pu(kN)]/Table1[[#This Row],[P_F7]])</f>
        <v>1.2392254840724548</v>
      </c>
      <c r="BN73" s="6">
        <v>0.43330000000000002</v>
      </c>
      <c r="BO73" s="6">
        <v>480.74</v>
      </c>
      <c r="BP73" s="5">
        <v>446.16</v>
      </c>
      <c r="BQ73" s="6">
        <f>IF(Table1[[#This Row],[P_F8]]="","",Table1[Pu(kN)]/Table1[[#This Row],[P_F8]])</f>
        <v>1.3340505648197956</v>
      </c>
      <c r="BR73" s="6">
        <v>0.3145</v>
      </c>
      <c r="BS73" s="6">
        <v>446.16</v>
      </c>
      <c r="BT73" s="5">
        <v>506.3</v>
      </c>
      <c r="BU73" s="6">
        <f>IF(Table1[[#This Row],[P_R7]]="","",Table1[Pu(kN)]/Table1[[#This Row],[P_R7]])</f>
        <v>1.1755875962867866</v>
      </c>
      <c r="BV73" s="6">
        <v>0.94089999999999996</v>
      </c>
      <c r="BW73" s="6">
        <v>506.3</v>
      </c>
      <c r="BX73" s="5">
        <v>501.42</v>
      </c>
      <c r="BY73" s="6">
        <f>IF(Table1[[#This Row],[P_F9]]="","",Table1[Pu(kN)]/Table1[[#This Row],[P_F9]])</f>
        <v>1.1870288380997966</v>
      </c>
      <c r="BZ73" s="6">
        <v>0.83509999999999995</v>
      </c>
      <c r="CA73" s="7">
        <v>501.42</v>
      </c>
      <c r="CB73" s="5">
        <v>488.04</v>
      </c>
      <c r="CC73" s="6">
        <f>IF(Table1[[#This Row],[P_R8]]="","",Table1[Pu(kN)]/Table1[[#This Row],[P_R8]])</f>
        <v>1.219572166215884</v>
      </c>
      <c r="CD73" s="6">
        <v>0.82569999999999999</v>
      </c>
      <c r="CE73" s="6">
        <v>488.04</v>
      </c>
      <c r="CF73" s="5">
        <v>485.52</v>
      </c>
      <c r="CG73">
        <f>IF(Table1[[#This Row],[P_R9]]="","",Table1[Pu(kN)]/Table1[[#This Row],[P_R9]])</f>
        <v>1.2259021255561049</v>
      </c>
      <c r="CH73">
        <v>0.77890000000000004</v>
      </c>
      <c r="CI73">
        <v>485.52</v>
      </c>
      <c r="CJ73" s="5">
        <v>507.14</v>
      </c>
      <c r="CK73" s="6">
        <f>IF(Table1[[#This Row],[P_F10]]="","",Table1[Pu(kN)]/Table1[[#This Row],[P_F10]])</f>
        <v>1.1736404148755768</v>
      </c>
      <c r="CL73">
        <f t="shared" si="0"/>
        <v>0.77890000000000004</v>
      </c>
      <c r="CM73">
        <f t="shared" si="1"/>
        <v>971.04</v>
      </c>
      <c r="CN73" s="39">
        <f>Table1[[#This Row],[P_R8]]</f>
        <v>488.04</v>
      </c>
      <c r="CO73" s="38">
        <f>Table1[[#This Row],[Pu(kN)]]/Table1[[#This Row],[P_R8_2]]</f>
        <v>1.219572166215884</v>
      </c>
      <c r="CP73" s="38">
        <f>Table1[[#This Row],[DUCTIL_R8]]</f>
        <v>0.82569999999999999</v>
      </c>
      <c r="CQ73" s="38">
        <f>Table1[[#This Row],[P_R8_2]]</f>
        <v>488.04</v>
      </c>
    </row>
    <row r="74" spans="1:95" x14ac:dyDescent="0.3">
      <c r="A74" s="26" t="s">
        <v>27</v>
      </c>
      <c r="B74" s="18" t="s">
        <v>111</v>
      </c>
      <c r="C74" s="18" t="s">
        <v>30</v>
      </c>
      <c r="D74" s="18">
        <v>2015</v>
      </c>
      <c r="E74" s="18" t="s">
        <v>91</v>
      </c>
      <c r="F74" s="18">
        <v>53</v>
      </c>
      <c r="G74" s="22">
        <v>1.9</v>
      </c>
      <c r="H74" s="18">
        <v>1150</v>
      </c>
      <c r="I74" s="18">
        <v>459</v>
      </c>
      <c r="J74" s="22">
        <f>Table1[[#This Row],[a'[mm']]]/Table1[[#This Row],[d'[mm']]]</f>
        <v>2.505446623093682</v>
      </c>
      <c r="K74" s="18">
        <v>500</v>
      </c>
      <c r="L74" s="18" t="s">
        <v>293</v>
      </c>
      <c r="M74" s="18">
        <v>162</v>
      </c>
      <c r="N74" s="18" t="s">
        <v>130</v>
      </c>
      <c r="O74" s="18" t="s">
        <v>130</v>
      </c>
      <c r="P74" s="5">
        <f>2*80.893</f>
        <v>161.786</v>
      </c>
      <c r="Q74" s="6">
        <f>IF(Table1[[#This Row],[P_F1]]="","",Table1[Pu(kN)]/Table1[[#This Row],[P_F1]])</f>
        <v>1.0013227349708875</v>
      </c>
      <c r="R74" s="6">
        <v>0</v>
      </c>
      <c r="S74">
        <f>2*81.074</f>
        <v>162.148</v>
      </c>
      <c r="T74" s="5">
        <v>146.62200000000001</v>
      </c>
      <c r="U74" s="6">
        <f>IF(Table1[[#This Row],[P_R1]]="","",Table1[Pu(kN)]/Table1[[#This Row],[P_R1]])</f>
        <v>1.1048819413184923</v>
      </c>
      <c r="V74" s="6">
        <v>0</v>
      </c>
      <c r="W74">
        <v>148.80799999999999</v>
      </c>
      <c r="X74" s="5">
        <v>164.51</v>
      </c>
      <c r="Y74" s="6">
        <f>IF(Table1[[#This Row],[P_F2]]="","",Table1[Pu(kN)]/Table1[[#This Row],[P_F2]])</f>
        <v>0.98474256884080003</v>
      </c>
      <c r="Z74">
        <v>1.7399999999999999E-2</v>
      </c>
      <c r="AA74">
        <v>166.256</v>
      </c>
      <c r="AB74" s="5">
        <f>2*77.603</f>
        <v>155.20599999999999</v>
      </c>
      <c r="AC74" s="8">
        <f>IF(Table1[[#This Row],[P_R2]]="","",Table1[Pu(kN)]/Table1[[#This Row],[P_R2]])</f>
        <v>1.0437740808989344</v>
      </c>
      <c r="AD74">
        <v>1.9E-2</v>
      </c>
      <c r="AE74" s="9">
        <v>159.19200000000001</v>
      </c>
      <c r="AF74" s="2">
        <v>167.22800000000001</v>
      </c>
      <c r="AG74" s="2">
        <f>IF(Table1[[#This Row],[P_F3]]="","",Table1[Pu(kN)]/Table1[[#This Row],[P_F3]])</f>
        <v>0.96873729279785681</v>
      </c>
      <c r="AH74" s="2">
        <v>1.2800000000000001E-2</v>
      </c>
      <c r="AI74" s="8">
        <v>167.22800000000001</v>
      </c>
      <c r="AJ74" s="10">
        <v>157.06399999999999</v>
      </c>
      <c r="AK74" s="8">
        <f>IF(Table1[[#This Row],[P_R3]]="","",Table1[Pu(kN)]/Table1[[#This Row],[P_R3]])</f>
        <v>1.0314266795701117</v>
      </c>
      <c r="AL74" s="8">
        <v>1.7000000000000001E-2</v>
      </c>
      <c r="AM74" s="9">
        <f>2*78.94</f>
        <v>157.88</v>
      </c>
      <c r="AN74" s="10">
        <v>152.74799999999999</v>
      </c>
      <c r="AO74" s="8">
        <f>IF(Table1[[#This Row],[P_R4]]="","",Table1[Pu(kN)]/Table1[[#This Row],[P_R4]])</f>
        <v>1.0605703511666273</v>
      </c>
      <c r="AP74" s="8">
        <v>2.12E-2</v>
      </c>
      <c r="AQ74" s="9">
        <v>155.98400000000001</v>
      </c>
      <c r="AR74">
        <v>171.446</v>
      </c>
      <c r="AS74">
        <f>IF(Table1[[#This Row],[P_F4]]="","",Table1[Pu(kN)]/Table1[[#This Row],[P_F4]])</f>
        <v>0.94490393476663204</v>
      </c>
      <c r="AT74">
        <v>1.7999999999999999E-2</v>
      </c>
      <c r="AU74" s="7">
        <v>171.446</v>
      </c>
      <c r="AV74">
        <f>2*87.703</f>
        <v>175.40600000000001</v>
      </c>
      <c r="AW74">
        <f>IF(Table1[[#This Row],[P_F5]]="","",Table1[Pu(kN)]/Table1[[#This Row],[P_F5]])</f>
        <v>0.92357159960320623</v>
      </c>
      <c r="AX74">
        <v>0</v>
      </c>
      <c r="AY74" s="7">
        <v>176.00200000000001</v>
      </c>
      <c r="AZ74">
        <v>135.614</v>
      </c>
      <c r="BA74">
        <f>IF(Table1[[#This Row],[P_R5]]="","",Table1[Pu(kN)]/Table1[[#This Row],[P_R5]])</f>
        <v>1.1945669326175763</v>
      </c>
      <c r="BB74">
        <v>0</v>
      </c>
      <c r="BC74">
        <v>139.524</v>
      </c>
      <c r="BD74" s="5">
        <v>194.66800000000001</v>
      </c>
      <c r="BE74" s="6">
        <f>IF(Table1[[#This Row],[P_F6]]="","",Table1[Pu(kN)]/Table1[[#This Row],[P_F6]])</f>
        <v>0.83218608091725399</v>
      </c>
      <c r="BF74" s="6">
        <v>9.2700000000000005E-2</v>
      </c>
      <c r="BG74" s="6">
        <v>194.66800000000001</v>
      </c>
      <c r="BH74" s="5">
        <f>2*82.627</f>
        <v>165.25399999999999</v>
      </c>
      <c r="BI74" s="6">
        <f>IF(Table1[[#This Row],[P_R6]]="","",Table1[Pu(kN)]/Table1[[#This Row],[P_R6]])</f>
        <v>0.98030909993101534</v>
      </c>
      <c r="BJ74">
        <v>0</v>
      </c>
      <c r="BK74">
        <f>2*83.931</f>
        <v>167.86199999999999</v>
      </c>
      <c r="BL74" s="5">
        <v>182.73599999999999</v>
      </c>
      <c r="BM74" s="6">
        <f>IF(Table1[[#This Row],[P_F7]]="","",Table1[Pu(kN)]/Table1[[#This Row],[P_F7]])</f>
        <v>0.88652482269503552</v>
      </c>
      <c r="BN74" s="6">
        <v>1.1599999999999999E-2</v>
      </c>
      <c r="BO74" s="6">
        <v>182.73599999999999</v>
      </c>
      <c r="BP74" s="5">
        <v>159.43600000000001</v>
      </c>
      <c r="BQ74" s="6">
        <f>IF(Table1[[#This Row],[P_F8]]="","",Table1[Pu(kN)]/Table1[[#This Row],[P_F8]])</f>
        <v>1.0160816879500238</v>
      </c>
      <c r="BR74" s="6">
        <v>0</v>
      </c>
      <c r="BS74" s="6">
        <v>159.43600000000001</v>
      </c>
      <c r="BT74" s="5">
        <v>158.31200000000001</v>
      </c>
      <c r="BU74" s="6">
        <f>IF(Table1[[#This Row],[P_R7]]="","",Table1[Pu(kN)]/Table1[[#This Row],[P_R7]])</f>
        <v>1.0232957703774823</v>
      </c>
      <c r="BV74" s="6">
        <v>1.0200000000000001E-2</v>
      </c>
      <c r="BW74" s="6">
        <v>161.13399999999999</v>
      </c>
      <c r="BX74" s="5">
        <v>158.72399999999999</v>
      </c>
      <c r="BY74" s="6">
        <f>IF(Table1[[#This Row],[P_F9]]="","",Table1[Pu(kN)]/Table1[[#This Row],[P_F9]])</f>
        <v>1.0206396008165117</v>
      </c>
      <c r="BZ74" s="6">
        <v>2.4500000000000001E-2</v>
      </c>
      <c r="CA74" s="7">
        <v>159.494</v>
      </c>
      <c r="CB74" s="5">
        <v>153.82599999999999</v>
      </c>
      <c r="CC74" s="6">
        <f>IF(Table1[[#This Row],[P_R8]]="","",Table1[Pu(kN)]/Table1[[#This Row],[P_R8]])</f>
        <v>1.0531379610729006</v>
      </c>
      <c r="CD74" s="6">
        <v>2.0899999999999998E-2</v>
      </c>
      <c r="CE74" s="6">
        <v>155.1</v>
      </c>
      <c r="CF74" s="5">
        <v>159.87799999999999</v>
      </c>
      <c r="CG74">
        <f>IF(Table1[[#This Row],[P_R9]]="","",Table1[Pu(kN)]/Table1[[#This Row],[P_R9]])</f>
        <v>1.0132726203730344</v>
      </c>
      <c r="CH74">
        <v>4.2500000000000003E-2</v>
      </c>
      <c r="CI74">
        <v>160.90799999999999</v>
      </c>
      <c r="CJ74" s="5">
        <v>158.274</v>
      </c>
      <c r="CK74" s="6">
        <f>IF(Table1[[#This Row],[P_F10]]="","",Table1[Pu(kN)]/Table1[[#This Row],[P_F10]])</f>
        <v>1.0235414534288638</v>
      </c>
      <c r="CL74" s="6">
        <v>2.1100000000000001E-2</v>
      </c>
      <c r="CM74" s="6">
        <v>158.274</v>
      </c>
      <c r="CN74" s="39">
        <f>Table1[[#This Row],[P_R8]]</f>
        <v>153.82599999999999</v>
      </c>
      <c r="CO74" s="38">
        <f>Table1[[#This Row],[Pu(kN)]]/Table1[[#This Row],[P_R8_2]]</f>
        <v>1.0531379610729006</v>
      </c>
      <c r="CP74" s="38">
        <f>Table1[[#This Row],[DUCTIL_R8]]</f>
        <v>2.0899999999999998E-2</v>
      </c>
      <c r="CQ74" s="38">
        <f>Table1[[#This Row],[P_R8_2]]</f>
        <v>153.82599999999999</v>
      </c>
    </row>
    <row r="75" spans="1:95" ht="16.5" customHeight="1" x14ac:dyDescent="0.3">
      <c r="A75" s="26" t="s">
        <v>55</v>
      </c>
      <c r="B75" s="18" t="s">
        <v>110</v>
      </c>
      <c r="C75" s="18" t="s">
        <v>58</v>
      </c>
      <c r="D75" s="18">
        <v>2015</v>
      </c>
      <c r="E75" s="18"/>
      <c r="F75" s="18">
        <v>25.3</v>
      </c>
      <c r="G75" s="22">
        <f>2808*100/532500</f>
        <v>0.52732394366197188</v>
      </c>
      <c r="H75" s="18">
        <v>3250</v>
      </c>
      <c r="I75" s="18">
        <v>843</v>
      </c>
      <c r="J75" s="22">
        <f>Table1[[#This Row],[a'[mm']]]/Table1[[#This Row],[d'[mm']]]</f>
        <v>3.8552787663107946</v>
      </c>
      <c r="K75" s="18">
        <v>900</v>
      </c>
      <c r="L75" s="18" t="s">
        <v>28</v>
      </c>
      <c r="M75" s="18">
        <f>1897.5-196</f>
        <v>1701.5</v>
      </c>
      <c r="N75" s="18" t="s">
        <v>131</v>
      </c>
      <c r="O75" s="18" t="s">
        <v>131</v>
      </c>
      <c r="P75" s="5">
        <v>1458.7</v>
      </c>
      <c r="Q75" s="6">
        <f>IF(Table1[[#This Row],[P_F1]]="","",Table1[Pu(kN)]/Table1[[#This Row],[P_F1]])</f>
        <v>1.1664495783917186</v>
      </c>
      <c r="R75" s="6">
        <v>0</v>
      </c>
      <c r="S75" s="6">
        <v>1477.9</v>
      </c>
      <c r="T75" s="5">
        <v>1610</v>
      </c>
      <c r="U75" s="6">
        <f>IF(Table1[[#This Row],[P_R1]]="","",Table1[Pu(kN)]/Table1[[#This Row],[P_R1]])</f>
        <v>1.056832298136646</v>
      </c>
      <c r="V75" s="6">
        <v>0</v>
      </c>
      <c r="W75" s="6">
        <v>1610</v>
      </c>
      <c r="X75" s="5">
        <v>1491.2</v>
      </c>
      <c r="Y75" s="6">
        <f>IF(Table1[[#This Row],[P_F2]]="","",Table1[Pu(kN)]/Table1[[#This Row],[P_F2]])</f>
        <v>1.1410273605150214</v>
      </c>
      <c r="Z75">
        <v>0</v>
      </c>
      <c r="AA75">
        <v>1493.8</v>
      </c>
      <c r="AB75" s="10">
        <v>1600.2</v>
      </c>
      <c r="AC75" s="8">
        <f>IF(Table1[[#This Row],[P_R2]]="","",Table1[Pu(kN)]/Table1[[#This Row],[P_R2]])</f>
        <v>1.0633045869266342</v>
      </c>
      <c r="AD75" s="8">
        <v>0</v>
      </c>
      <c r="AE75" s="9">
        <v>1611.6</v>
      </c>
      <c r="AF75" s="2">
        <v>1481.3</v>
      </c>
      <c r="AG75" s="2">
        <f>IF(Table1[[#This Row],[P_F3]]="","",Table1[Pu(kN)]/Table1[[#This Row],[P_F3]])</f>
        <v>1.1486532100182272</v>
      </c>
      <c r="AH75" s="2">
        <v>0</v>
      </c>
      <c r="AI75" s="8">
        <v>1482.9</v>
      </c>
      <c r="AJ75" s="10">
        <v>1027</v>
      </c>
      <c r="AK75" s="8">
        <f>IF(Table1[[#This Row],[P_R3]]="","",Table1[Pu(kN)]/Table1[[#This Row],[P_R3]])</f>
        <v>1.6567672833495619</v>
      </c>
      <c r="AL75" s="8">
        <v>0</v>
      </c>
      <c r="AM75">
        <v>1027</v>
      </c>
      <c r="AN75">
        <v>1460.1</v>
      </c>
      <c r="AO75" s="8">
        <f>IF(Table1[[#This Row],[P_R4]]="","",Table1[Pu(kN)]/Table1[[#This Row],[P_R4]])</f>
        <v>1.1653311417026231</v>
      </c>
      <c r="AP75" s="8">
        <v>0.41070000000000001</v>
      </c>
      <c r="AQ75" s="9">
        <v>1493.8</v>
      </c>
      <c r="AR75">
        <v>1464.1</v>
      </c>
      <c r="AS75">
        <f>IF(Table1[[#This Row],[P_F4]]="","",Table1[Pu(kN)]/Table1[[#This Row],[P_F4]])</f>
        <v>1.1621473943036678</v>
      </c>
      <c r="AT75">
        <v>0</v>
      </c>
      <c r="AU75" s="7">
        <v>1468.4</v>
      </c>
      <c r="AV75">
        <v>1451.1</v>
      </c>
      <c r="AW75">
        <f>IF(Table1[[#This Row],[P_F5]]="","",Table1[Pu(kN)]/Table1[[#This Row],[P_F5]])</f>
        <v>1.1725587485355937</v>
      </c>
      <c r="AX75">
        <v>0</v>
      </c>
      <c r="AY75" s="7">
        <v>1451.1</v>
      </c>
      <c r="AZ75">
        <v>1551.4</v>
      </c>
      <c r="BA75">
        <f>IF(Table1[[#This Row],[P_R5]]="","",Table1[Pu(kN)]/Table1[[#This Row],[P_R5]])</f>
        <v>1.096751321387134</v>
      </c>
      <c r="BB75">
        <v>0</v>
      </c>
      <c r="BC75">
        <v>1575.4</v>
      </c>
      <c r="BD75" s="5">
        <v>836.93</v>
      </c>
      <c r="BE75" s="6">
        <f>IF(Table1[[#This Row],[P_F6]]="","",Table1[Pu(kN)]/Table1[[#This Row],[P_F6]])</f>
        <v>2.0330254621055524</v>
      </c>
      <c r="BF75" s="33">
        <v>0</v>
      </c>
      <c r="BG75">
        <v>836.93</v>
      </c>
      <c r="BH75" s="5">
        <v>1685.6</v>
      </c>
      <c r="BI75" s="6">
        <f>IF(Table1[[#This Row],[P_R6]]="","",Table1[Pu(kN)]/Table1[[#This Row],[P_R6]])</f>
        <v>1.0094328429046038</v>
      </c>
      <c r="BJ75">
        <v>0.55589999999999995</v>
      </c>
      <c r="BK75">
        <v>1687.4</v>
      </c>
      <c r="BL75" s="5">
        <v>1376.7</v>
      </c>
      <c r="BM75" s="6">
        <f>IF(Table1[[#This Row],[P_F7]]="","",Table1[Pu(kN)]/Table1[[#This Row],[P_F7]])</f>
        <v>1.235926490883998</v>
      </c>
      <c r="BN75" s="6">
        <v>0</v>
      </c>
      <c r="BO75" s="6">
        <v>1376.7</v>
      </c>
      <c r="BP75" s="5">
        <v>1438.8</v>
      </c>
      <c r="BQ75" s="6">
        <f>IF(Table1[[#This Row],[P_F8]]="","",Table1[Pu(kN)]/Table1[[#This Row],[P_F8]])</f>
        <v>1.1825827078120656</v>
      </c>
      <c r="BR75">
        <v>0</v>
      </c>
      <c r="BS75">
        <v>1448.2</v>
      </c>
      <c r="BT75" s="5">
        <v>1518.9</v>
      </c>
      <c r="BU75" s="6">
        <f>IF(Table1[[#This Row],[P_R7]]="","",Table1[Pu(kN)]/Table1[[#This Row],[P_R7]])</f>
        <v>1.1202185792349726</v>
      </c>
      <c r="BV75" s="6">
        <v>0</v>
      </c>
      <c r="BW75" s="6">
        <v>1525.5</v>
      </c>
      <c r="BX75" s="5">
        <v>1506.3</v>
      </c>
      <c r="BY75" s="6">
        <f>IF(Table1[[#This Row],[P_F9]]="","",Table1[Pu(kN)]/Table1[[#This Row],[P_F9]])</f>
        <v>1.1295890592843392</v>
      </c>
      <c r="BZ75" s="6">
        <v>0</v>
      </c>
      <c r="CA75">
        <v>1506.3</v>
      </c>
      <c r="CB75" s="5">
        <v>1622.2</v>
      </c>
      <c r="CC75" s="6">
        <f>IF(Table1[[#This Row],[P_R8]]="","",Table1[Pu(kN)]/Table1[[#This Row],[P_R8]])</f>
        <v>1.0488842312908395</v>
      </c>
      <c r="CD75" s="6">
        <v>0</v>
      </c>
      <c r="CE75">
        <v>1626.6</v>
      </c>
      <c r="CF75" s="5">
        <v>1604.9</v>
      </c>
      <c r="CG75">
        <f>IF(Table1[[#This Row],[P_R9]]="","",Table1[Pu(kN)]/Table1[[#This Row],[P_R9]])</f>
        <v>1.0601906660851144</v>
      </c>
      <c r="CH75">
        <v>0</v>
      </c>
      <c r="CI75">
        <v>1611.1</v>
      </c>
      <c r="CJ75" s="34">
        <v>1477.4</v>
      </c>
      <c r="CK75" s="6">
        <f>IF(Table1[[#This Row],[P_F10]]="","",Table1[Pu(kN)]/Table1[[#This Row],[P_F10]])</f>
        <v>1.151685393258427</v>
      </c>
      <c r="CL75" s="6">
        <v>0</v>
      </c>
      <c r="CM75">
        <v>1477.4</v>
      </c>
      <c r="CN75" s="39">
        <f>Table1[[#This Row],[P_R8]]</f>
        <v>1622.2</v>
      </c>
      <c r="CO75" s="38">
        <f>Table1[[#This Row],[Pu(kN)]]/Table1[[#This Row],[P_R8_2]]</f>
        <v>1.0488842312908395</v>
      </c>
      <c r="CP75" s="38">
        <f>Table1[[#This Row],[DUCTIL_R8]]</f>
        <v>0</v>
      </c>
      <c r="CQ75" s="38">
        <f>Table1[[#This Row],[P_R8_2]]</f>
        <v>1622.2</v>
      </c>
    </row>
    <row r="76" spans="1:95" x14ac:dyDescent="0.3">
      <c r="A76" s="26" t="s">
        <v>56</v>
      </c>
      <c r="B76" s="18" t="s">
        <v>110</v>
      </c>
      <c r="C76" s="18" t="s">
        <v>59</v>
      </c>
      <c r="D76" s="18">
        <v>2015</v>
      </c>
      <c r="E76" s="18"/>
      <c r="F76" s="18">
        <v>109.63</v>
      </c>
      <c r="G76" s="22">
        <v>1.3</v>
      </c>
      <c r="H76" s="18">
        <v>7500</v>
      </c>
      <c r="I76" s="18">
        <v>1712</v>
      </c>
      <c r="J76" s="22">
        <f>Table1[[#This Row],[a'[mm']]]/Table1[[#This Row],[d'[mm']]]</f>
        <v>4.3808411214953269</v>
      </c>
      <c r="K76" s="18">
        <v>1600</v>
      </c>
      <c r="L76" s="18" t="s">
        <v>293</v>
      </c>
      <c r="M76" s="18">
        <f>6983/13.4</f>
        <v>521.11940298507466</v>
      </c>
      <c r="N76" s="18" t="s">
        <v>131</v>
      </c>
      <c r="O76" s="18" t="s">
        <v>131</v>
      </c>
      <c r="P76" s="5">
        <v>368.66</v>
      </c>
      <c r="Q76" s="6">
        <f>IF(Table1[[#This Row],[P_F1]]="","",Table1[Pu(kN)]/Table1[[#This Row],[P_F1]])</f>
        <v>1.4135501627111013</v>
      </c>
      <c r="R76" s="6">
        <v>0</v>
      </c>
      <c r="S76">
        <v>368.66</v>
      </c>
      <c r="T76" s="5">
        <v>495.86</v>
      </c>
      <c r="U76" s="6">
        <f>IF(Table1[[#This Row],[P_R1]]="","",Table1[Pu(kN)]/Table1[[#This Row],[P_R1]])</f>
        <v>1.050940594089208</v>
      </c>
      <c r="V76" s="6">
        <v>0</v>
      </c>
      <c r="W76" s="6">
        <v>495.86</v>
      </c>
      <c r="X76" s="5">
        <v>391.98</v>
      </c>
      <c r="Y76" s="6">
        <f>IF(Table1[[#This Row],[P_F2]]="","",Table1[Pu(kN)]/Table1[[#This Row],[P_F2]])</f>
        <v>1.3294540613936288</v>
      </c>
      <c r="Z76">
        <v>0</v>
      </c>
      <c r="AA76">
        <v>391.98</v>
      </c>
      <c r="AB76" s="10">
        <v>497.86</v>
      </c>
      <c r="AC76" s="8">
        <f>IF(Table1[[#This Row],[P_R2]]="","",Table1[Pu(kN)]/Table1[[#This Row],[P_R2]])</f>
        <v>1.0467187622726764</v>
      </c>
      <c r="AD76" s="8">
        <v>0</v>
      </c>
      <c r="AE76" s="9">
        <v>497.86</v>
      </c>
      <c r="AF76" s="2">
        <v>336.67</v>
      </c>
      <c r="AG76" s="2">
        <f>IF(Table1[[#This Row],[P_F3]]="","",Table1[Pu(kN)]/Table1[[#This Row],[P_F3]])</f>
        <v>1.5478640894201283</v>
      </c>
      <c r="AH76" s="2">
        <v>0</v>
      </c>
      <c r="AI76" s="8">
        <v>336.67</v>
      </c>
      <c r="AJ76" s="10">
        <v>480.89</v>
      </c>
      <c r="AK76" s="8">
        <f>IF(Table1[[#This Row],[P_R3]]="","",Table1[Pu(kN)]/Table1[[#This Row],[P_R3]])</f>
        <v>1.0836561437856365</v>
      </c>
      <c r="AL76" s="8">
        <v>0</v>
      </c>
      <c r="AM76">
        <v>480.89</v>
      </c>
      <c r="AN76" s="10">
        <v>505.77</v>
      </c>
      <c r="AO76" s="8">
        <f>IF(Table1[[#This Row],[P_R4]]="","",Table1[Pu(kN)]/Table1[[#This Row],[P_R4]])</f>
        <v>1.0303485833186521</v>
      </c>
      <c r="AP76" s="8">
        <v>0</v>
      </c>
      <c r="AQ76" s="9">
        <f>Table1[[#This Row],[P_R4]]</f>
        <v>505.77</v>
      </c>
      <c r="AR76">
        <v>386.81</v>
      </c>
      <c r="AS76">
        <f>IF(Table1[[#This Row],[P_F4]]="","",Table1[Pu(kN)]/Table1[[#This Row],[P_F4]])</f>
        <v>1.3472231922263505</v>
      </c>
      <c r="AT76">
        <v>0</v>
      </c>
      <c r="AU76" s="7">
        <v>386.81</v>
      </c>
      <c r="AV76">
        <v>376.68</v>
      </c>
      <c r="AW76">
        <f>IF(Table1[[#This Row],[P_F5]]="","",Table1[Pu(kN)]/Table1[[#This Row],[P_F5]])</f>
        <v>1.383453867965049</v>
      </c>
      <c r="AX76">
        <v>0</v>
      </c>
      <c r="AY76" s="7">
        <v>376.68</v>
      </c>
      <c r="AZ76">
        <v>563.35</v>
      </c>
      <c r="BA76">
        <f>IF(Table1[[#This Row],[P_R5]]="","",Table1[Pu(kN)]/Table1[[#This Row],[P_R5]])</f>
        <v>0.92503666101903725</v>
      </c>
      <c r="BB76">
        <v>0</v>
      </c>
      <c r="BC76">
        <v>563.35</v>
      </c>
      <c r="BD76" s="5">
        <v>328.69</v>
      </c>
      <c r="BE76" s="6">
        <f>IF(Table1[[#This Row],[P_F6]]="","",Table1[Pu(kN)]/Table1[[#This Row],[P_F6]])</f>
        <v>1.5854434360189682</v>
      </c>
      <c r="BF76" s="33">
        <v>0</v>
      </c>
      <c r="BG76">
        <v>328.69</v>
      </c>
      <c r="BH76" s="5">
        <v>490.76</v>
      </c>
      <c r="BI76" s="6">
        <f>IF(Table1[[#This Row],[P_R6]]="","",Table1[Pu(kN)]/Table1[[#This Row],[P_R6]])</f>
        <v>1.0618620160263157</v>
      </c>
      <c r="BJ76">
        <v>0</v>
      </c>
      <c r="BK76">
        <v>490.76</v>
      </c>
      <c r="BL76" s="5">
        <v>381.96</v>
      </c>
      <c r="BM76" s="6">
        <f>IF(Table1[[#This Row],[P_F7]]="","",Table1[Pu(kN)]/Table1[[#This Row],[P_F7]])</f>
        <v>1.3643297805662233</v>
      </c>
      <c r="BN76" s="6">
        <v>0</v>
      </c>
      <c r="BO76" s="6">
        <v>381.96</v>
      </c>
      <c r="BP76" s="5">
        <v>503.13</v>
      </c>
      <c r="BQ76" s="6">
        <f>IF(Table1[[#This Row],[P_F8]]="","",Table1[Pu(kN)]/Table1[[#This Row],[P_F8]])</f>
        <v>1.0357549797966226</v>
      </c>
      <c r="BR76">
        <v>0</v>
      </c>
      <c r="BS76">
        <v>503.13</v>
      </c>
      <c r="BT76" s="5">
        <v>747.76</v>
      </c>
      <c r="BU76" s="6">
        <f>IF(Table1[[#This Row],[P_R7]]="","",Table1[Pu(kN)]/Table1[[#This Row],[P_R7]])</f>
        <v>0.6969073004507792</v>
      </c>
      <c r="BV76" s="6">
        <v>0.94179999999999997</v>
      </c>
      <c r="BW76" s="6">
        <v>747.76</v>
      </c>
      <c r="BX76" s="5">
        <v>398.77</v>
      </c>
      <c r="BY76" s="6">
        <f>IF(Table1[[#This Row],[P_F9]]="","",Table1[Pu(kN)]/Table1[[#This Row],[P_F9]])</f>
        <v>1.306816969644343</v>
      </c>
      <c r="BZ76" s="6">
        <v>0</v>
      </c>
      <c r="CA76">
        <v>398.77</v>
      </c>
      <c r="CB76" s="5">
        <v>492.63</v>
      </c>
      <c r="CC76" s="6">
        <f>IF(Table1[[#This Row],[P_R8]]="","",Table1[Pu(kN)]/Table1[[#This Row],[P_R8]])</f>
        <v>1.0578312384245268</v>
      </c>
      <c r="CD76" s="6">
        <v>0</v>
      </c>
      <c r="CE76" s="6">
        <v>492.63</v>
      </c>
      <c r="CF76" s="5">
        <v>493.68</v>
      </c>
      <c r="CG76">
        <f>IF(Table1[[#This Row],[P_R9]]="","",Table1[Pu(kN)]/Table1[[#This Row],[P_R9]])</f>
        <v>1.0555813542883541</v>
      </c>
      <c r="CH76">
        <v>0</v>
      </c>
      <c r="CI76">
        <v>493.68</v>
      </c>
      <c r="CJ76" s="5">
        <v>385.77</v>
      </c>
      <c r="CK76" s="6">
        <f>IF(Table1[[#This Row],[P_F10]]="","",Table1[Pu(kN)]/Table1[[#This Row],[P_F10]])</f>
        <v>1.3508551805093052</v>
      </c>
      <c r="CL76" s="6">
        <v>0</v>
      </c>
      <c r="CM76">
        <v>385.77</v>
      </c>
      <c r="CN76" s="39">
        <f>Table1[[#This Row],[P_R8]]</f>
        <v>492.63</v>
      </c>
      <c r="CO76" s="38">
        <f>Table1[[#This Row],[Pu(kN)]]/Table1[[#This Row],[P_R8_2]]</f>
        <v>1.0578312384245268</v>
      </c>
      <c r="CP76" s="38">
        <f>Table1[[#This Row],[DUCTIL_R8]]</f>
        <v>0</v>
      </c>
      <c r="CQ76" s="38">
        <f>Table1[[#This Row],[P_R8_2]]</f>
        <v>492.63</v>
      </c>
    </row>
    <row r="77" spans="1:95" x14ac:dyDescent="0.3">
      <c r="A77" s="27" t="s">
        <v>57</v>
      </c>
      <c r="B77" s="20" t="s">
        <v>110</v>
      </c>
      <c r="C77" s="20" t="s">
        <v>60</v>
      </c>
      <c r="D77" s="18">
        <v>2015</v>
      </c>
      <c r="E77" s="20"/>
      <c r="F77" s="20">
        <v>24.02</v>
      </c>
      <c r="G77" s="23">
        <v>0.82</v>
      </c>
      <c r="H77" s="20">
        <f>6500/2</f>
        <v>3250</v>
      </c>
      <c r="I77" s="20">
        <v>840</v>
      </c>
      <c r="J77" s="23">
        <f>Table1[[#This Row],[a'[mm']]]/Table1[[#This Row],[d'[mm']]]</f>
        <v>3.8690476190476191</v>
      </c>
      <c r="K77" s="20">
        <v>970</v>
      </c>
      <c r="L77" s="20" t="s">
        <v>293</v>
      </c>
      <c r="M77" s="20">
        <f>1491.12</f>
        <v>1491.12</v>
      </c>
      <c r="N77" s="20" t="s">
        <v>131</v>
      </c>
      <c r="O77" s="20" t="s">
        <v>131</v>
      </c>
      <c r="P77" s="5">
        <f>588+511.55</f>
        <v>1099.55</v>
      </c>
      <c r="Q77" s="6">
        <f>IF(Table1[[#This Row],[P_F1]]="","",Table1[Pu(kN)]/Table1[[#This Row],[P_F1]])</f>
        <v>1.3561184120776681</v>
      </c>
      <c r="R77" s="6">
        <v>0</v>
      </c>
      <c r="S77" s="6">
        <f>588+511.55</f>
        <v>1099.55</v>
      </c>
      <c r="T77">
        <f>588+586.05</f>
        <v>1174.05</v>
      </c>
      <c r="U77" s="6">
        <f>IF(Table1[[#This Row],[P_R1]]="","",Table1[Pu(kN)]/Table1[[#This Row],[P_R1]])</f>
        <v>1.2700651590647758</v>
      </c>
      <c r="V77">
        <v>0</v>
      </c>
      <c r="W77">
        <f>588+588</f>
        <v>1176</v>
      </c>
      <c r="X77" s="5">
        <f>535+588</f>
        <v>1123</v>
      </c>
      <c r="Y77" s="6">
        <f>IF(Table1[[#This Row],[P_F2]]="","",Table1[Pu(kN)]/Table1[[#This Row],[P_F2]])</f>
        <v>1.32780053428317</v>
      </c>
      <c r="Z77">
        <v>0</v>
      </c>
      <c r="AA77">
        <f>Table1[[#This Row],[P_F2]]</f>
        <v>1123</v>
      </c>
      <c r="AB77" s="10">
        <f>588.11+588</f>
        <v>1176.1100000000001</v>
      </c>
      <c r="AC77" s="8">
        <f>IF(Table1[[#This Row],[P_R2]]="","",Table1[Pu(kN)]/Table1[[#This Row],[P_R2]])</f>
        <v>1.2678405931417978</v>
      </c>
      <c r="AD77" s="8">
        <v>0</v>
      </c>
      <c r="AE77" s="8">
        <f>Table1[[#This Row],[P_R2]]</f>
        <v>1176.1100000000001</v>
      </c>
      <c r="AF77" s="10">
        <f>588+527.22</f>
        <v>1115.22</v>
      </c>
      <c r="AG77" s="2">
        <f>IF(Table1[[#This Row],[P_F3]]="","",Table1[Pu(kN)]/Table1[[#This Row],[P_F3]])</f>
        <v>1.3370635390326571</v>
      </c>
      <c r="AH77" s="2">
        <v>0</v>
      </c>
      <c r="AI77" s="8">
        <f>Table1[[#This Row],[P_F3]]</f>
        <v>1115.22</v>
      </c>
      <c r="AJ77" s="5">
        <f>588+592.18</f>
        <v>1180.1799999999998</v>
      </c>
      <c r="AK77" s="8">
        <f>IF(Table1[[#This Row],[P_R3]]="","",Table1[Pu(kN)]/Table1[[#This Row],[P_R3]])</f>
        <v>1.2634682844989749</v>
      </c>
      <c r="AL77" s="8">
        <v>0</v>
      </c>
      <c r="AM77" s="9">
        <f>588+593</f>
        <v>1181</v>
      </c>
      <c r="AN77" s="10">
        <f>588+593.01</f>
        <v>1181.01</v>
      </c>
      <c r="AO77" s="8">
        <f>IF(Table1[[#This Row],[P_R4]]="","",Table1[Pu(kN)]/Table1[[#This Row],[P_R4]])</f>
        <v>1.2625803337821018</v>
      </c>
      <c r="AP77" s="8">
        <v>0</v>
      </c>
      <c r="AQ77" s="9">
        <f>Table1[[#This Row],[P_R4]]</f>
        <v>1181.01</v>
      </c>
      <c r="AR77">
        <f>588+680.32</f>
        <v>1268.3200000000002</v>
      </c>
      <c r="AS77">
        <f>IF(Table1[[#This Row],[P_F4]]="","",Table1[Pu(kN)]/Table1[[#This Row],[P_F4]])</f>
        <v>1.1756654472057522</v>
      </c>
      <c r="AT77">
        <v>0</v>
      </c>
      <c r="AU77" s="7">
        <f>Table1[[#This Row],[P_F4]]</f>
        <v>1268.3200000000002</v>
      </c>
      <c r="AV77">
        <f>588+529.88</f>
        <v>1117.8800000000001</v>
      </c>
      <c r="AW77">
        <f>IF(Table1[[#This Row],[P_F5]]="","",Table1[Pu(kN)]/Table1[[#This Row],[P_F5]])</f>
        <v>1.3338819909113677</v>
      </c>
      <c r="AX77">
        <v>0</v>
      </c>
      <c r="AY77" s="7">
        <f>529.88+588</f>
        <v>1117.8800000000001</v>
      </c>
      <c r="AZ77">
        <f>588+634.58</f>
        <v>1222.58</v>
      </c>
      <c r="BA77">
        <f>IF(Table1[[#This Row],[P_R5]]="","",Table1[Pu(kN)]/Table1[[#This Row],[P_R5]])</f>
        <v>1.2196502478365423</v>
      </c>
      <c r="BB77">
        <v>0</v>
      </c>
      <c r="BC77">
        <f>Table1[[#This Row],[P_R5]]</f>
        <v>1222.58</v>
      </c>
      <c r="BD77" s="5">
        <f>588+595.72</f>
        <v>1183.72</v>
      </c>
      <c r="BE77" s="6">
        <f>IF(Table1[[#This Row],[P_F6]]="","",Table1[Pu(kN)]/Table1[[#This Row],[P_F6]])</f>
        <v>1.2596897915047476</v>
      </c>
      <c r="BF77" s="33">
        <v>0</v>
      </c>
      <c r="BG77">
        <f>588+595.72</f>
        <v>1183.72</v>
      </c>
      <c r="BH77" s="5">
        <f>588+505.16</f>
        <v>1093.1600000000001</v>
      </c>
      <c r="BI77" s="6">
        <f>IF(Table1[[#This Row],[P_R6]]="","",Table1[Pu(kN)]/Table1[[#This Row],[P_R6]])</f>
        <v>1.3640455194116139</v>
      </c>
      <c r="BJ77" s="6">
        <v>0</v>
      </c>
      <c r="BK77" s="6">
        <f>Table1[[#This Row],[P_R6]]</f>
        <v>1093.1600000000001</v>
      </c>
      <c r="BL77" s="5">
        <f>588+475.15</f>
        <v>1063.1500000000001</v>
      </c>
      <c r="BM77" s="6">
        <f>IF(Table1[[#This Row],[P_F7]]="","",Table1[Pu(kN)]/Table1[[#This Row],[P_F7]])</f>
        <v>1.4025490288294218</v>
      </c>
      <c r="BN77" s="6">
        <v>0</v>
      </c>
      <c r="BO77" s="6">
        <f>588+475.15</f>
        <v>1063.1500000000001</v>
      </c>
      <c r="BP77" s="5">
        <f>588+522.56</f>
        <v>1110.56</v>
      </c>
      <c r="BQ77" s="6">
        <f>IF(Table1[[#This Row],[P_F8]]="","",Table1[Pu(kN)]/Table1[[#This Row],[P_F8]])</f>
        <v>1.3426739662872784</v>
      </c>
      <c r="BR77">
        <v>0</v>
      </c>
      <c r="BS77">
        <v>522.55999999999995</v>
      </c>
      <c r="BT77" s="5">
        <f>588+615.78</f>
        <v>1203.78</v>
      </c>
      <c r="BU77" s="6">
        <f>IF(Table1[[#This Row],[P_R7]]="","",Table1[Pu(kN)]/Table1[[#This Row],[P_R7]])</f>
        <v>1.2386981009819069</v>
      </c>
      <c r="BV77" s="6">
        <v>0.86350000000000005</v>
      </c>
      <c r="BW77" s="6">
        <v>615.78</v>
      </c>
      <c r="BX77" s="5">
        <f>588+478.9</f>
        <v>1066.9000000000001</v>
      </c>
      <c r="BY77" s="6">
        <f>IF(Table1[[#This Row],[P_F9]]="","",Table1[Pu(kN)]/Table1[[#This Row],[P_F9]])</f>
        <v>1.3976192707845156</v>
      </c>
      <c r="BZ77" s="6">
        <v>0</v>
      </c>
      <c r="CA77">
        <f>588+478.9</f>
        <v>1066.9000000000001</v>
      </c>
      <c r="CB77" s="5">
        <f>588+565.99</f>
        <v>1153.99</v>
      </c>
      <c r="CC77" s="6">
        <f>IF(Table1[[#This Row],[P_R8]]="","",Table1[Pu(kN)]/Table1[[#This Row],[P_R8]])</f>
        <v>1.292142912850198</v>
      </c>
      <c r="CD77" s="6">
        <v>0</v>
      </c>
      <c r="CE77" s="6">
        <f>588+565.99</f>
        <v>1153.99</v>
      </c>
      <c r="CF77" s="5">
        <f>588+546.09</f>
        <v>1134.0900000000001</v>
      </c>
      <c r="CG77">
        <f>IF(Table1[[#This Row],[P_R9]]="","",Table1[Pu(kN)]/Table1[[#This Row],[P_R9]])</f>
        <v>1.3148162844218709</v>
      </c>
      <c r="CH77">
        <v>0</v>
      </c>
      <c r="CI77">
        <v>546.09</v>
      </c>
      <c r="CJ77" s="5">
        <f>588+469.4</f>
        <v>1057.4000000000001</v>
      </c>
      <c r="CK77" s="6">
        <f>IF(Table1[[#This Row],[P_F10]]="","",Table1[Pu(kN)]/Table1[[#This Row],[P_F10]])</f>
        <v>1.4101759031586909</v>
      </c>
      <c r="CL77" s="6">
        <v>0</v>
      </c>
      <c r="CM77">
        <v>469.4</v>
      </c>
      <c r="CN77" s="39">
        <f>Table1[[#This Row],[P_R8]]</f>
        <v>1153.99</v>
      </c>
      <c r="CO77" s="38">
        <f>Table1[[#This Row],[Pu(kN)]]/Table1[[#This Row],[P_R8_2]]</f>
        <v>1.292142912850198</v>
      </c>
      <c r="CP77" s="38">
        <f>Table1[[#This Row],[DUCTIL_R8]]</f>
        <v>0</v>
      </c>
      <c r="CQ77" s="38">
        <f>Table1[[#This Row],[P_R8_2]]</f>
        <v>1153.99</v>
      </c>
    </row>
    <row r="78" spans="1:95" x14ac:dyDescent="0.3">
      <c r="A78" s="26" t="s">
        <v>152</v>
      </c>
      <c r="B78" s="18" t="s">
        <v>154</v>
      </c>
      <c r="C78" s="18" t="s">
        <v>155</v>
      </c>
      <c r="D78" s="18">
        <v>2015</v>
      </c>
      <c r="E78" s="18" t="s">
        <v>91</v>
      </c>
      <c r="F78" s="18">
        <v>32.950000000000003</v>
      </c>
      <c r="G78" s="22">
        <v>2.4700000000000002</v>
      </c>
      <c r="H78" s="18">
        <v>750</v>
      </c>
      <c r="I78" s="19">
        <v>270</v>
      </c>
      <c r="J78" s="22">
        <f>Table1[[#This Row],[a'[mm']]]/Table1[[#This Row],[d'[mm']]]</f>
        <v>2.7777777777777777</v>
      </c>
      <c r="K78" s="18">
        <v>320</v>
      </c>
      <c r="L78" s="18" t="s">
        <v>28</v>
      </c>
      <c r="M78" s="18">
        <v>369.7</v>
      </c>
      <c r="N78" s="18" t="s">
        <v>130</v>
      </c>
      <c r="O78" s="18" t="s">
        <v>131</v>
      </c>
      <c r="P78" s="5">
        <v>290.08</v>
      </c>
      <c r="Q78" s="8">
        <f>IF(Table1[[#This Row],[P_F1]]="","",Table1[Pu(kN)]/Table1[[#This Row],[P_F1]])</f>
        <v>1.2744760066188638</v>
      </c>
      <c r="R78">
        <v>0.1842</v>
      </c>
      <c r="S78">
        <v>291.02</v>
      </c>
      <c r="T78" s="5">
        <v>355.42</v>
      </c>
      <c r="U78" s="8">
        <f>IF(Table1[[#This Row],[P_R1]]="","",Table1[Pu(kN)]/Table1[[#This Row],[P_R1]])</f>
        <v>1.0401778177930334</v>
      </c>
      <c r="V78">
        <v>0.51919999999999999</v>
      </c>
      <c r="W78">
        <v>355.93</v>
      </c>
      <c r="X78" s="5">
        <v>303.12</v>
      </c>
      <c r="Y78" s="8">
        <f>IF(Table1[[#This Row],[P_F2]]="","",Table1[Pu(kN)]/Table1[[#This Row],[P_F2]])</f>
        <v>1.2196489839007654</v>
      </c>
      <c r="Z78">
        <v>0.25509999999999999</v>
      </c>
      <c r="AA78">
        <v>303.12</v>
      </c>
      <c r="AB78" s="5">
        <v>403.96</v>
      </c>
      <c r="AC78" s="8">
        <f>IF(Table1[[#This Row],[P_R2]]="","",Table1[Pu(kN)]/Table1[[#This Row],[P_R2]])</f>
        <v>0.91518962273492421</v>
      </c>
      <c r="AD78">
        <v>0.88119999999999998</v>
      </c>
      <c r="AE78">
        <v>403.96</v>
      </c>
      <c r="AF78" s="10">
        <v>345.09</v>
      </c>
      <c r="AG78" s="8">
        <f>IF(Table1[[#This Row],[P_F3]]="","",Table1[Pu(kN)]/Table1[[#This Row],[P_F3]])</f>
        <v>1.0713147294908576</v>
      </c>
      <c r="AH78" s="8">
        <v>0.35580000000000001</v>
      </c>
      <c r="AI78" s="8">
        <v>345.09</v>
      </c>
      <c r="AJ78" s="5">
        <v>387.49</v>
      </c>
      <c r="AK78" s="8">
        <f>IF(Table1[[#This Row],[P_R3]]="","",Table1[Pu(kN)]/Table1[[#This Row],[P_R3]])</f>
        <v>0.95408913778420079</v>
      </c>
      <c r="AL78">
        <v>0.83089999999999997</v>
      </c>
      <c r="AM78">
        <v>387.49</v>
      </c>
      <c r="AN78" s="10">
        <v>404.34</v>
      </c>
      <c r="AO78" s="8">
        <f>IF(Table1[[#This Row],[P_R4]]="","",Table1[Pu(kN)]/Table1[[#This Row],[P_R4]])</f>
        <v>0.91432952465746653</v>
      </c>
      <c r="AP78" s="8">
        <v>0.88109999999999999</v>
      </c>
      <c r="AQ78" s="9">
        <f>AN78</f>
        <v>404.34</v>
      </c>
      <c r="AR78">
        <v>292.66000000000003</v>
      </c>
      <c r="AS78">
        <f>IF(Table1[[#This Row],[P_F4]]="","",Table1[Pu(kN)]/Table1[[#This Row],[P_F4]])</f>
        <v>1.2632406205152735</v>
      </c>
      <c r="AT78">
        <v>0.1956</v>
      </c>
      <c r="AU78" s="7">
        <v>294.02</v>
      </c>
      <c r="AV78">
        <v>305.10000000000002</v>
      </c>
      <c r="AW78">
        <f>IF(Table1[[#This Row],[P_F5]]="","",Table1[Pu(kN)]/Table1[[#This Row],[P_F5]])</f>
        <v>1.2117338577515568</v>
      </c>
      <c r="AX78">
        <v>0.13980000000000001</v>
      </c>
      <c r="AY78" s="7">
        <v>307.27999999999997</v>
      </c>
      <c r="AZ78">
        <v>397.06</v>
      </c>
      <c r="BA78">
        <f>IF(Table1[[#This Row],[P_R5]]="","",Table1[Pu(kN)]/Table1[[#This Row],[P_R5]])</f>
        <v>0.93109353750062962</v>
      </c>
      <c r="BB78">
        <v>0.86919999999999997</v>
      </c>
      <c r="BC78">
        <v>397.06</v>
      </c>
      <c r="BD78" s="5">
        <v>330.26</v>
      </c>
      <c r="BE78" s="6">
        <f>IF(Table1[[#This Row],[P_F6]]="","",Table1[Pu(kN)]/Table1[[#This Row],[P_F6]])</f>
        <v>1.1194210621934233</v>
      </c>
      <c r="BF78">
        <v>0.18859999999999999</v>
      </c>
      <c r="BG78">
        <v>330.26</v>
      </c>
      <c r="BH78" s="5">
        <v>404.95</v>
      </c>
      <c r="BI78" s="6">
        <f>IF(Table1[[#This Row],[P_R6]]="","",Table1[Pu(kN)]/Table1[[#This Row],[P_R6]])</f>
        <v>0.91295221632300283</v>
      </c>
      <c r="BJ78" s="6">
        <v>0.86760000000000004</v>
      </c>
      <c r="BK78" s="6">
        <v>404.95</v>
      </c>
      <c r="BL78" s="5">
        <v>322.86</v>
      </c>
      <c r="BM78" s="6">
        <f>IF(Table1[[#This Row],[P_F7]]="","",Table1[Pu(kN)]/Table1[[#This Row],[P_F7]])</f>
        <v>1.145078362138388</v>
      </c>
      <c r="BN78" s="6">
        <v>0.21299999999999999</v>
      </c>
      <c r="BO78" s="6">
        <v>322.86</v>
      </c>
      <c r="BP78" s="5">
        <v>304.47000000000003</v>
      </c>
      <c r="BQ78" s="6">
        <f>IF(Table1[[#This Row],[P_F8]]="","",Table1[Pu(kN)]/Table1[[#This Row],[P_F8]])</f>
        <v>1.214241140342234</v>
      </c>
      <c r="BR78" s="6">
        <v>0.22939999999999999</v>
      </c>
      <c r="BS78" s="6">
        <v>305.41000000000003</v>
      </c>
      <c r="BT78" s="5">
        <v>400.07</v>
      </c>
      <c r="BU78" s="6">
        <f>IF(Table1[[#This Row],[P_R7]]="","",Table1[Pu(kN)]/Table1[[#This Row],[P_R7]])</f>
        <v>0.92408828455020375</v>
      </c>
      <c r="BV78" s="6">
        <v>0.85519999999999996</v>
      </c>
      <c r="BW78" s="6">
        <v>400.07</v>
      </c>
      <c r="BX78" s="5">
        <v>339.73</v>
      </c>
      <c r="BY78" s="6">
        <f>IF(Table1[[#This Row],[P_F9]]="","",Table1[Pu(kN)]/Table1[[#This Row],[P_F9]])</f>
        <v>1.0882171135902039</v>
      </c>
      <c r="BZ78" s="6">
        <v>0.44419999999999998</v>
      </c>
      <c r="CA78" s="7">
        <v>340.56</v>
      </c>
      <c r="CB78" s="5">
        <v>403.62</v>
      </c>
      <c r="CC78" s="6">
        <f>IF(Table1[[#This Row],[P_R8]]="","",Table1[Pu(kN)]/Table1[[#This Row],[P_R8]])</f>
        <v>0.91596055695951639</v>
      </c>
      <c r="CD78" s="6">
        <v>0.87570000000000003</v>
      </c>
      <c r="CE78" s="6">
        <v>403.62</v>
      </c>
      <c r="CF78" s="5">
        <v>357.01</v>
      </c>
      <c r="CG78">
        <f>IF(Table1[[#This Row],[P_R9]]="","",Table1[Pu(kN)]/Table1[[#This Row],[P_R9]])</f>
        <v>1.0355452228228901</v>
      </c>
      <c r="CH78">
        <v>0.5635</v>
      </c>
      <c r="CI78">
        <v>357.01</v>
      </c>
      <c r="CJ78" s="5">
        <v>341.52</v>
      </c>
      <c r="CK78" s="6">
        <f>IF(Table1[[#This Row],[P_F10]]="","",Table1[Pu(kN)]/Table1[[#This Row],[P_F10]])</f>
        <v>1.0825134691965332</v>
      </c>
      <c r="CL78" s="6">
        <v>0.3826</v>
      </c>
      <c r="CM78" s="6">
        <v>341.52</v>
      </c>
      <c r="CN78" s="39">
        <f>Table1[[#This Row],[P_R8]]</f>
        <v>403.62</v>
      </c>
      <c r="CO78" s="38">
        <f>Table1[[#This Row],[Pu(kN)]]/Table1[[#This Row],[P_R8_2]]</f>
        <v>0.91596055695951639</v>
      </c>
      <c r="CP78" s="38">
        <f>Table1[[#This Row],[DUCTIL_R8]]</f>
        <v>0.87570000000000003</v>
      </c>
      <c r="CQ78" s="38">
        <f>Table1[[#This Row],[P_R8_2]]</f>
        <v>403.62</v>
      </c>
    </row>
    <row r="79" spans="1:95" x14ac:dyDescent="0.3">
      <c r="A79" s="27" t="s">
        <v>153</v>
      </c>
      <c r="B79" s="20" t="s">
        <v>154</v>
      </c>
      <c r="C79" s="20" t="s">
        <v>155</v>
      </c>
      <c r="D79" s="18">
        <v>2015</v>
      </c>
      <c r="E79" s="20" t="s">
        <v>91</v>
      </c>
      <c r="F79" s="20">
        <v>34.5</v>
      </c>
      <c r="G79" s="23">
        <v>2.4700000000000002</v>
      </c>
      <c r="H79" s="20">
        <v>750</v>
      </c>
      <c r="I79" s="21">
        <v>270</v>
      </c>
      <c r="J79" s="23">
        <f>Table1[[#This Row],[a'[mm']]]/Table1[[#This Row],[d'[mm']]]</f>
        <v>2.7777777777777777</v>
      </c>
      <c r="K79" s="20">
        <v>320</v>
      </c>
      <c r="L79" s="20" t="s">
        <v>293</v>
      </c>
      <c r="M79" s="20">
        <v>182.4</v>
      </c>
      <c r="N79" s="20" t="s">
        <v>130</v>
      </c>
      <c r="O79" s="20" t="s">
        <v>130</v>
      </c>
      <c r="P79" s="5">
        <v>150</v>
      </c>
      <c r="Q79" s="8">
        <f>IF(Table1[[#This Row],[P_F1]]="","",Table1[Pu(kN)]/Table1[[#This Row],[P_F1]])</f>
        <v>1.216</v>
      </c>
      <c r="R79" s="6">
        <v>0</v>
      </c>
      <c r="S79" s="6">
        <v>154.6</v>
      </c>
      <c r="T79" s="5">
        <v>153.59</v>
      </c>
      <c r="U79" s="8">
        <f>IF(Table1[[#This Row],[P_R1]]="","",Table1[Pu(kN)]/Table1[[#This Row],[P_R1]])</f>
        <v>1.1875773162315255</v>
      </c>
      <c r="V79">
        <v>0</v>
      </c>
      <c r="W79">
        <v>154.13</v>
      </c>
      <c r="X79" s="5">
        <v>158.52000000000001</v>
      </c>
      <c r="Y79" s="8">
        <f>IF(Table1[[#This Row],[P_F2]]="","",Table1[Pu(kN)]/Table1[[#This Row],[P_F2]])</f>
        <v>1.1506434519303557</v>
      </c>
      <c r="Z79">
        <v>4.6100000000000002E-2</v>
      </c>
      <c r="AA79">
        <v>160.77000000000001</v>
      </c>
      <c r="AB79" s="5">
        <f>306.99/2</f>
        <v>153.495</v>
      </c>
      <c r="AC79" s="8">
        <f>IF(Table1[[#This Row],[P_R2]]="","",Table1[Pu(kN)]/Table1[[#This Row],[P_R2]])</f>
        <v>1.1883123228769668</v>
      </c>
      <c r="AD79">
        <v>0.23050000000000001</v>
      </c>
      <c r="AE79">
        <v>307.18</v>
      </c>
      <c r="AF79" s="10">
        <v>173.07</v>
      </c>
      <c r="AG79" s="8">
        <f>IF(Table1[[#This Row],[P_F3]]="","",Table1[Pu(kN)]/Table1[[#This Row],[P_F3]])</f>
        <v>1.0539088230195874</v>
      </c>
      <c r="AH79" s="8">
        <v>3.4000000000000002E-2</v>
      </c>
      <c r="AI79" s="8">
        <v>173.07</v>
      </c>
      <c r="AJ79" s="5">
        <f>326.86/2</f>
        <v>163.43</v>
      </c>
      <c r="AK79" s="8">
        <f>IF(Table1[[#This Row],[P_R3]]="","",Table1[Pu(kN)]/Table1[[#This Row],[P_R3]])</f>
        <v>1.1160741601909074</v>
      </c>
      <c r="AL79">
        <v>0.19950000000000001</v>
      </c>
      <c r="AM79">
        <v>331.82</v>
      </c>
      <c r="AN79" s="10">
        <v>331.22</v>
      </c>
      <c r="AO79" s="8">
        <f>IF(Table1[[#This Row],[P_R4]]="","",Table1[Pu(kN)]/Table1[[#This Row],[P_R4]])</f>
        <v>0.55069138337056933</v>
      </c>
      <c r="AP79" s="8">
        <v>0.24510000000000001</v>
      </c>
      <c r="AQ79" s="9">
        <v>342.45</v>
      </c>
      <c r="AR79">
        <v>162.83000000000001</v>
      </c>
      <c r="AS79">
        <f>IF(Table1[[#This Row],[P_F4]]="","",Table1[Pu(kN)]/Table1[[#This Row],[P_F4]])</f>
        <v>1.1201866977829638</v>
      </c>
      <c r="AT79">
        <v>4.5699999999999998E-2</v>
      </c>
      <c r="AU79" s="7">
        <v>162.83000000000001</v>
      </c>
      <c r="AV79">
        <v>170.37</v>
      </c>
      <c r="AW79">
        <f>IF(Table1[[#This Row],[P_F5]]="","",Table1[Pu(kN)]/Table1[[#This Row],[P_F5]])</f>
        <v>1.0706110230674415</v>
      </c>
      <c r="AX79">
        <v>1.8800000000000001E-2</v>
      </c>
      <c r="AY79" s="7">
        <v>171.58</v>
      </c>
      <c r="AZ79">
        <f>284.94/2</f>
        <v>142.47</v>
      </c>
      <c r="BA79">
        <f>IF(Table1[[#This Row],[P_R5]]="","",Table1[Pu(kN)]/Table1[[#This Row],[P_R5]])</f>
        <v>1.2802695304274585</v>
      </c>
      <c r="BB79">
        <v>0.1449</v>
      </c>
      <c r="BC79">
        <v>285.48</v>
      </c>
      <c r="BD79" s="5">
        <f>225.28/2</f>
        <v>112.64</v>
      </c>
      <c r="BE79" s="6">
        <f>IF(Table1[[#This Row],[P_F6]]="","",Table1[Pu(kN)]/Table1[[#This Row],[P_F6]])</f>
        <v>1.6193181818181819</v>
      </c>
      <c r="BF79">
        <v>8.8000000000000005E-3</v>
      </c>
      <c r="BG79">
        <v>225.28</v>
      </c>
      <c r="BH79" s="5">
        <v>342.88</v>
      </c>
      <c r="BI79" s="6">
        <f>IF(Table1[[#This Row],[P_R6]]="","",Table1[Pu(kN)]/Table1[[#This Row],[P_R6]])</f>
        <v>0.53196453569762014</v>
      </c>
      <c r="BJ79">
        <v>0.32900000000000001</v>
      </c>
      <c r="BK79">
        <v>342.98</v>
      </c>
      <c r="BL79" s="5">
        <v>171.13</v>
      </c>
      <c r="BM79" s="6">
        <f>IF(Table1[[#This Row],[P_F7]]="","",Table1[Pu(kN)]/Table1[[#This Row],[P_F7]])</f>
        <v>1.0658563665049963</v>
      </c>
      <c r="BN79" s="6">
        <v>4.41E-2</v>
      </c>
      <c r="BO79" s="6">
        <v>173.55</v>
      </c>
      <c r="BP79" s="5">
        <v>159.46</v>
      </c>
      <c r="BQ79" s="6">
        <f>IF(Table1[[#This Row],[P_F8]]="","",Table1[Pu(kN)]/Table1[[#This Row],[P_F8]])</f>
        <v>1.1438605292863413</v>
      </c>
      <c r="BR79" s="6">
        <v>8.9999999999999993E-3</v>
      </c>
      <c r="BS79" s="6">
        <v>159.46</v>
      </c>
      <c r="BT79" s="5">
        <v>315.08</v>
      </c>
      <c r="BU79" s="6">
        <f>IF(Table1[[#This Row],[P_R7]]="","",Table1[Pu(kN)]/Table1[[#This Row],[P_R7]])</f>
        <v>0.57890059667386062</v>
      </c>
      <c r="BV79">
        <v>0.20610000000000001</v>
      </c>
      <c r="BW79">
        <v>315.35000000000002</v>
      </c>
      <c r="BX79" s="5">
        <v>153.84</v>
      </c>
      <c r="BY79" s="6">
        <f>IF(Table1[[#This Row],[P_F9]]="","",Table1[Pu(kN)]/Table1[[#This Row],[P_F9]])</f>
        <v>1.185647425897036</v>
      </c>
      <c r="BZ79" s="6">
        <v>5.9400000000000001E-2</v>
      </c>
      <c r="CA79" s="7">
        <v>155.5</v>
      </c>
      <c r="CB79" s="5">
        <v>372.4</v>
      </c>
      <c r="CC79" s="6">
        <f>IF(Table1[[#This Row],[P_R8]]="","",Table1[Pu(kN)]/Table1[[#This Row],[P_R8]])</f>
        <v>0.48979591836734698</v>
      </c>
      <c r="CD79" s="6">
        <v>0.74350000000000005</v>
      </c>
      <c r="CE79" s="6">
        <v>372.28</v>
      </c>
      <c r="CF79" s="5">
        <v>231.14</v>
      </c>
      <c r="CG79">
        <f>IF(Table1[[#This Row],[P_R9]]="","",Table1[Pu(kN)]/Table1[[#This Row],[P_R9]])</f>
        <v>0.7891321277148049</v>
      </c>
      <c r="CH79">
        <v>1.83E-2</v>
      </c>
      <c r="CI79">
        <v>255.32</v>
      </c>
      <c r="CJ79" s="5">
        <v>145.69999999999999</v>
      </c>
      <c r="CK79" s="6">
        <f>IF(Table1[[#This Row],[P_F10]]="","",Table1[Pu(kN)]/Table1[[#This Row],[P_F10]])</f>
        <v>1.2518874399450928</v>
      </c>
      <c r="CL79" s="6">
        <v>5.2600000000000001E-2</v>
      </c>
      <c r="CM79" s="6">
        <v>145.69999999999999</v>
      </c>
      <c r="CN79" s="39">
        <v>147.1</v>
      </c>
      <c r="CO79" s="38">
        <f>Table1[[#This Row],[Pu(kN)]]/Table1[[#This Row],[P_R8_2]]</f>
        <v>1.2399728076138683</v>
      </c>
      <c r="CP79" s="38">
        <v>0</v>
      </c>
      <c r="CQ79" s="38">
        <f>Table1[[#This Row],[P_R8_2]]</f>
        <v>147.1</v>
      </c>
    </row>
    <row r="80" spans="1:95" x14ac:dyDescent="0.3">
      <c r="A80" s="26" t="s">
        <v>49</v>
      </c>
      <c r="B80" s="18" t="s">
        <v>94</v>
      </c>
      <c r="C80" s="18" t="s">
        <v>40</v>
      </c>
      <c r="D80" s="18">
        <v>2015</v>
      </c>
      <c r="E80" s="18"/>
      <c r="F80" s="18">
        <v>99.15</v>
      </c>
      <c r="G80" s="22">
        <v>1.04</v>
      </c>
      <c r="H80" s="18">
        <v>2100</v>
      </c>
      <c r="I80" s="18">
        <v>671</v>
      </c>
      <c r="J80" s="22">
        <f>Table1[[#This Row],[a'[mm']]]/Table1[[#This Row],[d'[mm']]]</f>
        <v>3.1296572280178836</v>
      </c>
      <c r="K80" s="18">
        <v>750</v>
      </c>
      <c r="L80" s="18" t="s">
        <v>293</v>
      </c>
      <c r="M80" s="18">
        <v>747.56</v>
      </c>
      <c r="N80" s="18" t="s">
        <v>131</v>
      </c>
      <c r="O80" s="18" t="s">
        <v>130</v>
      </c>
      <c r="P80" s="5">
        <v>707.51</v>
      </c>
      <c r="Q80" s="6">
        <f>IF(Table1[[#This Row],[P_F1]]="","",Table1[Pu(kN)]/Table1[[#This Row],[P_F1]])</f>
        <v>1.056606973753021</v>
      </c>
      <c r="R80">
        <v>0</v>
      </c>
      <c r="S80">
        <v>714.97</v>
      </c>
      <c r="T80" s="5">
        <v>797.63</v>
      </c>
      <c r="U80" s="6">
        <f>IF(Table1[[#This Row],[P_R1]]="","",Table1[Pu(kN)]/Table1[[#This Row],[P_R1]])</f>
        <v>0.9372265336058071</v>
      </c>
      <c r="V80">
        <v>0</v>
      </c>
      <c r="W80">
        <v>797.76</v>
      </c>
      <c r="X80" s="5">
        <v>707.51</v>
      </c>
      <c r="Y80" s="6">
        <f>IF(Table1[[#This Row],[P_F2]]="","",Table1[Pu(kN)]/Table1[[#This Row],[P_F2]])</f>
        <v>1.056606973753021</v>
      </c>
      <c r="Z80">
        <v>0</v>
      </c>
      <c r="AA80">
        <v>714.97</v>
      </c>
      <c r="AB80" s="5">
        <v>796.93</v>
      </c>
      <c r="AC80" s="8">
        <f>IF(Table1[[#This Row],[P_R2]]="","",Table1[Pu(kN)]/Table1[[#This Row],[P_R2]])</f>
        <v>0.93804976597693646</v>
      </c>
      <c r="AD80" s="8">
        <v>0</v>
      </c>
      <c r="AE80">
        <v>797.34</v>
      </c>
      <c r="AF80" s="10">
        <v>711.5</v>
      </c>
      <c r="AG80" s="2">
        <f>IF(Table1[[#This Row],[P_F3]]="","",Table1[Pu(kN)]/Table1[[#This Row],[P_F3]])</f>
        <v>1.0506816584680252</v>
      </c>
      <c r="AH80" s="2">
        <v>0</v>
      </c>
      <c r="AI80" s="8">
        <v>717.58</v>
      </c>
      <c r="AJ80" s="5">
        <v>803.47</v>
      </c>
      <c r="AK80" s="8">
        <f>IF(Table1[[#This Row],[P_R3]]="","",Table1[Pu(kN)]/Table1[[#This Row],[P_R3]])</f>
        <v>0.93041432785293776</v>
      </c>
      <c r="AL80">
        <v>0</v>
      </c>
      <c r="AM80">
        <v>803.47</v>
      </c>
      <c r="AN80" s="10">
        <v>797.35</v>
      </c>
      <c r="AO80" s="8">
        <f>IF(Table1[[#This Row],[P_R4]]="","",Table1[Pu(kN)]/Table1[[#This Row],[P_R4]])</f>
        <v>0.93755565310089661</v>
      </c>
      <c r="AP80" s="8">
        <v>0</v>
      </c>
      <c r="AQ80" s="8">
        <v>797.61</v>
      </c>
      <c r="AR80" s="5">
        <v>719.5</v>
      </c>
      <c r="AS80">
        <f>IF(Table1[[#This Row],[P_F4]]="","",Table1[Pu(kN)]/Table1[[#This Row],[P_F4]])</f>
        <v>1.0389993050729673</v>
      </c>
      <c r="AT80">
        <v>0</v>
      </c>
      <c r="AU80" s="7">
        <v>734.41</v>
      </c>
      <c r="AV80">
        <v>743.44</v>
      </c>
      <c r="AW80">
        <f>IF(Table1[[#This Row],[P_F5]]="","",Table1[Pu(kN)]/Table1[[#This Row],[P_F5]])</f>
        <v>1.0055418056601741</v>
      </c>
      <c r="AX80">
        <v>0</v>
      </c>
      <c r="AY80" s="7">
        <v>747.43</v>
      </c>
      <c r="AZ80">
        <v>748.35</v>
      </c>
      <c r="BA80">
        <f>IF(Table1[[#This Row],[P_R5]]="","",Table1[Pu(kN)]/Table1[[#This Row],[P_R5]])</f>
        <v>0.99894434422395928</v>
      </c>
      <c r="BB80">
        <v>0</v>
      </c>
      <c r="BC80">
        <v>757.26</v>
      </c>
      <c r="BD80" s="5">
        <v>846.11</v>
      </c>
      <c r="BE80" s="6">
        <f>IF(Table1[[#This Row],[P_F6]]="","",Table1[Pu(kN)]/Table1[[#This Row],[P_F6]])</f>
        <v>0.88352578269964888</v>
      </c>
      <c r="BF80" s="6">
        <v>0</v>
      </c>
      <c r="BG80" s="6">
        <v>846.11</v>
      </c>
      <c r="BH80" s="5">
        <v>821.42</v>
      </c>
      <c r="BI80" s="6">
        <f>IF(Table1[[#This Row],[P_R6]]="","",Table1[Pu(kN)]/Table1[[#This Row],[P_R6]])</f>
        <v>0.91008253999172162</v>
      </c>
      <c r="BJ80" s="6">
        <v>0</v>
      </c>
      <c r="BK80" s="6">
        <v>821.42</v>
      </c>
      <c r="BL80" s="5">
        <v>763.37</v>
      </c>
      <c r="BM80" s="6">
        <f>IF(Table1[[#This Row],[P_F7]]="","",Table1[Pu(kN)]/Table1[[#This Row],[P_F7]])</f>
        <v>0.97928920444869449</v>
      </c>
      <c r="BN80" s="6">
        <v>0</v>
      </c>
      <c r="BO80" s="6">
        <v>767.35</v>
      </c>
      <c r="BP80" s="5">
        <v>688.32</v>
      </c>
      <c r="BQ80" s="6">
        <f>IF(Table1[[#This Row],[P_F8]]="","",Table1[Pu(kN)]/Table1[[#This Row],[P_F8]])</f>
        <v>1.086064621106462</v>
      </c>
      <c r="BR80">
        <v>0</v>
      </c>
      <c r="BS80">
        <v>688.32</v>
      </c>
      <c r="BT80" s="5">
        <v>789.31</v>
      </c>
      <c r="BU80" s="6">
        <f>IF(Table1[[#This Row],[P_R7]]="","",Table1[Pu(kN)]/Table1[[#This Row],[P_R7]])</f>
        <v>0.94710569991511573</v>
      </c>
      <c r="BV80" s="6">
        <v>0</v>
      </c>
      <c r="BW80" s="6">
        <v>789.37</v>
      </c>
      <c r="BX80" s="5">
        <v>711.5</v>
      </c>
      <c r="BY80" s="6">
        <f>IF(Table1[[#This Row],[P_F9]]="","",Table1[Pu(kN)]/Table1[[#This Row],[P_F9]])</f>
        <v>1.0506816584680252</v>
      </c>
      <c r="BZ80">
        <v>0</v>
      </c>
      <c r="CA80">
        <v>711.5</v>
      </c>
      <c r="CB80" s="5">
        <v>800.04</v>
      </c>
      <c r="CC80" s="6">
        <f>IF(Table1[[#This Row],[P_R8]]="","",Table1[Pu(kN)]/Table1[[#This Row],[P_R8]])</f>
        <v>0.93440327983600813</v>
      </c>
      <c r="CD80" s="6">
        <v>0</v>
      </c>
      <c r="CE80" s="6">
        <v>800.46</v>
      </c>
      <c r="CF80" s="5">
        <v>800.4</v>
      </c>
      <c r="CG80">
        <f>IF(Table1[[#This Row],[P_R9]]="","",Table1[Pu(kN)]/Table1[[#This Row],[P_R9]])</f>
        <v>0.93398300849575211</v>
      </c>
      <c r="CH80">
        <v>0</v>
      </c>
      <c r="CI80">
        <v>800.4</v>
      </c>
      <c r="CJ80" s="5">
        <v>711.5</v>
      </c>
      <c r="CK80" s="6">
        <f>IF(Table1[[#This Row],[P_F10]]="","",Table1[Pu(kN)]/Table1[[#This Row],[P_F10]])</f>
        <v>1.0506816584680252</v>
      </c>
      <c r="CL80" s="6">
        <v>0</v>
      </c>
      <c r="CM80" s="6">
        <v>711.5</v>
      </c>
      <c r="CN80" s="39">
        <f>Table1[[#This Row],[P_R8]]</f>
        <v>800.04</v>
      </c>
      <c r="CO80" s="38">
        <f>Table1[[#This Row],[Pu(kN)]]/Table1[[#This Row],[P_R8_2]]</f>
        <v>0.93440327983600813</v>
      </c>
      <c r="CP80" s="38">
        <f>Table1[[#This Row],[DUCTIL_R8]]</f>
        <v>0</v>
      </c>
      <c r="CQ80" s="38">
        <f>Table1[[#This Row],[P_R8_2]]</f>
        <v>800.04</v>
      </c>
    </row>
    <row r="81" spans="1:95" x14ac:dyDescent="0.3">
      <c r="A81" s="27" t="s">
        <v>48</v>
      </c>
      <c r="B81" s="20" t="s">
        <v>94</v>
      </c>
      <c r="C81" s="20" t="s">
        <v>40</v>
      </c>
      <c r="D81" s="18">
        <v>2015</v>
      </c>
      <c r="E81" s="20"/>
      <c r="F81" s="20">
        <v>96.34</v>
      </c>
      <c r="G81" s="23">
        <v>0.65100000000000002</v>
      </c>
      <c r="H81" s="20">
        <v>2100</v>
      </c>
      <c r="I81" s="20">
        <v>700</v>
      </c>
      <c r="J81" s="23">
        <f>Table1[[#This Row],[a'[mm']]]/Table1[[#This Row],[d'[mm']]]</f>
        <v>3</v>
      </c>
      <c r="K81" s="20">
        <v>750</v>
      </c>
      <c r="L81" s="20" t="s">
        <v>293</v>
      </c>
      <c r="M81" s="20">
        <v>435.9</v>
      </c>
      <c r="N81" s="20" t="s">
        <v>131</v>
      </c>
      <c r="O81" s="20" t="s">
        <v>130</v>
      </c>
      <c r="P81" s="5">
        <v>508.21</v>
      </c>
      <c r="Q81" s="6">
        <f>IF(Table1[[#This Row],[P_F1]]="","",Table1[Pu(kN)]/Table1[[#This Row],[P_F1]])</f>
        <v>0.85771629838059071</v>
      </c>
      <c r="R81">
        <v>0</v>
      </c>
      <c r="S81">
        <v>509.47</v>
      </c>
      <c r="T81" s="5">
        <v>525.38</v>
      </c>
      <c r="U81" s="6">
        <f>IF(Table1[[#This Row],[P_R1]]="","",Table1[Pu(kN)]/Table1[[#This Row],[P_R1]])</f>
        <v>0.82968518025048532</v>
      </c>
      <c r="V81">
        <v>0</v>
      </c>
      <c r="W81">
        <v>525.38</v>
      </c>
      <c r="X81" s="5">
        <v>511.26</v>
      </c>
      <c r="Y81" s="6">
        <f>IF(Table1[[#This Row],[P_F2]]="","",Table1[Pu(kN)]/Table1[[#This Row],[P_F2]])</f>
        <v>0.85259946015725852</v>
      </c>
      <c r="Z81">
        <v>0</v>
      </c>
      <c r="AA81">
        <v>513.61</v>
      </c>
      <c r="AB81" s="5">
        <v>524</v>
      </c>
      <c r="AC81" s="8">
        <f>IF(Table1[[#This Row],[P_R2]]="","",Table1[Pu(kN)]/Table1[[#This Row],[P_R2]])</f>
        <v>0.83187022900763352</v>
      </c>
      <c r="AD81" s="8">
        <v>0</v>
      </c>
      <c r="AE81">
        <v>524</v>
      </c>
      <c r="AF81" s="10">
        <v>507.71</v>
      </c>
      <c r="AG81" s="2">
        <f>IF(Table1[[#This Row],[P_F3]]="","",Table1[Pu(kN)]/Table1[[#This Row],[P_F3]])</f>
        <v>0.85856098954127358</v>
      </c>
      <c r="AH81" s="2">
        <v>0</v>
      </c>
      <c r="AI81" s="8">
        <v>508.55</v>
      </c>
      <c r="AJ81" s="5">
        <v>525.54999999999995</v>
      </c>
      <c r="AK81" s="8">
        <f>IF(Table1[[#This Row],[P_R3]]="","",Table1[Pu(kN)]/Table1[[#This Row],[P_R3]])</f>
        <v>0.82941680144610408</v>
      </c>
      <c r="AL81">
        <v>0</v>
      </c>
      <c r="AM81">
        <v>525.54999999999995</v>
      </c>
      <c r="AN81" s="10">
        <v>524.02</v>
      </c>
      <c r="AO81" s="8">
        <f>IF(Table1[[#This Row],[P_R4]]="","",Table1[Pu(kN)]/Table1[[#This Row],[P_R4]])</f>
        <v>0.83183847944734934</v>
      </c>
      <c r="AP81" s="8">
        <v>0</v>
      </c>
      <c r="AQ81" s="8">
        <v>524.02</v>
      </c>
      <c r="AR81" s="5">
        <v>508.98</v>
      </c>
      <c r="AS81">
        <f>IF(Table1[[#This Row],[P_F4]]="","",Table1[Pu(kN)]/Table1[[#This Row],[P_F4]])</f>
        <v>0.85641871979252615</v>
      </c>
      <c r="AT81">
        <v>0</v>
      </c>
      <c r="AU81" s="7">
        <v>509.86</v>
      </c>
      <c r="AV81">
        <v>514.32000000000005</v>
      </c>
      <c r="AW81">
        <f>IF(Table1[[#This Row],[P_F5]]="","",Table1[Pu(kN)]/Table1[[#This Row],[P_F5]])</f>
        <v>0.84752683154456354</v>
      </c>
      <c r="AX81">
        <v>0</v>
      </c>
      <c r="AY81" s="7">
        <v>516.35</v>
      </c>
      <c r="AZ81">
        <v>520.38</v>
      </c>
      <c r="BA81">
        <f>IF(Table1[[#This Row],[P_R5]]="","",Table1[Pu(kN)]/Table1[[#This Row],[P_R5]])</f>
        <v>0.83765709673699984</v>
      </c>
      <c r="BB81">
        <v>0</v>
      </c>
      <c r="BC81">
        <v>520.91</v>
      </c>
      <c r="BD81">
        <v>528</v>
      </c>
      <c r="BE81" s="6">
        <f>IF(Table1[[#This Row],[P_F6]]="","",Table1[Pu(kN)]/Table1[[#This Row],[P_F6]])</f>
        <v>0.82556818181818181</v>
      </c>
      <c r="BF81" s="6">
        <v>0</v>
      </c>
      <c r="BG81">
        <v>528</v>
      </c>
      <c r="BH81" s="5">
        <v>527.37</v>
      </c>
      <c r="BI81" s="6">
        <f>IF(Table1[[#This Row],[P_R6]]="","",Table1[Pu(kN)]/Table1[[#This Row],[P_R6]])</f>
        <v>0.82655441151373799</v>
      </c>
      <c r="BJ81" s="6">
        <v>0</v>
      </c>
      <c r="BK81" s="6">
        <v>527.37</v>
      </c>
      <c r="BL81" s="5">
        <v>511.08</v>
      </c>
      <c r="BM81" s="6">
        <f>IF(Table1[[#This Row],[P_F7]]="","",Table1[Pu(kN)]/Table1[[#This Row],[P_F7]])</f>
        <v>0.85289974172340921</v>
      </c>
      <c r="BN81" s="6">
        <v>0</v>
      </c>
      <c r="BO81" s="6">
        <v>512.39</v>
      </c>
      <c r="BP81" s="5">
        <v>501.29</v>
      </c>
      <c r="BQ81" s="6">
        <f>IF(Table1[[#This Row],[P_F8]]="","",Table1[Pu(kN)]/Table1[[#This Row],[P_F8]])</f>
        <v>0.86955654411618022</v>
      </c>
      <c r="BR81">
        <v>0</v>
      </c>
      <c r="BS81">
        <v>502.76</v>
      </c>
      <c r="BT81" s="5">
        <v>523.6</v>
      </c>
      <c r="BU81" s="6">
        <f>IF(Table1[[#This Row],[P_R7]]="","",Table1[Pu(kN)]/Table1[[#This Row],[P_R7]])</f>
        <v>0.83250572956455304</v>
      </c>
      <c r="BV81" s="6">
        <v>0</v>
      </c>
      <c r="BW81" s="6">
        <v>523.6</v>
      </c>
      <c r="BX81" s="5">
        <v>511.22</v>
      </c>
      <c r="BY81" s="6">
        <f>IF(Table1[[#This Row],[P_F9]]="","",Table1[Pu(kN)]/Table1[[#This Row],[P_F9]])</f>
        <v>0.8526661711200656</v>
      </c>
      <c r="BZ81">
        <v>0</v>
      </c>
      <c r="CA81">
        <v>511.22</v>
      </c>
      <c r="CB81" s="5">
        <v>523.57000000000005</v>
      </c>
      <c r="CC81" s="6">
        <f>IF(Table1[[#This Row],[P_R8]]="","",Table1[Pu(kN)]/Table1[[#This Row],[P_R8]])</f>
        <v>0.83255343125083547</v>
      </c>
      <c r="CD81" s="6">
        <v>0</v>
      </c>
      <c r="CE81" s="6">
        <v>523.57000000000005</v>
      </c>
      <c r="CF81" s="5">
        <v>521.89</v>
      </c>
      <c r="CG81">
        <f>IF(Table1[[#This Row],[P_R9]]="","",Table1[Pu(kN)]/Table1[[#This Row],[P_R9]])</f>
        <v>0.83523347831918604</v>
      </c>
      <c r="CH81">
        <v>0</v>
      </c>
      <c r="CI81">
        <v>522.11</v>
      </c>
      <c r="CJ81" s="5">
        <v>509.87</v>
      </c>
      <c r="CK81" s="6">
        <f>IF(Table1[[#This Row],[P_F10]]="","",Table1[Pu(kN)]/Table1[[#This Row],[P_F10]])</f>
        <v>0.85492380410692914</v>
      </c>
      <c r="CL81" s="6">
        <v>0</v>
      </c>
      <c r="CM81" s="6">
        <v>509.87</v>
      </c>
      <c r="CN81" s="39">
        <f>Table1[[#This Row],[P_R8]]</f>
        <v>523.57000000000005</v>
      </c>
      <c r="CO81" s="38">
        <f>Table1[[#This Row],[Pu(kN)]]/Table1[[#This Row],[P_R8_2]]</f>
        <v>0.83255343125083547</v>
      </c>
      <c r="CP81" s="38">
        <f>Table1[[#This Row],[DUCTIL_R8]]</f>
        <v>0</v>
      </c>
      <c r="CQ81" s="38">
        <f>Table1[[#This Row],[P_R8_2]]</f>
        <v>523.57000000000005</v>
      </c>
    </row>
    <row r="82" spans="1:95" x14ac:dyDescent="0.3">
      <c r="A82" s="27" t="s">
        <v>46</v>
      </c>
      <c r="B82" s="20" t="s">
        <v>94</v>
      </c>
      <c r="C82" s="20" t="s">
        <v>40</v>
      </c>
      <c r="D82" s="18">
        <v>2015</v>
      </c>
      <c r="E82" s="20"/>
      <c r="F82" s="20">
        <v>95.97</v>
      </c>
      <c r="G82" s="23">
        <v>0.65100000000000002</v>
      </c>
      <c r="H82" s="20">
        <v>2100</v>
      </c>
      <c r="I82" s="20">
        <v>700</v>
      </c>
      <c r="J82" s="23">
        <f>Table1[[#This Row],[a'[mm']]]/Table1[[#This Row],[d'[mm']]]</f>
        <v>3</v>
      </c>
      <c r="K82" s="20">
        <v>750</v>
      </c>
      <c r="L82" s="20" t="s">
        <v>293</v>
      </c>
      <c r="M82" s="20">
        <v>790.48</v>
      </c>
      <c r="N82" s="20" t="s">
        <v>131</v>
      </c>
      <c r="O82" s="20" t="s">
        <v>131</v>
      </c>
      <c r="P82" s="5">
        <v>637.20000000000005</v>
      </c>
      <c r="Q82" s="6">
        <f>IF(Table1[[#This Row],[P_F1]]="","",Table1[Pu(kN)]/Table1[[#This Row],[P_F1]])</f>
        <v>1.2405524168236033</v>
      </c>
      <c r="R82">
        <v>0</v>
      </c>
      <c r="S82">
        <v>637.20000000000005</v>
      </c>
      <c r="T82" s="5">
        <v>657.99</v>
      </c>
      <c r="U82" s="6">
        <f>IF(Table1[[#This Row],[P_R1]]="","",Table1[Pu(kN)]/Table1[[#This Row],[P_R1]])</f>
        <v>1.2013556437027919</v>
      </c>
      <c r="V82">
        <v>0</v>
      </c>
      <c r="W82">
        <v>657.99</v>
      </c>
      <c r="X82" s="5">
        <v>653.54999999999995</v>
      </c>
      <c r="Y82" s="6">
        <f>IF(Table1[[#This Row],[P_F2]]="","",Table1[Pu(kN)]/Table1[[#This Row],[P_F2]])</f>
        <v>1.2095172519317574</v>
      </c>
      <c r="Z82">
        <v>0</v>
      </c>
      <c r="AA82">
        <v>653.54999999999995</v>
      </c>
      <c r="AB82" s="5">
        <v>659.55</v>
      </c>
      <c r="AC82" s="8">
        <f>IF(Table1[[#This Row],[P_R2]]="","",Table1[Pu(kN)]/Table1[[#This Row],[P_R2]])</f>
        <v>1.198514138427716</v>
      </c>
      <c r="AD82">
        <v>0</v>
      </c>
      <c r="AE82">
        <v>659.55</v>
      </c>
      <c r="AF82" s="10">
        <v>611.12</v>
      </c>
      <c r="AG82" s="2">
        <f>IF(Table1[[#This Row],[P_F3]]="","",Table1[Pu(kN)]/Table1[[#This Row],[P_F3]])</f>
        <v>1.2934939128158136</v>
      </c>
      <c r="AH82" s="2">
        <v>0</v>
      </c>
      <c r="AI82" s="8">
        <v>611.12</v>
      </c>
      <c r="AJ82" s="5">
        <v>661.71</v>
      </c>
      <c r="AK82" s="8">
        <f>IF(Table1[[#This Row],[P_R3]]="","",Table1[Pu(kN)]/Table1[[#This Row],[P_R3]])</f>
        <v>1.1946018648652732</v>
      </c>
      <c r="AL82">
        <v>0</v>
      </c>
      <c r="AM82">
        <v>662.29</v>
      </c>
      <c r="AN82" s="10">
        <v>660.38</v>
      </c>
      <c r="AO82" s="8">
        <f>IF(Table1[[#This Row],[P_R4]]="","",Table1[Pu(kN)]/Table1[[#This Row],[P_R4]])</f>
        <v>1.197007783397438</v>
      </c>
      <c r="AP82" s="8">
        <v>0</v>
      </c>
      <c r="AQ82">
        <v>660.38</v>
      </c>
      <c r="AR82" s="5">
        <v>576.9</v>
      </c>
      <c r="AS82">
        <f>IF(Table1[[#This Row],[P_F4]]="","",Table1[Pu(kN)]/Table1[[#This Row],[P_F4]])</f>
        <v>1.370220142139019</v>
      </c>
      <c r="AT82">
        <v>0</v>
      </c>
      <c r="AU82" s="7">
        <v>577.32000000000005</v>
      </c>
      <c r="AV82">
        <v>641.51</v>
      </c>
      <c r="AW82">
        <f>IF(Table1[[#This Row],[P_F5]]="","",Table1[Pu(kN)]/Table1[[#This Row],[P_F5]])</f>
        <v>1.2322177362784681</v>
      </c>
      <c r="AX82">
        <v>0</v>
      </c>
      <c r="AY82" s="7">
        <v>642.20000000000005</v>
      </c>
      <c r="AZ82">
        <v>726.1</v>
      </c>
      <c r="BA82">
        <f>IF(Table1[[#This Row],[P_R5]]="","",Table1[Pu(kN)]/Table1[[#This Row],[P_R5]])</f>
        <v>1.088665473075334</v>
      </c>
      <c r="BB82">
        <v>0</v>
      </c>
      <c r="BC82">
        <v>726.1</v>
      </c>
      <c r="BD82" s="5">
        <v>582.89</v>
      </c>
      <c r="BE82" s="6">
        <f>IF(Table1[[#This Row],[P_F6]]="","",Table1[Pu(kN)]/Table1[[#This Row],[P_F6]])</f>
        <v>1.3561392372488807</v>
      </c>
      <c r="BF82" s="6">
        <v>0</v>
      </c>
      <c r="BG82" s="6">
        <v>582.89</v>
      </c>
      <c r="BH82" s="5">
        <v>664.88</v>
      </c>
      <c r="BI82" s="6">
        <f>IF(Table1[[#This Row],[P_R6]]="","",Table1[Pu(kN)]/Table1[[#This Row],[P_R6]])</f>
        <v>1.1889062688003851</v>
      </c>
      <c r="BJ82" s="6">
        <v>0</v>
      </c>
      <c r="BK82" s="6">
        <v>664.88</v>
      </c>
      <c r="BL82" s="5">
        <v>566.35</v>
      </c>
      <c r="BM82" s="6">
        <f>IF(Table1[[#This Row],[P_F7]]="","",Table1[Pu(kN)]/Table1[[#This Row],[P_F7]])</f>
        <v>1.3957446808510638</v>
      </c>
      <c r="BN82" s="6">
        <v>0</v>
      </c>
      <c r="BO82" s="6">
        <v>566.35</v>
      </c>
      <c r="BP82" s="5">
        <v>580.32000000000005</v>
      </c>
      <c r="BQ82" s="6">
        <f>IF(Table1[[#This Row],[P_F8]]="","",Table1[Pu(kN)]/Table1[[#This Row],[P_F8]])</f>
        <v>1.3621450234353458</v>
      </c>
      <c r="BR82" s="6">
        <v>0</v>
      </c>
      <c r="BS82" s="6">
        <v>580.70000000000005</v>
      </c>
      <c r="BT82" s="5">
        <v>657.28</v>
      </c>
      <c r="BU82" s="6">
        <f>IF(Table1[[#This Row],[P_R7]]="","",Table1[Pu(kN)]/Table1[[#This Row],[P_R7]])</f>
        <v>1.202653359298929</v>
      </c>
      <c r="BV82">
        <v>0</v>
      </c>
      <c r="BW82">
        <v>658.23</v>
      </c>
      <c r="BX82" s="5">
        <v>620.03</v>
      </c>
      <c r="BY82" s="6">
        <f>IF(Table1[[#This Row],[P_F9]]="","",Table1[Pu(kN)]/Table1[[#This Row],[P_F9]])</f>
        <v>1.2749060529329226</v>
      </c>
      <c r="BZ82" s="6">
        <v>0</v>
      </c>
      <c r="CA82" s="7">
        <v>620.03</v>
      </c>
      <c r="CB82" s="5">
        <v>659.21</v>
      </c>
      <c r="CC82" s="6">
        <f>IF(Table1[[#This Row],[P_R8]]="","",Table1[Pu(kN)]/Table1[[#This Row],[P_R8]])</f>
        <v>1.1991322947164029</v>
      </c>
      <c r="CD82" s="6">
        <v>0</v>
      </c>
      <c r="CE82" s="6">
        <v>659.21</v>
      </c>
      <c r="CF82" s="5">
        <v>660.47</v>
      </c>
      <c r="CG82">
        <f>IF(Table1[[#This Row],[P_R9]]="","",Table1[Pu(kN)]/Table1[[#This Row],[P_R9]])</f>
        <v>1.1968446712189804</v>
      </c>
      <c r="CH82">
        <v>0</v>
      </c>
      <c r="CI82">
        <v>660.5</v>
      </c>
      <c r="CJ82" s="5">
        <v>595.19000000000005</v>
      </c>
      <c r="CK82" s="6">
        <f>IF(Table1[[#This Row],[P_F10]]="","",Table1[Pu(kN)]/Table1[[#This Row],[P_F10]])</f>
        <v>1.3281137115878963</v>
      </c>
      <c r="CL82">
        <v>0</v>
      </c>
      <c r="CM82">
        <v>596.82000000000005</v>
      </c>
      <c r="CN82" s="39">
        <f>Table1[[#This Row],[P_R8]]</f>
        <v>659.21</v>
      </c>
      <c r="CO82" s="38">
        <f>Table1[[#This Row],[Pu(kN)]]/Table1[[#This Row],[P_R8_2]]</f>
        <v>1.1991322947164029</v>
      </c>
      <c r="CP82" s="38">
        <f>Table1[[#This Row],[DUCTIL_R8]]</f>
        <v>0</v>
      </c>
      <c r="CQ82" s="38">
        <f>Table1[[#This Row],[P_R8_2]]</f>
        <v>659.21</v>
      </c>
    </row>
    <row r="83" spans="1:95" x14ac:dyDescent="0.3">
      <c r="A83" s="26" t="s">
        <v>47</v>
      </c>
      <c r="B83" s="18" t="s">
        <v>94</v>
      </c>
      <c r="C83" s="18" t="s">
        <v>40</v>
      </c>
      <c r="D83" s="18">
        <v>2015</v>
      </c>
      <c r="E83" s="18"/>
      <c r="F83" s="18">
        <v>95.97</v>
      </c>
      <c r="G83" s="22">
        <v>0.65100000000000002</v>
      </c>
      <c r="H83" s="18">
        <v>2100</v>
      </c>
      <c r="I83" s="18">
        <v>700</v>
      </c>
      <c r="J83" s="22">
        <f>Table1[[#This Row],[a'[mm']]]/Table1[[#This Row],[d'[mm']]]</f>
        <v>3</v>
      </c>
      <c r="K83" s="18">
        <v>750</v>
      </c>
      <c r="L83" s="18" t="s">
        <v>293</v>
      </c>
      <c r="M83" s="18">
        <v>886.92</v>
      </c>
      <c r="N83" s="18" t="s">
        <v>131</v>
      </c>
      <c r="O83" s="18" t="s">
        <v>131</v>
      </c>
      <c r="P83" s="5">
        <v>804.33</v>
      </c>
      <c r="Q83" s="6">
        <f>IF(Table1[[#This Row],[P_F1]]="","",Table1[Pu(kN)]/Table1[[#This Row],[P_F1]])</f>
        <v>1.1026817351087239</v>
      </c>
      <c r="R83">
        <v>0</v>
      </c>
      <c r="S83">
        <v>804.33</v>
      </c>
      <c r="T83" s="5">
        <v>876.34</v>
      </c>
      <c r="U83" s="6">
        <f>IF(Table1[[#This Row],[P_R1]]="","",Table1[Pu(kN)]/Table1[[#This Row],[P_R1]])</f>
        <v>1.01207293972659</v>
      </c>
      <c r="V83">
        <v>0</v>
      </c>
      <c r="W83">
        <v>876.34</v>
      </c>
      <c r="X83" s="5">
        <v>769.56</v>
      </c>
      <c r="Y83" s="6">
        <f>IF(Table1[[#This Row],[P_F2]]="","",Table1[Pu(kN)]/Table1[[#This Row],[P_F2]])</f>
        <v>1.15250272883206</v>
      </c>
      <c r="Z83">
        <v>0</v>
      </c>
      <c r="AA83">
        <v>770.96</v>
      </c>
      <c r="AB83" s="5">
        <v>876.77</v>
      </c>
      <c r="AC83" s="8">
        <f>IF(Table1[[#This Row],[P_R2]]="","",Table1[Pu(kN)]/Table1[[#This Row],[P_R2]])</f>
        <v>1.0115765822279503</v>
      </c>
      <c r="AD83">
        <v>0</v>
      </c>
      <c r="AE83">
        <v>876.77</v>
      </c>
      <c r="AF83" s="10">
        <v>774.73</v>
      </c>
      <c r="AG83" s="2">
        <f>IF(Table1[[#This Row],[P_F3]]="","",Table1[Pu(kN)]/Table1[[#This Row],[P_F3]])</f>
        <v>1.1448117408645593</v>
      </c>
      <c r="AH83" s="2">
        <v>0</v>
      </c>
      <c r="AI83" s="8">
        <v>774.73</v>
      </c>
      <c r="AJ83" s="5">
        <v>876.45</v>
      </c>
      <c r="AK83" s="8">
        <f>IF(Table1[[#This Row],[P_R3]]="","",Table1[Pu(kN)]/Table1[[#This Row],[P_R3]])</f>
        <v>1.0119459181927091</v>
      </c>
      <c r="AL83">
        <v>0</v>
      </c>
      <c r="AM83">
        <v>876.45</v>
      </c>
      <c r="AN83" s="10">
        <v>876.32</v>
      </c>
      <c r="AO83" s="8">
        <f>IF(Table1[[#This Row],[P_R4]]="","",Table1[Pu(kN)]/Table1[[#This Row],[P_R4]])</f>
        <v>1.0120960379769945</v>
      </c>
      <c r="AP83" s="8">
        <v>0</v>
      </c>
      <c r="AQ83" s="8">
        <v>876.32</v>
      </c>
      <c r="AR83" s="5">
        <v>778.28</v>
      </c>
      <c r="AS83">
        <f>IF(Table1[[#This Row],[P_F4]]="","",Table1[Pu(kN)]/Table1[[#This Row],[P_F4]])</f>
        <v>1.1395898648301381</v>
      </c>
      <c r="AT83">
        <v>0</v>
      </c>
      <c r="AU83" s="7">
        <v>778.59</v>
      </c>
      <c r="AV83">
        <v>710.9</v>
      </c>
      <c r="AW83">
        <f>IF(Table1[[#This Row],[P_F5]]="","",Table1[Pu(kN)]/Table1[[#This Row],[P_F5]])</f>
        <v>1.2476016317344212</v>
      </c>
      <c r="AX83">
        <v>0</v>
      </c>
      <c r="AY83" s="7">
        <v>710.9</v>
      </c>
      <c r="AZ83">
        <v>948.66</v>
      </c>
      <c r="BA83">
        <f>IF(Table1[[#This Row],[P_R5]]="","",Table1[Pu(kN)]/Table1[[#This Row],[P_R5]])</f>
        <v>0.93491872746821836</v>
      </c>
      <c r="BB83">
        <v>0</v>
      </c>
      <c r="BC83">
        <v>950.03</v>
      </c>
      <c r="BD83" s="5">
        <v>807.79</v>
      </c>
      <c r="BE83" s="6">
        <f>IF(Table1[[#This Row],[P_F6]]="","",Table1[Pu(kN)]/Table1[[#This Row],[P_F6]])</f>
        <v>1.0979586278612015</v>
      </c>
      <c r="BF83" s="6">
        <v>0</v>
      </c>
      <c r="BG83" s="6">
        <v>807.79</v>
      </c>
      <c r="BH83" s="5">
        <v>885.43</v>
      </c>
      <c r="BI83" s="6">
        <f>IF(Table1[[#This Row],[P_R6]]="","",Table1[Pu(kN)]/Table1[[#This Row],[P_R6]])</f>
        <v>1.0016827981884509</v>
      </c>
      <c r="BJ83" s="6">
        <v>0</v>
      </c>
      <c r="BK83" s="6">
        <v>885.43</v>
      </c>
      <c r="BL83" s="5">
        <v>704.6</v>
      </c>
      <c r="BM83" s="6">
        <f>IF(Table1[[#This Row],[P_F7]]="","",Table1[Pu(kN)]/Table1[[#This Row],[P_F7]])</f>
        <v>1.2587567414135679</v>
      </c>
      <c r="BN83" s="6">
        <v>0</v>
      </c>
      <c r="BO83" s="6">
        <v>709.3</v>
      </c>
      <c r="BP83" s="5">
        <v>800.37</v>
      </c>
      <c r="BQ83" s="6">
        <f>IF(Table1[[#This Row],[P_F8]]="","",Table1[Pu(kN)]/Table1[[#This Row],[P_F8]])</f>
        <v>1.1081374864125342</v>
      </c>
      <c r="BR83" s="6">
        <v>0</v>
      </c>
      <c r="BS83" s="6">
        <v>801.3</v>
      </c>
      <c r="BT83" s="5">
        <v>877.86</v>
      </c>
      <c r="BU83" s="6">
        <f>IF(Table1[[#This Row],[P_R7]]="","",Table1[Pu(kN)]/Table1[[#This Row],[P_R7]])</f>
        <v>1.0103205522520675</v>
      </c>
      <c r="BV83">
        <v>0</v>
      </c>
      <c r="BW83">
        <v>877.86</v>
      </c>
      <c r="BX83" s="5">
        <v>784.93</v>
      </c>
      <c r="BY83" s="6">
        <f>IF(Table1[[#This Row],[P_F9]]="","",Table1[Pu(kN)]/Table1[[#This Row],[P_F9]])</f>
        <v>1.1299351534531741</v>
      </c>
      <c r="BZ83" s="6">
        <v>0</v>
      </c>
      <c r="CA83" s="7">
        <v>784.93</v>
      </c>
      <c r="CB83" s="5">
        <v>874.64</v>
      </c>
      <c r="CC83" s="6">
        <f>IF(Table1[[#This Row],[P_R8]]="","",Table1[Pu(kN)]/Table1[[#This Row],[P_R8]])</f>
        <v>1.0140400621970183</v>
      </c>
      <c r="CD83" s="6">
        <v>0</v>
      </c>
      <c r="CE83" s="6">
        <v>874.64</v>
      </c>
      <c r="CF83" s="5">
        <v>875.1</v>
      </c>
      <c r="CG83">
        <f>IF(Table1[[#This Row],[P_R9]]="","",Table1[Pu(kN)]/Table1[[#This Row],[P_R9]])</f>
        <v>1.013507027768255</v>
      </c>
      <c r="CH83">
        <v>0</v>
      </c>
      <c r="CI83">
        <v>875.1</v>
      </c>
      <c r="CJ83" s="5">
        <v>780.85</v>
      </c>
      <c r="CK83" s="6">
        <f>IF(Table1[[#This Row],[P_F10]]="","",Table1[Pu(kN)]/Table1[[#This Row],[P_F10]])</f>
        <v>1.1358391496446179</v>
      </c>
      <c r="CL83">
        <v>0</v>
      </c>
      <c r="CM83">
        <v>780.85</v>
      </c>
      <c r="CN83" s="39">
        <f>Table1[[#This Row],[P_R8]]</f>
        <v>874.64</v>
      </c>
      <c r="CO83" s="38">
        <f>Table1[[#This Row],[Pu(kN)]]/Table1[[#This Row],[P_R8_2]]</f>
        <v>1.0140400621970183</v>
      </c>
      <c r="CP83" s="38">
        <f>Table1[[#This Row],[DUCTIL_R8]]</f>
        <v>0</v>
      </c>
      <c r="CQ83" s="38">
        <f>Table1[[#This Row],[P_R8_2]]</f>
        <v>874.64</v>
      </c>
    </row>
    <row r="84" spans="1:95" x14ac:dyDescent="0.3">
      <c r="A84" s="27" t="s">
        <v>44</v>
      </c>
      <c r="B84" s="20" t="s">
        <v>94</v>
      </c>
      <c r="C84" s="20" t="s">
        <v>40</v>
      </c>
      <c r="D84" s="18">
        <v>2015</v>
      </c>
      <c r="E84" s="20"/>
      <c r="F84" s="20">
        <v>81.17</v>
      </c>
      <c r="G84" s="23">
        <v>1.04</v>
      </c>
      <c r="H84" s="20">
        <v>2100</v>
      </c>
      <c r="I84" s="20">
        <v>671</v>
      </c>
      <c r="J84" s="23">
        <f>Table1[[#This Row],[a'[mm']]]/Table1[[#This Row],[d'[mm']]]</f>
        <v>3.1296572280178836</v>
      </c>
      <c r="K84" s="20">
        <v>750</v>
      </c>
      <c r="L84" s="20" t="s">
        <v>293</v>
      </c>
      <c r="M84" s="20">
        <v>996</v>
      </c>
      <c r="N84" s="20" t="s">
        <v>131</v>
      </c>
      <c r="O84" s="20" t="s">
        <v>131</v>
      </c>
      <c r="P84" s="5">
        <v>683.17</v>
      </c>
      <c r="Q84" s="6">
        <f>IF(Table1[[#This Row],[P_F1]]="","",Table1[Pu(kN)]/Table1[[#This Row],[P_F1]])</f>
        <v>1.4579094515274384</v>
      </c>
      <c r="R84">
        <v>0</v>
      </c>
      <c r="S84">
        <v>685.32</v>
      </c>
      <c r="T84" s="5">
        <v>804.3</v>
      </c>
      <c r="U84" s="6">
        <f>IF(Table1[[#This Row],[P_R1]]="","",Table1[Pu(kN)]/Table1[[#This Row],[P_R1]])</f>
        <v>1.2383439015292801</v>
      </c>
      <c r="V84">
        <v>0</v>
      </c>
      <c r="W84">
        <v>806.29</v>
      </c>
      <c r="X84" s="5">
        <v>735.85</v>
      </c>
      <c r="Y84" s="6">
        <f>IF(Table1[[#This Row],[P_F2]]="","",Table1[Pu(kN)]/Table1[[#This Row],[P_F2]])</f>
        <v>1.3535367262349662</v>
      </c>
      <c r="Z84">
        <v>0</v>
      </c>
      <c r="AA84">
        <v>736.59</v>
      </c>
      <c r="AB84" s="5">
        <v>805.38</v>
      </c>
      <c r="AC84" s="8">
        <f>IF(Table1[[#This Row],[P_R2]]="","",Table1[Pu(kN)]/Table1[[#This Row],[P_R2]])</f>
        <v>1.2366833047753856</v>
      </c>
      <c r="AD84">
        <v>0</v>
      </c>
      <c r="AE84">
        <v>806.83</v>
      </c>
      <c r="AF84" s="10">
        <v>671.79</v>
      </c>
      <c r="AG84" s="2">
        <f>IF(Table1[[#This Row],[P_F3]]="","",Table1[Pu(kN)]/Table1[[#This Row],[P_F3]])</f>
        <v>1.4826061715714733</v>
      </c>
      <c r="AH84" s="2">
        <v>0</v>
      </c>
      <c r="AI84" s="8">
        <v>671.79</v>
      </c>
      <c r="AJ84" s="5">
        <v>805.4</v>
      </c>
      <c r="AK84" s="8">
        <f>IF(Table1[[#This Row],[P_R3]]="","",Table1[Pu(kN)]/Table1[[#This Row],[P_R3]])</f>
        <v>1.2366525949838589</v>
      </c>
      <c r="AL84">
        <v>0</v>
      </c>
      <c r="AM84">
        <v>807.07</v>
      </c>
      <c r="AN84" s="10">
        <v>801.1</v>
      </c>
      <c r="AO84" s="8">
        <f>IF(Table1[[#This Row],[P_R4]]="","",Table1[Pu(kN)]/Table1[[#This Row],[P_R4]])</f>
        <v>1.2432904755960554</v>
      </c>
      <c r="AP84" s="8">
        <v>0</v>
      </c>
      <c r="AQ84" s="8">
        <v>807.02</v>
      </c>
      <c r="AR84" s="5">
        <v>713.88</v>
      </c>
      <c r="AS84">
        <f>IF(Table1[[#This Row],[P_F4]]="","",Table1[Pu(kN)]/Table1[[#This Row],[P_F4]])</f>
        <v>1.3951924693225752</v>
      </c>
      <c r="AT84">
        <v>0</v>
      </c>
      <c r="AU84" s="7">
        <v>724.39</v>
      </c>
      <c r="AV84">
        <v>647.14</v>
      </c>
      <c r="AW84">
        <f>IF(Table1[[#This Row],[P_F5]]="","",Table1[Pu(kN)]/Table1[[#This Row],[P_F5]])</f>
        <v>1.5390796427357296</v>
      </c>
      <c r="AX84">
        <v>0</v>
      </c>
      <c r="AY84" s="7">
        <v>650.39</v>
      </c>
      <c r="AZ84">
        <v>791.64</v>
      </c>
      <c r="BA84">
        <f>IF(Table1[[#This Row],[P_R5]]="","",Table1[Pu(kN)]/Table1[[#This Row],[P_R5]])</f>
        <v>1.2581476428679703</v>
      </c>
      <c r="BB84">
        <v>0</v>
      </c>
      <c r="BC84">
        <v>794.96</v>
      </c>
      <c r="BD84" s="5">
        <v>717.24</v>
      </c>
      <c r="BE84" s="6">
        <f>IF(Table1[[#This Row],[P_F6]]="","",Table1[Pu(kN)]/Table1[[#This Row],[P_F6]])</f>
        <v>1.3886565166471474</v>
      </c>
      <c r="BF84" s="6">
        <v>0</v>
      </c>
      <c r="BG84" s="6">
        <v>717.24</v>
      </c>
      <c r="BH84" s="5">
        <v>810.85</v>
      </c>
      <c r="BI84" s="6">
        <f>IF(Table1[[#This Row],[P_R6]]="","",Table1[Pu(kN)]/Table1[[#This Row],[P_R6]])</f>
        <v>1.2283406302028734</v>
      </c>
      <c r="BJ84" s="6">
        <v>0</v>
      </c>
      <c r="BK84" s="6">
        <v>813.9</v>
      </c>
      <c r="BL84" s="5">
        <v>635.03</v>
      </c>
      <c r="BM84" s="6">
        <f>IF(Table1[[#This Row],[P_F7]]="","",Table1[Pu(kN)]/Table1[[#This Row],[P_F7]])</f>
        <v>1.5684298379604114</v>
      </c>
      <c r="BN84" s="6">
        <v>0</v>
      </c>
      <c r="BO84" s="6">
        <v>640.98</v>
      </c>
      <c r="BP84" s="5">
        <v>762.7</v>
      </c>
      <c r="BQ84" s="6">
        <f>IF(Table1[[#This Row],[P_F8]]="","",Table1[Pu(kN)]/Table1[[#This Row],[P_F8]])</f>
        <v>1.3058869804641404</v>
      </c>
      <c r="BR84" s="6">
        <v>0</v>
      </c>
      <c r="BS84" s="6">
        <v>764.3</v>
      </c>
      <c r="BT84" s="5">
        <v>804.97</v>
      </c>
      <c r="BU84" s="6">
        <f>IF(Table1[[#This Row],[P_R7]]="","",Table1[Pu(kN)]/Table1[[#This Row],[P_R7]])</f>
        <v>1.2373131917959674</v>
      </c>
      <c r="BV84">
        <v>0</v>
      </c>
      <c r="BW84">
        <v>806.19</v>
      </c>
      <c r="BX84" s="5">
        <v>740.91</v>
      </c>
      <c r="BY84" s="6">
        <f>IF(Table1[[#This Row],[P_F9]]="","",Table1[Pu(kN)]/Table1[[#This Row],[P_F9]])</f>
        <v>1.3442928290885534</v>
      </c>
      <c r="BZ84" s="6">
        <v>0</v>
      </c>
      <c r="CA84" s="7">
        <v>742.93</v>
      </c>
      <c r="CB84" s="5">
        <v>803.01</v>
      </c>
      <c r="CC84" s="6">
        <f>IF(Table1[[#This Row],[P_R8]]="","",Table1[Pu(kN)]/Table1[[#This Row],[P_R8]])</f>
        <v>1.2403332461613181</v>
      </c>
      <c r="CD84" s="6">
        <v>0</v>
      </c>
      <c r="CE84" s="6">
        <v>805.89</v>
      </c>
      <c r="CF84" s="5">
        <v>803.12</v>
      </c>
      <c r="CG84">
        <f>IF(Table1[[#This Row],[P_R9]]="","",Table1[Pu(kN)]/Table1[[#This Row],[P_R9]])</f>
        <v>1.2401633628847495</v>
      </c>
      <c r="CH84">
        <v>0</v>
      </c>
      <c r="CI84">
        <v>805.05</v>
      </c>
      <c r="CJ84" s="5">
        <v>702.3</v>
      </c>
      <c r="CK84" s="6">
        <f>IF(Table1[[#This Row],[P_F10]]="","",Table1[Pu(kN)]/Table1[[#This Row],[P_F10]])</f>
        <v>1.4181973515591628</v>
      </c>
      <c r="CL84">
        <v>0</v>
      </c>
      <c r="CM84">
        <v>702.3</v>
      </c>
      <c r="CN84" s="39">
        <f>Table1[[#This Row],[P_R8]]</f>
        <v>803.01</v>
      </c>
      <c r="CO84" s="38">
        <f>Table1[[#This Row],[Pu(kN)]]/Table1[[#This Row],[P_R8_2]]</f>
        <v>1.2403332461613181</v>
      </c>
      <c r="CP84" s="38">
        <f>Table1[[#This Row],[DUCTIL_R8]]</f>
        <v>0</v>
      </c>
      <c r="CQ84" s="38">
        <f>Table1[[#This Row],[P_R8_2]]</f>
        <v>803.01</v>
      </c>
    </row>
    <row r="85" spans="1:95" x14ac:dyDescent="0.3">
      <c r="A85" s="26" t="s">
        <v>45</v>
      </c>
      <c r="B85" s="18" t="s">
        <v>94</v>
      </c>
      <c r="C85" s="18" t="s">
        <v>40</v>
      </c>
      <c r="D85" s="18">
        <v>2015</v>
      </c>
      <c r="E85" s="18"/>
      <c r="F85" s="18">
        <v>81.17</v>
      </c>
      <c r="G85" s="22">
        <v>1.04</v>
      </c>
      <c r="H85" s="18">
        <v>2100</v>
      </c>
      <c r="I85" s="18">
        <v>671</v>
      </c>
      <c r="J85" s="22">
        <f>Table1[[#This Row],[a'[mm']]]/Table1[[#This Row],[d'[mm']]]</f>
        <v>3.1296572280178836</v>
      </c>
      <c r="K85" s="18">
        <v>750</v>
      </c>
      <c r="L85" s="18" t="s">
        <v>293</v>
      </c>
      <c r="M85" s="18">
        <v>1039</v>
      </c>
      <c r="N85" s="18" t="s">
        <v>131</v>
      </c>
      <c r="O85" s="18" t="s">
        <v>131</v>
      </c>
      <c r="P85" s="5">
        <v>802.5</v>
      </c>
      <c r="Q85" s="6">
        <f>IF(Table1[[#This Row],[P_F1]]="","",Table1[Pu(kN)]/Table1[[#This Row],[P_F1]])</f>
        <v>1.2947040498442368</v>
      </c>
      <c r="R85">
        <v>0</v>
      </c>
      <c r="S85">
        <v>802.5</v>
      </c>
      <c r="T85" s="5">
        <v>935.59</v>
      </c>
      <c r="U85" s="6">
        <f>IF(Table1[[#This Row],[P_R1]]="","",Table1[Pu(kN)]/Table1[[#This Row],[P_R1]])</f>
        <v>1.1105291847924839</v>
      </c>
      <c r="V85">
        <v>0</v>
      </c>
      <c r="W85">
        <v>936.38</v>
      </c>
      <c r="X85" s="5">
        <v>806.66</v>
      </c>
      <c r="Y85" s="6">
        <f>IF(Table1[[#This Row],[P_F2]]="","",Table1[Pu(kN)]/Table1[[#This Row],[P_F2]])</f>
        <v>1.2880271737782958</v>
      </c>
      <c r="Z85">
        <v>0</v>
      </c>
      <c r="AA85">
        <v>806.66</v>
      </c>
      <c r="AB85" s="5">
        <v>937.55</v>
      </c>
      <c r="AC85" s="8">
        <f>IF(Table1[[#This Row],[P_R2]]="","",Table1[Pu(kN)]/Table1[[#This Row],[P_R2]])</f>
        <v>1.108207562263346</v>
      </c>
      <c r="AD85">
        <v>0</v>
      </c>
      <c r="AE85">
        <v>937.91</v>
      </c>
      <c r="AF85" s="10">
        <v>822.54</v>
      </c>
      <c r="AG85" s="2">
        <f>IF(Table1[[#This Row],[P_F3]]="","",Table1[Pu(kN)]/Table1[[#This Row],[P_F3]])</f>
        <v>1.2631604542028352</v>
      </c>
      <c r="AH85" s="2">
        <v>0</v>
      </c>
      <c r="AI85" s="8">
        <v>822.54</v>
      </c>
      <c r="AJ85" s="5">
        <v>937.75</v>
      </c>
      <c r="AK85" s="8">
        <f>IF(Table1[[#This Row],[P_R3]]="","",Table1[Pu(kN)]/Table1[[#This Row],[P_R3]])</f>
        <v>1.1079712076779527</v>
      </c>
      <c r="AL85">
        <v>0</v>
      </c>
      <c r="AM85">
        <v>937.96</v>
      </c>
      <c r="AN85" s="10">
        <v>934.44</v>
      </c>
      <c r="AO85" s="8">
        <f>IF(Table1[[#This Row],[P_R4]]="","",Table1[Pu(kN)]/Table1[[#This Row],[P_R4]])</f>
        <v>1.1118958948675142</v>
      </c>
      <c r="AP85" s="8">
        <v>0</v>
      </c>
      <c r="AQ85" s="9">
        <v>936.75</v>
      </c>
      <c r="AR85" s="5">
        <v>779.19</v>
      </c>
      <c r="AS85">
        <f>IF(Table1[[#This Row],[P_F4]]="","",Table1[Pu(kN)]/Table1[[#This Row],[P_F4]])</f>
        <v>1.3334360040554933</v>
      </c>
      <c r="AT85">
        <v>0</v>
      </c>
      <c r="AU85" s="7">
        <v>779.19</v>
      </c>
      <c r="AV85">
        <v>725.43</v>
      </c>
      <c r="AW85">
        <f>IF(Table1[[#This Row],[P_F5]]="","",Table1[Pu(kN)]/Table1[[#This Row],[P_F5]])</f>
        <v>1.4322539735053694</v>
      </c>
      <c r="AX85">
        <v>0</v>
      </c>
      <c r="AY85" s="7">
        <v>731.4</v>
      </c>
      <c r="AZ85">
        <v>905.4</v>
      </c>
      <c r="BA85">
        <f>IF(Table1[[#This Row],[P_R5]]="","",Table1[Pu(kN)]/Table1[[#This Row],[P_R5]])</f>
        <v>1.1475590899050143</v>
      </c>
      <c r="BB85">
        <v>0</v>
      </c>
      <c r="BC85">
        <v>916.33</v>
      </c>
      <c r="BD85" s="5">
        <v>844.66</v>
      </c>
      <c r="BE85" s="6">
        <f>IF(Table1[[#This Row],[P_F6]]="","",Table1[Pu(kN)]/Table1[[#This Row],[P_F6]])</f>
        <v>1.2300807425472973</v>
      </c>
      <c r="BF85" s="6">
        <v>0</v>
      </c>
      <c r="BG85" s="6">
        <v>844.66</v>
      </c>
      <c r="BH85" s="5">
        <v>945.83</v>
      </c>
      <c r="BI85" s="6">
        <f>IF(Table1[[#This Row],[P_R6]]="","",Table1[Pu(kN)]/Table1[[#This Row],[P_R6]])</f>
        <v>1.0985060740302168</v>
      </c>
      <c r="BJ85" s="6">
        <v>0</v>
      </c>
      <c r="BK85" s="6">
        <v>945.84</v>
      </c>
      <c r="BL85" s="5">
        <v>749.31</v>
      </c>
      <c r="BM85" s="6">
        <f>IF(Table1[[#This Row],[P_F7]]="","",Table1[Pu(kN)]/Table1[[#This Row],[P_F7]])</f>
        <v>1.3866090136258693</v>
      </c>
      <c r="BN85" s="6">
        <v>0</v>
      </c>
      <c r="BO85" s="6">
        <v>755.27</v>
      </c>
      <c r="BP85" s="5">
        <v>792.51</v>
      </c>
      <c r="BQ85" s="6">
        <f>IF(Table1[[#This Row],[P_F8]]="","",Table1[Pu(kN)]/Table1[[#This Row],[P_F8]])</f>
        <v>1.3110244665682451</v>
      </c>
      <c r="BR85" s="6">
        <v>0</v>
      </c>
      <c r="BS85" s="6">
        <v>792.51</v>
      </c>
      <c r="BT85" s="5">
        <v>935.82</v>
      </c>
      <c r="BU85" s="6">
        <f>IF(Table1[[#This Row],[P_R7]]="","",Table1[Pu(kN)]/Table1[[#This Row],[P_R7]])</f>
        <v>1.1102562458592464</v>
      </c>
      <c r="BV85">
        <v>0</v>
      </c>
      <c r="BW85">
        <v>935.82</v>
      </c>
      <c r="BX85" s="5">
        <v>801.51</v>
      </c>
      <c r="BY85" s="6">
        <f>IF(Table1[[#This Row],[P_F9]]="","",Table1[Pu(kN)]/Table1[[#This Row],[P_F9]])</f>
        <v>1.2963032276577959</v>
      </c>
      <c r="BZ85" s="6">
        <v>0</v>
      </c>
      <c r="CA85" s="7">
        <v>801.51</v>
      </c>
      <c r="CB85" s="5">
        <v>938.26</v>
      </c>
      <c r="CC85" s="6">
        <f>IF(Table1[[#This Row],[P_R8]]="","",Table1[Pu(kN)]/Table1[[#This Row],[P_R8]])</f>
        <v>1.1073689595634473</v>
      </c>
      <c r="CD85" s="6">
        <v>0</v>
      </c>
      <c r="CE85" s="6">
        <v>939.13</v>
      </c>
      <c r="CF85" s="5">
        <v>936.95</v>
      </c>
      <c r="CG85">
        <f>IF(Table1[[#This Row],[P_R9]]="","",Table1[Pu(kN)]/Table1[[#This Row],[P_R9]])</f>
        <v>1.1089172314424462</v>
      </c>
      <c r="CH85">
        <v>0</v>
      </c>
      <c r="CI85">
        <v>937.6</v>
      </c>
      <c r="CJ85" s="5">
        <v>756.6</v>
      </c>
      <c r="CK85" s="6">
        <f>IF(Table1[[#This Row],[P_F10]]="","",Table1[Pu(kN)]/Table1[[#This Row],[P_F10]])</f>
        <v>1.373248744382765</v>
      </c>
      <c r="CL85">
        <v>0</v>
      </c>
      <c r="CM85">
        <v>756.6</v>
      </c>
      <c r="CN85" s="39">
        <f>Table1[[#This Row],[P_R8]]</f>
        <v>938.26</v>
      </c>
      <c r="CO85" s="38">
        <f>Table1[[#This Row],[Pu(kN)]]/Table1[[#This Row],[P_R8_2]]</f>
        <v>1.1073689595634473</v>
      </c>
      <c r="CP85" s="38">
        <f>Table1[[#This Row],[DUCTIL_R8]]</f>
        <v>0</v>
      </c>
      <c r="CQ85" s="38">
        <f>Table1[[#This Row],[P_R8_2]]</f>
        <v>938.26</v>
      </c>
    </row>
    <row r="86" spans="1:95" x14ac:dyDescent="0.3">
      <c r="A86" s="27" t="s">
        <v>42</v>
      </c>
      <c r="B86" s="20" t="s">
        <v>94</v>
      </c>
      <c r="C86" s="20" t="s">
        <v>40</v>
      </c>
      <c r="D86" s="18">
        <v>2015</v>
      </c>
      <c r="E86" s="20"/>
      <c r="F86" s="20">
        <v>90.24</v>
      </c>
      <c r="G86" s="23">
        <v>0.65</v>
      </c>
      <c r="H86" s="20">
        <v>2100</v>
      </c>
      <c r="I86" s="20">
        <v>700</v>
      </c>
      <c r="J86" s="23">
        <f>Table1[[#This Row],[a'[mm']]]/Table1[[#This Row],[d'[mm']]]</f>
        <v>3</v>
      </c>
      <c r="K86" s="20">
        <v>750</v>
      </c>
      <c r="L86" s="20" t="s">
        <v>293</v>
      </c>
      <c r="M86" s="20">
        <v>920</v>
      </c>
      <c r="N86" s="20" t="s">
        <v>131</v>
      </c>
      <c r="O86" s="20" t="s">
        <v>131</v>
      </c>
      <c r="P86" s="5">
        <v>637.61</v>
      </c>
      <c r="Q86" s="6">
        <f>IF(Table1[[#This Row],[P_F1]]="","",Table1[Pu(kN)]/Table1[[#This Row],[P_F1]])</f>
        <v>1.4428882859428176</v>
      </c>
      <c r="R86">
        <v>0</v>
      </c>
      <c r="S86">
        <v>638.27</v>
      </c>
      <c r="T86" s="5">
        <v>687.91</v>
      </c>
      <c r="U86" s="6">
        <f>IF(Table1[[#This Row],[P_R1]]="","",Table1[Pu(kN)]/Table1[[#This Row],[P_R1]])</f>
        <v>1.3373842508467677</v>
      </c>
      <c r="V86">
        <v>0</v>
      </c>
      <c r="W86">
        <v>687.91</v>
      </c>
      <c r="X86" s="5">
        <v>646.38</v>
      </c>
      <c r="Y86" s="6">
        <f>IF(Table1[[#This Row],[P_F2]]="","",Table1[Pu(kN)]/Table1[[#This Row],[P_F2]])</f>
        <v>1.4233113648318327</v>
      </c>
      <c r="Z86">
        <v>0</v>
      </c>
      <c r="AA86">
        <v>646.38</v>
      </c>
      <c r="AB86" s="5">
        <v>687.78</v>
      </c>
      <c r="AC86" s="8">
        <f>IF(Table1[[#This Row],[P_R2]]="","",Table1[Pu(kN)]/Table1[[#This Row],[P_R2]])</f>
        <v>1.3376370350984328</v>
      </c>
      <c r="AD86">
        <v>0</v>
      </c>
      <c r="AE86">
        <v>687.78</v>
      </c>
      <c r="AF86" s="10">
        <v>629.91</v>
      </c>
      <c r="AG86" s="2">
        <f>IF(Table1[[#This Row],[P_F3]]="","",Table1[Pu(kN)]/Table1[[#This Row],[P_F3]])</f>
        <v>1.4605261069041611</v>
      </c>
      <c r="AH86" s="2">
        <v>0</v>
      </c>
      <c r="AI86" s="8">
        <v>630.6</v>
      </c>
      <c r="AJ86" s="5">
        <v>689.92</v>
      </c>
      <c r="AK86" s="8">
        <f>IF(Table1[[#This Row],[P_R3]]="","",Table1[Pu(kN)]/Table1[[#This Row],[P_R3]])</f>
        <v>1.3334879406307978</v>
      </c>
      <c r="AL86">
        <v>0</v>
      </c>
      <c r="AM86">
        <v>689.92</v>
      </c>
      <c r="AN86" s="5">
        <v>688.35</v>
      </c>
      <c r="AO86" s="8">
        <f>IF(Table1[[#This Row],[P_R4]]="","",Table1[Pu(kN)]/Table1[[#This Row],[P_R4]])</f>
        <v>1.3365293818551609</v>
      </c>
      <c r="AP86" s="8">
        <v>0</v>
      </c>
      <c r="AQ86" s="9">
        <v>688.35</v>
      </c>
      <c r="AR86" s="5">
        <v>627.89</v>
      </c>
      <c r="AS86">
        <f>IF(Table1[[#This Row],[P_F4]]="","",Table1[Pu(kN)]/Table1[[#This Row],[P_F4]])</f>
        <v>1.4652248005223845</v>
      </c>
      <c r="AT86">
        <v>0</v>
      </c>
      <c r="AU86" s="7">
        <v>627.89</v>
      </c>
      <c r="AV86">
        <v>632.27</v>
      </c>
      <c r="AW86">
        <f>IF(Table1[[#This Row],[P_F5]]="","",Table1[Pu(kN)]/Table1[[#This Row],[P_F5]])</f>
        <v>1.4550745725718444</v>
      </c>
      <c r="AX86">
        <v>0</v>
      </c>
      <c r="AY86" s="7">
        <v>632.27</v>
      </c>
      <c r="AZ86">
        <v>725.22</v>
      </c>
      <c r="BA86">
        <f>IF(Table1[[#This Row],[P_R5]]="","",Table1[Pu(kN)]/Table1[[#This Row],[P_R5]])</f>
        <v>1.2685805686550287</v>
      </c>
      <c r="BB86">
        <v>0</v>
      </c>
      <c r="BC86">
        <v>725.28</v>
      </c>
      <c r="BD86" s="5">
        <v>581.84</v>
      </c>
      <c r="BE86" s="6">
        <f>IF(Table1[[#This Row],[P_F6]]="","",Table1[Pu(kN)]/Table1[[#This Row],[P_F6]])</f>
        <v>1.5811907053485494</v>
      </c>
      <c r="BF86" s="6">
        <v>0</v>
      </c>
      <c r="BG86" s="6">
        <v>581.84</v>
      </c>
      <c r="BH86" s="5">
        <v>691.27</v>
      </c>
      <c r="BI86" s="6">
        <f>IF(Table1[[#This Row],[P_R6]]="","",Table1[Pu(kN)]/Table1[[#This Row],[P_R6]])</f>
        <v>1.3308837357327816</v>
      </c>
      <c r="BJ86" s="6">
        <v>0</v>
      </c>
      <c r="BK86" s="6">
        <v>691.27</v>
      </c>
      <c r="BL86" s="5">
        <v>572.46</v>
      </c>
      <c r="BM86" s="6">
        <f>IF(Table1[[#This Row],[P_F7]]="","",Table1[Pu(kN)]/Table1[[#This Row],[P_F7]])</f>
        <v>1.6070991859693253</v>
      </c>
      <c r="BN86" s="6">
        <v>0</v>
      </c>
      <c r="BO86" s="6">
        <v>572.46</v>
      </c>
      <c r="BP86" s="5">
        <v>623.79999999999995</v>
      </c>
      <c r="BQ86" s="6">
        <f>IF(Table1[[#This Row],[P_F8]]="","",Table1[Pu(kN)]/Table1[[#This Row],[P_F8]])</f>
        <v>1.4748316768194936</v>
      </c>
      <c r="BR86" s="6">
        <v>0</v>
      </c>
      <c r="BS86" s="6">
        <v>624.26</v>
      </c>
      <c r="BT86" s="5">
        <v>687.35</v>
      </c>
      <c r="BU86" s="6">
        <f>IF(Table1[[#This Row],[P_R7]]="","",Table1[Pu(kN)]/Table1[[#This Row],[P_R7]])</f>
        <v>1.3384738488397467</v>
      </c>
      <c r="BV86">
        <v>0</v>
      </c>
      <c r="BW86">
        <v>687.35</v>
      </c>
      <c r="BX86" s="5">
        <v>605.80999999999995</v>
      </c>
      <c r="BY86" s="6">
        <f>IF(Table1[[#This Row],[P_F9]]="","",Table1[Pu(kN)]/Table1[[#This Row],[P_F9]])</f>
        <v>1.5186279526584243</v>
      </c>
      <c r="BZ86" s="6">
        <v>0</v>
      </c>
      <c r="CA86" s="7">
        <v>605.80999999999995</v>
      </c>
      <c r="CB86" s="5">
        <v>687.71</v>
      </c>
      <c r="CC86" s="6">
        <f>IF(Table1[[#This Row],[P_R8]]="","",Table1[Pu(kN)]/Table1[[#This Row],[P_R8]])</f>
        <v>1.3377731892803653</v>
      </c>
      <c r="CD86" s="6">
        <v>0</v>
      </c>
      <c r="CE86" s="6">
        <v>687.71</v>
      </c>
      <c r="CF86" s="5">
        <v>687.86</v>
      </c>
      <c r="CG86">
        <f>IF(Table1[[#This Row],[P_R9]]="","",Table1[Pu(kN)]/Table1[[#This Row],[P_R9]])</f>
        <v>1.3374814642514465</v>
      </c>
      <c r="CH86">
        <v>0</v>
      </c>
      <c r="CI86">
        <v>687.86</v>
      </c>
      <c r="CJ86" s="5">
        <v>580.97</v>
      </c>
      <c r="CK86" s="6">
        <f>IF(Table1[[#This Row],[P_F10]]="","",Table1[Pu(kN)]/Table1[[#This Row],[P_F10]])</f>
        <v>1.5835585314215879</v>
      </c>
      <c r="CL86">
        <v>0</v>
      </c>
      <c r="CM86">
        <v>580.97</v>
      </c>
      <c r="CN86" s="39">
        <f>Table1[[#This Row],[P_R8]]</f>
        <v>687.71</v>
      </c>
      <c r="CO86" s="38">
        <f>Table1[[#This Row],[Pu(kN)]]/Table1[[#This Row],[P_R8_2]]</f>
        <v>1.3377731892803653</v>
      </c>
      <c r="CP86" s="38">
        <f>Table1[[#This Row],[DUCTIL_R8]]</f>
        <v>0</v>
      </c>
      <c r="CQ86" s="38">
        <f>Table1[[#This Row],[P_R8_2]]</f>
        <v>687.71</v>
      </c>
    </row>
    <row r="87" spans="1:95" x14ac:dyDescent="0.3">
      <c r="A87" s="26" t="s">
        <v>43</v>
      </c>
      <c r="B87" s="18" t="s">
        <v>94</v>
      </c>
      <c r="C87" s="18" t="s">
        <v>40</v>
      </c>
      <c r="D87" s="18">
        <v>2015</v>
      </c>
      <c r="E87" s="18"/>
      <c r="F87" s="18">
        <v>90.2</v>
      </c>
      <c r="G87" s="22">
        <v>0.65</v>
      </c>
      <c r="H87" s="18">
        <v>2100</v>
      </c>
      <c r="I87" s="18">
        <v>700</v>
      </c>
      <c r="J87" s="22">
        <f>Table1[[#This Row],[a'[mm']]]/Table1[[#This Row],[d'[mm']]]</f>
        <v>3</v>
      </c>
      <c r="K87" s="18">
        <v>750</v>
      </c>
      <c r="L87" s="18" t="s">
        <v>293</v>
      </c>
      <c r="M87" s="18">
        <v>1005.7</v>
      </c>
      <c r="N87" s="18" t="s">
        <v>131</v>
      </c>
      <c r="O87" s="18" t="s">
        <v>131</v>
      </c>
      <c r="P87" s="5">
        <v>790.48</v>
      </c>
      <c r="Q87" s="6">
        <f>IF(Table1[[#This Row],[P_F1]]="","",Table1[Pu(kN)]/Table1[[#This Row],[P_F1]])</f>
        <v>1.2722649529399859</v>
      </c>
      <c r="R87">
        <v>0</v>
      </c>
      <c r="S87">
        <v>791.47</v>
      </c>
      <c r="T87" s="5">
        <v>930.63</v>
      </c>
      <c r="U87" s="6">
        <f>IF(Table1[[#This Row],[P_R1]]="","",Table1[Pu(kN)]/Table1[[#This Row],[P_R1]])</f>
        <v>1.0806657855431268</v>
      </c>
      <c r="V87">
        <v>0</v>
      </c>
      <c r="W87">
        <v>930.63</v>
      </c>
      <c r="X87" s="5">
        <v>791.13</v>
      </c>
      <c r="Y87" s="6">
        <f>IF(Table1[[#This Row],[P_F2]]="","",Table1[Pu(kN)]/Table1[[#This Row],[P_F2]])</f>
        <v>1.2712196478454869</v>
      </c>
      <c r="Z87">
        <v>0</v>
      </c>
      <c r="AA87">
        <v>791.13</v>
      </c>
      <c r="AB87" s="5">
        <v>930.02</v>
      </c>
      <c r="AC87" s="8">
        <f>IF(Table1[[#This Row],[P_R2]]="","",Table1[Pu(kN)]/Table1[[#This Row],[P_R2]])</f>
        <v>1.0813745940947508</v>
      </c>
      <c r="AD87">
        <v>0</v>
      </c>
      <c r="AE87">
        <v>930.02</v>
      </c>
      <c r="AF87" s="10">
        <v>807.91</v>
      </c>
      <c r="AG87" s="2">
        <f>IF(Table1[[#This Row],[P_F3]]="","",Table1[Pu(kN)]/Table1[[#This Row],[P_F3]])</f>
        <v>1.2448168731665656</v>
      </c>
      <c r="AH87" s="2">
        <v>0</v>
      </c>
      <c r="AI87" s="8">
        <v>807.91</v>
      </c>
      <c r="AJ87" s="5">
        <v>931.12</v>
      </c>
      <c r="AK87" s="8">
        <f>IF(Table1[[#This Row],[P_R3]]="","",Table1[Pu(kN)]/Table1[[#This Row],[P_R3]])</f>
        <v>1.0800970873786409</v>
      </c>
      <c r="AL87">
        <v>0</v>
      </c>
      <c r="AM87">
        <v>931.12</v>
      </c>
      <c r="AN87" s="5">
        <v>930.54</v>
      </c>
      <c r="AO87" s="8">
        <f>IF(Table1[[#This Row],[P_R4]]="","",Table1[Pu(kN)]/Table1[[#This Row],[P_R4]])</f>
        <v>1.0807703054140607</v>
      </c>
      <c r="AP87" s="8">
        <v>0</v>
      </c>
      <c r="AQ87">
        <v>930.54</v>
      </c>
      <c r="AR87" s="5">
        <v>780.75</v>
      </c>
      <c r="AS87">
        <f>IF(Table1[[#This Row],[P_F4]]="","",Table1[Pu(kN)]/Table1[[#This Row],[P_F4]])</f>
        <v>1.2881203970541146</v>
      </c>
      <c r="AT87">
        <v>0</v>
      </c>
      <c r="AU87" s="7">
        <v>780.75</v>
      </c>
      <c r="AV87">
        <v>691.45</v>
      </c>
      <c r="AW87">
        <f>IF(Table1[[#This Row],[P_F5]]="","",Table1[Pu(kN)]/Table1[[#This Row],[P_F5]])</f>
        <v>1.4544797165377106</v>
      </c>
      <c r="AX87">
        <v>0</v>
      </c>
      <c r="AY87" s="7">
        <v>695.66</v>
      </c>
      <c r="AZ87">
        <v>915.83</v>
      </c>
      <c r="BA87">
        <f>IF(Table1[[#This Row],[P_R5]]="","",Table1[Pu(kN)]/Table1[[#This Row],[P_R5]])</f>
        <v>1.0981295655307208</v>
      </c>
      <c r="BB87">
        <v>0</v>
      </c>
      <c r="BC87">
        <v>920.06</v>
      </c>
      <c r="BD87" s="5">
        <v>793.47</v>
      </c>
      <c r="BE87" s="6">
        <f>IF(Table1[[#This Row],[P_F6]]="","",Table1[Pu(kN)]/Table1[[#This Row],[P_F6]])</f>
        <v>1.2674707298322558</v>
      </c>
      <c r="BF87" s="6">
        <v>0</v>
      </c>
      <c r="BG87" s="6">
        <v>793.47</v>
      </c>
      <c r="BH87" s="5">
        <v>937.6</v>
      </c>
      <c r="BI87" s="6">
        <f>IF(Table1[[#This Row],[P_R6]]="","",Table1[Pu(kN)]/Table1[[#This Row],[P_R6]])</f>
        <v>1.0726322525597269</v>
      </c>
      <c r="BJ87" s="6">
        <v>0</v>
      </c>
      <c r="BK87" s="6">
        <v>937.6</v>
      </c>
      <c r="BL87" s="5">
        <v>706.89</v>
      </c>
      <c r="BM87" s="6">
        <f>IF(Table1[[#This Row],[P_F7]]="","",Table1[Pu(kN)]/Table1[[#This Row],[P_F7]])</f>
        <v>1.4227107470752169</v>
      </c>
      <c r="BN87" s="6">
        <v>0</v>
      </c>
      <c r="BO87" s="6">
        <v>712.75</v>
      </c>
      <c r="BP87" s="5">
        <v>807.57</v>
      </c>
      <c r="BQ87" s="6">
        <f>IF(Table1[[#This Row],[P_F8]]="","",Table1[Pu(kN)]/Table1[[#This Row],[P_F8]])</f>
        <v>1.2453409611550701</v>
      </c>
      <c r="BR87" s="6">
        <v>0</v>
      </c>
      <c r="BS87" s="6">
        <v>807.57</v>
      </c>
      <c r="BT87" s="5">
        <v>929.39</v>
      </c>
      <c r="BU87" s="6">
        <f>IF(Table1[[#This Row],[P_R7]]="","",Table1[Pu(kN)]/Table1[[#This Row],[P_R7]])</f>
        <v>1.0821076189758874</v>
      </c>
      <c r="BV87">
        <v>0</v>
      </c>
      <c r="BW87">
        <v>929.39</v>
      </c>
      <c r="BX87" s="5">
        <v>756.4</v>
      </c>
      <c r="BY87" s="6">
        <f>IF(Table1[[#This Row],[P_F9]]="","",Table1[Pu(kN)]/Table1[[#This Row],[P_F9]])</f>
        <v>1.3295875198307774</v>
      </c>
      <c r="BZ87" s="6">
        <v>0</v>
      </c>
      <c r="CA87" s="7">
        <v>756.4</v>
      </c>
      <c r="CB87" s="5">
        <v>930.36</v>
      </c>
      <c r="CC87" s="6">
        <f>IF(Table1[[#This Row],[P_R8]]="","",Table1[Pu(kN)]/Table1[[#This Row],[P_R8]])</f>
        <v>1.0809794058214024</v>
      </c>
      <c r="CD87" s="6">
        <v>0</v>
      </c>
      <c r="CE87" s="6">
        <v>930.36</v>
      </c>
      <c r="CF87" s="5">
        <v>930.66</v>
      </c>
      <c r="CG87">
        <f>IF(Table1[[#This Row],[P_R9]]="","",Table1[Pu(kN)]/Table1[[#This Row],[P_R9]])</f>
        <v>1.080630950078439</v>
      </c>
      <c r="CH87">
        <v>0</v>
      </c>
      <c r="CI87">
        <v>930.66</v>
      </c>
      <c r="CJ87" s="5">
        <v>770</v>
      </c>
      <c r="CK87" s="6">
        <f>IF(Table1[[#This Row],[P_F10]]="","",Table1[Pu(kN)]/Table1[[#This Row],[P_F10]])</f>
        <v>1.3061038961038962</v>
      </c>
      <c r="CL87" s="6">
        <v>0</v>
      </c>
      <c r="CM87" s="6">
        <v>770</v>
      </c>
      <c r="CN87" s="39">
        <f>Table1[[#This Row],[P_R8]]</f>
        <v>930.36</v>
      </c>
      <c r="CO87" s="38">
        <f>Table1[[#This Row],[Pu(kN)]]/Table1[[#This Row],[P_R8_2]]</f>
        <v>1.0809794058214024</v>
      </c>
      <c r="CP87" s="38">
        <f>Table1[[#This Row],[DUCTIL_R8]]</f>
        <v>0</v>
      </c>
      <c r="CQ87" s="38">
        <f>Table1[[#This Row],[P_R8_2]]</f>
        <v>930.36</v>
      </c>
    </row>
    <row r="88" spans="1:95" x14ac:dyDescent="0.3">
      <c r="A88" s="27" t="s">
        <v>133</v>
      </c>
      <c r="B88" s="20" t="s">
        <v>139</v>
      </c>
      <c r="C88" s="20" t="s">
        <v>138</v>
      </c>
      <c r="D88" s="18">
        <v>2015</v>
      </c>
      <c r="E88" s="20"/>
      <c r="F88" s="20">
        <v>34.200000000000003</v>
      </c>
      <c r="G88" s="23">
        <v>2</v>
      </c>
      <c r="H88" s="20">
        <v>318.75</v>
      </c>
      <c r="I88" s="20">
        <f>Table1[[#This Row],[a'[mm']]]/2.5</f>
        <v>127.5</v>
      </c>
      <c r="J88" s="23">
        <f>Table1[[#This Row],[a'[mm']]]/Table1[[#This Row],[d'[mm']]]</f>
        <v>2.5</v>
      </c>
      <c r="K88" s="20">
        <v>155</v>
      </c>
      <c r="L88" s="20" t="s">
        <v>293</v>
      </c>
      <c r="M88" s="20">
        <v>109.8</v>
      </c>
      <c r="N88" s="23" t="s">
        <v>130</v>
      </c>
      <c r="O88" s="20" t="s">
        <v>130</v>
      </c>
      <c r="P88" s="5">
        <v>89.807000000000002</v>
      </c>
      <c r="Q88" s="8">
        <f>IF(Table1[[#This Row],[P_F1]]="","",Table1[Pu(kN)]/Table1[[#This Row],[P_F1]])</f>
        <v>1.2226218446223567</v>
      </c>
      <c r="R88">
        <v>0.54520000000000002</v>
      </c>
      <c r="S88">
        <v>89.807000000000002</v>
      </c>
      <c r="T88" s="5">
        <v>117.97</v>
      </c>
      <c r="U88" s="8">
        <f>IF(Table1[[#This Row],[P_R1]]="","",Table1[Pu(kN)]/Table1[[#This Row],[P_R1]])</f>
        <v>0.93074510468763239</v>
      </c>
      <c r="V88">
        <v>0.72350000000000003</v>
      </c>
      <c r="W88">
        <v>118.17</v>
      </c>
      <c r="X88" s="10">
        <v>92.14</v>
      </c>
      <c r="Y88" s="8">
        <f>IF(Table1[[#This Row],[P_F2]]="","",Table1[Pu(kN)]/Table1[[#This Row],[P_F2]])</f>
        <v>1.1916648578250488</v>
      </c>
      <c r="Z88">
        <v>0.59419999999999995</v>
      </c>
      <c r="AA88">
        <v>92.358000000000004</v>
      </c>
      <c r="AB88" s="5">
        <v>111.97</v>
      </c>
      <c r="AC88" s="8">
        <f>IF(Table1[[#This Row],[P_R2]]="","",Table1[Pu(kN)]/Table1[[#This Row],[P_R2]])</f>
        <v>0.98061980887737787</v>
      </c>
      <c r="AD88">
        <v>0.78810000000000002</v>
      </c>
      <c r="AE88">
        <v>112.07</v>
      </c>
      <c r="AF88" s="10">
        <v>104.49</v>
      </c>
      <c r="AG88" s="2">
        <f>IF(Table1[[#This Row],[P_F3]]="","",Table1[Pu(kN)]/Table1[[#This Row],[P_F3]])</f>
        <v>1.0508182601205858</v>
      </c>
      <c r="AH88" s="2">
        <v>0.71020000000000005</v>
      </c>
      <c r="AI88" s="8">
        <v>104.49</v>
      </c>
      <c r="AJ88" s="10">
        <v>112.05</v>
      </c>
      <c r="AK88" s="8">
        <f>IF(Table1[[#This Row],[P_R3]]="","",Table1[Pu(kN)]/Table1[[#This Row],[P_R3]])</f>
        <v>0.97991967871485941</v>
      </c>
      <c r="AL88">
        <v>0.78690000000000004</v>
      </c>
      <c r="AM88">
        <v>112.08</v>
      </c>
      <c r="AN88" s="10">
        <v>93.311000000000007</v>
      </c>
      <c r="AO88" s="8">
        <f>IF(Table1[[#This Row],[P_R4]]="","",Table1[Pu(kN)]/Table1[[#This Row],[P_R4]])</f>
        <v>1.1767101413552528</v>
      </c>
      <c r="AP88" s="8">
        <v>0.59889999999999999</v>
      </c>
      <c r="AQ88" s="8">
        <v>93.311000000000007</v>
      </c>
      <c r="AR88" s="5">
        <v>93.875</v>
      </c>
      <c r="AS88">
        <f>IF(Table1[[#This Row],[P_F4]]="","",Table1[Pu(kN)]/Table1[[#This Row],[P_F4]])</f>
        <v>1.1696404793608521</v>
      </c>
      <c r="AT88">
        <v>0.52990000000000004</v>
      </c>
      <c r="AU88" s="7">
        <v>93.875</v>
      </c>
      <c r="AV88">
        <v>97</v>
      </c>
      <c r="AW88">
        <f>IF(Table1[[#This Row],[P_F5]]="","",Table1[Pu(kN)]/Table1[[#This Row],[P_F5]])</f>
        <v>1.1319587628865979</v>
      </c>
      <c r="AX88">
        <v>0.70050000000000001</v>
      </c>
      <c r="AY88" s="7">
        <v>98.584000000000003</v>
      </c>
      <c r="AZ88">
        <v>107.71</v>
      </c>
      <c r="BA88">
        <f>IF(Table1[[#This Row],[P_R5]]="","",Table1[Pu(kN)]/Table1[[#This Row],[P_R5]])</f>
        <v>1.0194039550645251</v>
      </c>
      <c r="BB88">
        <v>0.7571</v>
      </c>
      <c r="BC88">
        <v>107.81</v>
      </c>
      <c r="BD88" s="5">
        <v>92.361999999999995</v>
      </c>
      <c r="BE88" s="6">
        <f>IF(Table1[[#This Row],[P_F6]]="","",Table1[Pu(kN)]/Table1[[#This Row],[P_F6]])</f>
        <v>1.1888005889868127</v>
      </c>
      <c r="BF88" s="6">
        <v>0.53339999999999999</v>
      </c>
      <c r="BG88" s="6">
        <v>92.361999999999995</v>
      </c>
      <c r="BH88" s="5">
        <v>112.42</v>
      </c>
      <c r="BI88" s="6">
        <f>IF(Table1[[#This Row],[P_R6]]="","",Table1[Pu(kN)]/Table1[[#This Row],[P_R6]])</f>
        <v>0.97669453833837394</v>
      </c>
      <c r="BJ88" s="6">
        <v>0.78320000000000001</v>
      </c>
      <c r="BK88" s="6">
        <v>112.42</v>
      </c>
      <c r="BL88" s="5">
        <v>96.584999999999994</v>
      </c>
      <c r="BM88" s="6">
        <f>IF(Table1[[#This Row],[P_F7]]="","",Table1[Pu(kN)]/Table1[[#This Row],[P_F7]])</f>
        <v>1.1368224879639697</v>
      </c>
      <c r="BN88" s="6">
        <v>0.69510000000000005</v>
      </c>
      <c r="BO88" s="6">
        <v>96.584999999999994</v>
      </c>
      <c r="BP88" s="5">
        <v>93.82</v>
      </c>
      <c r="BQ88" s="6">
        <f>IF(Table1[[#This Row],[P_F8]]="","",Table1[Pu(kN)]/Table1[[#This Row],[P_F8]])</f>
        <v>1.170326156469836</v>
      </c>
      <c r="BR88" s="6">
        <v>0.61870000000000003</v>
      </c>
      <c r="BS88" s="6">
        <v>94.138000000000005</v>
      </c>
      <c r="BT88" s="5">
        <v>107.68</v>
      </c>
      <c r="BU88" s="6">
        <f>IF(Table1[[#This Row],[P_R7]]="","",Table1[Pu(kN)]/Table1[[#This Row],[P_R7]])</f>
        <v>1.0196879643387815</v>
      </c>
      <c r="BV88">
        <v>0.75990000000000002</v>
      </c>
      <c r="BW88">
        <v>107.91</v>
      </c>
      <c r="BX88" s="5">
        <v>89.977999999999994</v>
      </c>
      <c r="BY88" s="6">
        <f>IF(Table1[[#This Row],[P_F9]]="","",Table1[Pu(kN)]/Table1[[#This Row],[P_F9]])</f>
        <v>1.2202982951388117</v>
      </c>
      <c r="BZ88" s="6">
        <v>0.51949999999999996</v>
      </c>
      <c r="CA88" s="7">
        <v>90.186000000000007</v>
      </c>
      <c r="CB88" s="5">
        <v>93.777000000000001</v>
      </c>
      <c r="CC88" s="6">
        <f>IF(Table1[[#This Row],[P_R8]]="","",Table1[Pu(kN)]/Table1[[#This Row],[P_R8]])</f>
        <v>1.1708627915160434</v>
      </c>
      <c r="CD88" s="6">
        <v>0.97509999999999997</v>
      </c>
      <c r="CE88" s="6">
        <v>93.92</v>
      </c>
      <c r="CF88" s="5">
        <v>97.251999999999995</v>
      </c>
      <c r="CG88">
        <f>IF(Table1[[#This Row],[P_R9]]="","",Table1[Pu(kN)]/Table1[[#This Row],[P_R9]])</f>
        <v>1.1290256241516885</v>
      </c>
      <c r="CH88">
        <v>0.4637</v>
      </c>
      <c r="CI88">
        <v>97.251999999999995</v>
      </c>
      <c r="CJ88" s="5">
        <v>83.814999999999998</v>
      </c>
      <c r="CK88" s="6">
        <f>IF(Table1[[#This Row],[P_F10]]="","",Table1[Pu(kN)]/Table1[[#This Row],[P_F10]])</f>
        <v>1.3100280379407028</v>
      </c>
      <c r="CL88">
        <v>0.14480000000000001</v>
      </c>
      <c r="CM88">
        <v>84.173000000000002</v>
      </c>
      <c r="CN88" s="39">
        <v>90.2</v>
      </c>
      <c r="CO88" s="38">
        <f>Table1[[#This Row],[Pu(kN)]]/Table1[[#This Row],[P_R8_2]]</f>
        <v>1.2172949002217295</v>
      </c>
      <c r="CP88" s="38">
        <v>0.2</v>
      </c>
      <c r="CQ88" s="38">
        <f>Table1[[#This Row],[P_R8_2]]</f>
        <v>90.2</v>
      </c>
    </row>
    <row r="89" spans="1:95" x14ac:dyDescent="0.3">
      <c r="A89" s="26" t="s">
        <v>141</v>
      </c>
      <c r="B89" s="18" t="s">
        <v>139</v>
      </c>
      <c r="C89" s="18" t="s">
        <v>138</v>
      </c>
      <c r="D89" s="18">
        <v>2015</v>
      </c>
      <c r="E89" s="18"/>
      <c r="F89" s="18">
        <v>34.200000000000003</v>
      </c>
      <c r="G89" s="22">
        <v>1.2</v>
      </c>
      <c r="H89" s="18">
        <f>127.5*2.5</f>
        <v>318.75</v>
      </c>
      <c r="I89" s="18">
        <f>Table1[[#This Row],[a'[mm']]]/2.5</f>
        <v>127.5</v>
      </c>
      <c r="J89" s="22">
        <f>Table1[[#This Row],[a'[mm']]]/Table1[[#This Row],[d'[mm']]]</f>
        <v>2.5</v>
      </c>
      <c r="K89" s="18">
        <v>155</v>
      </c>
      <c r="L89" s="18" t="s">
        <v>293</v>
      </c>
      <c r="M89" s="18">
        <v>82.5</v>
      </c>
      <c r="N89" s="22" t="s">
        <v>130</v>
      </c>
      <c r="O89" s="18" t="s">
        <v>130</v>
      </c>
      <c r="P89" s="5">
        <v>85.393000000000001</v>
      </c>
      <c r="Q89" s="8">
        <f>IF(Table1[[#This Row],[P_F1]]="","",Table1[Pu(kN)]/Table1[[#This Row],[P_F1]])</f>
        <v>0.96612134484091206</v>
      </c>
      <c r="R89">
        <v>2.1399999999999999E-2</v>
      </c>
      <c r="S89">
        <v>85.771000000000001</v>
      </c>
      <c r="T89" s="5">
        <v>92.506</v>
      </c>
      <c r="U89" s="8">
        <f>IF(Table1[[#This Row],[P_R1]]="","",Table1[Pu(kN)]/Table1[[#This Row],[P_R1]])</f>
        <v>0.89183404319719806</v>
      </c>
      <c r="V89">
        <v>0.70450000000000002</v>
      </c>
      <c r="W89">
        <v>92.573999999999998</v>
      </c>
      <c r="X89" s="10">
        <v>79.974000000000004</v>
      </c>
      <c r="Y89" s="8">
        <f>IF(Table1[[#This Row],[P_F2]]="","",Table1[Pu(kN)]/Table1[[#This Row],[P_F2]])</f>
        <v>1.0315852652111936</v>
      </c>
      <c r="Z89">
        <v>0.1239</v>
      </c>
      <c r="AA89">
        <v>80.691999999999993</v>
      </c>
      <c r="AB89" s="5">
        <v>93.248999999999995</v>
      </c>
      <c r="AC89" s="8">
        <f>IF(Table1[[#This Row],[P_R2]]="","",Table1[Pu(kN)]/Table1[[#This Row],[P_R2]])</f>
        <v>0.8847279863591031</v>
      </c>
      <c r="AD89">
        <v>0.73040000000000005</v>
      </c>
      <c r="AE89">
        <v>93.275999999999996</v>
      </c>
      <c r="AF89" s="10">
        <v>93.058000000000007</v>
      </c>
      <c r="AG89">
        <f>IF(Table1[[#This Row],[P_F3]]="","",Table1[Pu(kN)]/Table1[[#This Row],[P_F3]])</f>
        <v>0.88654387586236538</v>
      </c>
      <c r="AH89">
        <v>0.39319999999999999</v>
      </c>
      <c r="AI89">
        <v>93.058000000000007</v>
      </c>
      <c r="AJ89" s="10">
        <v>94.852000000000004</v>
      </c>
      <c r="AK89" s="8">
        <f>IF(Table1[[#This Row],[P_R3]]="","",Table1[Pu(kN)]/Table1[[#This Row],[P_R3]])</f>
        <v>0.86977607219668529</v>
      </c>
      <c r="AL89">
        <v>0.74390000000000001</v>
      </c>
      <c r="AM89">
        <v>94.852000000000004</v>
      </c>
      <c r="AN89" s="5">
        <v>92.355999999999995</v>
      </c>
      <c r="AO89">
        <f>IF(Table1[[#This Row],[P_R4]]="","",Table1[Pu(kN)]/Table1[[#This Row],[P_R4]])</f>
        <v>0.89328251548356363</v>
      </c>
      <c r="AP89">
        <v>0.75609999999999999</v>
      </c>
      <c r="AQ89">
        <v>92.355999999999995</v>
      </c>
      <c r="AR89" s="5">
        <v>81.819999999999993</v>
      </c>
      <c r="AS89">
        <f>IF(Table1[[#This Row],[P_F4]]="","",Table1[Pu(kN)]/Table1[[#This Row],[P_F4]])</f>
        <v>1.0083109264238572</v>
      </c>
      <c r="AT89">
        <v>0.1434</v>
      </c>
      <c r="AU89" s="7">
        <v>81.819999999999993</v>
      </c>
      <c r="AV89">
        <v>89.56</v>
      </c>
      <c r="AW89">
        <f>IF(Table1[[#This Row],[P_F5]]="","",Table1[Pu(kN)]/Table1[[#This Row],[P_F5]])</f>
        <v>0.92117016525234474</v>
      </c>
      <c r="AX89">
        <v>0.3881</v>
      </c>
      <c r="AY89" s="7">
        <v>89.867000000000004</v>
      </c>
      <c r="AZ89">
        <v>83.18</v>
      </c>
      <c r="BA89">
        <f>IF(Table1[[#This Row],[P_R5]]="","",Table1[Pu(kN)]/Table1[[#This Row],[P_R5]])</f>
        <v>0.99182495792257741</v>
      </c>
      <c r="BB89">
        <v>0.45200000000000001</v>
      </c>
      <c r="BC89">
        <v>83.326999999999998</v>
      </c>
      <c r="BD89" s="5">
        <v>94.438000000000002</v>
      </c>
      <c r="BE89" s="6">
        <f>IF(Table1[[#This Row],[P_F6]]="","",Table1[Pu(kN)]/Table1[[#This Row],[P_F6]])</f>
        <v>0.8735890213685169</v>
      </c>
      <c r="BF89" s="6">
        <v>0.6361</v>
      </c>
      <c r="BG89" s="6">
        <v>94.438000000000002</v>
      </c>
      <c r="BH89" s="5">
        <v>96.653000000000006</v>
      </c>
      <c r="BI89" s="6">
        <f>IF(Table1[[#This Row],[P_R6]]="","",Table1[Pu(kN)]/Table1[[#This Row],[P_R6]])</f>
        <v>0.85356895285195489</v>
      </c>
      <c r="BJ89" s="6">
        <v>0.73409999999999997</v>
      </c>
      <c r="BK89" s="6">
        <v>96.653000000000006</v>
      </c>
      <c r="BL89" s="5">
        <v>86.406000000000006</v>
      </c>
      <c r="BM89" s="6">
        <f>IF(Table1[[#This Row],[P_F7]]="","",Table1[Pu(kN)]/Table1[[#This Row],[P_F7]])</f>
        <v>0.95479480591625576</v>
      </c>
      <c r="BN89" s="6">
        <v>0.28670000000000001</v>
      </c>
      <c r="BO89" s="6">
        <v>86.555000000000007</v>
      </c>
      <c r="BP89" s="5">
        <v>75.768000000000001</v>
      </c>
      <c r="BQ89" s="6">
        <f>IF(Table1[[#This Row],[P_F8]]="","",Table1[Pu(kN)]/Table1[[#This Row],[P_F8]])</f>
        <v>1.0888501742160279</v>
      </c>
      <c r="BR89" s="6">
        <v>7.5600000000000001E-2</v>
      </c>
      <c r="BS89" s="6">
        <v>75.968999999999994</v>
      </c>
      <c r="BT89" s="5">
        <v>89.995999999999995</v>
      </c>
      <c r="BU89" s="6">
        <f>IF(Table1[[#This Row],[P_R7]]="","",Table1[Pu(kN)]/Table1[[#This Row],[P_R7]])</f>
        <v>0.9167074092181875</v>
      </c>
      <c r="BV89">
        <v>0.68910000000000005</v>
      </c>
      <c r="BW89">
        <v>89.995999999999995</v>
      </c>
      <c r="BX89" s="5">
        <v>75.87</v>
      </c>
      <c r="BY89" s="6">
        <f>IF(Table1[[#This Row],[P_F9]]="","",Table1[Pu(kN)]/Table1[[#This Row],[P_F9]])</f>
        <v>1.0873863187030446</v>
      </c>
      <c r="BZ89" s="6">
        <v>8.3000000000000004E-2</v>
      </c>
      <c r="CA89" s="7">
        <v>76.33</v>
      </c>
      <c r="CB89" s="5">
        <v>89.727000000000004</v>
      </c>
      <c r="CC89" s="6">
        <f>IF(Table1[[#This Row],[P_R8]]="","",Table1[Pu(kN)]/Table1[[#This Row],[P_R8]])</f>
        <v>0.91945568223611618</v>
      </c>
      <c r="CD89" s="6">
        <v>0.72019999999999995</v>
      </c>
      <c r="CE89" s="6">
        <v>89.792000000000002</v>
      </c>
      <c r="CF89" s="5">
        <v>85.438999999999993</v>
      </c>
      <c r="CG89">
        <f>IF(Table1[[#This Row],[P_R9]]="","",Table1[Pu(kN)]/Table1[[#This Row],[P_R9]])</f>
        <v>0.96560118915249482</v>
      </c>
      <c r="CH89">
        <v>0.48309999999999997</v>
      </c>
      <c r="CI89">
        <v>85.438999999999993</v>
      </c>
      <c r="CJ89" s="5">
        <v>71.903999999999996</v>
      </c>
      <c r="CK89" s="6">
        <f>IF(Table1[[#This Row],[P_F10]]="","",Table1[Pu(kN)]/Table1[[#This Row],[P_F10]])</f>
        <v>1.1473631508678239</v>
      </c>
      <c r="CL89">
        <v>2.6800000000000001E-2</v>
      </c>
      <c r="CM89">
        <v>72.262</v>
      </c>
      <c r="CN89" s="39">
        <v>77.3</v>
      </c>
      <c r="CO89" s="38">
        <f>Table1[[#This Row],[Pu(kN)]]/Table1[[#This Row],[P_R8_2]]</f>
        <v>1.0672703751617076</v>
      </c>
      <c r="CP89" s="38">
        <v>0.14000000000000001</v>
      </c>
      <c r="CQ89" s="38">
        <f>Table1[[#This Row],[P_R8_2]]</f>
        <v>77.3</v>
      </c>
    </row>
    <row r="90" spans="1:95" x14ac:dyDescent="0.3">
      <c r="A90" s="27" t="s">
        <v>134</v>
      </c>
      <c r="B90" s="20" t="s">
        <v>139</v>
      </c>
      <c r="C90" s="20" t="s">
        <v>138</v>
      </c>
      <c r="D90" s="18">
        <v>2015</v>
      </c>
      <c r="E90" s="20"/>
      <c r="F90" s="20">
        <v>34.200000000000003</v>
      </c>
      <c r="G90" s="23">
        <v>2</v>
      </c>
      <c r="H90" s="20">
        <v>475</v>
      </c>
      <c r="I90" s="20">
        <f>Table1[[#This Row],[a'[mm']]]/2.5</f>
        <v>190</v>
      </c>
      <c r="J90" s="23">
        <f>Table1[[#This Row],[a'[mm']]]/Table1[[#This Row],[d'[mm']]]</f>
        <v>2.5</v>
      </c>
      <c r="K90" s="20">
        <v>220</v>
      </c>
      <c r="L90" s="20" t="s">
        <v>293</v>
      </c>
      <c r="M90" s="20">
        <v>119.7</v>
      </c>
      <c r="N90" s="23" t="s">
        <v>130</v>
      </c>
      <c r="O90" s="20" t="s">
        <v>130</v>
      </c>
      <c r="P90" s="5">
        <v>119.73</v>
      </c>
      <c r="Q90" s="8">
        <f>IF(Table1[[#This Row],[P_F1]]="","",Table1[Pu(kN)]/Table1[[#This Row],[P_F1]])</f>
        <v>0.9997494362315209</v>
      </c>
      <c r="R90">
        <v>2.2599999999999999E-2</v>
      </c>
      <c r="S90">
        <v>120.06</v>
      </c>
      <c r="T90" s="5">
        <v>165.33</v>
      </c>
      <c r="U90" s="8">
        <f>IF(Table1[[#This Row],[P_R1]]="","",Table1[Pu(kN)]/Table1[[#This Row],[P_R1]])</f>
        <v>0.72400653238976587</v>
      </c>
      <c r="V90">
        <v>0.66169999999999995</v>
      </c>
      <c r="W90">
        <v>165.45</v>
      </c>
      <c r="X90" s="10">
        <v>127.94</v>
      </c>
      <c r="Y90" s="8">
        <f>IF(Table1[[#This Row],[P_F2]]="","",Table1[Pu(kN)]/Table1[[#This Row],[P_F2]])</f>
        <v>0.93559481006721901</v>
      </c>
      <c r="Z90">
        <v>0.21360000000000001</v>
      </c>
      <c r="AA90">
        <v>127.94</v>
      </c>
      <c r="AB90" s="5">
        <v>159.63999999999999</v>
      </c>
      <c r="AC90" s="8">
        <f>IF(Table1[[#This Row],[P_R2]]="","",Table1[Pu(kN)]/Table1[[#This Row],[P_R2]])</f>
        <v>0.74981207717364073</v>
      </c>
      <c r="AD90">
        <v>0.72829999999999995</v>
      </c>
      <c r="AE90">
        <v>159.63999999999999</v>
      </c>
      <c r="AF90" s="10">
        <v>133.47</v>
      </c>
      <c r="AG90">
        <f>IF(Table1[[#This Row],[P_F3]]="","",Table1[Pu(kN)]/Table1[[#This Row],[P_F3]])</f>
        <v>0.8968307484828052</v>
      </c>
      <c r="AH90">
        <v>0.36649999999999999</v>
      </c>
      <c r="AI90">
        <v>133.47</v>
      </c>
      <c r="AJ90" s="10">
        <v>161.09</v>
      </c>
      <c r="AK90" s="8">
        <f>IF(Table1[[#This Row],[P_R3]]="","",Table1[Pu(kN)]/Table1[[#This Row],[P_R3]])</f>
        <v>0.74306288410205479</v>
      </c>
      <c r="AL90">
        <v>0.73909999999999998</v>
      </c>
      <c r="AM90">
        <v>161.09</v>
      </c>
      <c r="AN90" s="5">
        <v>155.13</v>
      </c>
      <c r="AO90">
        <f>IF(Table1[[#This Row],[P_R4]]="","",Table1[Pu(kN)]/Table1[[#This Row],[P_R4]])</f>
        <v>0.77161090698124157</v>
      </c>
      <c r="AP90">
        <v>0.76219999999999999</v>
      </c>
      <c r="AQ90">
        <v>155.13</v>
      </c>
      <c r="AR90" s="5">
        <v>127.18</v>
      </c>
      <c r="AS90">
        <f>IF(Table1[[#This Row],[P_F4]]="","",Table1[Pu(kN)]/Table1[[#This Row],[P_F4]])</f>
        <v>0.94118572102531839</v>
      </c>
      <c r="AT90">
        <v>0.1847</v>
      </c>
      <c r="AU90" s="7">
        <v>127.4</v>
      </c>
      <c r="AV90">
        <v>130.62</v>
      </c>
      <c r="AW90">
        <f>IF(Table1[[#This Row],[P_F5]]="","",Table1[Pu(kN)]/Table1[[#This Row],[P_F5]])</f>
        <v>0.91639871382636651</v>
      </c>
      <c r="AX90">
        <v>0.2722</v>
      </c>
      <c r="AY90" s="7">
        <v>130.91</v>
      </c>
      <c r="AZ90">
        <v>158.38999999999999</v>
      </c>
      <c r="BA90">
        <f>IF(Table1[[#This Row],[P_R5]]="","",Table1[Pu(kN)]/Table1[[#This Row],[P_R5]])</f>
        <v>0.75572952837931695</v>
      </c>
      <c r="BB90">
        <v>0.75049999999999994</v>
      </c>
      <c r="BC90">
        <v>158.38999999999999</v>
      </c>
      <c r="BD90" s="5">
        <v>135.85</v>
      </c>
      <c r="BE90" s="6">
        <f>IF(Table1[[#This Row],[P_F6]]="","",Table1[Pu(kN)]/Table1[[#This Row],[P_F6]])</f>
        <v>0.88111888111888115</v>
      </c>
      <c r="BF90" s="6">
        <v>0.3906</v>
      </c>
      <c r="BG90" s="6">
        <v>135.85</v>
      </c>
      <c r="BH90" s="5">
        <v>159.54</v>
      </c>
      <c r="BI90" s="6">
        <f>IF(Table1[[#This Row],[P_R6]]="","",Table1[Pu(kN)]/Table1[[#This Row],[P_R6]])</f>
        <v>0.75028206092515992</v>
      </c>
      <c r="BJ90" s="6">
        <v>0.71689999999999998</v>
      </c>
      <c r="BK90" s="6">
        <v>159.54</v>
      </c>
      <c r="BL90" s="5">
        <v>134.05000000000001</v>
      </c>
      <c r="BM90" s="6">
        <f>IF(Table1[[#This Row],[P_F7]]="","",Table1[Pu(kN)]/Table1[[#This Row],[P_F7]])</f>
        <v>0.89295039164490853</v>
      </c>
      <c r="BN90" s="6">
        <v>0.36899999999999999</v>
      </c>
      <c r="BO90" s="6">
        <v>134.18</v>
      </c>
      <c r="BP90" s="5">
        <v>119.42</v>
      </c>
      <c r="BQ90" s="6">
        <f>IF(Table1[[#This Row],[P_F8]]="","",Table1[Pu(kN)]/Table1[[#This Row],[P_F8]])</f>
        <v>1.0023446658851114</v>
      </c>
      <c r="BR90" s="6">
        <v>7.5800000000000006E-2</v>
      </c>
      <c r="BS90" s="6">
        <v>119.7</v>
      </c>
      <c r="BT90" s="5">
        <v>160.06</v>
      </c>
      <c r="BU90" s="6">
        <f>IF(Table1[[#This Row],[P_R7]]="","",Table1[Pu(kN)]/Table1[[#This Row],[P_R7]])</f>
        <v>0.747844558290641</v>
      </c>
      <c r="BV90">
        <v>0.73650000000000004</v>
      </c>
      <c r="BW90">
        <v>160.06</v>
      </c>
      <c r="BX90" s="5">
        <v>110.83</v>
      </c>
      <c r="BY90" s="6">
        <f>IF(Table1[[#This Row],[P_F9]]="","",Table1[Pu(kN)]/Table1[[#This Row],[P_F9]])</f>
        <v>1.0800324821799152</v>
      </c>
      <c r="BZ90" s="6">
        <v>4.7199999999999999E-2</v>
      </c>
      <c r="CA90" s="7">
        <v>111.5</v>
      </c>
      <c r="CB90" s="5">
        <v>152.75</v>
      </c>
      <c r="CC90" s="6">
        <f>IF(Table1[[#This Row],[P_R8]]="","",Table1[Pu(kN)]/Table1[[#This Row],[P_R8]])</f>
        <v>0.78363338788870707</v>
      </c>
      <c r="CD90" s="6">
        <v>0.74019999999999997</v>
      </c>
      <c r="CE90" s="6">
        <v>152.75</v>
      </c>
      <c r="CF90" s="5">
        <v>129.72</v>
      </c>
      <c r="CG90">
        <f>IF(Table1[[#This Row],[P_R9]]="","",Table1[Pu(kN)]/Table1[[#This Row],[P_R9]])</f>
        <v>0.92275670675300647</v>
      </c>
      <c r="CH90">
        <v>0.19919999999999999</v>
      </c>
      <c r="CI90">
        <v>131.99</v>
      </c>
      <c r="CJ90" s="5">
        <v>106.41</v>
      </c>
      <c r="CK90" s="6">
        <f>IF(Table1[[#This Row],[P_F10]]="","",Table1[Pu(kN)]/Table1[[#This Row],[P_F10]])</f>
        <v>1.1248942768536792</v>
      </c>
      <c r="CL90">
        <v>2.8299999999999999E-2</v>
      </c>
      <c r="CM90">
        <v>106.41</v>
      </c>
      <c r="CN90" s="39">
        <v>113.7</v>
      </c>
      <c r="CO90" s="38">
        <f>Table1[[#This Row],[Pu(kN)]]/Table1[[#This Row],[P_R8_2]]</f>
        <v>1.0527704485488127</v>
      </c>
      <c r="CP90" s="38">
        <v>0</v>
      </c>
      <c r="CQ90" s="38">
        <f>Table1[[#This Row],[P_R8_2]]</f>
        <v>113.7</v>
      </c>
    </row>
    <row r="91" spans="1:95" x14ac:dyDescent="0.3">
      <c r="A91" s="26" t="s">
        <v>142</v>
      </c>
      <c r="B91" s="18" t="s">
        <v>139</v>
      </c>
      <c r="C91" s="18" t="s">
        <v>138</v>
      </c>
      <c r="D91" s="18">
        <v>2015</v>
      </c>
      <c r="E91" s="18"/>
      <c r="F91" s="18">
        <v>34.200000000000003</v>
      </c>
      <c r="G91" s="22">
        <v>1.2</v>
      </c>
      <c r="H91" s="18">
        <f>190*2.5</f>
        <v>475</v>
      </c>
      <c r="I91" s="18">
        <f>Table1[[#This Row],[a'[mm']]]/2.5</f>
        <v>190</v>
      </c>
      <c r="J91" s="22">
        <f>Table1[[#This Row],[a'[mm']]]/Table1[[#This Row],[d'[mm']]]</f>
        <v>2.5</v>
      </c>
      <c r="K91" s="18">
        <v>220</v>
      </c>
      <c r="L91" s="18" t="s">
        <v>293</v>
      </c>
      <c r="M91" s="18">
        <v>100.6</v>
      </c>
      <c r="N91" s="22" t="s">
        <v>130</v>
      </c>
      <c r="O91" s="18" t="s">
        <v>130</v>
      </c>
      <c r="P91" s="5">
        <v>110.8</v>
      </c>
      <c r="Q91">
        <f>IF(Table1[[#This Row],[P_F1]]="","",Table1[Pu(kN)]/Table1[[#This Row],[P_F1]])</f>
        <v>0.90794223826714804</v>
      </c>
      <c r="R91">
        <v>1.8200000000000001E-2</v>
      </c>
      <c r="S91">
        <v>110.97</v>
      </c>
      <c r="T91" s="5">
        <v>137.68</v>
      </c>
      <c r="U91" s="8">
        <f>IF(Table1[[#This Row],[P_R1]]="","",Table1[Pu(kN)]/Table1[[#This Row],[P_R1]])</f>
        <v>0.73067983730389297</v>
      </c>
      <c r="V91">
        <v>0.55820000000000003</v>
      </c>
      <c r="W91">
        <v>137.68</v>
      </c>
      <c r="X91" s="10">
        <v>102.08</v>
      </c>
      <c r="Y91">
        <f>IF(Table1[[#This Row],[P_F2]]="","",Table1[Pu(kN)]/Table1[[#This Row],[P_F2]])</f>
        <v>0.98550156739811912</v>
      </c>
      <c r="Z91">
        <v>2.8899999999999999E-2</v>
      </c>
      <c r="AA91">
        <v>102.39</v>
      </c>
      <c r="AB91" s="5">
        <v>139.52000000000001</v>
      </c>
      <c r="AC91">
        <f>IF(Table1[[#This Row],[P_R2]]="","",Table1[Pu(kN)]/Table1[[#This Row],[P_R2]])</f>
        <v>0.72104357798165131</v>
      </c>
      <c r="AD91">
        <v>0.57189999999999996</v>
      </c>
      <c r="AE91">
        <v>139.55000000000001</v>
      </c>
      <c r="AF91" s="10">
        <v>103.79</v>
      </c>
      <c r="AG91">
        <f>IF(Table1[[#This Row],[P_F3]]="","",Table1[Pu(kN)]/Table1[[#This Row],[P_F3]])</f>
        <v>0.96926486174005189</v>
      </c>
      <c r="AH91">
        <v>2.47E-2</v>
      </c>
      <c r="AI91">
        <v>104.21</v>
      </c>
      <c r="AJ91" s="10">
        <v>143.41999999999999</v>
      </c>
      <c r="AK91" s="8">
        <f>IF(Table1[[#This Row],[P_R3]]="","",Table1[Pu(kN)]/Table1[[#This Row],[P_R3]])</f>
        <v>0.70143634081718031</v>
      </c>
      <c r="AL91">
        <v>0.63800000000000001</v>
      </c>
      <c r="AM91">
        <v>143.41999999999999</v>
      </c>
      <c r="AN91" s="5">
        <v>137.35</v>
      </c>
      <c r="AO91">
        <f>IF(Table1[[#This Row],[P_R4]]="","",Table1[Pu(kN)]/Table1[[#This Row],[P_R4]])</f>
        <v>0.73243538405533304</v>
      </c>
      <c r="AP91">
        <v>0.48020000000000002</v>
      </c>
      <c r="AQ91">
        <v>138.43</v>
      </c>
      <c r="AR91" s="5">
        <v>106.62</v>
      </c>
      <c r="AS91">
        <f>IF(Table1[[#This Row],[P_F4]]="","",Table1[Pu(kN)]/Table1[[#This Row],[P_F4]])</f>
        <v>0.94353779778653146</v>
      </c>
      <c r="AT91">
        <v>3.5400000000000001E-2</v>
      </c>
      <c r="AU91" s="7">
        <v>106.92</v>
      </c>
      <c r="AV91">
        <v>104.98</v>
      </c>
      <c r="AW91">
        <f>IF(Table1[[#This Row],[P_F5]]="","",Table1[Pu(kN)]/Table1[[#This Row],[P_F5]])</f>
        <v>0.95827776719375113</v>
      </c>
      <c r="AX91">
        <v>2.86E-2</v>
      </c>
      <c r="AY91" s="7">
        <v>105.99</v>
      </c>
      <c r="AZ91">
        <v>136.38</v>
      </c>
      <c r="BA91">
        <f>IF(Table1[[#This Row],[P_R5]]="","",Table1[Pu(kN)]/Table1[[#This Row],[P_R5]])</f>
        <v>0.73764481595541864</v>
      </c>
      <c r="BB91">
        <v>0.61950000000000005</v>
      </c>
      <c r="BC91">
        <v>136.38</v>
      </c>
      <c r="BD91" s="5">
        <v>114.41</v>
      </c>
      <c r="BE91" s="6">
        <f>IF(Table1[[#This Row],[P_F6]]="","",Table1[Pu(kN)]/Table1[[#This Row],[P_F6]])</f>
        <v>0.87929376802727033</v>
      </c>
      <c r="BF91" s="6">
        <v>0.20269999999999999</v>
      </c>
      <c r="BG91" s="6">
        <v>114.41</v>
      </c>
      <c r="BH91" s="5">
        <v>145.54</v>
      </c>
      <c r="BI91" s="6">
        <f>IF(Table1[[#This Row],[P_R6]]="","",Table1[Pu(kN)]/Table1[[#This Row],[P_R6]])</f>
        <v>0.69121890889102655</v>
      </c>
      <c r="BJ91" s="6">
        <v>0.65390000000000004</v>
      </c>
      <c r="BK91" s="6">
        <v>145.54</v>
      </c>
      <c r="BL91" s="5">
        <v>94.620999999999995</v>
      </c>
      <c r="BM91" s="6">
        <f>IF(Table1[[#This Row],[P_F7]]="","",Table1[Pu(kN)]/Table1[[#This Row],[P_F7]])</f>
        <v>1.0631889326893607</v>
      </c>
      <c r="BN91" s="6">
        <v>2.5399999999999999E-2</v>
      </c>
      <c r="BO91" s="6">
        <v>95.087999999999994</v>
      </c>
      <c r="BP91" s="5">
        <v>98.697999999999993</v>
      </c>
      <c r="BQ91" s="6">
        <f>IF(Table1[[#This Row],[P_F8]]="","",Table1[Pu(kN)]/Table1[[#This Row],[P_F8]])</f>
        <v>1.0192709072118988</v>
      </c>
      <c r="BR91" s="6">
        <v>2.2800000000000001E-2</v>
      </c>
      <c r="BS91" s="6">
        <v>98.963999999999999</v>
      </c>
      <c r="BT91" s="5">
        <v>131.44999999999999</v>
      </c>
      <c r="BU91" s="6">
        <f>IF(Table1[[#This Row],[P_R7]]="","",Table1[Pu(kN)]/Table1[[#This Row],[P_R7]])</f>
        <v>0.76531000380372771</v>
      </c>
      <c r="BV91">
        <v>0.28770000000000001</v>
      </c>
      <c r="BW91">
        <v>136.01</v>
      </c>
      <c r="BX91" s="5">
        <v>97.387</v>
      </c>
      <c r="BY91" s="6">
        <f>IF(Table1[[#This Row],[P_F9]]="","",Table1[Pu(kN)]/Table1[[#This Row],[P_F9]])</f>
        <v>1.0329920831322454</v>
      </c>
      <c r="BZ91" s="6">
        <v>2.7E-2</v>
      </c>
      <c r="CA91" s="7">
        <v>97.777000000000001</v>
      </c>
      <c r="CB91" s="5">
        <v>133.93</v>
      </c>
      <c r="CC91" s="6">
        <f>IF(Table1[[#This Row],[P_R8]]="","",Table1[Pu(kN)]/Table1[[#This Row],[P_R8]])</f>
        <v>0.75113865452101836</v>
      </c>
      <c r="CD91" s="6">
        <v>0.37380000000000002</v>
      </c>
      <c r="CE91" s="6">
        <v>133.93</v>
      </c>
      <c r="CF91" s="5">
        <v>118.85</v>
      </c>
      <c r="CG91">
        <f>IF(Table1[[#This Row],[P_R9]]="","",Table1[Pu(kN)]/Table1[[#This Row],[P_R9]])</f>
        <v>0.84644509886411445</v>
      </c>
      <c r="CH91">
        <v>1.0500000000000001E-2</v>
      </c>
      <c r="CI91">
        <v>118.85</v>
      </c>
      <c r="CJ91" s="5">
        <v>107.52</v>
      </c>
      <c r="CK91" s="6">
        <f>IF(Table1[[#This Row],[P_F10]]="","",Table1[Pu(kN)]/Table1[[#This Row],[P_F10]])</f>
        <v>0.93563988095238093</v>
      </c>
      <c r="CL91">
        <v>2.46E-2</v>
      </c>
      <c r="CM91">
        <v>108.02</v>
      </c>
      <c r="CN91" s="39">
        <v>101.4</v>
      </c>
      <c r="CO91" s="38">
        <f>Table1[[#This Row],[Pu(kN)]]/Table1[[#This Row],[P_R8_2]]</f>
        <v>0.99211045364891504</v>
      </c>
      <c r="CP91" s="38">
        <v>0</v>
      </c>
      <c r="CQ91" s="38">
        <f>Table1[[#This Row],[P_R8_2]]</f>
        <v>101.4</v>
      </c>
    </row>
    <row r="92" spans="1:95" x14ac:dyDescent="0.3">
      <c r="A92" s="27" t="s">
        <v>135</v>
      </c>
      <c r="B92" s="20" t="s">
        <v>139</v>
      </c>
      <c r="C92" s="20" t="s">
        <v>138</v>
      </c>
      <c r="D92" s="18">
        <v>2015</v>
      </c>
      <c r="E92" s="20"/>
      <c r="F92" s="20">
        <v>34.200000000000003</v>
      </c>
      <c r="G92" s="23">
        <v>2</v>
      </c>
      <c r="H92" s="20">
        <v>781.25</v>
      </c>
      <c r="I92" s="20">
        <f>Table1[[#This Row],[a'[mm']]]/2.5</f>
        <v>312.5</v>
      </c>
      <c r="J92" s="23">
        <f>Table1[[#This Row],[a'[mm']]]/Table1[[#This Row],[d'[mm']]]</f>
        <v>2.5</v>
      </c>
      <c r="K92" s="20">
        <v>350</v>
      </c>
      <c r="L92" s="20" t="s">
        <v>293</v>
      </c>
      <c r="M92" s="20">
        <v>173.1</v>
      </c>
      <c r="N92" s="23" t="s">
        <v>130</v>
      </c>
      <c r="O92" s="20" t="s">
        <v>130</v>
      </c>
      <c r="P92" s="5">
        <v>174.62</v>
      </c>
      <c r="Q92" s="8">
        <f>IF(Table1[[#This Row],[P_F1]]="","",Table1[Pu(kN)]/Table1[[#This Row],[P_F1]])</f>
        <v>0.99129538426297092</v>
      </c>
      <c r="R92">
        <v>1.4200000000000001E-2</v>
      </c>
      <c r="S92">
        <v>175.31</v>
      </c>
      <c r="T92" s="5">
        <v>210.27</v>
      </c>
      <c r="U92" s="8">
        <f>IF(Table1[[#This Row],[P_R1]]="","",Table1[Pu(kN)]/Table1[[#This Row],[P_R1]])</f>
        <v>0.8232272792124411</v>
      </c>
      <c r="V92">
        <v>5.8999999999999999E-3</v>
      </c>
      <c r="W92">
        <v>210.66</v>
      </c>
      <c r="X92" s="10">
        <v>172.81</v>
      </c>
      <c r="Y92" s="8">
        <f>IF(Table1[[#This Row],[P_F2]]="","",Table1[Pu(kN)]/Table1[[#This Row],[P_F2]])</f>
        <v>1.0016781436259474</v>
      </c>
      <c r="Z92">
        <v>2.3900000000000001E-2</v>
      </c>
      <c r="AA92">
        <v>172.94</v>
      </c>
      <c r="AB92" s="5">
        <v>243.63</v>
      </c>
      <c r="AC92" s="8">
        <f>IF(Table1[[#This Row],[P_R2]]="","",Table1[Pu(kN)]/Table1[[#This Row],[P_R2]])</f>
        <v>0.71050363255756677</v>
      </c>
      <c r="AD92">
        <v>0.53749999999999998</v>
      </c>
      <c r="AE92">
        <v>243.86</v>
      </c>
      <c r="AF92" s="10">
        <v>188.5</v>
      </c>
      <c r="AG92">
        <f>IF(Table1[[#This Row],[P_F3]]="","",Table1[Pu(kN)]/Table1[[#This Row],[P_F3]])</f>
        <v>0.91830238726790447</v>
      </c>
      <c r="AH92">
        <v>2.2800000000000001E-2</v>
      </c>
      <c r="AI92">
        <v>188.5</v>
      </c>
      <c r="AJ92" s="10">
        <v>248.33</v>
      </c>
      <c r="AK92" s="8">
        <f>IF(Table1[[#This Row],[P_R3]]="","",Table1[Pu(kN)]/Table1[[#This Row],[P_R3]])</f>
        <v>0.69705633632666208</v>
      </c>
      <c r="AL92">
        <v>0.59589999999999999</v>
      </c>
      <c r="AM92">
        <v>248.33</v>
      </c>
      <c r="AN92" s="5">
        <v>235.6</v>
      </c>
      <c r="AO92">
        <f>IF(Table1[[#This Row],[P_R4]]="","",Table1[Pu(kN)]/Table1[[#This Row],[P_R4]])</f>
        <v>0.73471986417657043</v>
      </c>
      <c r="AP92">
        <v>0.41210000000000002</v>
      </c>
      <c r="AQ92">
        <v>235.81</v>
      </c>
      <c r="AR92" s="5">
        <v>183.43</v>
      </c>
      <c r="AS92">
        <f>IF(Table1[[#This Row],[P_F4]]="","",Table1[Pu(kN)]/Table1[[#This Row],[P_F4]])</f>
        <v>0.94368423921932065</v>
      </c>
      <c r="AT92">
        <v>2.8799999999999999E-2</v>
      </c>
      <c r="AU92" s="7">
        <v>183.43</v>
      </c>
      <c r="AV92">
        <v>188.09</v>
      </c>
      <c r="AW92">
        <f>IF(Table1[[#This Row],[P_F5]]="","",Table1[Pu(kN)]/Table1[[#This Row],[P_F5]])</f>
        <v>0.92030410973470145</v>
      </c>
      <c r="AX92">
        <v>2.93E-2</v>
      </c>
      <c r="AY92" s="7">
        <v>188.92</v>
      </c>
      <c r="AZ92">
        <v>242.06</v>
      </c>
      <c r="BA92">
        <f>IF(Table1[[#This Row],[P_R5]]="","",Table1[Pu(kN)]/Table1[[#This Row],[P_R5]])</f>
        <v>0.71511195571345942</v>
      </c>
      <c r="BB92">
        <v>0.52180000000000004</v>
      </c>
      <c r="BC92">
        <v>242.06</v>
      </c>
      <c r="BD92" s="5">
        <v>188.34</v>
      </c>
      <c r="BE92" s="6">
        <f>IF(Table1[[#This Row],[P_F6]]="","",Table1[Pu(kN)]/Table1[[#This Row],[P_F6]])</f>
        <v>0.91908251035361577</v>
      </c>
      <c r="BF92" s="6">
        <v>1.9599999999999999E-2</v>
      </c>
      <c r="BG92" s="6">
        <v>188.34</v>
      </c>
      <c r="BH92" s="5">
        <v>249.35</v>
      </c>
      <c r="BI92" s="6">
        <f>IF(Table1[[#This Row],[P_R6]]="","",Table1[Pu(kN)]/Table1[[#This Row],[P_R6]])</f>
        <v>0.6942049328253459</v>
      </c>
      <c r="BJ92" s="6">
        <v>0.58089999999999997</v>
      </c>
      <c r="BK92" s="6">
        <v>249.35</v>
      </c>
      <c r="BL92" s="5">
        <v>191.64</v>
      </c>
      <c r="BM92" s="6">
        <f>IF(Table1[[#This Row],[P_F7]]="","",Table1[Pu(kN)]/Table1[[#This Row],[P_F7]])</f>
        <v>0.90325610519724486</v>
      </c>
      <c r="BN92" s="6">
        <v>4.3499999999999997E-2</v>
      </c>
      <c r="BO92" s="6">
        <v>191.94</v>
      </c>
      <c r="BP92" s="5">
        <v>172.12</v>
      </c>
      <c r="BQ92" s="6">
        <f>IF(Table1[[#This Row],[P_F8]]="","",Table1[Pu(kN)]/Table1[[#This Row],[P_F8]])</f>
        <v>1.0056937020683243</v>
      </c>
      <c r="BR92" s="6">
        <v>2.3300000000000001E-2</v>
      </c>
      <c r="BS92" s="6">
        <v>172.65</v>
      </c>
      <c r="BT92" s="5">
        <v>234.49</v>
      </c>
      <c r="BU92" s="6">
        <f>IF(Table1[[#This Row],[P_R7]]="","",Table1[Pu(kN)]/Table1[[#This Row],[P_R7]])</f>
        <v>0.73819779095057358</v>
      </c>
      <c r="BV92">
        <v>0.38500000000000001</v>
      </c>
      <c r="BW92">
        <v>237.7</v>
      </c>
      <c r="BX92" s="5">
        <v>179.5</v>
      </c>
      <c r="BY92" s="6">
        <f>IF(Table1[[#This Row],[P_F9]]="","",Table1[Pu(kN)]/Table1[[#This Row],[P_F9]])</f>
        <v>0.96434540389972145</v>
      </c>
      <c r="BZ92" s="6">
        <v>2.5999999999999999E-2</v>
      </c>
      <c r="CA92" s="7">
        <v>179.5</v>
      </c>
      <c r="CB92" s="5">
        <v>228.24</v>
      </c>
      <c r="CC92" s="6">
        <f>IF(Table1[[#This Row],[P_R8]]="","",Table1[Pu(kN)]/Table1[[#This Row],[P_R8]])</f>
        <v>0.75841219768664558</v>
      </c>
      <c r="CD92" s="6">
        <v>0.24030000000000001</v>
      </c>
      <c r="CE92" s="6">
        <v>228.44</v>
      </c>
      <c r="CF92" s="5">
        <v>219.43</v>
      </c>
      <c r="CG92">
        <f>IF(Table1[[#This Row],[P_R9]]="","",Table1[Pu(kN)]/Table1[[#This Row],[P_R9]])</f>
        <v>0.78886205167935097</v>
      </c>
      <c r="CH92">
        <v>5.8500000000000003E-2</v>
      </c>
      <c r="CI92">
        <v>219.96</v>
      </c>
      <c r="CJ92" s="5">
        <v>162.69999999999999</v>
      </c>
      <c r="CK92" s="6">
        <f>IF(Table1[[#This Row],[P_F10]]="","",Table1[Pu(kN)]/Table1[[#This Row],[P_F10]])</f>
        <v>1.063921327596804</v>
      </c>
      <c r="CL92">
        <v>2.5899999999999999E-2</v>
      </c>
      <c r="CM92">
        <v>163.30000000000001</v>
      </c>
      <c r="CN92" s="39">
        <v>152</v>
      </c>
      <c r="CO92" s="38">
        <f>Table1[[#This Row],[Pu(kN)]]/Table1[[#This Row],[P_R8_2]]</f>
        <v>1.1388157894736841</v>
      </c>
      <c r="CP92" s="38">
        <v>0</v>
      </c>
      <c r="CQ92" s="38">
        <f>Table1[[#This Row],[P_R8_2]]</f>
        <v>152</v>
      </c>
    </row>
    <row r="93" spans="1:95" x14ac:dyDescent="0.3">
      <c r="A93" s="26" t="s">
        <v>143</v>
      </c>
      <c r="B93" s="18" t="s">
        <v>139</v>
      </c>
      <c r="C93" s="18" t="s">
        <v>138</v>
      </c>
      <c r="D93" s="18">
        <v>2015</v>
      </c>
      <c r="E93" s="18"/>
      <c r="F93" s="18">
        <v>34.200000000000003</v>
      </c>
      <c r="G93" s="22">
        <v>1.2</v>
      </c>
      <c r="H93" s="18">
        <v>781.25</v>
      </c>
      <c r="I93" s="18">
        <f>Table1[[#This Row],[a'[mm']]]/2.5</f>
        <v>312.5</v>
      </c>
      <c r="J93" s="22">
        <f>Table1[[#This Row],[a'[mm']]]/Table1[[#This Row],[d'[mm']]]</f>
        <v>2.5</v>
      </c>
      <c r="K93" s="18">
        <v>350</v>
      </c>
      <c r="L93" s="18" t="s">
        <v>293</v>
      </c>
      <c r="M93" s="18">
        <v>152.6</v>
      </c>
      <c r="N93" s="22" t="s">
        <v>130</v>
      </c>
      <c r="O93" s="18" t="s">
        <v>130</v>
      </c>
      <c r="P93" s="5">
        <v>159.87</v>
      </c>
      <c r="Q93" s="8">
        <f>IF(Table1[[#This Row],[P_F1]]="","",Table1[Pu(kN)]/Table1[[#This Row],[P_F1]])</f>
        <v>0.95452555201100886</v>
      </c>
      <c r="R93">
        <v>2.1499999999999998E-2</v>
      </c>
      <c r="S93">
        <v>160.44999999999999</v>
      </c>
      <c r="T93" s="5">
        <v>213.94</v>
      </c>
      <c r="U93" s="8">
        <f>IF(Table1[[#This Row],[P_R1]]="","",Table1[Pu(kN)]/Table1[[#This Row],[P_R1]])</f>
        <v>0.71328409834533046</v>
      </c>
      <c r="V93">
        <v>2.3800000000000002E-2</v>
      </c>
      <c r="W93">
        <v>215.76</v>
      </c>
      <c r="X93" s="10">
        <v>144.38</v>
      </c>
      <c r="Y93" s="8">
        <f>IF(Table1[[#This Row],[P_F2]]="","",Table1[Pu(kN)]/Table1[[#This Row],[P_F2]])</f>
        <v>1.0569330932262087</v>
      </c>
      <c r="Z93">
        <v>2.1899999999999999E-2</v>
      </c>
      <c r="AA93">
        <v>144.38</v>
      </c>
      <c r="AB93" s="5">
        <v>199.24</v>
      </c>
      <c r="AC93" s="8">
        <f>IF(Table1[[#This Row],[P_R2]]="","",Table1[Pu(kN)]/Table1[[#This Row],[P_R2]])</f>
        <v>0.76591045974703864</v>
      </c>
      <c r="AD93">
        <v>0.11609999999999999</v>
      </c>
      <c r="AE93">
        <v>199.9</v>
      </c>
      <c r="AF93" s="10">
        <v>151.54</v>
      </c>
      <c r="AG93">
        <f>IF(Table1[[#This Row],[P_F3]]="","",Table1[Pu(kN)]/Table1[[#This Row],[P_F3]])</f>
        <v>1.0069948528441335</v>
      </c>
      <c r="AH93">
        <v>1.89E-2</v>
      </c>
      <c r="AI93">
        <v>151.54</v>
      </c>
      <c r="AJ93" s="10">
        <v>204.65</v>
      </c>
      <c r="AK93" s="8">
        <f>IF(Table1[[#This Row],[P_R3]]="","",Table1[Pu(kN)]/Table1[[#This Row],[P_R3]])</f>
        <v>0.74566332763254328</v>
      </c>
      <c r="AL93">
        <v>0.14749999999999999</v>
      </c>
      <c r="AM93">
        <v>204.65</v>
      </c>
      <c r="AN93" s="5">
        <v>188.12</v>
      </c>
      <c r="AO93">
        <f>IF(Table1[[#This Row],[P_R4]]="","",Table1[Pu(kN)]/Table1[[#This Row],[P_R4]])</f>
        <v>0.81118435041462889</v>
      </c>
      <c r="AP93">
        <v>4.0500000000000001E-2</v>
      </c>
      <c r="AQ93">
        <v>188.12</v>
      </c>
      <c r="AR93" s="5">
        <v>148.27000000000001</v>
      </c>
      <c r="AS93">
        <f>IF(Table1[[#This Row],[P_F4]]="","",Table1[Pu(kN)]/Table1[[#This Row],[P_F4]])</f>
        <v>1.0292034801375867</v>
      </c>
      <c r="AT93">
        <v>2.3800000000000002E-2</v>
      </c>
      <c r="AU93" s="7">
        <v>148.27000000000001</v>
      </c>
      <c r="AV93">
        <v>146.53</v>
      </c>
      <c r="AW93">
        <f>IF(Table1[[#This Row],[P_F5]]="","",Table1[Pu(kN)]/Table1[[#This Row],[P_F5]])</f>
        <v>1.0414249641711595</v>
      </c>
      <c r="AX93">
        <v>2.2700000000000001E-2</v>
      </c>
      <c r="AY93" s="7">
        <v>146.94</v>
      </c>
      <c r="AZ93">
        <v>207.11</v>
      </c>
      <c r="BA93">
        <f>IF(Table1[[#This Row],[P_R5]]="","",Table1[Pu(kN)]/Table1[[#This Row],[P_R5]])</f>
        <v>0.73680652793201673</v>
      </c>
      <c r="BB93">
        <v>0.24129999999999999</v>
      </c>
      <c r="BC93">
        <v>207.11</v>
      </c>
      <c r="BD93" s="5">
        <v>173.19</v>
      </c>
      <c r="BE93" s="6">
        <f>IF(Table1[[#This Row],[P_F6]]="","",Table1[Pu(kN)]/Table1[[#This Row],[P_F6]])</f>
        <v>0.88111322824643457</v>
      </c>
      <c r="BF93" s="6">
        <v>1.84E-2</v>
      </c>
      <c r="BG93" s="6">
        <v>173.19</v>
      </c>
      <c r="BH93" s="5">
        <v>200.95</v>
      </c>
      <c r="BI93" s="6">
        <f>IF(Table1[[#This Row],[P_R6]]="","",Table1[Pu(kN)]/Table1[[#This Row],[P_R6]])</f>
        <v>0.75939288380194081</v>
      </c>
      <c r="BJ93" s="6">
        <v>9.2299999999999993E-2</v>
      </c>
      <c r="BK93" s="6">
        <v>200.95</v>
      </c>
      <c r="BL93" s="5">
        <v>164.36</v>
      </c>
      <c r="BM93" s="6">
        <f>IF(Table1[[#This Row],[P_F7]]="","",Table1[Pu(kN)]/Table1[[#This Row],[P_F7]])</f>
        <v>0.92844974446337292</v>
      </c>
      <c r="BN93" s="6">
        <v>2.2700000000000001E-2</v>
      </c>
      <c r="BO93" s="6">
        <v>165.3</v>
      </c>
      <c r="BP93" s="5">
        <v>145.31</v>
      </c>
      <c r="BQ93" s="6">
        <f>IF(Table1[[#This Row],[P_F8]]="","",Table1[Pu(kN)]/Table1[[#This Row],[P_F8]])</f>
        <v>1.0501686050512697</v>
      </c>
      <c r="BR93" s="6">
        <v>2.3900000000000001E-2</v>
      </c>
      <c r="BS93" s="6">
        <v>146.1</v>
      </c>
      <c r="BT93">
        <v>213.79</v>
      </c>
      <c r="BU93" s="6">
        <f>IF(Table1[[#This Row],[P_R7]]="","",Table1[Pu(kN)]/Table1[[#This Row],[P_R7]])</f>
        <v>0.71378455493708781</v>
      </c>
      <c r="BV93">
        <v>0.2797</v>
      </c>
      <c r="BW93">
        <v>213.79</v>
      </c>
      <c r="BX93" s="5">
        <v>132.76</v>
      </c>
      <c r="BY93" s="6">
        <f>IF(Table1[[#This Row],[P_F9]]="","",Table1[Pu(kN)]/Table1[[#This Row],[P_F9]])</f>
        <v>1.149442603193733</v>
      </c>
      <c r="BZ93" s="6">
        <v>1.9099999999999999E-2</v>
      </c>
      <c r="CA93" s="7">
        <v>133.25</v>
      </c>
      <c r="CB93" s="5">
        <v>180.71</v>
      </c>
      <c r="CC93" s="6">
        <f>IF(Table1[[#This Row],[P_R8]]="","",Table1[Pu(kN)]/Table1[[#This Row],[P_R8]])</f>
        <v>0.84444690387914334</v>
      </c>
      <c r="CD93" s="6">
        <v>3.2000000000000001E-2</v>
      </c>
      <c r="CE93" s="6">
        <v>180.77</v>
      </c>
      <c r="CF93" s="5">
        <v>167.78</v>
      </c>
      <c r="CG93">
        <f>IF(Table1[[#This Row],[P_R9]]="","",Table1[Pu(kN)]/Table1[[#This Row],[P_R9]])</f>
        <v>0.90952437716056733</v>
      </c>
      <c r="CH93">
        <v>5.7000000000000002E-3</v>
      </c>
      <c r="CI93">
        <v>167.78</v>
      </c>
      <c r="CJ93" s="5">
        <v>133.16</v>
      </c>
      <c r="CK93" s="6">
        <f>IF(Table1[[#This Row],[P_F10]]="","",Table1[Pu(kN)]/Table1[[#This Row],[P_F10]])</f>
        <v>1.1459897867227395</v>
      </c>
      <c r="CL93">
        <v>3.0099999999999998E-2</v>
      </c>
      <c r="CM93">
        <v>133.16</v>
      </c>
      <c r="CN93" s="39">
        <v>149.88999999999999</v>
      </c>
      <c r="CO93" s="38">
        <f>Table1[[#This Row],[Pu(kN)]]/Table1[[#This Row],[P_R8_2]]</f>
        <v>1.0180799252785377</v>
      </c>
      <c r="CP93" s="38">
        <f>Table1[[#This Row],[DUCTIL_R8]]</f>
        <v>3.2000000000000001E-2</v>
      </c>
      <c r="CQ93" s="38">
        <f>Table1[[#This Row],[P_R8_2]]</f>
        <v>149.88999999999999</v>
      </c>
    </row>
    <row r="94" spans="1:95" x14ac:dyDescent="0.3">
      <c r="A94" s="27" t="s">
        <v>136</v>
      </c>
      <c r="B94" s="20" t="s">
        <v>139</v>
      </c>
      <c r="C94" s="20" t="s">
        <v>138</v>
      </c>
      <c r="D94" s="18">
        <v>2015</v>
      </c>
      <c r="E94" s="20"/>
      <c r="F94" s="20">
        <v>34.200000000000003</v>
      </c>
      <c r="G94" s="23">
        <v>2</v>
      </c>
      <c r="H94" s="20">
        <v>1100</v>
      </c>
      <c r="I94" s="20">
        <f>Table1[[#This Row],[a'[mm']]]/2.5</f>
        <v>440</v>
      </c>
      <c r="J94" s="23">
        <f>Table1[[#This Row],[a'[mm']]]/Table1[[#This Row],[d'[mm']]]</f>
        <v>2.5</v>
      </c>
      <c r="K94" s="20">
        <v>485</v>
      </c>
      <c r="L94" s="20" t="s">
        <v>293</v>
      </c>
      <c r="M94" s="20">
        <v>206.7</v>
      </c>
      <c r="N94" s="23" t="s">
        <v>130</v>
      </c>
      <c r="O94" s="20" t="s">
        <v>130</v>
      </c>
      <c r="P94" s="5">
        <v>213.41</v>
      </c>
      <c r="Q94" s="8">
        <f>IF(Table1[[#This Row],[P_F1]]="","",Table1[Pu(kN)]/Table1[[#This Row],[P_F1]])</f>
        <v>0.96855817440607272</v>
      </c>
      <c r="R94">
        <v>2.1399999999999999E-2</v>
      </c>
      <c r="S94">
        <v>214.61</v>
      </c>
      <c r="T94" s="5">
        <v>314.52</v>
      </c>
      <c r="U94" s="8">
        <f>IF(Table1[[#This Row],[P_R1]]="","",Table1[Pu(kN)]/Table1[[#This Row],[P_R1]])</f>
        <v>0.65719191148416634</v>
      </c>
      <c r="V94">
        <v>0.58679999999999999</v>
      </c>
      <c r="W94">
        <v>314.52</v>
      </c>
      <c r="X94" s="10">
        <v>213.43</v>
      </c>
      <c r="Y94" s="8">
        <f>IF(Table1[[#This Row],[P_F2]]="","",Table1[Pu(kN)]/Table1[[#This Row],[P_F2]])</f>
        <v>0.96846741320339214</v>
      </c>
      <c r="Z94">
        <v>2.3099999999999999E-2</v>
      </c>
      <c r="AA94">
        <v>214.35</v>
      </c>
      <c r="AB94" s="5">
        <v>308.24</v>
      </c>
      <c r="AC94" s="8">
        <f>IF(Table1[[#This Row],[P_R2]]="","",Table1[Pu(kN)]/Table1[[#This Row],[P_R2]])</f>
        <v>0.67058136516999733</v>
      </c>
      <c r="AD94">
        <v>0.48330000000000001</v>
      </c>
      <c r="AE94">
        <v>308.24</v>
      </c>
      <c r="AF94" s="10">
        <v>228.12</v>
      </c>
      <c r="AG94">
        <f>IF(Table1[[#This Row],[P_F3]]="","",Table1[Pu(kN)]/Table1[[#This Row],[P_F3]])</f>
        <v>0.90610205155181478</v>
      </c>
      <c r="AH94">
        <v>2.1999999999999999E-2</v>
      </c>
      <c r="AI94">
        <v>228.12</v>
      </c>
      <c r="AJ94" s="10">
        <v>311.27</v>
      </c>
      <c r="AK94" s="8">
        <f>IF(Table1[[#This Row],[P_R3]]="","",Table1[Pu(kN)]/Table1[[#This Row],[P_R3]])</f>
        <v>0.66405371542390845</v>
      </c>
      <c r="AL94">
        <v>0.54410000000000003</v>
      </c>
      <c r="AM94">
        <v>311.27</v>
      </c>
      <c r="AN94" s="5">
        <v>310.51</v>
      </c>
      <c r="AO94">
        <f>IF(Table1[[#This Row],[P_R4]]="","",Table1[Pu(kN)]/Table1[[#This Row],[P_R4]])</f>
        <v>0.66567904415316737</v>
      </c>
      <c r="AP94">
        <v>0.62260000000000004</v>
      </c>
      <c r="AQ94">
        <v>310.51</v>
      </c>
      <c r="AR94" s="5">
        <v>241.76</v>
      </c>
      <c r="AS94">
        <f>IF(Table1[[#This Row],[P_F4]]="","",Table1[Pu(kN)]/Table1[[#This Row],[P_F4]])</f>
        <v>0.85498014559894109</v>
      </c>
      <c r="AT94">
        <v>2.29E-2</v>
      </c>
      <c r="AU94" s="7">
        <v>241.76</v>
      </c>
      <c r="AV94">
        <v>236.32</v>
      </c>
      <c r="AW94">
        <f>IF(Table1[[#This Row],[P_F5]]="","",Table1[Pu(kN)]/Table1[[#This Row],[P_F5]])</f>
        <v>0.87466147596479349</v>
      </c>
      <c r="AX94">
        <v>2.1899999999999999E-2</v>
      </c>
      <c r="AY94" s="7">
        <v>237.32</v>
      </c>
      <c r="AZ94">
        <v>289.83</v>
      </c>
      <c r="BA94">
        <f>IF(Table1[[#This Row],[P_R5]]="","",Table1[Pu(kN)]/Table1[[#This Row],[P_R5]])</f>
        <v>0.71317668978366633</v>
      </c>
      <c r="BB94">
        <v>0.30980000000000002</v>
      </c>
      <c r="BC94">
        <v>290.27</v>
      </c>
      <c r="BD94" s="5">
        <v>237.45</v>
      </c>
      <c r="BE94" s="6">
        <f>IF(Table1[[#This Row],[P_F6]]="","",Table1[Pu(kN)]/Table1[[#This Row],[P_F6]])</f>
        <v>0.87049905243209091</v>
      </c>
      <c r="BF94" s="6">
        <v>2.0899999999999998E-2</v>
      </c>
      <c r="BG94" s="6">
        <v>237.45</v>
      </c>
      <c r="BH94" s="5">
        <v>311.57</v>
      </c>
      <c r="BI94" s="6">
        <f>IF(Table1[[#This Row],[P_R6]]="","",Table1[Pu(kN)]/Table1[[#This Row],[P_R6]])</f>
        <v>0.6634143210193536</v>
      </c>
      <c r="BJ94" s="6">
        <v>0.47249999999999998</v>
      </c>
      <c r="BK94" s="6">
        <v>311.57</v>
      </c>
      <c r="BL94" s="5">
        <v>241.18</v>
      </c>
      <c r="BM94" s="6">
        <f>IF(Table1[[#This Row],[P_F7]]="","",Table1[Pu(kN)]/Table1[[#This Row],[P_F7]])</f>
        <v>0.85703623849407073</v>
      </c>
      <c r="BN94" s="6">
        <v>2.1399999999999999E-2</v>
      </c>
      <c r="BO94" s="6">
        <v>241.88</v>
      </c>
      <c r="BP94" s="5">
        <v>214.78</v>
      </c>
      <c r="BQ94" s="6">
        <f>IF(Table1[[#This Row],[P_F8]]="","",Table1[Pu(kN)]/Table1[[#This Row],[P_F8]])</f>
        <v>0.96238010987987699</v>
      </c>
      <c r="BR94" s="6">
        <v>2.4299999999999999E-2</v>
      </c>
      <c r="BS94" s="6">
        <v>216.05</v>
      </c>
      <c r="BT94">
        <v>298.8</v>
      </c>
      <c r="BU94" s="6">
        <f>IF(Table1[[#This Row],[P_R7]]="","",Table1[Pu(kN)]/Table1[[#This Row],[P_R7]])</f>
        <v>0.69176706827309231</v>
      </c>
      <c r="BV94">
        <v>0.34989999999999999</v>
      </c>
      <c r="BW94">
        <v>299.56</v>
      </c>
      <c r="BX94" s="5">
        <v>219.84</v>
      </c>
      <c r="BY94" s="6">
        <f>IF(Table1[[#This Row],[P_F9]]="","",Table1[Pu(kN)]/Table1[[#This Row],[P_F9]])</f>
        <v>0.94022925764192133</v>
      </c>
      <c r="BZ94" s="6">
        <v>2.2599999999999999E-2</v>
      </c>
      <c r="CA94" s="7">
        <v>221.04</v>
      </c>
      <c r="CB94" s="5">
        <v>305.7</v>
      </c>
      <c r="CC94" s="6">
        <f>IF(Table1[[#This Row],[P_R8]]="","",Table1[Pu(kN)]/Table1[[#This Row],[P_R8]])</f>
        <v>0.67615309126594703</v>
      </c>
      <c r="CD94" s="6">
        <v>0.52110000000000001</v>
      </c>
      <c r="CE94" s="6">
        <v>305.7</v>
      </c>
      <c r="CF94" s="5">
        <v>281.14</v>
      </c>
      <c r="CG94">
        <f>IF(Table1[[#This Row],[P_R9]]="","",Table1[Pu(kN)]/Table1[[#This Row],[P_R9]])</f>
        <v>0.73522088639112182</v>
      </c>
      <c r="CH94">
        <v>6.3700000000000007E-2</v>
      </c>
      <c r="CI94">
        <v>281.42</v>
      </c>
      <c r="CJ94" s="5">
        <v>207.67</v>
      </c>
      <c r="CK94" s="6">
        <f>IF(Table1[[#This Row],[P_F10]]="","",Table1[Pu(kN)]/Table1[[#This Row],[P_F10]])</f>
        <v>0.99532912794337169</v>
      </c>
      <c r="CL94">
        <v>2.23E-2</v>
      </c>
      <c r="CM94">
        <v>208.64</v>
      </c>
      <c r="CN94" s="39">
        <v>191.41</v>
      </c>
      <c r="CO94" s="38">
        <f>Table1[[#This Row],[Pu(kN)]]/Table1[[#This Row],[P_R8_2]]</f>
        <v>1.079880883966355</v>
      </c>
      <c r="CP94" s="38">
        <v>0.02</v>
      </c>
      <c r="CQ94" s="38">
        <f>Table1[[#This Row],[P_R8_2]]</f>
        <v>191.41</v>
      </c>
    </row>
    <row r="95" spans="1:95" x14ac:dyDescent="0.3">
      <c r="A95" s="26" t="s">
        <v>144</v>
      </c>
      <c r="B95" s="18" t="s">
        <v>139</v>
      </c>
      <c r="C95" s="18" t="s">
        <v>138</v>
      </c>
      <c r="D95" s="18">
        <v>2015</v>
      </c>
      <c r="E95" s="18"/>
      <c r="F95" s="18">
        <v>34.200000000000003</v>
      </c>
      <c r="G95" s="22">
        <v>1.2</v>
      </c>
      <c r="H95" s="18">
        <v>1100</v>
      </c>
      <c r="I95" s="18">
        <f>Table1[[#This Row],[a'[mm']]]/2.5</f>
        <v>440</v>
      </c>
      <c r="J95" s="22">
        <f>Table1[[#This Row],[a'[mm']]]/Table1[[#This Row],[d'[mm']]]</f>
        <v>2.5</v>
      </c>
      <c r="K95" s="18">
        <v>485</v>
      </c>
      <c r="L95" s="18" t="s">
        <v>293</v>
      </c>
      <c r="M95" s="18">
        <v>178.9</v>
      </c>
      <c r="N95" s="18" t="s">
        <v>130</v>
      </c>
      <c r="O95" s="18" t="s">
        <v>130</v>
      </c>
      <c r="P95" s="5">
        <v>193.43</v>
      </c>
      <c r="Q95">
        <f>IF(Table1[[#This Row],[P_F1]]="","",Table1[Pu(kN)]/Table1[[#This Row],[P_F1]])</f>
        <v>0.92488238639301035</v>
      </c>
      <c r="R95">
        <v>1.9400000000000001E-2</v>
      </c>
      <c r="S95">
        <v>194.52</v>
      </c>
      <c r="T95" s="5">
        <v>271.52</v>
      </c>
      <c r="U95" s="8">
        <f>IF(Table1[[#This Row],[P_R1]]="","",Table1[Pu(kN)]/Table1[[#This Row],[P_R1]])</f>
        <v>0.65888332351208023</v>
      </c>
      <c r="V95">
        <v>7.7999999999999996E-3</v>
      </c>
      <c r="W95">
        <v>271.52</v>
      </c>
      <c r="X95" s="10">
        <v>181.9</v>
      </c>
      <c r="Y95">
        <f>IF(Table1[[#This Row],[P_F2]]="","",Table1[Pu(kN)]/Table1[[#This Row],[P_F2]])</f>
        <v>0.98350742166025285</v>
      </c>
      <c r="Z95">
        <v>2.41E-2</v>
      </c>
      <c r="AA95">
        <v>182.72</v>
      </c>
      <c r="AB95" s="5">
        <v>261.35000000000002</v>
      </c>
      <c r="AC95" s="8">
        <f>IF(Table1[[#This Row],[P_R2]]="","",Table1[Pu(kN)]/Table1[[#This Row],[P_R2]])</f>
        <v>0.68452267074803896</v>
      </c>
      <c r="AD95">
        <v>0.14510000000000001</v>
      </c>
      <c r="AE95">
        <v>261.35000000000002</v>
      </c>
      <c r="AF95" s="10">
        <v>200.99</v>
      </c>
      <c r="AG95">
        <f>IF(Table1[[#This Row],[P_F3]]="","",Table1[Pu(kN)]/Table1[[#This Row],[P_F3]])</f>
        <v>0.89009403452908109</v>
      </c>
      <c r="AH95">
        <v>2.2200000000000001E-2</v>
      </c>
      <c r="AI95">
        <v>201.79</v>
      </c>
      <c r="AJ95" s="10">
        <v>263.70999999999998</v>
      </c>
      <c r="AK95" s="8">
        <f>IF(Table1[[#This Row],[P_R3]]="","",Table1[Pu(kN)]/Table1[[#This Row],[P_R3]])</f>
        <v>0.6783967236737326</v>
      </c>
      <c r="AL95">
        <v>0.14419999999999999</v>
      </c>
      <c r="AM95">
        <v>263.70999999999998</v>
      </c>
      <c r="AN95" s="5">
        <v>266.42</v>
      </c>
      <c r="AO95">
        <f>IF(Table1[[#This Row],[P_R4]]="","",Table1[Pu(kN)]/Table1[[#This Row],[P_R4]])</f>
        <v>0.67149613392387952</v>
      </c>
      <c r="AP95">
        <v>0.12130000000000001</v>
      </c>
      <c r="AQ95">
        <v>266.42</v>
      </c>
      <c r="AR95" s="5">
        <v>177.29</v>
      </c>
      <c r="AS95">
        <f>IF(Table1[[#This Row],[P_F4]]="","",Table1[Pu(kN)]/Table1[[#This Row],[P_F4]])</f>
        <v>1.0090811664504484</v>
      </c>
      <c r="AT95">
        <v>1.55E-2</v>
      </c>
      <c r="AU95" s="7">
        <v>177.85</v>
      </c>
      <c r="AV95">
        <v>189.56</v>
      </c>
      <c r="AW95">
        <f>IF(Table1[[#This Row],[P_F5]]="","",Table1[Pu(kN)]/Table1[[#This Row],[P_F5]])</f>
        <v>0.94376450728001693</v>
      </c>
      <c r="AX95">
        <v>1.9900000000000001E-2</v>
      </c>
      <c r="AY95" s="7">
        <v>189.56</v>
      </c>
      <c r="AZ95">
        <v>259.14</v>
      </c>
      <c r="BA95">
        <f>IF(Table1[[#This Row],[P_R5]]="","",Table1[Pu(kN)]/Table1[[#This Row],[P_R5]])</f>
        <v>0.6903604229374084</v>
      </c>
      <c r="BB95">
        <v>0.14829999999999999</v>
      </c>
      <c r="BC95">
        <v>259.14</v>
      </c>
      <c r="BD95" s="5">
        <v>238.37</v>
      </c>
      <c r="BE95" s="6">
        <f>IF(Table1[[#This Row],[P_F6]]="","",Table1[Pu(kN)]/Table1[[#This Row],[P_F6]])</f>
        <v>0.7505139069513781</v>
      </c>
      <c r="BF95" s="6">
        <v>2.98E-2</v>
      </c>
      <c r="BG95" s="6">
        <v>238.37</v>
      </c>
      <c r="BH95" s="5">
        <v>264.45999999999998</v>
      </c>
      <c r="BI95" s="6">
        <f>IF(Table1[[#This Row],[P_R6]]="","",Table1[Pu(kN)]/Table1[[#This Row],[P_R6]])</f>
        <v>0.67647281252363312</v>
      </c>
      <c r="BJ95" s="6">
        <v>0.17530000000000001</v>
      </c>
      <c r="BK95" s="6">
        <v>264.45999999999998</v>
      </c>
      <c r="BL95" s="5">
        <v>185.82</v>
      </c>
      <c r="BM95" s="6">
        <f>IF(Table1[[#This Row],[P_F7]]="","",Table1[Pu(kN)]/Table1[[#This Row],[P_F7]])</f>
        <v>0.96275965988591117</v>
      </c>
      <c r="BN95" s="6">
        <v>1.89E-2</v>
      </c>
      <c r="BO95" s="6">
        <v>186.3</v>
      </c>
      <c r="BP95" s="5">
        <v>179.57</v>
      </c>
      <c r="BQ95" s="6">
        <f>IF(Table1[[#This Row],[P_F8]]="","",Table1[Pu(kN)]/Table1[[#This Row],[P_F8]])</f>
        <v>0.99626886450966201</v>
      </c>
      <c r="BR95" s="6">
        <v>2.12E-2</v>
      </c>
      <c r="BS95" s="6">
        <v>179.57</v>
      </c>
      <c r="BT95">
        <v>259.54000000000002</v>
      </c>
      <c r="BU95" s="6">
        <f>IF(Table1[[#This Row],[P_R7]]="","",Table1[Pu(kN)]/Table1[[#This Row],[P_R7]])</f>
        <v>0.68929644756106956</v>
      </c>
      <c r="BV95">
        <v>0.111</v>
      </c>
      <c r="BW95">
        <v>259.54000000000002</v>
      </c>
      <c r="BX95" s="5">
        <v>183.92</v>
      </c>
      <c r="BY95" s="6">
        <f>IF(Table1[[#This Row],[P_F9]]="","",Table1[Pu(kN)]/Table1[[#This Row],[P_F9]])</f>
        <v>0.97270552414093092</v>
      </c>
      <c r="BZ95" s="6">
        <v>2.47E-2</v>
      </c>
      <c r="CA95" s="7">
        <v>184.1</v>
      </c>
      <c r="CB95" s="5">
        <v>258.83</v>
      </c>
      <c r="CC95" s="6">
        <f>IF(Table1[[#This Row],[P_R8]]="","",Table1[Pu(kN)]/Table1[[#This Row],[P_R8]])</f>
        <v>0.69118726577290124</v>
      </c>
      <c r="CD95" s="6">
        <v>8.6800000000000002E-2</v>
      </c>
      <c r="CE95" s="6">
        <v>258.83</v>
      </c>
      <c r="CF95" s="5">
        <v>215.04</v>
      </c>
      <c r="CG95">
        <f>IF(Table1[[#This Row],[P_R9]]="","",Table1[Pu(kN)]/Table1[[#This Row],[P_R9]])</f>
        <v>0.83193824404761907</v>
      </c>
      <c r="CH95">
        <v>6.6E-3</v>
      </c>
      <c r="CI95">
        <v>215.59</v>
      </c>
      <c r="CJ95" s="5">
        <v>169.14</v>
      </c>
      <c r="CK95" s="6">
        <f>IF(Table1[[#This Row],[P_F10]]="","",Table1[Pu(kN)]/Table1[[#This Row],[P_F10]])</f>
        <v>1.0577036774269837</v>
      </c>
      <c r="CL95">
        <v>2.3900000000000001E-2</v>
      </c>
      <c r="CM95">
        <v>169.14</v>
      </c>
      <c r="CN95" s="39">
        <v>182.2</v>
      </c>
      <c r="CO95" s="38">
        <f>Table1[[#This Row],[Pu(kN)]]/Table1[[#This Row],[P_R8_2]]</f>
        <v>0.98188803512623501</v>
      </c>
      <c r="CP95" s="38">
        <f>Table1[[#This Row],[DUCTIL_R8]]</f>
        <v>8.6800000000000002E-2</v>
      </c>
      <c r="CQ95" s="38">
        <f>Table1[[#This Row],[P_R8_2]]</f>
        <v>182.2</v>
      </c>
    </row>
    <row r="96" spans="1:95" x14ac:dyDescent="0.3">
      <c r="A96" s="27" t="s">
        <v>132</v>
      </c>
      <c r="B96" s="20" t="s">
        <v>139</v>
      </c>
      <c r="C96" s="20" t="s">
        <v>138</v>
      </c>
      <c r="D96" s="18">
        <v>2015</v>
      </c>
      <c r="E96" s="20"/>
      <c r="F96" s="20">
        <v>34.200000000000003</v>
      </c>
      <c r="G96" s="23">
        <v>2</v>
      </c>
      <c r="H96" s="20">
        <v>162.5</v>
      </c>
      <c r="I96" s="20">
        <f>Table1[[#This Row],[a'[mm']]]/2.5</f>
        <v>65</v>
      </c>
      <c r="J96" s="23">
        <f>Table1[[#This Row],[a'[mm']]]/Table1[[#This Row],[d'[mm']]]</f>
        <v>2.5</v>
      </c>
      <c r="K96" s="20">
        <v>90</v>
      </c>
      <c r="L96" s="20" t="s">
        <v>293</v>
      </c>
      <c r="M96" s="20">
        <v>74.5</v>
      </c>
      <c r="N96" s="20" t="s">
        <v>130</v>
      </c>
      <c r="O96" s="20" t="s">
        <v>130</v>
      </c>
      <c r="P96" s="5">
        <v>52.654000000000003</v>
      </c>
      <c r="Q96" s="8">
        <f>IF(Table1[[#This Row],[P_F1]]="","",Table1[Pu(kN)]/Table1[[#This Row],[P_F1]])</f>
        <v>1.4148972537698938</v>
      </c>
      <c r="R96">
        <v>0</v>
      </c>
      <c r="S96">
        <v>53.654000000000003</v>
      </c>
      <c r="T96" s="5">
        <v>56.012999999999998</v>
      </c>
      <c r="U96" s="8">
        <f>IF(Table1[[#This Row],[P_R1]]="","",Table1[Pu(kN)]/Table1[[#This Row],[P_R1]])</f>
        <v>1.3300483816256941</v>
      </c>
      <c r="V96">
        <v>0</v>
      </c>
      <c r="W96">
        <v>56.256</v>
      </c>
      <c r="X96" s="10">
        <v>56.77</v>
      </c>
      <c r="Y96" s="8">
        <f>IF(Table1[[#This Row],[P_F2]]="","",Table1[Pu(kN)]/Table1[[#This Row],[P_F2]])</f>
        <v>1.3123128412894134</v>
      </c>
      <c r="Z96">
        <v>0.1384</v>
      </c>
      <c r="AA96">
        <v>56.917000000000002</v>
      </c>
      <c r="AB96" s="5">
        <v>58.066000000000003</v>
      </c>
      <c r="AC96" s="8">
        <f>IF(Table1[[#This Row],[P_R2]]="","",Table1[Pu(kN)]/Table1[[#This Row],[P_R2]])</f>
        <v>1.2830227671959493</v>
      </c>
      <c r="AD96">
        <v>0.1177</v>
      </c>
      <c r="AE96">
        <v>58.289000000000001</v>
      </c>
      <c r="AF96" s="10">
        <v>58.271999999999998</v>
      </c>
      <c r="AG96">
        <f>IF(Table1[[#This Row],[P_F3]]="","",Table1[Pu(kN)]/Table1[[#This Row],[P_F3]])</f>
        <v>1.2784870950027458</v>
      </c>
      <c r="AH96">
        <v>0.1653</v>
      </c>
      <c r="AI96">
        <v>58.271999999999998</v>
      </c>
      <c r="AJ96" s="10">
        <v>58.792000000000002</v>
      </c>
      <c r="AK96" s="8">
        <f>IF(Table1[[#This Row],[P_R3]]="","",Table1[Pu(kN)]/Table1[[#This Row],[P_R3]])</f>
        <v>1.2671792080555178</v>
      </c>
      <c r="AL96">
        <v>0.1298</v>
      </c>
      <c r="AM96">
        <v>58.792000000000002</v>
      </c>
      <c r="AN96" s="5">
        <v>58.451000000000001</v>
      </c>
      <c r="AO96">
        <f>IF(Table1[[#This Row],[P_R4]]="","",Table1[Pu(kN)]/Table1[[#This Row],[P_R4]])</f>
        <v>1.2745718636122565</v>
      </c>
      <c r="AP96">
        <v>0.16639999999999999</v>
      </c>
      <c r="AQ96">
        <v>58.451000000000001</v>
      </c>
      <c r="AR96" s="5">
        <v>54.768999999999998</v>
      </c>
      <c r="AS96">
        <f>IF(Table1[[#This Row],[P_F4]]="","",Table1[Pu(kN)]/Table1[[#This Row],[P_F4]])</f>
        <v>1.3602585404151983</v>
      </c>
      <c r="AT96">
        <v>0.115</v>
      </c>
      <c r="AU96" s="7">
        <v>54.768999999999998</v>
      </c>
      <c r="AV96">
        <v>59.767000000000003</v>
      </c>
      <c r="AW96">
        <f>IF(Table1[[#This Row],[P_F5]]="","",Table1[Pu(kN)]/Table1[[#This Row],[P_F5]])</f>
        <v>1.2465072698981043</v>
      </c>
      <c r="AX96">
        <v>0.1623</v>
      </c>
      <c r="AY96" s="7">
        <v>59.767000000000003</v>
      </c>
      <c r="AZ96">
        <v>55.790999999999997</v>
      </c>
      <c r="BA96">
        <f>IF(Table1[[#This Row],[P_R5]]="","",Table1[Pu(kN)]/Table1[[#This Row],[P_R5]])</f>
        <v>1.3353408255811869</v>
      </c>
      <c r="BB96">
        <v>0.1234</v>
      </c>
      <c r="BC96">
        <v>56.112000000000002</v>
      </c>
      <c r="BD96" s="5">
        <v>68.706000000000003</v>
      </c>
      <c r="BE96" s="6">
        <f>IF(Table1[[#This Row],[P_F6]]="","",Table1[Pu(kN)]/Table1[[#This Row],[P_F6]])</f>
        <v>1.084330335050796</v>
      </c>
      <c r="BF96" s="6">
        <v>0.4617</v>
      </c>
      <c r="BG96" s="6">
        <v>68.706000000000003</v>
      </c>
      <c r="BH96" s="5">
        <v>60.923999999999999</v>
      </c>
      <c r="BI96" s="6">
        <f>IF(Table1[[#This Row],[P_R6]]="","",Table1[Pu(kN)]/Table1[[#This Row],[P_R6]])</f>
        <v>1.2228350075503907</v>
      </c>
      <c r="BJ96" s="6">
        <v>0.1384</v>
      </c>
      <c r="BK96" s="6">
        <v>61.097999999999999</v>
      </c>
      <c r="BL96" s="5">
        <v>60.496000000000002</v>
      </c>
      <c r="BM96" s="6">
        <f>IF(Table1[[#This Row],[P_F7]]="","",Table1[Pu(kN)]/Table1[[#This Row],[P_F7]])</f>
        <v>1.2314863792647448</v>
      </c>
      <c r="BN96" s="6">
        <v>0.19439999999999999</v>
      </c>
      <c r="BO96" s="6">
        <v>60.662999999999997</v>
      </c>
      <c r="BP96" s="5">
        <v>57.765999999999998</v>
      </c>
      <c r="BQ96" s="6">
        <f>IF(Table1[[#This Row],[P_F8]]="","",Table1[Pu(kN)]/Table1[[#This Row],[P_F8]])</f>
        <v>1.2896859744486378</v>
      </c>
      <c r="BR96" s="6">
        <v>0.18509999999999999</v>
      </c>
      <c r="BS96" s="6">
        <v>57.85</v>
      </c>
      <c r="BT96" s="34">
        <v>48.984000000000002</v>
      </c>
      <c r="BU96" s="6">
        <f>IF(Table1[[#This Row],[P_R7]]="","",Table1[Pu(kN)]/Table1[[#This Row],[P_R7]])</f>
        <v>1.5209047852359954</v>
      </c>
      <c r="BV96">
        <v>0.82089999999999996</v>
      </c>
      <c r="BW96">
        <v>49</v>
      </c>
      <c r="BX96" s="5">
        <v>55.588999999999999</v>
      </c>
      <c r="BY96" s="6">
        <f>IF(Table1[[#This Row],[P_F9]]="","",Table1[Pu(kN)]/Table1[[#This Row],[P_F9]])</f>
        <v>1.3401932036913777</v>
      </c>
      <c r="BZ96" s="6">
        <v>0.14319999999999999</v>
      </c>
      <c r="CA96" s="7">
        <v>55.720999999999997</v>
      </c>
      <c r="CB96" s="5">
        <v>58.298999999999999</v>
      </c>
      <c r="CC96" s="6">
        <f>IF(Table1[[#This Row],[P_R8]]="","",Table1[Pu(kN)]/Table1[[#This Row],[P_R8]])</f>
        <v>1.2778949896224636</v>
      </c>
      <c r="CD96" s="6">
        <v>0.16039999999999999</v>
      </c>
      <c r="CE96" s="6">
        <v>58.298999999999999</v>
      </c>
      <c r="CF96" s="5">
        <v>54.276000000000003</v>
      </c>
      <c r="CG96">
        <f>IF(Table1[[#This Row],[P_R9]]="","",Table1[Pu(kN)]/Table1[[#This Row],[P_R9]])</f>
        <v>1.3726140467241505</v>
      </c>
      <c r="CH96">
        <v>0</v>
      </c>
      <c r="CI96">
        <v>54.276000000000003</v>
      </c>
      <c r="CJ96" s="5">
        <v>53.304000000000002</v>
      </c>
      <c r="CK96" s="6">
        <f>IF(Table1[[#This Row],[P_F10]]="","",Table1[Pu(kN)]/Table1[[#This Row],[P_F10]])</f>
        <v>1.3976437040372205</v>
      </c>
      <c r="CL96">
        <v>0</v>
      </c>
      <c r="CM96">
        <v>53.304000000000002</v>
      </c>
      <c r="CN96" s="39">
        <f>Table1[[#This Row],[P_R8]]</f>
        <v>58.298999999999999</v>
      </c>
      <c r="CO96" s="38">
        <f>Table1[[#This Row],[Pu(kN)]]/Table1[[#This Row],[P_R8_2]]</f>
        <v>1.2778949896224636</v>
      </c>
      <c r="CP96" s="38">
        <f>Table1[[#This Row],[DUCTIL_R8]]</f>
        <v>0.16039999999999999</v>
      </c>
      <c r="CQ96" s="38">
        <f>Table1[[#This Row],[P_R8_2]]</f>
        <v>58.298999999999999</v>
      </c>
    </row>
    <row r="97" spans="1:95" x14ac:dyDescent="0.3">
      <c r="A97" s="26" t="s">
        <v>140</v>
      </c>
      <c r="B97" s="18" t="s">
        <v>139</v>
      </c>
      <c r="C97" s="18" t="s">
        <v>138</v>
      </c>
      <c r="D97" s="18">
        <v>2015</v>
      </c>
      <c r="E97" s="18"/>
      <c r="F97" s="18">
        <v>34.200000000000003</v>
      </c>
      <c r="G97" s="22">
        <v>1.2</v>
      </c>
      <c r="H97" s="18">
        <v>162.5</v>
      </c>
      <c r="I97" s="18">
        <f>Table1[[#This Row],[a'[mm']]]/2.5</f>
        <v>65</v>
      </c>
      <c r="J97" s="22">
        <f>Table1[[#This Row],[a'[mm']]]/Table1[[#This Row],[d'[mm']]]</f>
        <v>2.5</v>
      </c>
      <c r="K97" s="18">
        <v>90</v>
      </c>
      <c r="L97" s="18" t="s">
        <v>293</v>
      </c>
      <c r="M97" s="18">
        <v>41.1</v>
      </c>
      <c r="N97" s="18" t="s">
        <v>130</v>
      </c>
      <c r="O97" s="18" t="s">
        <v>130</v>
      </c>
      <c r="P97" s="5">
        <v>48.572000000000003</v>
      </c>
      <c r="Q97" s="8">
        <f>IF(Table1[[#This Row],[P_F1]]="","",Table1[Pu(kN)]/Table1[[#This Row],[P_F1]])</f>
        <v>0.84616651568805068</v>
      </c>
      <c r="R97">
        <v>0.52210000000000001</v>
      </c>
      <c r="S97">
        <v>48.668999999999997</v>
      </c>
      <c r="T97" s="5">
        <v>49.539000000000001</v>
      </c>
      <c r="U97" s="8">
        <f>IF(Table1[[#This Row],[P_R1]]="","",Table1[Pu(kN)]/Table1[[#This Row],[P_R1]])</f>
        <v>0.82964936716526372</v>
      </c>
      <c r="V97">
        <v>0.73160000000000003</v>
      </c>
      <c r="W97">
        <v>49.539000000000001</v>
      </c>
      <c r="X97" s="10">
        <v>49.537999999999997</v>
      </c>
      <c r="Y97" s="8">
        <f>IF(Table1[[#This Row],[P_F2]]="","",Table1[Pu(kN)]/Table1[[#This Row],[P_F2]])</f>
        <v>0.82966611490169173</v>
      </c>
      <c r="Z97">
        <v>0.7661</v>
      </c>
      <c r="AA97">
        <v>49.966000000000001</v>
      </c>
      <c r="AB97" s="5">
        <v>47.968000000000004</v>
      </c>
      <c r="AC97" s="8">
        <f>IF(Table1[[#This Row],[P_R2]]="","",Table1[Pu(kN)]/Table1[[#This Row],[P_R2]])</f>
        <v>0.8568212141427618</v>
      </c>
      <c r="AD97">
        <v>0.75470000000000004</v>
      </c>
      <c r="AE97">
        <v>48.005000000000003</v>
      </c>
      <c r="AF97" s="10">
        <v>50.485999999999997</v>
      </c>
      <c r="AG97">
        <f>IF(Table1[[#This Row],[P_F3]]="","",Table1[Pu(kN)]/Table1[[#This Row],[P_F3]])</f>
        <v>0.81408707364417865</v>
      </c>
      <c r="AH97">
        <v>0.76600000000000001</v>
      </c>
      <c r="AI97">
        <v>50.485999999999997</v>
      </c>
      <c r="AJ97" s="10">
        <v>48.268999999999998</v>
      </c>
      <c r="AK97" s="8">
        <f>IF(Table1[[#This Row],[P_R3]]="","",Table1[Pu(kN)]/Table1[[#This Row],[P_R3]])</f>
        <v>0.85147817439764661</v>
      </c>
      <c r="AL97">
        <v>0.75290000000000001</v>
      </c>
      <c r="AM97">
        <v>48.279000000000003</v>
      </c>
      <c r="AN97" s="5">
        <v>37.441000000000003</v>
      </c>
      <c r="AO97">
        <f>IF(Table1[[#This Row],[P_R4]]="","",Table1[Pu(kN)]/Table1[[#This Row],[P_R4]])</f>
        <v>1.0977270906225796</v>
      </c>
      <c r="AP97">
        <v>0.20280000000000001</v>
      </c>
      <c r="AQ97">
        <v>37.801000000000002</v>
      </c>
      <c r="AR97" s="5">
        <v>37.533000000000001</v>
      </c>
      <c r="AS97">
        <f>IF(Table1[[#This Row],[P_F4]]="","",Table1[Pu(kN)]/Table1[[#This Row],[P_F4]])</f>
        <v>1.0950363679961634</v>
      </c>
      <c r="AT97">
        <v>0.15959999999999999</v>
      </c>
      <c r="AU97" s="7">
        <v>37.533000000000001</v>
      </c>
      <c r="AV97">
        <v>50.654000000000003</v>
      </c>
      <c r="AW97">
        <f>IF(Table1[[#This Row],[P_F5]]="","",Table1[Pu(kN)]/Table1[[#This Row],[P_F5]])</f>
        <v>0.81138705729063842</v>
      </c>
      <c r="AX97">
        <v>0.75790000000000002</v>
      </c>
      <c r="AY97" s="7">
        <v>50.654000000000003</v>
      </c>
      <c r="AZ97">
        <v>42.753999999999998</v>
      </c>
      <c r="BA97">
        <f>IF(Table1[[#This Row],[P_R5]]="","",Table1[Pu(kN)]/Table1[[#This Row],[P_R5]])</f>
        <v>0.96131356130420553</v>
      </c>
      <c r="BB97">
        <v>0.67879999999999996</v>
      </c>
      <c r="BC97">
        <v>42.784999999999997</v>
      </c>
      <c r="BD97" s="5">
        <v>50.238</v>
      </c>
      <c r="BE97" s="6">
        <f>IF(Table1[[#This Row],[P_F6]]="","",Table1[Pu(kN)]/Table1[[#This Row],[P_F6]])</f>
        <v>0.81810581631434376</v>
      </c>
      <c r="BF97" s="6">
        <v>0.74519999999999997</v>
      </c>
      <c r="BG97" s="6">
        <v>50.238</v>
      </c>
      <c r="BH97" s="5">
        <v>48.527999999999999</v>
      </c>
      <c r="BI97" s="6">
        <f>IF(Table1[[#This Row],[P_R6]]="","",Table1[Pu(kN)]/Table1[[#This Row],[P_R6]])</f>
        <v>0.84693372898120678</v>
      </c>
      <c r="BJ97" s="6">
        <v>0.75409999999999999</v>
      </c>
      <c r="BK97" s="6">
        <v>48.527999999999999</v>
      </c>
      <c r="BL97" s="5">
        <v>51.122999999999998</v>
      </c>
      <c r="BM97" s="6">
        <f>IF(Table1[[#This Row],[P_F7]]="","",Table1[Pu(kN)]/Table1[[#This Row],[P_F7]])</f>
        <v>0.8039434305498504</v>
      </c>
      <c r="BN97" s="6">
        <v>0.77559999999999996</v>
      </c>
      <c r="BO97" s="6">
        <v>51.122999999999998</v>
      </c>
      <c r="BP97" s="5">
        <v>50.018000000000001</v>
      </c>
      <c r="BQ97" s="6">
        <f>IF(Table1[[#This Row],[P_F8]]="","",Table1[Pu(kN)]/Table1[[#This Row],[P_F8]])</f>
        <v>0.82170418649286259</v>
      </c>
      <c r="BR97" s="6">
        <v>0.77200000000000002</v>
      </c>
      <c r="BS97" s="6">
        <v>50.237000000000002</v>
      </c>
      <c r="BT97" s="34">
        <v>41.771000000000001</v>
      </c>
      <c r="BU97" s="6">
        <f>IF(Table1[[#This Row],[P_R7]]="","",Table1[Pu(kN)]/Table1[[#This Row],[P_R7]])</f>
        <v>0.98393622369586553</v>
      </c>
      <c r="BV97">
        <v>0.56000000000000005</v>
      </c>
      <c r="BW97">
        <v>41.832000000000001</v>
      </c>
      <c r="BX97" s="5">
        <v>37.451000000000001</v>
      </c>
      <c r="BY97" s="6">
        <f>IF(Table1[[#This Row],[P_F9]]="","",Table1[Pu(kN)]/Table1[[#This Row],[P_F9]])</f>
        <v>1.0974339804010573</v>
      </c>
      <c r="BZ97" s="6">
        <v>0.20979999999999999</v>
      </c>
      <c r="CA97" s="7">
        <v>37.451000000000001</v>
      </c>
      <c r="CB97" s="5">
        <v>37.500999999999998</v>
      </c>
      <c r="CC97" s="6">
        <f>IF(Table1[[#This Row],[P_R8]]="","",Table1[Pu(kN)]/Table1[[#This Row],[P_R8]])</f>
        <v>1.0959707741126905</v>
      </c>
      <c r="CD97" s="6">
        <v>0.17899999999999999</v>
      </c>
      <c r="CE97" s="6">
        <v>37.554000000000002</v>
      </c>
      <c r="CF97" s="5">
        <v>35.668999999999997</v>
      </c>
      <c r="CG97">
        <f>IF(Table1[[#This Row],[P_R9]]="","",Table1[Pu(kN)]/Table1[[#This Row],[P_R9]])</f>
        <v>1.152261067032998</v>
      </c>
      <c r="CH97">
        <v>0</v>
      </c>
      <c r="CI97">
        <v>35.668999999999997</v>
      </c>
      <c r="CJ97" s="5">
        <v>37.591000000000001</v>
      </c>
      <c r="CK97" s="6">
        <f>IF(Table1[[#This Row],[P_F10]]="","",Table1[Pu(kN)]/Table1[[#This Row],[P_F10]])</f>
        <v>1.0933468117368519</v>
      </c>
      <c r="CL97">
        <v>0</v>
      </c>
      <c r="CM97">
        <v>37.591000000000001</v>
      </c>
      <c r="CN97" s="39">
        <f>Table1[[#This Row],[P_R8]]</f>
        <v>37.500999999999998</v>
      </c>
      <c r="CO97" s="38">
        <f>Table1[[#This Row],[Pu(kN)]]/Table1[[#This Row],[P_R8_2]]</f>
        <v>1.0959707741126905</v>
      </c>
      <c r="CP97" s="38">
        <f>Table1[[#This Row],[DUCTIL_R8]]</f>
        <v>0.17899999999999999</v>
      </c>
      <c r="CQ97" s="38">
        <f>Table1[[#This Row],[P_R8_2]]</f>
        <v>37.500999999999998</v>
      </c>
    </row>
    <row r="98" spans="1:95" x14ac:dyDescent="0.3">
      <c r="A98" s="27" t="s">
        <v>137</v>
      </c>
      <c r="B98" s="20" t="s">
        <v>139</v>
      </c>
      <c r="C98" s="20" t="s">
        <v>138</v>
      </c>
      <c r="D98" s="18">
        <v>2015</v>
      </c>
      <c r="E98" s="20"/>
      <c r="F98" s="20">
        <v>34.200000000000003</v>
      </c>
      <c r="G98" s="23">
        <v>2</v>
      </c>
      <c r="H98" s="20">
        <v>2235</v>
      </c>
      <c r="I98" s="20">
        <f>Table1[[#This Row],[a'[mm']]]/2.5</f>
        <v>894</v>
      </c>
      <c r="J98" s="23">
        <f>Table1[[#This Row],[a'[mm']]]/Table1[[#This Row],[d'[mm']]]</f>
        <v>2.5</v>
      </c>
      <c r="K98" s="20">
        <v>960</v>
      </c>
      <c r="L98" s="20" t="s">
        <v>293</v>
      </c>
      <c r="M98" s="20">
        <v>360</v>
      </c>
      <c r="N98" s="20" t="s">
        <v>130</v>
      </c>
      <c r="O98" s="20" t="s">
        <v>130</v>
      </c>
      <c r="P98" s="5">
        <v>315.33999999999997</v>
      </c>
      <c r="Q98" s="8">
        <f>IF(Table1[[#This Row],[P_F1]]="","",Table1[Pu(kN)]/Table1[[#This Row],[P_F1]])</f>
        <v>1.1416249127925415</v>
      </c>
      <c r="R98">
        <v>2.2499999999999999E-2</v>
      </c>
      <c r="S98">
        <v>316.73</v>
      </c>
      <c r="T98" s="5">
        <v>563.24</v>
      </c>
      <c r="U98" s="8">
        <f>IF(Table1[[#This Row],[P_R1]]="","",Table1[Pu(kN)]/Table1[[#This Row],[P_R1]])</f>
        <v>0.63915915062850648</v>
      </c>
      <c r="V98">
        <v>4.3799999999999999E-2</v>
      </c>
      <c r="W98">
        <v>564</v>
      </c>
      <c r="X98" s="10">
        <v>318.04000000000002</v>
      </c>
      <c r="Y98" s="8">
        <f>IF(Table1[[#This Row],[P_F2]]="","",Table1[Pu(kN)]/Table1[[#This Row],[P_F2]])</f>
        <v>1.1319330901773361</v>
      </c>
      <c r="Z98">
        <v>2.8000000000000001E-2</v>
      </c>
      <c r="AA98">
        <v>318.04000000000002</v>
      </c>
      <c r="AB98" s="5">
        <v>596.76</v>
      </c>
      <c r="AC98" s="8">
        <f>IF(Table1[[#This Row],[P_R2]]="","",Table1[Pu(kN)]/Table1[[#This Row],[P_R2]])</f>
        <v>0.60325759099135334</v>
      </c>
      <c r="AD98">
        <v>0.37330000000000002</v>
      </c>
      <c r="AE98">
        <v>596.76</v>
      </c>
      <c r="AF98" s="10">
        <v>336.37</v>
      </c>
      <c r="AG98">
        <f>IF(Table1[[#This Row],[P_F3]]="","",Table1[Pu(kN)]/Table1[[#This Row],[P_F3]])</f>
        <v>1.0702500222968754</v>
      </c>
      <c r="AH98">
        <v>2.3599999999999999E-2</v>
      </c>
      <c r="AI98">
        <v>337.68</v>
      </c>
      <c r="AJ98" s="10">
        <v>559.29999999999995</v>
      </c>
      <c r="AK98" s="8">
        <f>IF(Table1[[#This Row],[P_R3]]="","",Table1[Pu(kN)]/Table1[[#This Row],[P_R3]])</f>
        <v>0.64366172000715183</v>
      </c>
      <c r="AL98">
        <v>4.6100000000000002E-2</v>
      </c>
      <c r="AM98">
        <v>560.41</v>
      </c>
      <c r="AN98" s="5">
        <v>577.86</v>
      </c>
      <c r="AO98">
        <f>IF(Table1[[#This Row],[P_R4]]="","",Table1[Pu(kN)]/Table1[[#This Row],[P_R4]])</f>
        <v>0.62298826705430377</v>
      </c>
      <c r="AP98">
        <v>0.1706</v>
      </c>
      <c r="AQ98">
        <v>578.84</v>
      </c>
      <c r="AR98" s="5">
        <v>360.34</v>
      </c>
      <c r="AS98">
        <f>IF(Table1[[#This Row],[P_F4]]="","",Table1[Pu(kN)]/Table1[[#This Row],[P_F4]])</f>
        <v>0.99905644668923799</v>
      </c>
      <c r="AT98">
        <v>2.1600000000000001E-2</v>
      </c>
      <c r="AU98" s="7">
        <v>362.27</v>
      </c>
      <c r="AV98">
        <v>366.51</v>
      </c>
      <c r="AW98">
        <f>IF(Table1[[#This Row],[P_F5]]="","",Table1[Pu(kN)]/Table1[[#This Row],[P_F5]])</f>
        <v>0.98223786526970613</v>
      </c>
      <c r="AX98">
        <v>2.4400000000000002E-2</v>
      </c>
      <c r="AY98" s="7">
        <v>368.6</v>
      </c>
      <c r="AZ98">
        <v>566.34</v>
      </c>
      <c r="BA98">
        <f>IF(Table1[[#This Row],[P_R5]]="","",Table1[Pu(kN)]/Table1[[#This Row],[P_R5]])</f>
        <v>0.63566055726242188</v>
      </c>
      <c r="BB98">
        <v>9.2100000000000001E-2</v>
      </c>
      <c r="BC98">
        <v>566.34</v>
      </c>
      <c r="BD98" s="5">
        <v>389.26</v>
      </c>
      <c r="BE98" s="6">
        <f>IF(Table1[[#This Row],[P_F6]]="","",Table1[Pu(kN)]/Table1[[#This Row],[P_F6]])</f>
        <v>0.9248317320043159</v>
      </c>
      <c r="BF98" s="6">
        <v>1.9199999999999998E-2</v>
      </c>
      <c r="BG98" s="6">
        <v>389.26</v>
      </c>
      <c r="BH98" s="5">
        <v>574.92999999999995</v>
      </c>
      <c r="BI98" s="6">
        <f>IF(Table1[[#This Row],[P_R6]]="","",Table1[Pu(kN)]/Table1[[#This Row],[P_R6]])</f>
        <v>0.62616318508340152</v>
      </c>
      <c r="BJ98" s="6">
        <v>0.11840000000000001</v>
      </c>
      <c r="BK98" s="6">
        <v>575.91</v>
      </c>
      <c r="BL98" s="5">
        <v>404.52</v>
      </c>
      <c r="BM98" s="6">
        <f>IF(Table1[[#This Row],[P_F7]]="","",Table1[Pu(kN)]/Table1[[#This Row],[P_F7]])</f>
        <v>0.88994363690299616</v>
      </c>
      <c r="BN98" s="6">
        <v>2.1999999999999999E-2</v>
      </c>
      <c r="BO98" s="6">
        <v>405.41</v>
      </c>
      <c r="BP98" s="5">
        <v>351.63</v>
      </c>
      <c r="BQ98" s="6">
        <f>IF(Table1[[#This Row],[P_F8]]="","",Table1[Pu(kN)]/Table1[[#This Row],[P_F8]])</f>
        <v>1.0238034297414897</v>
      </c>
      <c r="BR98" s="6">
        <v>2.3900000000000001E-2</v>
      </c>
      <c r="BS98" s="6">
        <v>353.32</v>
      </c>
      <c r="BT98">
        <v>521.19000000000005</v>
      </c>
      <c r="BU98" s="6">
        <f>IF(Table1[[#This Row],[P_R7]]="","",Table1[Pu(kN)]/Table1[[#This Row],[P_R7]])</f>
        <v>0.69072699015714034</v>
      </c>
      <c r="BV98">
        <v>7.7000000000000002E-3</v>
      </c>
      <c r="BW98">
        <v>538.63</v>
      </c>
      <c r="BX98" s="5">
        <v>355.37</v>
      </c>
      <c r="BY98" s="6">
        <f>IF(Table1[[#This Row],[P_F9]]="","",Table1[Pu(kN)]/Table1[[#This Row],[P_F9]])</f>
        <v>1.0130286743394208</v>
      </c>
      <c r="BZ98" s="6">
        <v>2.4E-2</v>
      </c>
      <c r="CA98" s="7">
        <v>356.85</v>
      </c>
      <c r="CB98" s="5">
        <v>527.74</v>
      </c>
      <c r="CC98" s="6">
        <f>IF(Table1[[#This Row],[P_R8]]="","",Table1[Pu(kN)]/Table1[[#This Row],[P_R8]])</f>
        <v>0.68215409102967373</v>
      </c>
      <c r="CD98" s="6">
        <v>8.3000000000000001E-3</v>
      </c>
      <c r="CE98" s="6">
        <v>532.41999999999996</v>
      </c>
      <c r="CF98" s="5">
        <v>490.17</v>
      </c>
      <c r="CG98">
        <f>IF(Table1[[#This Row],[P_R9]]="","",Table1[Pu(kN)]/Table1[[#This Row],[P_R9]])</f>
        <v>0.73443907215863879</v>
      </c>
      <c r="CH98">
        <v>4.4000000000000003E-3</v>
      </c>
      <c r="CI98">
        <v>490.75</v>
      </c>
      <c r="CJ98" s="5">
        <v>347.8</v>
      </c>
      <c r="CK98" s="6">
        <f>IF(Table1[[#This Row],[P_F10]]="","",Table1[Pu(kN)]/Table1[[#This Row],[P_F10]])</f>
        <v>1.0350776308223117</v>
      </c>
      <c r="CL98">
        <v>2.1499999999999998E-2</v>
      </c>
      <c r="CM98">
        <v>348.92</v>
      </c>
      <c r="CN98" s="39">
        <v>289.7</v>
      </c>
      <c r="CO98" s="38">
        <f>Table1[[#This Row],[Pu(kN)]]/Table1[[#This Row],[P_R8_2]]</f>
        <v>1.2426648256817399</v>
      </c>
      <c r="CP98" s="38">
        <f>Table1[[#This Row],[DUCTIL_R8]]</f>
        <v>8.3000000000000001E-3</v>
      </c>
      <c r="CQ98" s="38">
        <f>Table1[[#This Row],[P_R8_2]]</f>
        <v>289.7</v>
      </c>
    </row>
    <row r="99" spans="1:95" x14ac:dyDescent="0.3">
      <c r="A99" s="26" t="s">
        <v>145</v>
      </c>
      <c r="B99" s="18" t="s">
        <v>139</v>
      </c>
      <c r="C99" s="18" t="s">
        <v>138</v>
      </c>
      <c r="D99" s="18">
        <v>2015</v>
      </c>
      <c r="E99" s="18"/>
      <c r="F99" s="18">
        <v>34.200000000000003</v>
      </c>
      <c r="G99" s="22">
        <v>1.2</v>
      </c>
      <c r="H99" s="18">
        <v>2235</v>
      </c>
      <c r="I99" s="18">
        <f>Table1[[#This Row],[a'[mm']]]/2.5</f>
        <v>894</v>
      </c>
      <c r="J99" s="22">
        <f>Table1[[#This Row],[a'[mm']]]/Table1[[#This Row],[d'[mm']]]</f>
        <v>2.5</v>
      </c>
      <c r="K99" s="18">
        <v>960</v>
      </c>
      <c r="L99" s="18" t="s">
        <v>293</v>
      </c>
      <c r="M99" s="18">
        <v>340.5</v>
      </c>
      <c r="N99" s="18" t="s">
        <v>130</v>
      </c>
      <c r="O99" s="18" t="s">
        <v>130</v>
      </c>
      <c r="P99" s="5">
        <v>265.67</v>
      </c>
      <c r="Q99" s="8">
        <f>IF(Table1[[#This Row],[P_F1]]="","",Table1[Pu(kN)]/Table1[[#This Row],[P_F1]])</f>
        <v>1.2816652237738546</v>
      </c>
      <c r="R99">
        <v>2.1499999999999998E-2</v>
      </c>
      <c r="S99">
        <v>266.18</v>
      </c>
      <c r="T99" s="5">
        <v>478.3</v>
      </c>
      <c r="U99" s="8">
        <f>IF(Table1[[#This Row],[P_R1]]="","",Table1[Pu(kN)]/Table1[[#This Row],[P_R1]])</f>
        <v>0.71189629939368593</v>
      </c>
      <c r="V99">
        <v>0</v>
      </c>
      <c r="W99">
        <v>502</v>
      </c>
      <c r="X99" s="10">
        <v>295.66000000000003</v>
      </c>
      <c r="Y99" s="8">
        <f>IF(Table1[[#This Row],[P_F2]]="","",Table1[Pu(kN)]/Table1[[#This Row],[P_F2]])</f>
        <v>1.151660691334641</v>
      </c>
      <c r="Z99">
        <v>2.5899999999999999E-2</v>
      </c>
      <c r="AA99">
        <v>298.85000000000002</v>
      </c>
      <c r="AB99" s="5">
        <v>452.72</v>
      </c>
      <c r="AC99" s="8">
        <f>IF(Table1[[#This Row],[P_R2]]="","",Table1[Pu(kN)]/Table1[[#This Row],[P_R2]])</f>
        <v>0.75212051599222474</v>
      </c>
      <c r="AD99">
        <v>1.89E-2</v>
      </c>
      <c r="AE99">
        <v>453.42</v>
      </c>
      <c r="AF99" s="10">
        <v>298.23</v>
      </c>
      <c r="AG99" s="2">
        <f>IF(Table1[[#This Row],[P_F3]]="","",Table1[Pu(kN)]/Table1[[#This Row],[P_F3]])</f>
        <v>1.141736243838648</v>
      </c>
      <c r="AH99" s="2">
        <v>2.86E-2</v>
      </c>
      <c r="AI99" s="2">
        <v>298.23</v>
      </c>
      <c r="AJ99" s="10">
        <v>407.77</v>
      </c>
      <c r="AK99" s="8">
        <f>IF(Table1[[#This Row],[P_R3]]="","",Table1[Pu(kN)]/Table1[[#This Row],[P_R3]])</f>
        <v>0.83502955097236187</v>
      </c>
      <c r="AL99">
        <v>9.1999999999999998E-3</v>
      </c>
      <c r="AM99">
        <v>407.94</v>
      </c>
      <c r="AN99" s="10">
        <v>467.04</v>
      </c>
      <c r="AO99" s="8">
        <f>IF(Table1[[#This Row],[P_R4]]="","",Table1[Pu(kN)]/Table1[[#This Row],[P_R4]])</f>
        <v>0.72905960945529291</v>
      </c>
      <c r="AP99" s="8">
        <v>2.52E-2</v>
      </c>
      <c r="AQ99" s="8">
        <v>467.96</v>
      </c>
      <c r="AR99" s="5">
        <v>291.14999999999998</v>
      </c>
      <c r="AS99">
        <f>IF(Table1[[#This Row],[P_F4]]="","",Table1[Pu(kN)]/Table1[[#This Row],[P_F4]])</f>
        <v>1.1695002575991758</v>
      </c>
      <c r="AT99">
        <v>3.0800000000000001E-2</v>
      </c>
      <c r="AU99" s="7">
        <v>291.14999999999998</v>
      </c>
      <c r="AV99">
        <v>315.39</v>
      </c>
      <c r="AW99">
        <f>IF(Table1[[#This Row],[P_F5]]="","",Table1[Pu(kN)]/Table1[[#This Row],[P_F5]])</f>
        <v>1.0796157138780558</v>
      </c>
      <c r="AX99">
        <v>2.5899999999999999E-2</v>
      </c>
      <c r="AY99" s="7">
        <v>317.41000000000003</v>
      </c>
      <c r="AZ99">
        <v>453.73</v>
      </c>
      <c r="BA99">
        <f>IF(Table1[[#This Row],[P_R5]]="","",Table1[Pu(kN)]/Table1[[#This Row],[P_R5]])</f>
        <v>0.75044630066339013</v>
      </c>
      <c r="BB99">
        <v>1.9300000000000001E-2</v>
      </c>
      <c r="BC99">
        <v>453.73</v>
      </c>
      <c r="BD99" s="5">
        <v>338.16</v>
      </c>
      <c r="BE99" s="6">
        <f>IF(Table1[[#This Row],[P_F6]]="","",Table1[Pu(kN)]/Table1[[#This Row],[P_F6]])</f>
        <v>1.0069198012775018</v>
      </c>
      <c r="BF99" s="6">
        <v>1.9699999999999999E-2</v>
      </c>
      <c r="BG99" s="6">
        <v>339.29</v>
      </c>
      <c r="BH99" s="5">
        <v>466.2</v>
      </c>
      <c r="BI99" s="6">
        <f>IF(Table1[[#This Row],[P_R6]]="","",Table1[Pu(kN)]/Table1[[#This Row],[P_R6]])</f>
        <v>0.73037323037323043</v>
      </c>
      <c r="BJ99" s="6">
        <v>2.69E-2</v>
      </c>
      <c r="BK99" s="6">
        <v>466.2</v>
      </c>
      <c r="BL99" s="5">
        <v>357.58</v>
      </c>
      <c r="BM99" s="6">
        <f>IF(Table1[[#This Row],[P_F7]]="","",Table1[Pu(kN)]/Table1[[#This Row],[P_F7]])</f>
        <v>0.9522344650148219</v>
      </c>
      <c r="BN99" s="6">
        <v>1.7500000000000002E-2</v>
      </c>
      <c r="BO99" s="6">
        <v>359.42</v>
      </c>
      <c r="BP99" s="5">
        <v>322.5</v>
      </c>
      <c r="BQ99" s="6">
        <f>IF(Table1[[#This Row],[P_F8]]="","",Table1[Pu(kN)]/Table1[[#This Row],[P_F8]])</f>
        <v>1.0558139534883721</v>
      </c>
      <c r="BR99" s="6">
        <v>3.0599999999999999E-2</v>
      </c>
      <c r="BS99" s="6">
        <v>281.06</v>
      </c>
      <c r="BT99">
        <v>406.74</v>
      </c>
      <c r="BU99" s="6">
        <f>IF(Table1[[#This Row],[P_R7]]="","",Table1[Pu(kN)]/Table1[[#This Row],[P_R7]])</f>
        <v>0.83714412155185125</v>
      </c>
      <c r="BV99">
        <v>9.1000000000000004E-3</v>
      </c>
      <c r="BW99">
        <v>407.69</v>
      </c>
      <c r="BX99" s="5">
        <v>291.89</v>
      </c>
      <c r="BY99" s="6">
        <f>IF(Table1[[#This Row],[P_F9]]="","",Table1[Pu(kN)]/Table1[[#This Row],[P_F9]])</f>
        <v>1.1665353386549728</v>
      </c>
      <c r="BZ99" s="6">
        <v>2.8299999999999999E-2</v>
      </c>
      <c r="CA99" s="7">
        <v>292.95999999999998</v>
      </c>
      <c r="CB99" s="5">
        <v>485.68</v>
      </c>
      <c r="CC99" s="6">
        <f>IF(Table1[[#This Row],[P_R8]]="","",Table1[Pu(kN)]/Table1[[#This Row],[P_R8]])</f>
        <v>0.70107889968703674</v>
      </c>
      <c r="CD99" s="6">
        <v>2.58E-2</v>
      </c>
      <c r="CE99" s="6">
        <v>485.68</v>
      </c>
      <c r="CF99" s="5">
        <v>424.62</v>
      </c>
      <c r="CG99">
        <f>IF(Table1[[#This Row],[P_R9]]="","",Table1[Pu(kN)]/Table1[[#This Row],[P_R9]])</f>
        <v>0.8018934576798078</v>
      </c>
      <c r="CH99">
        <v>3.5999999999999999E-3</v>
      </c>
      <c r="CI99">
        <v>424.62</v>
      </c>
      <c r="CJ99" s="5">
        <v>262.61</v>
      </c>
      <c r="CK99" s="6">
        <f>IF(Table1[[#This Row],[P_F10]]="","",Table1[Pu(kN)]/Table1[[#This Row],[P_F10]])</f>
        <v>1.2965995202010585</v>
      </c>
      <c r="CL99">
        <v>5.7999999999999996E-3</v>
      </c>
      <c r="CM99">
        <v>263.74</v>
      </c>
      <c r="CN99" s="39">
        <v>300.2</v>
      </c>
      <c r="CO99" s="38">
        <f>Table1[[#This Row],[Pu(kN)]]/Table1[[#This Row],[P_R8_2]]</f>
        <v>1.1342438374417056</v>
      </c>
      <c r="CP99" s="38">
        <f>Table1[[#This Row],[DUCTIL_R8]]</f>
        <v>2.58E-2</v>
      </c>
      <c r="CQ99" s="38">
        <f>Table1[[#This Row],[P_R8_2]]</f>
        <v>300.2</v>
      </c>
    </row>
    <row r="100" spans="1:95" x14ac:dyDescent="0.3">
      <c r="A100" s="26" t="s">
        <v>169</v>
      </c>
      <c r="B100" s="18" t="s">
        <v>158</v>
      </c>
      <c r="C100" s="18" t="s">
        <v>159</v>
      </c>
      <c r="D100" s="18">
        <v>2015</v>
      </c>
      <c r="E100" s="18" t="s">
        <v>91</v>
      </c>
      <c r="F100" s="18">
        <v>46</v>
      </c>
      <c r="G100" s="22">
        <v>0.76</v>
      </c>
      <c r="H100" s="18">
        <v>2700</v>
      </c>
      <c r="I100" s="19">
        <v>925</v>
      </c>
      <c r="J100" s="28">
        <f>Table1[[#This Row],[a'[mm']]]/Table1[[#This Row],[d'[mm']]]</f>
        <v>2.9189189189189189</v>
      </c>
      <c r="K100" s="18">
        <v>1000</v>
      </c>
      <c r="L100" s="18" t="s">
        <v>293</v>
      </c>
      <c r="M100" s="18">
        <f>336*2</f>
        <v>672</v>
      </c>
      <c r="N100" s="18" t="s">
        <v>130</v>
      </c>
      <c r="O100" s="18" t="s">
        <v>131</v>
      </c>
      <c r="P100" s="5">
        <f>2*249.51</f>
        <v>499.02</v>
      </c>
      <c r="Q100" s="8">
        <f>IF(Table1[[#This Row],[P_F1]]="","",Table1[Pu(kN)]/Table1[[#This Row],[P_F1]])</f>
        <v>1.3466394132499699</v>
      </c>
      <c r="R100" s="6">
        <v>0.21929999999999999</v>
      </c>
      <c r="S100" s="6">
        <f>Table1[[#This Row],[P_F1]]</f>
        <v>499.02</v>
      </c>
      <c r="T100" s="5">
        <f>401.72*2</f>
        <v>803.44</v>
      </c>
      <c r="U100" s="8">
        <f>IF(Table1[[#This Row],[P_R1]]="","",Table1[Pu(kN)]/Table1[[#This Row],[P_R1]])</f>
        <v>0.83640346510006969</v>
      </c>
      <c r="V100">
        <v>0</v>
      </c>
      <c r="W100">
        <f>402.27*2</f>
        <v>804.54</v>
      </c>
      <c r="X100" s="10">
        <v>483.52</v>
      </c>
      <c r="Y100" s="8">
        <f>IF(Table1[[#This Row],[P_F2]]="","",Table1[Pu(kN)]/Table1[[#This Row],[P_F2]])</f>
        <v>1.3898080741230974</v>
      </c>
      <c r="Z100">
        <v>0.21110000000000001</v>
      </c>
      <c r="AA100">
        <v>241.76</v>
      </c>
      <c r="AB100" s="10">
        <v>675.84</v>
      </c>
      <c r="AC100" s="8">
        <f>IF(Table1[[#This Row],[P_R2]]="","",Table1[Pu(kN)]/Table1[[#This Row],[P_R2]])</f>
        <v>0.99431818181818177</v>
      </c>
      <c r="AD100" s="8">
        <v>0.39340000000000003</v>
      </c>
      <c r="AE100" s="9">
        <v>675.84</v>
      </c>
      <c r="AF100" s="2">
        <v>459.62</v>
      </c>
      <c r="AG100" s="2">
        <f>IF(Table1[[#This Row],[P_F3]]="","",Table1[Pu(kN)]/Table1[[#This Row],[P_F3]])</f>
        <v>1.4620773682607371</v>
      </c>
      <c r="AH100" s="2">
        <v>0.29339999999999999</v>
      </c>
      <c r="AI100" s="8">
        <v>459.62</v>
      </c>
      <c r="AJ100" s="10">
        <f>400.21*2</f>
        <v>800.42</v>
      </c>
      <c r="AK100" s="8">
        <f>IF(Table1[[#This Row],[P_R3]]="","",Table1[Pu(kN)]/Table1[[#This Row],[P_R3]])</f>
        <v>0.83955923140351318</v>
      </c>
      <c r="AL100" s="8">
        <v>0.745</v>
      </c>
      <c r="AM100" s="9">
        <f>402.7*2</f>
        <v>805.4</v>
      </c>
      <c r="AN100" s="10">
        <v>814.98</v>
      </c>
      <c r="AO100" s="8">
        <f>IF(Table1[[#This Row],[P_R4]]="","",Table1[Pu(kN)]/Table1[[#This Row],[P_R4]])</f>
        <v>0.82456011190458656</v>
      </c>
      <c r="AP100" s="8">
        <v>0.77739999999999998</v>
      </c>
      <c r="AQ100" s="8">
        <v>814.98</v>
      </c>
      <c r="AR100" s="5">
        <f>2*252.2</f>
        <v>504.4</v>
      </c>
      <c r="AS100">
        <f>IF(Table1[[#This Row],[P_F4]]="","",Table1[Pu(kN)]/Table1[[#This Row],[P_F4]])</f>
        <v>1.3322759714512293</v>
      </c>
      <c r="AT100">
        <v>0.21909999999999999</v>
      </c>
      <c r="AU100" s="7">
        <f>Table1[[#This Row],[P_F4]]</f>
        <v>504.4</v>
      </c>
      <c r="AV100">
        <f>2*269.55</f>
        <v>539.1</v>
      </c>
      <c r="AW100">
        <f>IF(Table1[[#This Row],[P_F5]]="","",Table1[Pu(kN)]/Table1[[#This Row],[P_F5]])</f>
        <v>1.2465219810795771</v>
      </c>
      <c r="AX100">
        <v>0.22</v>
      </c>
      <c r="AY100" s="7">
        <f>269.55*2</f>
        <v>539.1</v>
      </c>
      <c r="AZ100">
        <v>833.5</v>
      </c>
      <c r="BA100">
        <f>IF(Table1[[#This Row],[P_R5]]="","",Table1[Pu(kN)]/Table1[[#This Row],[P_R5]])</f>
        <v>0.80623875224955011</v>
      </c>
      <c r="BB100">
        <v>0.86429999999999996</v>
      </c>
      <c r="BC100">
        <v>416.75</v>
      </c>
      <c r="BD100" s="5">
        <v>661.26</v>
      </c>
      <c r="BE100" s="6">
        <f>IF(Table1[[#This Row],[P_F6]]="","",Table1[Pu(kN)]/Table1[[#This Row],[P_F6]])</f>
        <v>1.0162417203520553</v>
      </c>
      <c r="BF100" s="6">
        <v>0.25669999999999998</v>
      </c>
      <c r="BG100" s="6">
        <v>661.26</v>
      </c>
      <c r="BH100" s="5">
        <v>691.04</v>
      </c>
      <c r="BI100" s="6">
        <f>IF(Table1[[#This Row],[P_R6]]="","",Table1[Pu(kN)]/Table1[[#This Row],[P_R6]])</f>
        <v>0.97244732576985415</v>
      </c>
      <c r="BJ100" s="6">
        <v>0.35460000000000003</v>
      </c>
      <c r="BK100" s="6">
        <v>691.04</v>
      </c>
      <c r="BL100" s="5">
        <f>277.18*2</f>
        <v>554.36</v>
      </c>
      <c r="BM100" s="6">
        <f>IF(Table1[[#This Row],[P_F7]]="","",Table1[Pu(kN)]/Table1[[#This Row],[P_F7]])</f>
        <v>1.2122086730644346</v>
      </c>
      <c r="BN100" s="6">
        <v>0.12</v>
      </c>
      <c r="BO100" s="6">
        <f>Table1[[#This Row],[P_F7]]</f>
        <v>554.36</v>
      </c>
      <c r="BP100" s="5">
        <v>549.84</v>
      </c>
      <c r="BQ100" s="6">
        <f>IF(Table1[[#This Row],[P_F8]]="","",Table1[Pu(kN)]/Table1[[#This Row],[P_F8]])</f>
        <v>1.2221737232649497</v>
      </c>
      <c r="BR100" s="6">
        <v>0.3029</v>
      </c>
      <c r="BS100" s="6">
        <v>549.84</v>
      </c>
      <c r="BT100" s="5">
        <v>802.5</v>
      </c>
      <c r="BU100" s="6">
        <f>IF(Table1[[#This Row],[P_R7]]="","",Table1[Pu(kN)]/Table1[[#This Row],[P_R7]])</f>
        <v>0.83738317757009351</v>
      </c>
      <c r="BV100" s="6">
        <v>0.71330000000000005</v>
      </c>
      <c r="BW100" s="6">
        <v>802.5</v>
      </c>
      <c r="BX100" s="5">
        <f>2*239.3</f>
        <v>478.6</v>
      </c>
      <c r="BY100" s="6">
        <f>IF(Table1[[#This Row],[P_F9]]="","",Table1[Pu(kN)]/Table1[[#This Row],[P_F9]])</f>
        <v>1.4040952778938569</v>
      </c>
      <c r="BZ100" s="6">
        <v>0</v>
      </c>
      <c r="CA100" s="7">
        <f>Table1[[#This Row],[P_F9]]</f>
        <v>478.6</v>
      </c>
      <c r="CB100" s="5">
        <f>2*402.93</f>
        <v>805.86</v>
      </c>
      <c r="CC100" s="6">
        <f>IF(Table1[[#This Row],[P_R8]]="","",Table1[Pu(kN)]/Table1[[#This Row],[P_R8]])</f>
        <v>0.83389174298265201</v>
      </c>
      <c r="CD100" s="6">
        <v>0</v>
      </c>
      <c r="CE100" s="6">
        <f>2*402.98</f>
        <v>805.96</v>
      </c>
      <c r="CF100" s="5">
        <v>814.72</v>
      </c>
      <c r="CG100">
        <f>IF(Table1[[#This Row],[P_R9]]="","",Table1[Pu(kN)]/Table1[[#This Row],[P_R9]])</f>
        <v>0.82482325216025132</v>
      </c>
      <c r="CH100">
        <v>0.77049999999999996</v>
      </c>
      <c r="CI100">
        <v>814.72</v>
      </c>
      <c r="CJ100" s="5">
        <v>551.46</v>
      </c>
      <c r="CK100" s="6">
        <f>IF(Table1[[#This Row],[P_F10]]="","",Table1[Pu(kN)]/Table1[[#This Row],[P_F10]])</f>
        <v>1.2185833968012185</v>
      </c>
      <c r="CL100" s="6">
        <v>0.35070000000000001</v>
      </c>
      <c r="CM100" s="6">
        <v>553.02</v>
      </c>
      <c r="CN100" s="39">
        <f>Table1[[#This Row],[P_R8]]</f>
        <v>805.86</v>
      </c>
      <c r="CO100" s="38">
        <f>Table1[[#This Row],[Pu(kN)]]/Table1[[#This Row],[P_R8_2]]</f>
        <v>0.83389174298265201</v>
      </c>
      <c r="CP100" s="38">
        <f>Table1[[#This Row],[DUCTIL_R8]]</f>
        <v>0</v>
      </c>
      <c r="CQ100" s="38">
        <f>Table1[[#This Row],[P_R8_2]]</f>
        <v>805.86</v>
      </c>
    </row>
    <row r="101" spans="1:95" x14ac:dyDescent="0.3">
      <c r="A101" s="27" t="s">
        <v>156</v>
      </c>
      <c r="B101" s="20"/>
      <c r="C101" s="20" t="s">
        <v>32</v>
      </c>
      <c r="D101" s="18">
        <v>2015</v>
      </c>
      <c r="E101" s="20" t="s">
        <v>90</v>
      </c>
      <c r="F101" s="20">
        <f>0.8*86.9</f>
        <v>69.52000000000001</v>
      </c>
      <c r="G101" s="23">
        <f>100*8*25*25*0.25*PI()/1200/300</f>
        <v>1.0908307824964558</v>
      </c>
      <c r="H101" s="20">
        <v>4500</v>
      </c>
      <c r="I101" s="20">
        <v>1150</v>
      </c>
      <c r="J101" s="24">
        <f>Table1[[#This Row],[a'[mm']]]/Table1[[#This Row],[d'[mm']]]</f>
        <v>3.9130434782608696</v>
      </c>
      <c r="K101" s="20">
        <v>1200</v>
      </c>
      <c r="L101" s="20" t="s">
        <v>293</v>
      </c>
      <c r="M101" s="20">
        <v>445</v>
      </c>
      <c r="N101" s="20" t="s">
        <v>130</v>
      </c>
      <c r="O101" s="20" t="s">
        <v>130</v>
      </c>
      <c r="P101" s="5">
        <v>403.21</v>
      </c>
      <c r="Q101" s="6">
        <f>IF(Table1[[#This Row],[P_F1]]="","",Table1[Pu(kN)]/Table1[[#This Row],[P_F1]])</f>
        <v>1.1036432628159025</v>
      </c>
      <c r="R101" s="6">
        <v>1.44E-2</v>
      </c>
      <c r="S101" s="6">
        <v>409.19</v>
      </c>
      <c r="T101" s="5">
        <v>228.85</v>
      </c>
      <c r="U101" s="6">
        <f>IF(Table1[[#This Row],[P_R1]]="","",Table1[Pu(kN)]/Table1[[#This Row],[P_R1]])</f>
        <v>1.9445051343674897</v>
      </c>
      <c r="V101">
        <v>0.02</v>
      </c>
      <c r="W101">
        <v>228.85</v>
      </c>
      <c r="X101" s="5">
        <v>427.51</v>
      </c>
      <c r="Y101" s="6">
        <f>IF(Table1[[#This Row],[P_F2]]="","",Table1[Pu(kN)]/Table1[[#This Row],[P_F2]])</f>
        <v>1.040911323711726</v>
      </c>
      <c r="Z101" s="33">
        <v>1.6500000000000001E-2</v>
      </c>
      <c r="AA101" s="33">
        <v>434.86</v>
      </c>
      <c r="AB101" s="10">
        <v>407.73</v>
      </c>
      <c r="AC101" s="8">
        <f>IF(Table1[[#This Row],[P_R2]]="","",Table1[Pu(kN)]/Table1[[#This Row],[P_R2]])</f>
        <v>1.0914085301547591</v>
      </c>
      <c r="AD101" s="8">
        <v>6.4999999999999997E-3</v>
      </c>
      <c r="AE101" s="9">
        <v>407.97</v>
      </c>
      <c r="AF101" s="2">
        <v>435.29</v>
      </c>
      <c r="AG101" s="2">
        <f>IF(Table1[[#This Row],[P_F3]]="","",Table1[Pu(kN)]/Table1[[#This Row],[P_F3]])</f>
        <v>1.0223069677686141</v>
      </c>
      <c r="AH101" s="2">
        <v>1.04E-2</v>
      </c>
      <c r="AI101" s="2">
        <v>437.4</v>
      </c>
      <c r="AJ101" s="10">
        <v>399.95</v>
      </c>
      <c r="AK101" s="8">
        <f>IF(Table1[[#This Row],[P_R3]]="","",Table1[Pu(kN)]/Table1[[#This Row],[P_R3]])</f>
        <v>1.1126390798849857</v>
      </c>
      <c r="AL101" s="8">
        <v>2.3900000000000001E-2</v>
      </c>
      <c r="AM101" s="9">
        <v>405.11</v>
      </c>
      <c r="AN101" s="10">
        <v>424.81</v>
      </c>
      <c r="AO101" s="8">
        <f>IF(Table1[[#This Row],[P_R4]]="","",Table1[Pu(kN)]/Table1[[#This Row],[P_R4]])</f>
        <v>1.0475271297756643</v>
      </c>
      <c r="AP101" s="8">
        <v>8.0999999999999996E-3</v>
      </c>
      <c r="AQ101" s="9">
        <v>425.29</v>
      </c>
      <c r="AR101">
        <v>470.83</v>
      </c>
      <c r="AS101">
        <f>IF(Table1[[#This Row],[P_F4]]="","",Table1[Pu(kN)]/Table1[[#This Row],[P_F4]])</f>
        <v>0.94513943461546635</v>
      </c>
      <c r="AT101">
        <v>1.54E-2</v>
      </c>
      <c r="AU101" s="7">
        <v>480.64</v>
      </c>
      <c r="AV101">
        <v>532.79999999999995</v>
      </c>
      <c r="AW101">
        <f>IF(Table1[[#This Row],[P_F5]]="","",Table1[Pu(kN)]/Table1[[#This Row],[P_F5]])</f>
        <v>0.83521021021021025</v>
      </c>
      <c r="AX101">
        <v>1.8499999999999999E-2</v>
      </c>
      <c r="AY101" s="7">
        <v>535.49</v>
      </c>
      <c r="AZ101">
        <v>525.20000000000005</v>
      </c>
      <c r="BA101">
        <f>IF(Table1[[#This Row],[P_R5]]="","",Table1[Pu(kN)]/Table1[[#This Row],[P_R5]])</f>
        <v>0.84729626808834724</v>
      </c>
      <c r="BB101">
        <v>1.0699999999999999E-2</v>
      </c>
      <c r="BC101">
        <v>526.79999999999995</v>
      </c>
      <c r="BD101" s="5">
        <v>522.85</v>
      </c>
      <c r="BE101" s="6">
        <f>IF(Table1[[#This Row],[P_F6]]="","",Table1[Pu(kN)]/Table1[[#This Row],[P_F6]])</f>
        <v>0.85110452328583719</v>
      </c>
      <c r="BF101" s="6">
        <v>1.37E-2</v>
      </c>
      <c r="BG101" s="6">
        <v>523.78</v>
      </c>
      <c r="BH101" s="5">
        <v>415.34</v>
      </c>
      <c r="BI101" s="6">
        <f>IF(Table1[[#This Row],[P_R6]]="","",Table1[Pu(kN)]/Table1[[#This Row],[P_R6]])</f>
        <v>1.0714113738142246</v>
      </c>
      <c r="BJ101" s="6">
        <v>2.1000000000000001E-2</v>
      </c>
      <c r="BK101" s="6">
        <v>430.33</v>
      </c>
      <c r="BL101" s="5">
        <v>612.65</v>
      </c>
      <c r="BM101" s="6">
        <f>IF(Table1[[#This Row],[P_F7]]="","",Table1[Pu(kN)]/Table1[[#This Row],[P_F7]])</f>
        <v>0.72635272994368727</v>
      </c>
      <c r="BN101" s="6">
        <v>1.6400000000000001E-2</v>
      </c>
      <c r="BO101" s="6">
        <v>614.66</v>
      </c>
      <c r="BP101" s="5">
        <v>397.51</v>
      </c>
      <c r="BQ101" s="6">
        <f>IF(Table1[[#This Row],[P_F8]]="","",Table1[Pu(kN)]/Table1[[#This Row],[P_F8]])</f>
        <v>1.1194686926115067</v>
      </c>
      <c r="BR101" s="6">
        <v>2.3400000000000001E-2</v>
      </c>
      <c r="BS101" s="6">
        <v>398.52</v>
      </c>
      <c r="BT101" s="5">
        <v>538</v>
      </c>
      <c r="BU101" s="6">
        <f>IF(Table1[[#This Row],[P_R7]]="","",Table1[Pu(kN)]/Table1[[#This Row],[P_R7]])</f>
        <v>0.82713754646840154</v>
      </c>
      <c r="BV101" s="6">
        <v>1.49E-2</v>
      </c>
      <c r="BW101" s="6">
        <v>548.34</v>
      </c>
      <c r="BX101" s="5">
        <v>437.89</v>
      </c>
      <c r="BY101" s="6">
        <f>IF(Table1[[#This Row],[P_F9]]="","",Table1[Pu(kN)]/Table1[[#This Row],[P_F9]])</f>
        <v>1.0162369544862866</v>
      </c>
      <c r="BZ101" s="6">
        <v>1.7899999999999999E-2</v>
      </c>
      <c r="CA101" s="7">
        <v>439.76</v>
      </c>
      <c r="CB101">
        <v>552.98</v>
      </c>
      <c r="CC101" s="6">
        <f>IF(Table1[[#This Row],[P_R8]]="","",Table1[Pu(kN)]/Table1[[#This Row],[P_R8]])</f>
        <v>0.80473073167203146</v>
      </c>
      <c r="CD101" s="6">
        <v>1.9300000000000001E-2</v>
      </c>
      <c r="CE101" s="6">
        <v>554.05999999999995</v>
      </c>
      <c r="CF101" s="5">
        <v>446.11</v>
      </c>
      <c r="CG101">
        <f>IF(Table1[[#This Row],[P_R9]]="","",Table1[Pu(kN)]/Table1[[#This Row],[P_R9]])</f>
        <v>0.99751182443791886</v>
      </c>
      <c r="CH101">
        <v>2.3400000000000001E-2</v>
      </c>
      <c r="CI101">
        <v>456.64</v>
      </c>
      <c r="CJ101" s="5">
        <v>450.32</v>
      </c>
      <c r="CK101" s="6">
        <f>IF(Table1[[#This Row],[P_F10]]="","",Table1[Pu(kN)]/Table1[[#This Row],[P_F10]])</f>
        <v>0.98818617871735659</v>
      </c>
      <c r="CL101" s="6">
        <v>1.7899999999999999E-2</v>
      </c>
      <c r="CM101" s="6">
        <v>451.99</v>
      </c>
      <c r="CN101" s="39">
        <v>401.2</v>
      </c>
      <c r="CO101" s="38">
        <f>Table1[[#This Row],[Pu(kN)]]/Table1[[#This Row],[P_R8_2]]</f>
        <v>1.109172482552343</v>
      </c>
      <c r="CP101" s="38">
        <f>Table1[[#This Row],[DUCTIL_R8]]</f>
        <v>1.9300000000000001E-2</v>
      </c>
      <c r="CQ101" s="38">
        <f>Table1[[#This Row],[P_R8_2]]</f>
        <v>401.2</v>
      </c>
    </row>
    <row r="102" spans="1:95" x14ac:dyDescent="0.3">
      <c r="A102" s="27" t="s">
        <v>157</v>
      </c>
      <c r="B102" s="20"/>
      <c r="C102" s="20" t="s">
        <v>32</v>
      </c>
      <c r="D102" s="18">
        <v>2015</v>
      </c>
      <c r="E102" s="20" t="s">
        <v>90</v>
      </c>
      <c r="F102" s="20">
        <v>69.5</v>
      </c>
      <c r="G102" s="23">
        <f>100*4*20*20*0.25*PI()/1200/300</f>
        <v>0.34906585039886595</v>
      </c>
      <c r="H102" s="20">
        <v>4500</v>
      </c>
      <c r="I102" s="20">
        <v>1165</v>
      </c>
      <c r="J102" s="24">
        <f>Table1[[#This Row],[a'[mm']]]/Table1[[#This Row],[d'[mm']]]</f>
        <v>3.8626609442060085</v>
      </c>
      <c r="K102" s="20">
        <v>1200</v>
      </c>
      <c r="L102" s="20" t="s">
        <v>293</v>
      </c>
      <c r="M102" s="20">
        <v>211</v>
      </c>
      <c r="N102" s="20" t="s">
        <v>130</v>
      </c>
      <c r="O102" s="20" t="s">
        <v>130</v>
      </c>
      <c r="P102" s="5">
        <v>165.27</v>
      </c>
      <c r="Q102" s="6">
        <f>IF(Table1[[#This Row],[P_F1]]="","",Table1[Pu(kN)]/Table1[[#This Row],[P_F1]])</f>
        <v>1.2766987354026744</v>
      </c>
      <c r="R102" s="6">
        <v>0</v>
      </c>
      <c r="S102" s="6">
        <v>180.3</v>
      </c>
      <c r="T102" s="5">
        <v>165.27</v>
      </c>
      <c r="U102" s="6">
        <f>IF(Table1[[#This Row],[P_R1]]="","",Table1[Pu(kN)]/Table1[[#This Row],[P_R1]])</f>
        <v>1.2766987354026744</v>
      </c>
      <c r="V102">
        <v>0</v>
      </c>
      <c r="W102">
        <v>180.73</v>
      </c>
      <c r="X102" s="5">
        <v>171.99</v>
      </c>
      <c r="Y102" s="6">
        <f>IF(Table1[[#This Row],[P_F2]]="","",Table1[Pu(kN)]/Table1[[#This Row],[P_F2]])</f>
        <v>1.2268155125297981</v>
      </c>
      <c r="Z102">
        <v>1.35E-2</v>
      </c>
      <c r="AA102">
        <v>177.75</v>
      </c>
      <c r="AB102" s="10">
        <v>165.12</v>
      </c>
      <c r="AC102" s="8">
        <f>IF(Table1[[#This Row],[P_R2]]="","",Table1[Pu(kN)]/Table1[[#This Row],[P_R2]])</f>
        <v>1.2778585271317828</v>
      </c>
      <c r="AD102" s="8">
        <v>0</v>
      </c>
      <c r="AE102" s="9">
        <v>178.71</v>
      </c>
      <c r="AF102" s="2">
        <v>237.76</v>
      </c>
      <c r="AG102" s="2">
        <f>IF(Table1[[#This Row],[P_F3]]="","",Table1[Pu(kN)]/Table1[[#This Row],[P_F3]])</f>
        <v>0.887449528936743</v>
      </c>
      <c r="AH102" s="2">
        <v>1.04E-2</v>
      </c>
      <c r="AI102" s="2">
        <v>239.02</v>
      </c>
      <c r="AJ102" s="10">
        <v>171.96</v>
      </c>
      <c r="AK102" s="8">
        <f>IF(Table1[[#This Row],[P_R3]]="","",Table1[Pu(kN)]/Table1[[#This Row],[P_R3]])</f>
        <v>1.2270295417538961</v>
      </c>
      <c r="AL102" s="8">
        <v>0</v>
      </c>
      <c r="AM102" s="9">
        <v>182.85</v>
      </c>
      <c r="AN102" s="10">
        <v>165.12</v>
      </c>
      <c r="AO102" s="8">
        <f>IF(Table1[[#This Row],[P_R4]]="","",Table1[Pu(kN)]/Table1[[#This Row],[P_R4]])</f>
        <v>1.2778585271317828</v>
      </c>
      <c r="AP102" s="8">
        <v>0</v>
      </c>
      <c r="AQ102" s="9">
        <v>178.87</v>
      </c>
      <c r="AR102">
        <v>187.97</v>
      </c>
      <c r="AS102">
        <f>IF(Table1[[#This Row],[P_F4]]="","",Table1[Pu(kN)]/Table1[[#This Row],[P_F4]])</f>
        <v>1.1225195509921797</v>
      </c>
      <c r="AT102">
        <v>1.34E-2</v>
      </c>
      <c r="AU102" s="7">
        <v>188.24</v>
      </c>
      <c r="AV102">
        <v>196.12</v>
      </c>
      <c r="AW102">
        <f>IF(Table1[[#This Row],[P_F5]]="","",Table1[Pu(kN)]/Table1[[#This Row],[P_F5]])</f>
        <v>1.0758719151539873</v>
      </c>
      <c r="AX102">
        <v>9.9000000000000008E-3</v>
      </c>
      <c r="AY102" s="7">
        <v>206</v>
      </c>
      <c r="AZ102">
        <v>181.23</v>
      </c>
      <c r="BA102">
        <f>IF(Table1[[#This Row],[P_R5]]="","",Table1[Pu(kN)]/Table1[[#This Row],[P_R5]])</f>
        <v>1.164266401809855</v>
      </c>
      <c r="BB102">
        <v>2E-3</v>
      </c>
      <c r="BC102">
        <v>184.84</v>
      </c>
      <c r="BD102" s="5">
        <v>297.70999999999998</v>
      </c>
      <c r="BE102" s="6">
        <f>IF(Table1[[#This Row],[P_F6]]="","",Table1[Pu(kN)]/Table1[[#This Row],[P_F6]])</f>
        <v>0.70874340801451086</v>
      </c>
      <c r="BF102" s="6">
        <v>1.09E-2</v>
      </c>
      <c r="BG102" s="6">
        <v>299.14999999999998</v>
      </c>
      <c r="BH102" s="5">
        <v>193.52</v>
      </c>
      <c r="BI102" s="6">
        <f>IF(Table1[[#This Row],[P_R6]]="","",Table1[Pu(kN)]/Table1[[#This Row],[P_R6]])</f>
        <v>1.0903265812319141</v>
      </c>
      <c r="BJ102" s="6">
        <v>0</v>
      </c>
      <c r="BK102" s="6">
        <v>205.63</v>
      </c>
      <c r="BL102" s="5">
        <v>356.28</v>
      </c>
      <c r="BM102" s="6">
        <f>IF(Table1[[#This Row],[P_F7]]="","",Table1[Pu(kN)]/Table1[[#This Row],[P_F7]])</f>
        <v>0.59223082968451779</v>
      </c>
      <c r="BN102" s="6">
        <v>0.37780000000000002</v>
      </c>
      <c r="BO102" s="6">
        <v>356.46</v>
      </c>
      <c r="BP102" s="5">
        <v>188.82</v>
      </c>
      <c r="BQ102" s="6">
        <f>IF(Table1[[#This Row],[P_F8]]="","",Table1[Pu(kN)]/Table1[[#This Row],[P_F8]])</f>
        <v>1.1174663700879144</v>
      </c>
      <c r="BR102" s="6">
        <v>1.26E-2</v>
      </c>
      <c r="BS102" s="6">
        <v>191.21</v>
      </c>
      <c r="BT102" s="5">
        <v>148.22999999999999</v>
      </c>
      <c r="BU102" s="6">
        <f>IF(Table1[[#This Row],[P_R7]]="","",Table1[Pu(kN)]/Table1[[#This Row],[P_R7]])</f>
        <v>1.4234635363961412</v>
      </c>
      <c r="BV102" s="6">
        <v>0</v>
      </c>
      <c r="BW102" s="6">
        <v>163.98</v>
      </c>
      <c r="BX102" s="5">
        <v>184.78</v>
      </c>
      <c r="BY102" s="6">
        <f>IF(Table1[[#This Row],[P_F9]]="","",Table1[Pu(kN)]/Table1[[#This Row],[P_F9]])</f>
        <v>1.1418984738608073</v>
      </c>
      <c r="BZ102">
        <v>1.24E-2</v>
      </c>
      <c r="CA102">
        <v>185.9</v>
      </c>
      <c r="CB102">
        <v>165.12</v>
      </c>
      <c r="CC102" s="6">
        <f>IF(Table1[[#This Row],[P_R8]]="","",Table1[Pu(kN)]/Table1[[#This Row],[P_R8]])</f>
        <v>1.2778585271317828</v>
      </c>
      <c r="CD102" s="6">
        <v>0</v>
      </c>
      <c r="CE102" s="6">
        <v>171.96</v>
      </c>
      <c r="CF102" s="5">
        <v>165.12</v>
      </c>
      <c r="CG102">
        <f>IF(Table1[[#This Row],[P_R9]]="","",Table1[Pu(kN)]/Table1[[#This Row],[P_R9]])</f>
        <v>1.2778585271317828</v>
      </c>
      <c r="CH102">
        <v>0</v>
      </c>
      <c r="CI102">
        <v>171.96</v>
      </c>
      <c r="CJ102">
        <v>226.92</v>
      </c>
      <c r="CK102">
        <f>IF(Table1[[#This Row],[P_F10]]="","",Table1[Pu(kN)]/Table1[[#This Row],[P_F10]])</f>
        <v>0.92984311651683416</v>
      </c>
      <c r="CL102">
        <v>1.14E-2</v>
      </c>
      <c r="CM102">
        <v>227.84</v>
      </c>
      <c r="CN102" s="39">
        <f>Table1[[#This Row],[P_R8]]</f>
        <v>165.12</v>
      </c>
      <c r="CO102" s="38">
        <f>Table1[[#This Row],[Pu(kN)]]/Table1[[#This Row],[P_R8_2]]</f>
        <v>1.2778585271317828</v>
      </c>
      <c r="CP102" s="38">
        <f>Table1[[#This Row],[DUCTIL_R8]]</f>
        <v>0</v>
      </c>
      <c r="CQ102" s="38">
        <f>Table1[[#This Row],[P_R8_2]]</f>
        <v>165.12</v>
      </c>
    </row>
    <row r="103" spans="1:95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Q103" s="2"/>
      <c r="R103" s="1"/>
      <c r="S103" s="1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X103"/>
      <c r="CF103"/>
      <c r="CN103" t="s">
        <v>271</v>
      </c>
    </row>
    <row r="106" spans="1:95" x14ac:dyDescent="0.3"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X106"/>
      <c r="CF106"/>
    </row>
    <row r="107" spans="1:95" x14ac:dyDescent="0.3"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X107"/>
      <c r="CF107"/>
    </row>
    <row r="108" spans="1:95" x14ac:dyDescent="0.3"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4"/>
      <c r="Y108" s="3"/>
      <c r="Z108" s="3"/>
      <c r="AA108" s="3"/>
      <c r="AB108" s="3"/>
      <c r="AC108" s="3"/>
      <c r="AD108" s="3"/>
      <c r="AE108" s="3"/>
      <c r="AF108" s="4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X108"/>
      <c r="CF108"/>
    </row>
    <row r="109" spans="1:95" x14ac:dyDescent="0.3">
      <c r="AE109" s="3"/>
      <c r="AF109" s="3"/>
      <c r="AG109" s="3"/>
      <c r="AH109" s="3"/>
      <c r="AI109" s="3"/>
      <c r="AJ109" s="4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X109"/>
      <c r="CF109"/>
    </row>
    <row r="110" spans="1:95" x14ac:dyDescent="0.3"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X110"/>
      <c r="CF110"/>
    </row>
    <row r="111" spans="1:95" x14ac:dyDescent="0.3"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X111"/>
      <c r="CF111"/>
    </row>
    <row r="112" spans="1:95" x14ac:dyDescent="0.3"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X112"/>
      <c r="CF112"/>
    </row>
    <row r="113" spans="31:84" x14ac:dyDescent="0.3"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X113"/>
      <c r="CF113"/>
    </row>
    <row r="114" spans="31:84" x14ac:dyDescent="0.3"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X114"/>
      <c r="CF114"/>
    </row>
    <row r="115" spans="31:84" x14ac:dyDescent="0.3"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X115"/>
      <c r="CF115"/>
    </row>
    <row r="116" spans="31:84" x14ac:dyDescent="0.3"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X116"/>
      <c r="CF116"/>
    </row>
    <row r="117" spans="31:84" x14ac:dyDescent="0.3">
      <c r="BX117"/>
      <c r="CF117"/>
    </row>
    <row r="118" spans="31:84" x14ac:dyDescent="0.3">
      <c r="BX118"/>
      <c r="CF118"/>
    </row>
    <row r="119" spans="31:84" x14ac:dyDescent="0.3">
      <c r="BX119"/>
      <c r="CF119"/>
    </row>
    <row r="120" spans="31:84" x14ac:dyDescent="0.3">
      <c r="BX120"/>
      <c r="CF120"/>
    </row>
    <row r="121" spans="31:84" x14ac:dyDescent="0.3">
      <c r="BX121"/>
      <c r="CF121"/>
    </row>
    <row r="122" spans="31:84" x14ac:dyDescent="0.3">
      <c r="BX122"/>
      <c r="CF122"/>
    </row>
    <row r="123" spans="31:84" x14ac:dyDescent="0.3">
      <c r="BX123"/>
      <c r="CF123"/>
    </row>
    <row r="124" spans="31:84" x14ac:dyDescent="0.3">
      <c r="BX124"/>
      <c r="CF124"/>
    </row>
    <row r="125" spans="31:84" x14ac:dyDescent="0.3">
      <c r="BX125"/>
      <c r="CF125"/>
    </row>
    <row r="126" spans="31:84" x14ac:dyDescent="0.3">
      <c r="BX126"/>
      <c r="CF126"/>
    </row>
    <row r="127" spans="31:84" x14ac:dyDescent="0.3">
      <c r="BX127"/>
      <c r="CF127"/>
    </row>
    <row r="128" spans="31:84" x14ac:dyDescent="0.3">
      <c r="BX128"/>
      <c r="CF128"/>
    </row>
    <row r="129" spans="76:84" x14ac:dyDescent="0.3">
      <c r="BX129"/>
      <c r="CF129"/>
    </row>
    <row r="130" spans="76:84" x14ac:dyDescent="0.3">
      <c r="BX130"/>
      <c r="CF130"/>
    </row>
    <row r="131" spans="76:84" x14ac:dyDescent="0.3">
      <c r="BX131"/>
      <c r="CF131"/>
    </row>
    <row r="132" spans="76:84" x14ac:dyDescent="0.3">
      <c r="BX132"/>
      <c r="CF132"/>
    </row>
    <row r="133" spans="76:84" x14ac:dyDescent="0.3">
      <c r="BX133"/>
      <c r="CF133"/>
    </row>
    <row r="134" spans="76:84" x14ac:dyDescent="0.3">
      <c r="BX134"/>
      <c r="CF134"/>
    </row>
    <row r="135" spans="76:84" x14ac:dyDescent="0.3">
      <c r="BX135"/>
      <c r="CF135"/>
    </row>
    <row r="136" spans="76:84" x14ac:dyDescent="0.3">
      <c r="BX136"/>
      <c r="CF136"/>
    </row>
    <row r="137" spans="76:84" x14ac:dyDescent="0.3">
      <c r="BX137"/>
      <c r="CF137"/>
    </row>
    <row r="138" spans="76:84" x14ac:dyDescent="0.3">
      <c r="BX138"/>
      <c r="CF138"/>
    </row>
    <row r="139" spans="76:84" x14ac:dyDescent="0.3">
      <c r="BX139"/>
      <c r="CF139"/>
    </row>
    <row r="140" spans="76:84" x14ac:dyDescent="0.3">
      <c r="BX140"/>
      <c r="CF140"/>
    </row>
    <row r="141" spans="76:84" x14ac:dyDescent="0.3">
      <c r="BX141"/>
      <c r="CF141"/>
    </row>
    <row r="142" spans="76:84" x14ac:dyDescent="0.3">
      <c r="BX142"/>
      <c r="CF142"/>
    </row>
    <row r="143" spans="76:84" x14ac:dyDescent="0.3">
      <c r="BX143"/>
      <c r="CF143"/>
    </row>
    <row r="144" spans="76:84" x14ac:dyDescent="0.3">
      <c r="BX144"/>
      <c r="CF144"/>
    </row>
    <row r="145" spans="76:84" x14ac:dyDescent="0.3">
      <c r="BX145"/>
      <c r="CF145"/>
    </row>
    <row r="146" spans="76:84" x14ac:dyDescent="0.3">
      <c r="BX146"/>
      <c r="CF146"/>
    </row>
    <row r="147" spans="76:84" x14ac:dyDescent="0.3">
      <c r="BX147"/>
      <c r="CF147"/>
    </row>
    <row r="148" spans="76:84" x14ac:dyDescent="0.3">
      <c r="BX148"/>
      <c r="CF148"/>
    </row>
    <row r="149" spans="76:84" x14ac:dyDescent="0.3">
      <c r="BX149"/>
      <c r="CF149"/>
    </row>
    <row r="150" spans="76:84" x14ac:dyDescent="0.3">
      <c r="BX150"/>
      <c r="CF150"/>
    </row>
    <row r="151" spans="76:84" x14ac:dyDescent="0.3">
      <c r="BX151"/>
      <c r="CF151"/>
    </row>
    <row r="152" spans="76:84" x14ac:dyDescent="0.3">
      <c r="BX152"/>
      <c r="CF152"/>
    </row>
    <row r="153" spans="76:84" x14ac:dyDescent="0.3">
      <c r="BX153"/>
      <c r="CF153"/>
    </row>
    <row r="154" spans="76:84" x14ac:dyDescent="0.3">
      <c r="BX154"/>
      <c r="CF154"/>
    </row>
    <row r="155" spans="76:84" x14ac:dyDescent="0.3">
      <c r="BX155"/>
      <c r="CF155"/>
    </row>
    <row r="156" spans="76:84" x14ac:dyDescent="0.3">
      <c r="BX156"/>
      <c r="CF156"/>
    </row>
    <row r="157" spans="76:84" x14ac:dyDescent="0.3">
      <c r="BX157"/>
      <c r="CF157"/>
    </row>
    <row r="158" spans="76:84" x14ac:dyDescent="0.3">
      <c r="BX158"/>
      <c r="CF158"/>
    </row>
    <row r="159" spans="76:84" x14ac:dyDescent="0.3">
      <c r="BX159"/>
      <c r="CF159"/>
    </row>
    <row r="160" spans="76:84" x14ac:dyDescent="0.3">
      <c r="BX160"/>
      <c r="CF160"/>
    </row>
    <row r="161" spans="76:84" x14ac:dyDescent="0.3">
      <c r="BX161"/>
      <c r="CF161"/>
    </row>
    <row r="162" spans="76:84" x14ac:dyDescent="0.3">
      <c r="BX162"/>
      <c r="CF162"/>
    </row>
    <row r="163" spans="76:84" x14ac:dyDescent="0.3">
      <c r="BX163"/>
      <c r="CF163"/>
    </row>
    <row r="164" spans="76:84" x14ac:dyDescent="0.3">
      <c r="BX164"/>
      <c r="CF164"/>
    </row>
    <row r="165" spans="76:84" x14ac:dyDescent="0.3">
      <c r="BX165"/>
      <c r="CF165"/>
    </row>
    <row r="166" spans="76:84" x14ac:dyDescent="0.3">
      <c r="BX166"/>
      <c r="CF166"/>
    </row>
    <row r="167" spans="76:84" x14ac:dyDescent="0.3">
      <c r="BX167"/>
      <c r="CF167"/>
    </row>
    <row r="168" spans="76:84" x14ac:dyDescent="0.3">
      <c r="BX168"/>
      <c r="CF168"/>
    </row>
    <row r="169" spans="76:84" x14ac:dyDescent="0.3">
      <c r="BX169"/>
      <c r="CF169"/>
    </row>
    <row r="170" spans="76:84" x14ac:dyDescent="0.3">
      <c r="BX170"/>
      <c r="CF170"/>
    </row>
    <row r="171" spans="76:84" x14ac:dyDescent="0.3">
      <c r="BX171"/>
      <c r="CF171"/>
    </row>
    <row r="172" spans="76:84" x14ac:dyDescent="0.3">
      <c r="BX172"/>
      <c r="CF172"/>
    </row>
    <row r="173" spans="76:84" x14ac:dyDescent="0.3">
      <c r="BX173"/>
      <c r="CF173"/>
    </row>
    <row r="174" spans="76:84" x14ac:dyDescent="0.3">
      <c r="BX174"/>
      <c r="CF174"/>
    </row>
    <row r="175" spans="76:84" x14ac:dyDescent="0.3">
      <c r="BX175"/>
      <c r="CF175"/>
    </row>
    <row r="176" spans="76:84" x14ac:dyDescent="0.3">
      <c r="BX176"/>
      <c r="CF176"/>
    </row>
    <row r="177" spans="76:84" x14ac:dyDescent="0.3">
      <c r="BX177"/>
      <c r="CF177"/>
    </row>
    <row r="178" spans="76:84" x14ac:dyDescent="0.3">
      <c r="BX178"/>
      <c r="CF178"/>
    </row>
    <row r="179" spans="76:84" x14ac:dyDescent="0.3">
      <c r="BX179"/>
      <c r="CF179"/>
    </row>
    <row r="180" spans="76:84" x14ac:dyDescent="0.3">
      <c r="BX180"/>
      <c r="CF180"/>
    </row>
    <row r="181" spans="76:84" x14ac:dyDescent="0.3">
      <c r="BX181"/>
      <c r="CF181"/>
    </row>
    <row r="182" spans="76:84" x14ac:dyDescent="0.3">
      <c r="BX182"/>
      <c r="CF182"/>
    </row>
    <row r="183" spans="76:84" x14ac:dyDescent="0.3">
      <c r="BX183"/>
      <c r="CF183"/>
    </row>
    <row r="184" spans="76:84" x14ac:dyDescent="0.3">
      <c r="BX184"/>
      <c r="CF184"/>
    </row>
    <row r="185" spans="76:84" x14ac:dyDescent="0.3">
      <c r="BX185"/>
      <c r="CF185"/>
    </row>
    <row r="186" spans="76:84" x14ac:dyDescent="0.3">
      <c r="BX186"/>
      <c r="CF186"/>
    </row>
    <row r="187" spans="76:84" x14ac:dyDescent="0.3">
      <c r="BX187"/>
      <c r="CF187"/>
    </row>
    <row r="188" spans="76:84" x14ac:dyDescent="0.3">
      <c r="BX188"/>
      <c r="CF188"/>
    </row>
    <row r="189" spans="76:84" x14ac:dyDescent="0.3">
      <c r="BX189"/>
      <c r="CF189"/>
    </row>
    <row r="190" spans="76:84" x14ac:dyDescent="0.3">
      <c r="BX190"/>
      <c r="CF190"/>
    </row>
    <row r="191" spans="76:84" x14ac:dyDescent="0.3">
      <c r="BX191"/>
      <c r="CF191"/>
    </row>
    <row r="192" spans="76:84" x14ac:dyDescent="0.3">
      <c r="BX192"/>
      <c r="CF192"/>
    </row>
    <row r="193" spans="76:84" x14ac:dyDescent="0.3">
      <c r="BX193"/>
      <c r="CF193"/>
    </row>
    <row r="194" spans="76:84" x14ac:dyDescent="0.3">
      <c r="BX194"/>
      <c r="CF194"/>
    </row>
    <row r="195" spans="76:84" x14ac:dyDescent="0.3">
      <c r="BX195"/>
      <c r="CF195"/>
    </row>
    <row r="196" spans="76:84" x14ac:dyDescent="0.3">
      <c r="BX196"/>
      <c r="CF196"/>
    </row>
    <row r="197" spans="76:84" x14ac:dyDescent="0.3">
      <c r="BX197"/>
      <c r="CF197"/>
    </row>
    <row r="198" spans="76:84" x14ac:dyDescent="0.3">
      <c r="BX198"/>
      <c r="CF198"/>
    </row>
    <row r="199" spans="76:84" x14ac:dyDescent="0.3">
      <c r="BX199"/>
      <c r="CF199"/>
    </row>
    <row r="200" spans="76:84" x14ac:dyDescent="0.3">
      <c r="BX200"/>
      <c r="CF200"/>
    </row>
    <row r="201" spans="76:84" x14ac:dyDescent="0.3">
      <c r="BX201"/>
      <c r="CF201"/>
    </row>
    <row r="202" spans="76:84" x14ac:dyDescent="0.3">
      <c r="BX202"/>
      <c r="CF202"/>
    </row>
    <row r="203" spans="76:84" x14ac:dyDescent="0.3">
      <c r="BX203"/>
      <c r="CF203"/>
    </row>
    <row r="204" spans="76:84" x14ac:dyDescent="0.3">
      <c r="BX204"/>
      <c r="CF204"/>
    </row>
    <row r="205" spans="76:84" x14ac:dyDescent="0.3">
      <c r="BX205"/>
      <c r="CF205"/>
    </row>
    <row r="206" spans="76:84" x14ac:dyDescent="0.3">
      <c r="BX206"/>
      <c r="CF206"/>
    </row>
    <row r="207" spans="76:84" x14ac:dyDescent="0.3">
      <c r="BX207"/>
      <c r="CF207"/>
    </row>
    <row r="208" spans="76:84" x14ac:dyDescent="0.3">
      <c r="BX208"/>
      <c r="CF208"/>
    </row>
    <row r="209" spans="76:84" x14ac:dyDescent="0.3">
      <c r="BX209"/>
      <c r="CF209"/>
    </row>
    <row r="210" spans="76:84" x14ac:dyDescent="0.3">
      <c r="BX210"/>
      <c r="CF210"/>
    </row>
    <row r="211" spans="76:84" x14ac:dyDescent="0.3">
      <c r="BX211"/>
      <c r="CF211"/>
    </row>
    <row r="212" spans="76:84" x14ac:dyDescent="0.3">
      <c r="BX212"/>
      <c r="CF212"/>
    </row>
    <row r="213" spans="76:84" x14ac:dyDescent="0.3">
      <c r="BX213"/>
      <c r="CF213"/>
    </row>
    <row r="214" spans="76:84" x14ac:dyDescent="0.3">
      <c r="BX214"/>
      <c r="CF214"/>
    </row>
    <row r="215" spans="76:84" x14ac:dyDescent="0.3">
      <c r="BX215"/>
      <c r="CF215"/>
    </row>
    <row r="216" spans="76:84" x14ac:dyDescent="0.3">
      <c r="BX216"/>
      <c r="CF216"/>
    </row>
    <row r="217" spans="76:84" x14ac:dyDescent="0.3">
      <c r="BX217"/>
      <c r="CF217"/>
    </row>
  </sheetData>
  <conditionalFormatting sqref="Q2:Q102">
    <cfRule type="cellIs" dxfId="159" priority="45" operator="lessThan">
      <formula>0.8</formula>
    </cfRule>
    <cfRule type="cellIs" dxfId="158" priority="46" operator="greaterThan">
      <formula>1.2</formula>
    </cfRule>
  </conditionalFormatting>
  <conditionalFormatting sqref="U2:U102">
    <cfRule type="cellIs" dxfId="157" priority="43" operator="lessThan">
      <formula>0.8</formula>
    </cfRule>
    <cfRule type="cellIs" dxfId="156" priority="44" operator="greaterThan">
      <formula>1.2</formula>
    </cfRule>
  </conditionalFormatting>
  <conditionalFormatting sqref="Y2:Y102">
    <cfRule type="cellIs" dxfId="155" priority="41" operator="greaterThan">
      <formula>1.2</formula>
    </cfRule>
    <cfRule type="cellIs" dxfId="154" priority="42" operator="lessThan">
      <formula>0.8</formula>
    </cfRule>
  </conditionalFormatting>
  <conditionalFormatting sqref="AC2:AC102">
    <cfRule type="cellIs" dxfId="153" priority="39" operator="lessThan">
      <formula>0.8</formula>
    </cfRule>
    <cfRule type="cellIs" dxfId="152" priority="40" operator="greaterThan">
      <formula>1.2</formula>
    </cfRule>
  </conditionalFormatting>
  <conditionalFormatting sqref="AG2:AG102">
    <cfRule type="cellIs" dxfId="151" priority="37" operator="lessThan">
      <formula>0.8</formula>
    </cfRule>
    <cfRule type="cellIs" dxfId="150" priority="38" operator="greaterThan">
      <formula>1.2</formula>
    </cfRule>
  </conditionalFormatting>
  <conditionalFormatting sqref="AK2:AK102">
    <cfRule type="cellIs" dxfId="149" priority="35" operator="lessThan">
      <formula>0.8</formula>
    </cfRule>
    <cfRule type="cellIs" dxfId="148" priority="36" operator="greaterThan">
      <formula>1.2</formula>
    </cfRule>
  </conditionalFormatting>
  <conditionalFormatting sqref="AO2:AO102">
    <cfRule type="cellIs" dxfId="147" priority="33" operator="lessThan">
      <formula>0.8</formula>
    </cfRule>
    <cfRule type="cellIs" dxfId="146" priority="34" operator="greaterThan">
      <formula>1.2</formula>
    </cfRule>
  </conditionalFormatting>
  <conditionalFormatting sqref="AS2:AS102">
    <cfRule type="cellIs" dxfId="145" priority="31" operator="lessThan">
      <formula>0.8</formula>
    </cfRule>
    <cfRule type="cellIs" dxfId="144" priority="32" operator="greaterThan">
      <formula>1.2</formula>
    </cfRule>
  </conditionalFormatting>
  <conditionalFormatting sqref="AW2:AW102">
    <cfRule type="cellIs" dxfId="143" priority="29" operator="lessThan">
      <formula>0.8</formula>
    </cfRule>
    <cfRule type="cellIs" dxfId="142" priority="30" operator="greaterThan">
      <formula>1.2</formula>
    </cfRule>
  </conditionalFormatting>
  <conditionalFormatting sqref="BA2:BA102">
    <cfRule type="cellIs" dxfId="141" priority="27" operator="lessThan">
      <formula>0.8</formula>
    </cfRule>
    <cfRule type="cellIs" dxfId="140" priority="28" operator="greaterThan">
      <formula>1.2</formula>
    </cfRule>
  </conditionalFormatting>
  <conditionalFormatting sqref="BE2:BE102">
    <cfRule type="cellIs" dxfId="139" priority="25" operator="lessThan">
      <formula>0.8</formula>
    </cfRule>
    <cfRule type="cellIs" dxfId="138" priority="26" operator="greaterThan">
      <formula>1.2</formula>
    </cfRule>
  </conditionalFormatting>
  <conditionalFormatting sqref="BI2:BI102">
    <cfRule type="cellIs" dxfId="137" priority="23" operator="lessThan">
      <formula>0.8</formula>
    </cfRule>
    <cfRule type="cellIs" dxfId="136" priority="24" operator="greaterThan">
      <formula>1.2</formula>
    </cfRule>
  </conditionalFormatting>
  <conditionalFormatting sqref="BM2:BM102">
    <cfRule type="cellIs" dxfId="135" priority="21" operator="lessThan">
      <formula>0.8</formula>
    </cfRule>
    <cfRule type="cellIs" dxfId="134" priority="22" operator="greaterThan">
      <formula>1.2</formula>
    </cfRule>
  </conditionalFormatting>
  <conditionalFormatting sqref="BQ2:BQ102">
    <cfRule type="cellIs" dxfId="133" priority="19" operator="lessThan">
      <formula>0.8</formula>
    </cfRule>
    <cfRule type="cellIs" dxfId="132" priority="20" operator="greaterThan">
      <formula>1.2</formula>
    </cfRule>
  </conditionalFormatting>
  <conditionalFormatting sqref="BU2:BU102">
    <cfRule type="cellIs" dxfId="131" priority="17" operator="lessThan">
      <formula>0.8</formula>
    </cfRule>
    <cfRule type="cellIs" dxfId="130" priority="18" operator="greaterThan">
      <formula>1.2</formula>
    </cfRule>
  </conditionalFormatting>
  <conditionalFormatting sqref="BY2:BY102">
    <cfRule type="cellIs" dxfId="129" priority="15" operator="greaterThan">
      <formula>1.2</formula>
    </cfRule>
    <cfRule type="cellIs" dxfId="128" priority="16" operator="lessThan">
      <formula>0.8</formula>
    </cfRule>
  </conditionalFormatting>
  <conditionalFormatting sqref="CC2:CC102">
    <cfRule type="cellIs" dxfId="127" priority="13" operator="lessThan">
      <formula>0.8</formula>
    </cfRule>
    <cfRule type="cellIs" dxfId="126" priority="14" operator="greaterThan">
      <formula>1.2</formula>
    </cfRule>
  </conditionalFormatting>
  <conditionalFormatting sqref="CG2:CG102">
    <cfRule type="cellIs" dxfId="125" priority="11" operator="lessThan">
      <formula>0.8</formula>
    </cfRule>
    <cfRule type="cellIs" dxfId="124" priority="12" operator="greaterThan">
      <formula>1.2</formula>
    </cfRule>
  </conditionalFormatting>
  <conditionalFormatting sqref="CK2:CK102">
    <cfRule type="cellIs" dxfId="123" priority="9" operator="greaterThan">
      <formula>1.2</formula>
    </cfRule>
    <cfRule type="cellIs" dxfId="122" priority="10" operator="lessThan">
      <formula>0.8</formula>
    </cfRule>
  </conditionalFormatting>
  <conditionalFormatting sqref="CO2:CO102">
    <cfRule type="cellIs" dxfId="121" priority="7" operator="lessThan">
      <formula>0.8</formula>
    </cfRule>
    <cfRule type="cellIs" dxfId="120" priority="8" operator="greaterThan">
      <formula>1.2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42"/>
  <sheetViews>
    <sheetView zoomScale="85" zoomScaleNormal="85" workbookViewId="0">
      <selection activeCell="E36" sqref="E36"/>
    </sheetView>
  </sheetViews>
  <sheetFormatPr defaultRowHeight="14.4" x14ac:dyDescent="0.3"/>
  <cols>
    <col min="3" max="3" width="11" customWidth="1"/>
    <col min="4" max="4" width="10.88671875" customWidth="1"/>
    <col min="5" max="5" width="10.88671875" bestFit="1" customWidth="1"/>
    <col min="6" max="6" width="12.5546875" bestFit="1" customWidth="1"/>
    <col min="7" max="7" width="17.5546875" bestFit="1" customWidth="1"/>
    <col min="8" max="8" width="12" customWidth="1"/>
    <col min="9" max="9" width="9.109375" customWidth="1"/>
  </cols>
  <sheetData>
    <row r="1" spans="1:11" x14ac:dyDescent="0.3">
      <c r="B1" t="s">
        <v>112</v>
      </c>
      <c r="C1" t="s">
        <v>126</v>
      </c>
      <c r="D1" t="s">
        <v>113</v>
      </c>
      <c r="E1" t="s">
        <v>114</v>
      </c>
      <c r="F1" t="s">
        <v>171</v>
      </c>
      <c r="G1" t="s">
        <v>170</v>
      </c>
      <c r="H1" t="s">
        <v>117</v>
      </c>
      <c r="I1" t="s">
        <v>119</v>
      </c>
      <c r="J1" t="s">
        <v>290</v>
      </c>
      <c r="K1" t="s">
        <v>150</v>
      </c>
    </row>
    <row r="2" spans="1:11" x14ac:dyDescent="0.3">
      <c r="A2" t="s">
        <v>176</v>
      </c>
      <c r="B2" t="s">
        <v>115</v>
      </c>
      <c r="C2" t="s">
        <v>162</v>
      </c>
      <c r="D2" t="s">
        <v>124</v>
      </c>
      <c r="E2" t="s">
        <v>122</v>
      </c>
      <c r="F2" t="s">
        <v>291</v>
      </c>
      <c r="G2" t="s">
        <v>292</v>
      </c>
      <c r="H2" t="s">
        <v>118</v>
      </c>
      <c r="I2" t="s">
        <v>120</v>
      </c>
      <c r="J2" t="s">
        <v>121</v>
      </c>
      <c r="K2" t="s">
        <v>161</v>
      </c>
    </row>
    <row r="3" spans="1:11" x14ac:dyDescent="0.3">
      <c r="A3" t="s">
        <v>181</v>
      </c>
      <c r="B3" t="s">
        <v>115</v>
      </c>
      <c r="C3" t="s">
        <v>162</v>
      </c>
      <c r="D3" t="s">
        <v>124</v>
      </c>
      <c r="E3" t="s">
        <v>116</v>
      </c>
      <c r="F3" t="s">
        <v>291</v>
      </c>
      <c r="G3" t="s">
        <v>292</v>
      </c>
      <c r="H3" t="s">
        <v>118</v>
      </c>
      <c r="I3" t="s">
        <v>120</v>
      </c>
      <c r="J3" t="s">
        <v>121</v>
      </c>
      <c r="K3" t="s">
        <v>161</v>
      </c>
    </row>
    <row r="4" spans="1:11" x14ac:dyDescent="0.3">
      <c r="A4" t="s">
        <v>273</v>
      </c>
      <c r="B4" t="s">
        <v>115</v>
      </c>
      <c r="C4" t="s">
        <v>162</v>
      </c>
      <c r="D4" t="s">
        <v>160</v>
      </c>
      <c r="E4" t="s">
        <v>122</v>
      </c>
      <c r="F4" t="s">
        <v>172</v>
      </c>
      <c r="G4" t="s">
        <v>173</v>
      </c>
      <c r="H4" t="s">
        <v>118</v>
      </c>
      <c r="I4" t="s">
        <v>120</v>
      </c>
      <c r="J4" t="s">
        <v>121</v>
      </c>
      <c r="K4" t="s">
        <v>161</v>
      </c>
    </row>
    <row r="5" spans="1:11" x14ac:dyDescent="0.3">
      <c r="A5" t="s">
        <v>274</v>
      </c>
      <c r="B5" t="s">
        <v>115</v>
      </c>
      <c r="C5" t="s">
        <v>162</v>
      </c>
      <c r="D5" t="s">
        <v>124</v>
      </c>
      <c r="E5" t="s">
        <v>116</v>
      </c>
      <c r="F5" t="s">
        <v>172</v>
      </c>
      <c r="G5" t="s">
        <v>173</v>
      </c>
      <c r="H5" t="s">
        <v>118</v>
      </c>
      <c r="I5" t="s">
        <v>120</v>
      </c>
      <c r="J5" t="s">
        <v>121</v>
      </c>
      <c r="K5" t="s">
        <v>161</v>
      </c>
    </row>
    <row r="6" spans="1:11" x14ac:dyDescent="0.3">
      <c r="A6" t="s">
        <v>275</v>
      </c>
      <c r="B6" t="s">
        <v>115</v>
      </c>
      <c r="C6" t="s">
        <v>162</v>
      </c>
      <c r="D6" t="s">
        <v>124</v>
      </c>
      <c r="E6" t="s">
        <v>122</v>
      </c>
      <c r="F6" t="s">
        <v>172</v>
      </c>
      <c r="G6" t="s">
        <v>173</v>
      </c>
      <c r="H6" t="s">
        <v>118</v>
      </c>
      <c r="I6" t="s">
        <v>120</v>
      </c>
      <c r="J6" t="s">
        <v>121</v>
      </c>
      <c r="K6" t="s">
        <v>151</v>
      </c>
    </row>
    <row r="7" spans="1:11" x14ac:dyDescent="0.3">
      <c r="A7" t="s">
        <v>276</v>
      </c>
      <c r="B7" t="s">
        <v>115</v>
      </c>
      <c r="C7" t="s">
        <v>162</v>
      </c>
      <c r="D7" t="s">
        <v>124</v>
      </c>
      <c r="E7" t="s">
        <v>116</v>
      </c>
      <c r="F7" t="s">
        <v>172</v>
      </c>
      <c r="G7" t="s">
        <v>173</v>
      </c>
      <c r="H7" t="s">
        <v>118</v>
      </c>
      <c r="I7" t="s">
        <v>120</v>
      </c>
      <c r="J7" t="s">
        <v>121</v>
      </c>
      <c r="K7" t="s">
        <v>151</v>
      </c>
    </row>
    <row r="8" spans="1:11" x14ac:dyDescent="0.3">
      <c r="A8" t="s">
        <v>277</v>
      </c>
      <c r="B8" t="s">
        <v>115</v>
      </c>
      <c r="C8" t="s">
        <v>162</v>
      </c>
      <c r="D8" t="s">
        <v>124</v>
      </c>
      <c r="E8" t="s">
        <v>116</v>
      </c>
      <c r="F8" t="s">
        <v>172</v>
      </c>
      <c r="G8" t="s">
        <v>163</v>
      </c>
      <c r="H8" t="s">
        <v>118</v>
      </c>
      <c r="I8" t="s">
        <v>120</v>
      </c>
      <c r="J8" t="s">
        <v>121</v>
      </c>
      <c r="K8" t="s">
        <v>161</v>
      </c>
    </row>
    <row r="9" spans="1:11" x14ac:dyDescent="0.3">
      <c r="A9" t="s">
        <v>278</v>
      </c>
      <c r="B9" t="s">
        <v>115</v>
      </c>
      <c r="C9" t="s">
        <v>162</v>
      </c>
      <c r="D9" t="s">
        <v>124</v>
      </c>
      <c r="E9" t="s">
        <v>122</v>
      </c>
      <c r="F9" t="s">
        <v>172</v>
      </c>
      <c r="G9" t="s">
        <v>163</v>
      </c>
      <c r="H9" t="s">
        <v>118</v>
      </c>
      <c r="I9" t="s">
        <v>120</v>
      </c>
      <c r="J9" t="s">
        <v>121</v>
      </c>
      <c r="K9" t="s">
        <v>161</v>
      </c>
    </row>
    <row r="10" spans="1:11" x14ac:dyDescent="0.3">
      <c r="A10" t="s">
        <v>279</v>
      </c>
      <c r="B10" t="s">
        <v>164</v>
      </c>
      <c r="C10" t="s">
        <v>162</v>
      </c>
      <c r="D10" t="s">
        <v>124</v>
      </c>
      <c r="E10" t="s">
        <v>122</v>
      </c>
      <c r="F10" t="s">
        <v>172</v>
      </c>
      <c r="G10" t="s">
        <v>173</v>
      </c>
      <c r="H10" t="s">
        <v>118</v>
      </c>
      <c r="I10" t="s">
        <v>120</v>
      </c>
      <c r="J10" t="s">
        <v>121</v>
      </c>
      <c r="K10" t="s">
        <v>161</v>
      </c>
    </row>
    <row r="11" spans="1:11" x14ac:dyDescent="0.3">
      <c r="A11" t="s">
        <v>280</v>
      </c>
      <c r="B11" t="s">
        <v>123</v>
      </c>
      <c r="C11" t="s">
        <v>162</v>
      </c>
      <c r="D11" t="s">
        <v>124</v>
      </c>
      <c r="E11" t="s">
        <v>116</v>
      </c>
      <c r="F11" t="s">
        <v>172</v>
      </c>
      <c r="G11" t="s">
        <v>173</v>
      </c>
      <c r="H11" t="s">
        <v>118</v>
      </c>
      <c r="I11" t="s">
        <v>120</v>
      </c>
      <c r="J11" t="s">
        <v>121</v>
      </c>
      <c r="K11" t="s">
        <v>161</v>
      </c>
    </row>
    <row r="12" spans="1:11" x14ac:dyDescent="0.3">
      <c r="A12" t="s">
        <v>281</v>
      </c>
      <c r="B12" t="s">
        <v>115</v>
      </c>
      <c r="C12" t="s">
        <v>162</v>
      </c>
      <c r="D12" t="s">
        <v>124</v>
      </c>
      <c r="E12" t="s">
        <v>122</v>
      </c>
      <c r="F12" t="s">
        <v>172</v>
      </c>
      <c r="G12" t="s">
        <v>173</v>
      </c>
      <c r="H12" t="s">
        <v>118</v>
      </c>
      <c r="I12" t="s">
        <v>120</v>
      </c>
      <c r="J12" t="s">
        <v>121</v>
      </c>
      <c r="K12" t="s">
        <v>165</v>
      </c>
    </row>
    <row r="13" spans="1:11" x14ac:dyDescent="0.3">
      <c r="A13" t="s">
        <v>282</v>
      </c>
      <c r="B13" t="s">
        <v>164</v>
      </c>
      <c r="C13" t="s">
        <v>162</v>
      </c>
      <c r="D13" t="s">
        <v>124</v>
      </c>
      <c r="E13" t="s">
        <v>116</v>
      </c>
      <c r="F13" t="s">
        <v>172</v>
      </c>
      <c r="G13" t="s">
        <v>173</v>
      </c>
      <c r="H13" t="s">
        <v>118</v>
      </c>
      <c r="I13" t="s">
        <v>120</v>
      </c>
      <c r="J13" t="s">
        <v>121</v>
      </c>
      <c r="K13" t="s">
        <v>161</v>
      </c>
    </row>
    <row r="14" spans="1:11" x14ac:dyDescent="0.3">
      <c r="A14" t="s">
        <v>283</v>
      </c>
      <c r="B14" t="s">
        <v>166</v>
      </c>
      <c r="C14" t="s">
        <v>162</v>
      </c>
      <c r="D14" t="s">
        <v>124</v>
      </c>
      <c r="E14" t="s">
        <v>122</v>
      </c>
      <c r="F14" t="s">
        <v>172</v>
      </c>
      <c r="G14" t="s">
        <v>173</v>
      </c>
      <c r="H14" t="s">
        <v>118</v>
      </c>
      <c r="I14" t="s">
        <v>120</v>
      </c>
      <c r="J14" t="s">
        <v>121</v>
      </c>
      <c r="K14" t="s">
        <v>161</v>
      </c>
    </row>
    <row r="15" spans="1:11" x14ac:dyDescent="0.3">
      <c r="A15" t="s">
        <v>284</v>
      </c>
      <c r="B15" t="s">
        <v>115</v>
      </c>
      <c r="C15" t="s">
        <v>162</v>
      </c>
      <c r="D15" t="s">
        <v>160</v>
      </c>
      <c r="E15" t="s">
        <v>122</v>
      </c>
      <c r="F15" t="s">
        <v>172</v>
      </c>
      <c r="G15" t="s">
        <v>173</v>
      </c>
      <c r="H15" t="s">
        <v>118</v>
      </c>
      <c r="I15" t="s">
        <v>120</v>
      </c>
      <c r="J15" t="s">
        <v>167</v>
      </c>
      <c r="K15" t="s">
        <v>168</v>
      </c>
    </row>
    <row r="16" spans="1:11" x14ac:dyDescent="0.3">
      <c r="A16" t="s">
        <v>285</v>
      </c>
      <c r="B16" t="s">
        <v>115</v>
      </c>
      <c r="C16" t="s">
        <v>162</v>
      </c>
      <c r="D16" t="s">
        <v>124</v>
      </c>
      <c r="E16" t="s">
        <v>116</v>
      </c>
      <c r="F16" t="s">
        <v>172</v>
      </c>
      <c r="G16" t="s">
        <v>173</v>
      </c>
      <c r="H16" t="s">
        <v>118</v>
      </c>
      <c r="I16" t="s">
        <v>120</v>
      </c>
      <c r="J16" t="s">
        <v>167</v>
      </c>
      <c r="K16" t="s">
        <v>168</v>
      </c>
    </row>
    <row r="17" spans="1:11" x14ac:dyDescent="0.3">
      <c r="A17" t="s">
        <v>286</v>
      </c>
      <c r="B17" t="s">
        <v>115</v>
      </c>
      <c r="C17" t="s">
        <v>162</v>
      </c>
      <c r="D17" t="s">
        <v>160</v>
      </c>
      <c r="E17" t="s">
        <v>122</v>
      </c>
      <c r="F17" t="s">
        <v>172</v>
      </c>
      <c r="G17" t="s">
        <v>163</v>
      </c>
      <c r="H17" t="s">
        <v>118</v>
      </c>
      <c r="I17" t="s">
        <v>120</v>
      </c>
      <c r="J17" t="s">
        <v>167</v>
      </c>
      <c r="K17" t="s">
        <v>161</v>
      </c>
    </row>
    <row r="18" spans="1:11" ht="18" customHeight="1" x14ac:dyDescent="0.3">
      <c r="A18" t="s">
        <v>287</v>
      </c>
      <c r="B18" t="s">
        <v>115</v>
      </c>
      <c r="C18" t="s">
        <v>162</v>
      </c>
      <c r="D18" t="s">
        <v>124</v>
      </c>
      <c r="E18" t="s">
        <v>116</v>
      </c>
      <c r="F18" t="s">
        <v>172</v>
      </c>
      <c r="G18" t="s">
        <v>163</v>
      </c>
      <c r="H18" t="s">
        <v>118</v>
      </c>
      <c r="I18" t="s">
        <v>120</v>
      </c>
      <c r="J18" t="s">
        <v>167</v>
      </c>
      <c r="K18" t="s">
        <v>161</v>
      </c>
    </row>
    <row r="19" spans="1:11" x14ac:dyDescent="0.3">
      <c r="A19" t="s">
        <v>288</v>
      </c>
      <c r="B19" t="s">
        <v>115</v>
      </c>
      <c r="C19" t="s">
        <v>162</v>
      </c>
      <c r="D19" t="s">
        <v>124</v>
      </c>
      <c r="E19" t="s">
        <v>116</v>
      </c>
      <c r="F19" t="s">
        <v>174</v>
      </c>
      <c r="G19" t="s">
        <v>163</v>
      </c>
      <c r="H19" t="s">
        <v>118</v>
      </c>
      <c r="I19" t="s">
        <v>120</v>
      </c>
      <c r="J19" t="s">
        <v>167</v>
      </c>
      <c r="K19" t="s">
        <v>161</v>
      </c>
    </row>
    <row r="20" spans="1:11" x14ac:dyDescent="0.3">
      <c r="A20" t="s">
        <v>289</v>
      </c>
      <c r="B20" t="s">
        <v>115</v>
      </c>
      <c r="C20" t="s">
        <v>162</v>
      </c>
      <c r="D20" t="s">
        <v>124</v>
      </c>
      <c r="E20" t="s">
        <v>122</v>
      </c>
      <c r="F20" t="s">
        <v>174</v>
      </c>
      <c r="G20" t="s">
        <v>163</v>
      </c>
      <c r="H20" t="s">
        <v>118</v>
      </c>
      <c r="I20" t="s">
        <v>120</v>
      </c>
      <c r="J20" t="s">
        <v>167</v>
      </c>
      <c r="K20" t="s">
        <v>161</v>
      </c>
    </row>
    <row r="28" spans="1:11" ht="15.75" customHeight="1" x14ac:dyDescent="0.3"/>
    <row r="33" spans="5:21" x14ac:dyDescent="0.3">
      <c r="G33" s="11"/>
    </row>
    <row r="34" spans="5:21" x14ac:dyDescent="0.3">
      <c r="G34" s="11"/>
    </row>
    <row r="35" spans="5:21" x14ac:dyDescent="0.3">
      <c r="G35" s="11"/>
      <c r="U35" s="14"/>
    </row>
    <row r="36" spans="5:21" x14ac:dyDescent="0.3">
      <c r="E36" s="11"/>
      <c r="F36" s="11"/>
      <c r="G36" s="16"/>
      <c r="U36" s="14"/>
    </row>
    <row r="37" spans="5:21" x14ac:dyDescent="0.3">
      <c r="E37" s="11"/>
      <c r="F37" s="11"/>
      <c r="G37" s="11"/>
      <c r="N37" s="12"/>
      <c r="Q37" s="11"/>
      <c r="S37" s="12"/>
      <c r="U37" s="14"/>
    </row>
    <row r="38" spans="5:21" x14ac:dyDescent="0.3">
      <c r="E38" s="11"/>
      <c r="F38" s="11"/>
      <c r="G38" s="11"/>
      <c r="N38" s="12"/>
      <c r="S38" s="12"/>
      <c r="U38" s="14"/>
    </row>
    <row r="39" spans="5:21" x14ac:dyDescent="0.3">
      <c r="G39" s="15"/>
      <c r="N39" s="12"/>
      <c r="Q39" s="11"/>
      <c r="S39" s="12"/>
      <c r="U39" s="14"/>
    </row>
    <row r="40" spans="5:21" x14ac:dyDescent="0.3">
      <c r="G40" s="11"/>
      <c r="N40" s="12"/>
      <c r="S40" s="12"/>
      <c r="U40" s="14"/>
    </row>
    <row r="41" spans="5:21" x14ac:dyDescent="0.3">
      <c r="G41" s="16"/>
      <c r="N41" s="12"/>
      <c r="S41" s="13"/>
      <c r="U41" s="14"/>
    </row>
    <row r="42" spans="5:21" x14ac:dyDescent="0.3">
      <c r="U42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DATA</vt:lpstr>
      <vt:lpstr>Strategies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2020-04-14T10:20:15Z</dcterms:modified>
</cp:coreProperties>
</file>