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1^J thesis follow-up/Manuscript bi-enzymatic cascade/Figures/"/>
    </mc:Choice>
  </mc:AlternateContent>
  <xr:revisionPtr revIDLastSave="192" documentId="8_{9E056985-E41F-4DC1-9DC8-E22B0D95393F}" xr6:coauthVersionLast="47" xr6:coauthVersionMax="47" xr10:uidLastSave="{C5AEC878-2196-4036-B1FF-EEE83C344913}"/>
  <bookViews>
    <workbookView xWindow="14400" yWindow="0" windowWidth="14400" windowHeight="15600" firstSheet="4" activeTab="5" xr2:uid="{00000000-000D-0000-FFFF-FFFF00000000}"/>
  </bookViews>
  <sheets>
    <sheet name="screening - plans de plaque" sheetId="1" r:id="rId1"/>
    <sheet name="Résultats C3UMY1" sheetId="3" r:id="rId2"/>
    <sheet name="Résultats plaque 2 UV - MS" sheetId="4" r:id="rId3"/>
    <sheet name="Tests sur B et C" sheetId="5" r:id="rId4"/>
    <sheet name="bilan pour publi" sheetId="6" r:id="rId5"/>
    <sheet name="dissertation edit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1" i="1" l="1"/>
  <c r="AA224" i="6" l="1"/>
  <c r="Y224" i="6"/>
  <c r="X224" i="6"/>
  <c r="W224" i="6"/>
  <c r="V224" i="6"/>
  <c r="U224" i="6"/>
  <c r="S224" i="6"/>
  <c r="M224" i="6"/>
  <c r="S223" i="6"/>
  <c r="O223" i="6"/>
  <c r="N223" i="6"/>
  <c r="M223" i="6"/>
  <c r="S222" i="6"/>
  <c r="O222" i="6"/>
  <c r="N222" i="6"/>
  <c r="M222" i="6"/>
  <c r="AA221" i="6"/>
  <c r="Y221" i="6"/>
  <c r="X221" i="6"/>
  <c r="W221" i="6"/>
  <c r="V221" i="6"/>
  <c r="S221" i="6"/>
  <c r="O221" i="6"/>
  <c r="N221" i="6"/>
  <c r="M221" i="6"/>
  <c r="AA220" i="6"/>
  <c r="Y220" i="6"/>
  <c r="X220" i="6"/>
  <c r="W220" i="6"/>
  <c r="V220" i="6"/>
  <c r="S220" i="6"/>
  <c r="O220" i="6"/>
  <c r="N220" i="6"/>
  <c r="M220" i="6"/>
  <c r="AA219" i="6"/>
  <c r="Y219" i="6"/>
  <c r="X219" i="6"/>
  <c r="W219" i="6"/>
  <c r="V219" i="6"/>
  <c r="AA218" i="6"/>
  <c r="Y218" i="6"/>
  <c r="X218" i="6"/>
  <c r="W218" i="6"/>
  <c r="V218" i="6"/>
  <c r="Y217" i="6"/>
  <c r="X217" i="6"/>
  <c r="W217" i="6"/>
  <c r="V217" i="6"/>
  <c r="AA216" i="6"/>
  <c r="Y216" i="6"/>
  <c r="X216" i="6"/>
  <c r="W216" i="6"/>
  <c r="V216" i="6"/>
  <c r="U216" i="6"/>
  <c r="AA215" i="6"/>
  <c r="Y215" i="6"/>
  <c r="X215" i="6"/>
  <c r="W215" i="6"/>
  <c r="V215" i="6"/>
  <c r="AA214" i="6"/>
  <c r="Y214" i="6"/>
  <c r="X214" i="6"/>
  <c r="W214" i="6"/>
  <c r="V214" i="6"/>
  <c r="AA213" i="6"/>
  <c r="Y213" i="6"/>
  <c r="X213" i="6"/>
  <c r="W213" i="6"/>
  <c r="V213" i="6"/>
  <c r="C213" i="6"/>
  <c r="AA212" i="6"/>
  <c r="Y212" i="6"/>
  <c r="X212" i="6"/>
  <c r="W212" i="6"/>
  <c r="V212" i="6"/>
  <c r="AA150" i="6"/>
  <c r="Z150" i="6"/>
  <c r="X150" i="6"/>
  <c r="W150" i="6"/>
  <c r="AA149" i="6"/>
  <c r="Z149" i="6"/>
  <c r="X149" i="6"/>
  <c r="W149" i="6"/>
  <c r="I149" i="6"/>
  <c r="H149" i="6"/>
  <c r="F149" i="6"/>
  <c r="E149" i="6"/>
  <c r="AA148" i="6"/>
  <c r="Z148" i="6"/>
  <c r="X148" i="6"/>
  <c r="W148" i="6"/>
  <c r="I148" i="6"/>
  <c r="H148" i="6"/>
  <c r="F148" i="6"/>
  <c r="E148" i="6"/>
  <c r="AA147" i="6"/>
  <c r="Z147" i="6"/>
  <c r="X147" i="6"/>
  <c r="W147" i="6"/>
  <c r="I147" i="6"/>
  <c r="H147" i="6"/>
  <c r="F147" i="6"/>
  <c r="E147" i="6"/>
  <c r="AA146" i="6"/>
  <c r="Z146" i="6"/>
  <c r="X146" i="6"/>
  <c r="W146" i="6"/>
  <c r="I146" i="6"/>
  <c r="H146" i="6"/>
  <c r="F146" i="6"/>
  <c r="E146" i="6"/>
  <c r="AA145" i="6"/>
  <c r="Z145" i="6"/>
  <c r="X145" i="6"/>
  <c r="W145" i="6"/>
  <c r="I145" i="6"/>
  <c r="H145" i="6"/>
  <c r="F145" i="6"/>
  <c r="E145" i="6"/>
  <c r="AA144" i="6"/>
  <c r="Z144" i="6"/>
  <c r="X144" i="6"/>
  <c r="W144" i="6"/>
  <c r="I144" i="6"/>
  <c r="H144" i="6"/>
  <c r="F144" i="6"/>
  <c r="E144" i="6"/>
  <c r="AA143" i="6"/>
  <c r="Z143" i="6"/>
  <c r="X143" i="6"/>
  <c r="W143" i="6"/>
  <c r="I143" i="6"/>
  <c r="H143" i="6"/>
  <c r="F143" i="6"/>
  <c r="E143" i="6"/>
  <c r="AA142" i="6"/>
  <c r="Z142" i="6"/>
  <c r="X142" i="6"/>
  <c r="W142" i="6"/>
  <c r="I142" i="6"/>
  <c r="H142" i="6"/>
  <c r="F142" i="6"/>
  <c r="E142" i="6"/>
  <c r="AA141" i="6"/>
  <c r="Z141" i="6"/>
  <c r="X141" i="6"/>
  <c r="W141" i="6"/>
  <c r="I141" i="6"/>
  <c r="H141" i="6"/>
  <c r="F141" i="6"/>
  <c r="E141" i="6"/>
  <c r="I140" i="6"/>
  <c r="H140" i="6"/>
  <c r="F140" i="6"/>
  <c r="E140" i="6"/>
  <c r="I139" i="6"/>
  <c r="F139" i="6"/>
  <c r="H135" i="6"/>
  <c r="F135" i="6"/>
  <c r="H134" i="6"/>
  <c r="F134" i="6"/>
  <c r="H133" i="6"/>
  <c r="F133" i="6"/>
  <c r="H132" i="6"/>
  <c r="F132" i="6"/>
  <c r="Y131" i="6"/>
  <c r="X131" i="6"/>
  <c r="Y130" i="6"/>
  <c r="X130" i="6"/>
  <c r="F130" i="6"/>
  <c r="Y129" i="6"/>
  <c r="X129" i="6"/>
  <c r="F129" i="6"/>
  <c r="Y128" i="6"/>
  <c r="X128" i="6"/>
  <c r="F128" i="6"/>
  <c r="X127" i="6"/>
  <c r="F127" i="6"/>
  <c r="W113" i="6"/>
  <c r="W112" i="6"/>
  <c r="W111" i="6"/>
  <c r="W110" i="6"/>
  <c r="F110" i="6"/>
  <c r="W108" i="6"/>
  <c r="W106" i="6"/>
  <c r="W105" i="6"/>
  <c r="F103" i="6"/>
  <c r="F102" i="6"/>
  <c r="F101" i="6"/>
  <c r="F100" i="6"/>
  <c r="F99" i="6"/>
  <c r="AA68" i="6"/>
  <c r="AH76" i="6" s="1"/>
  <c r="AI76" i="6" s="1"/>
  <c r="AA67" i="6"/>
  <c r="AH75" i="6" s="1"/>
  <c r="AI75" i="6" s="1"/>
  <c r="AA66" i="6"/>
  <c r="AH74" i="6" s="1"/>
  <c r="AI74" i="6" s="1"/>
  <c r="AA65" i="6"/>
  <c r="AH73" i="6" s="1"/>
  <c r="AI73" i="6" s="1"/>
  <c r="G73" i="6"/>
  <c r="F73" i="6"/>
  <c r="AA64" i="6"/>
  <c r="AH72" i="6" s="1"/>
  <c r="AI72" i="6" s="1"/>
  <c r="Y72" i="6"/>
  <c r="AH67" i="6" s="1"/>
  <c r="AI67" i="6" s="1"/>
  <c r="G72" i="6"/>
  <c r="F72" i="6"/>
  <c r="AA63" i="6"/>
  <c r="AH71" i="6" s="1"/>
  <c r="AI71" i="6" s="1"/>
  <c r="AA71" i="6"/>
  <c r="Y71" i="6"/>
  <c r="G71" i="6"/>
  <c r="F71" i="6"/>
  <c r="AA62" i="6"/>
  <c r="AH70" i="6" s="1"/>
  <c r="AI70" i="6" s="1"/>
  <c r="AA70" i="6"/>
  <c r="Y70" i="6"/>
  <c r="G70" i="6"/>
  <c r="F70" i="6"/>
  <c r="AA61" i="6"/>
  <c r="AH69" i="6" s="1"/>
  <c r="AI69" i="6" s="1"/>
  <c r="AA69" i="6"/>
  <c r="Y69" i="6"/>
  <c r="G69" i="6"/>
  <c r="F69" i="6"/>
  <c r="AA60" i="6"/>
  <c r="AH68" i="6" s="1"/>
  <c r="AI68" i="6" s="1"/>
  <c r="Y68" i="6"/>
  <c r="G68" i="6"/>
  <c r="F68" i="6"/>
  <c r="Y67" i="6"/>
  <c r="G67" i="6"/>
  <c r="F67" i="6"/>
  <c r="AI66" i="6"/>
  <c r="Y66" i="6"/>
  <c r="G66" i="6"/>
  <c r="F66" i="6"/>
  <c r="AI65" i="6"/>
  <c r="Y65" i="6"/>
  <c r="G65" i="6"/>
  <c r="F65" i="6"/>
  <c r="AI64" i="6"/>
  <c r="Y64" i="6"/>
  <c r="G64" i="6"/>
  <c r="F64" i="6"/>
  <c r="AI63" i="6"/>
  <c r="Y63" i="6"/>
  <c r="G63" i="6"/>
  <c r="F63" i="6"/>
  <c r="AI62" i="6"/>
  <c r="Y62" i="6"/>
  <c r="Y61" i="6"/>
  <c r="Y60" i="6"/>
  <c r="W51" i="6"/>
  <c r="V51" i="6"/>
  <c r="F51" i="6"/>
  <c r="E51" i="6"/>
  <c r="W50" i="6"/>
  <c r="V50" i="6"/>
  <c r="F50" i="6"/>
  <c r="E50" i="6"/>
  <c r="W49" i="6"/>
  <c r="V49" i="6"/>
  <c r="F49" i="6"/>
  <c r="E49" i="6"/>
  <c r="W48" i="6"/>
  <c r="V48" i="6"/>
  <c r="F48" i="6"/>
  <c r="E48" i="6"/>
  <c r="F47" i="6"/>
  <c r="I35" i="6"/>
  <c r="G35" i="6"/>
  <c r="I34" i="6"/>
  <c r="G34" i="6"/>
  <c r="I33" i="6"/>
  <c r="G33" i="6"/>
  <c r="I32" i="6"/>
  <c r="G32" i="6"/>
  <c r="I31" i="6"/>
  <c r="G31" i="6"/>
  <c r="I30" i="6"/>
  <c r="G30" i="6"/>
  <c r="I29" i="6"/>
  <c r="G29" i="6"/>
  <c r="I28" i="6"/>
  <c r="G28" i="6"/>
  <c r="Z27" i="6"/>
  <c r="X27" i="6"/>
  <c r="I27" i="6"/>
  <c r="G27" i="6"/>
  <c r="Z26" i="6"/>
  <c r="X26" i="6"/>
  <c r="I26" i="6"/>
  <c r="G26" i="6"/>
  <c r="Z25" i="6"/>
  <c r="X25" i="6"/>
  <c r="I25" i="6"/>
  <c r="G25" i="6"/>
  <c r="Z24" i="6"/>
  <c r="X24" i="6"/>
  <c r="E24" i="6"/>
  <c r="Z23" i="6"/>
  <c r="X23" i="6"/>
  <c r="E23" i="6"/>
  <c r="Z22" i="6"/>
  <c r="X22" i="6"/>
  <c r="E22" i="6"/>
  <c r="Z21" i="6"/>
  <c r="X21" i="6"/>
  <c r="E21" i="6"/>
  <c r="Z20" i="6"/>
  <c r="X20" i="6"/>
  <c r="Z19" i="6"/>
  <c r="X19" i="6"/>
  <c r="Z18" i="6"/>
  <c r="X18" i="6"/>
  <c r="V16" i="6"/>
  <c r="V15" i="6"/>
  <c r="V14" i="6"/>
  <c r="V13" i="6"/>
  <c r="C213" i="4"/>
  <c r="F84" i="5"/>
  <c r="G84" i="5" s="1"/>
  <c r="D84" i="5"/>
  <c r="F83" i="5"/>
  <c r="G83" i="5" s="1"/>
  <c r="D83" i="5"/>
  <c r="F82" i="5"/>
  <c r="D82" i="5"/>
  <c r="G82" i="5" s="1"/>
  <c r="F81" i="5"/>
  <c r="D81" i="5"/>
  <c r="G81" i="5" s="1"/>
  <c r="G70" i="5"/>
  <c r="I37" i="5"/>
  <c r="I38" i="5"/>
  <c r="I39" i="5"/>
  <c r="I40" i="5"/>
  <c r="I41" i="5"/>
  <c r="I42" i="5"/>
  <c r="I43" i="5"/>
  <c r="I44" i="5"/>
  <c r="I36" i="5"/>
  <c r="F70" i="5"/>
  <c r="F73" i="5"/>
  <c r="D73" i="5"/>
  <c r="G73" i="5" s="1"/>
  <c r="F72" i="5"/>
  <c r="D72" i="5"/>
  <c r="G72" i="5" s="1"/>
  <c r="F71" i="5"/>
  <c r="G71" i="5" s="1"/>
  <c r="D71" i="5"/>
  <c r="D70" i="5"/>
  <c r="F37" i="5"/>
  <c r="F38" i="5"/>
  <c r="F39" i="5"/>
  <c r="F40" i="5"/>
  <c r="F41" i="5"/>
  <c r="F42" i="5"/>
  <c r="F43" i="5"/>
  <c r="F44" i="5"/>
  <c r="F36" i="5"/>
  <c r="V41" i="5"/>
  <c r="S41" i="5"/>
  <c r="T41" i="5"/>
  <c r="U41" i="5"/>
  <c r="R41" i="5"/>
  <c r="O41" i="5"/>
  <c r="P41" i="5"/>
  <c r="Q41" i="5"/>
  <c r="N41" i="5"/>
  <c r="G6" i="5"/>
  <c r="G10" i="5"/>
  <c r="G11" i="5"/>
  <c r="G13" i="5"/>
  <c r="G14" i="5"/>
  <c r="G15" i="5"/>
  <c r="E16" i="5"/>
  <c r="G16" i="5" s="1"/>
  <c r="Z26" i="5"/>
  <c r="AA26" i="5"/>
  <c r="AB26" i="5"/>
  <c r="Y26" i="5"/>
  <c r="S223" i="4"/>
  <c r="M223" i="4"/>
  <c r="N223" i="4"/>
  <c r="O222" i="4"/>
  <c r="O223" i="4"/>
  <c r="E12" i="5"/>
  <c r="G12" i="5"/>
  <c r="E7" i="5"/>
  <c r="G7" i="5" s="1"/>
  <c r="E8" i="5"/>
  <c r="G8" i="5" s="1"/>
  <c r="E9" i="5"/>
  <c r="G9" i="5"/>
  <c r="E17" i="5"/>
  <c r="G17" i="5" s="1"/>
  <c r="E18" i="5"/>
  <c r="G18" i="5" s="1"/>
  <c r="E19" i="5"/>
  <c r="G19" i="5"/>
  <c r="E5" i="5"/>
  <c r="G5" i="5" s="1"/>
  <c r="AA224" i="4"/>
  <c r="Y224" i="4"/>
  <c r="X224" i="4"/>
  <c r="W224" i="4"/>
  <c r="V224" i="4"/>
  <c r="U224" i="4"/>
  <c r="S224" i="4"/>
  <c r="M224" i="4"/>
  <c r="S222" i="4"/>
  <c r="N222" i="4"/>
  <c r="M222" i="4"/>
  <c r="AA221" i="4"/>
  <c r="Y221" i="4"/>
  <c r="X221" i="4"/>
  <c r="W221" i="4"/>
  <c r="V221" i="4"/>
  <c r="S221" i="4"/>
  <c r="O221" i="4"/>
  <c r="N221" i="4"/>
  <c r="M221" i="4"/>
  <c r="AA220" i="4"/>
  <c r="Y220" i="4"/>
  <c r="X220" i="4"/>
  <c r="W220" i="4"/>
  <c r="V220" i="4"/>
  <c r="S220" i="4"/>
  <c r="O220" i="4"/>
  <c r="N220" i="4"/>
  <c r="M220" i="4"/>
  <c r="AA219" i="4"/>
  <c r="Y219" i="4"/>
  <c r="X219" i="4"/>
  <c r="W219" i="4"/>
  <c r="V219" i="4"/>
  <c r="AA218" i="4"/>
  <c r="Y218" i="4"/>
  <c r="X218" i="4"/>
  <c r="W218" i="4"/>
  <c r="V218" i="4"/>
  <c r="Y217" i="4"/>
  <c r="X217" i="4"/>
  <c r="W217" i="4"/>
  <c r="V217" i="4"/>
  <c r="AA216" i="4"/>
  <c r="Y216" i="4"/>
  <c r="X216" i="4"/>
  <c r="W216" i="4"/>
  <c r="V216" i="4"/>
  <c r="U216" i="4"/>
  <c r="AA215" i="4"/>
  <c r="Y215" i="4"/>
  <c r="X215" i="4"/>
  <c r="W215" i="4"/>
  <c r="V215" i="4"/>
  <c r="AA214" i="4"/>
  <c r="Y214" i="4"/>
  <c r="X214" i="4"/>
  <c r="W214" i="4"/>
  <c r="V214" i="4"/>
  <c r="AA213" i="4"/>
  <c r="Y213" i="4"/>
  <c r="X213" i="4"/>
  <c r="W213" i="4"/>
  <c r="V213" i="4"/>
  <c r="AA212" i="4"/>
  <c r="Y212" i="4"/>
  <c r="X212" i="4"/>
  <c r="W212" i="4"/>
  <c r="V212" i="4"/>
  <c r="AA150" i="4"/>
  <c r="Z150" i="4"/>
  <c r="X150" i="4"/>
  <c r="W150" i="4"/>
  <c r="AA149" i="4"/>
  <c r="Z149" i="4"/>
  <c r="X149" i="4"/>
  <c r="W149" i="4"/>
  <c r="I149" i="4"/>
  <c r="H149" i="4"/>
  <c r="F149" i="4"/>
  <c r="E149" i="4"/>
  <c r="AA148" i="4"/>
  <c r="Z148" i="4"/>
  <c r="X148" i="4"/>
  <c r="W148" i="4"/>
  <c r="I148" i="4"/>
  <c r="H148" i="4"/>
  <c r="F148" i="4"/>
  <c r="E148" i="4"/>
  <c r="AA147" i="4"/>
  <c r="Z147" i="4"/>
  <c r="X147" i="4"/>
  <c r="W147" i="4"/>
  <c r="I147" i="4"/>
  <c r="H147" i="4"/>
  <c r="F147" i="4"/>
  <c r="E147" i="4"/>
  <c r="AA146" i="4"/>
  <c r="Z146" i="4"/>
  <c r="X146" i="4"/>
  <c r="W146" i="4"/>
  <c r="I146" i="4"/>
  <c r="H146" i="4"/>
  <c r="F146" i="4"/>
  <c r="E146" i="4"/>
  <c r="AA145" i="4"/>
  <c r="Z145" i="4"/>
  <c r="X145" i="4"/>
  <c r="W145" i="4"/>
  <c r="I145" i="4"/>
  <c r="H145" i="4"/>
  <c r="F145" i="4"/>
  <c r="E145" i="4"/>
  <c r="AA144" i="4"/>
  <c r="Z144" i="4"/>
  <c r="X144" i="4"/>
  <c r="W144" i="4"/>
  <c r="I144" i="4"/>
  <c r="H144" i="4"/>
  <c r="F144" i="4"/>
  <c r="E144" i="4"/>
  <c r="AA143" i="4"/>
  <c r="Z143" i="4"/>
  <c r="X143" i="4"/>
  <c r="W143" i="4"/>
  <c r="I143" i="4"/>
  <c r="H143" i="4"/>
  <c r="F143" i="4"/>
  <c r="E143" i="4"/>
  <c r="AA142" i="4"/>
  <c r="Z142" i="4"/>
  <c r="X142" i="4"/>
  <c r="W142" i="4"/>
  <c r="I142" i="4"/>
  <c r="H142" i="4"/>
  <c r="F142" i="4"/>
  <c r="E142" i="4"/>
  <c r="AA141" i="4"/>
  <c r="Z141" i="4"/>
  <c r="X141" i="4"/>
  <c r="W141" i="4"/>
  <c r="I141" i="4"/>
  <c r="H141" i="4"/>
  <c r="F141" i="4"/>
  <c r="E141" i="4"/>
  <c r="I140" i="4"/>
  <c r="H140" i="4"/>
  <c r="F140" i="4"/>
  <c r="E140" i="4"/>
  <c r="I139" i="4"/>
  <c r="F139" i="4"/>
  <c r="H135" i="4"/>
  <c r="F135" i="4"/>
  <c r="H134" i="4"/>
  <c r="F134" i="4"/>
  <c r="H133" i="4"/>
  <c r="F133" i="4"/>
  <c r="H132" i="4"/>
  <c r="F132" i="4"/>
  <c r="Y131" i="4"/>
  <c r="X131" i="4"/>
  <c r="Y130" i="4"/>
  <c r="X130" i="4"/>
  <c r="F130" i="4"/>
  <c r="Y129" i="4"/>
  <c r="X129" i="4"/>
  <c r="F129" i="4"/>
  <c r="Y128" i="4"/>
  <c r="X128" i="4"/>
  <c r="F128" i="4"/>
  <c r="X127" i="4"/>
  <c r="F127" i="4"/>
  <c r="W113" i="4"/>
  <c r="W112" i="4"/>
  <c r="W111" i="4"/>
  <c r="W110" i="4"/>
  <c r="F110" i="4"/>
  <c r="W108" i="4"/>
  <c r="W106" i="4"/>
  <c r="W105" i="4"/>
  <c r="F103" i="4"/>
  <c r="F102" i="4"/>
  <c r="F101" i="4"/>
  <c r="F100" i="4"/>
  <c r="F99" i="4"/>
  <c r="G73" i="4"/>
  <c r="F73" i="4"/>
  <c r="Y72" i="4"/>
  <c r="G72" i="4"/>
  <c r="F72" i="4"/>
  <c r="AA71" i="4"/>
  <c r="Y71" i="4"/>
  <c r="G71" i="4"/>
  <c r="F71" i="4"/>
  <c r="AA70" i="4"/>
  <c r="Y70" i="4"/>
  <c r="G70" i="4"/>
  <c r="F70" i="4"/>
  <c r="AA69" i="4"/>
  <c r="Y69" i="4"/>
  <c r="G69" i="4"/>
  <c r="F69" i="4"/>
  <c r="AA68" i="4"/>
  <c r="AH76" i="4" s="1"/>
  <c r="AI76" i="4" s="1"/>
  <c r="Y68" i="4"/>
  <c r="G68" i="4"/>
  <c r="F68" i="4"/>
  <c r="AH67" i="4"/>
  <c r="AI67" i="4" s="1"/>
  <c r="AA67" i="4"/>
  <c r="AH75" i="4"/>
  <c r="AI75" i="4"/>
  <c r="Y67" i="4"/>
  <c r="G67" i="4"/>
  <c r="F67" i="4"/>
  <c r="AI66" i="4"/>
  <c r="AA66" i="4"/>
  <c r="AH74" i="4" s="1"/>
  <c r="AI74" i="4" s="1"/>
  <c r="Y66" i="4"/>
  <c r="G66" i="4"/>
  <c r="F66" i="4"/>
  <c r="AI65" i="4"/>
  <c r="AA65" i="4"/>
  <c r="AH73" i="4"/>
  <c r="AI73" i="4"/>
  <c r="Y65" i="4"/>
  <c r="G65" i="4"/>
  <c r="F65" i="4"/>
  <c r="AI64" i="4"/>
  <c r="AA64" i="4"/>
  <c r="AH72" i="4"/>
  <c r="AI72" i="4" s="1"/>
  <c r="Y64" i="4"/>
  <c r="G64" i="4"/>
  <c r="F64" i="4"/>
  <c r="AI63" i="4"/>
  <c r="AA63" i="4"/>
  <c r="AH71" i="4" s="1"/>
  <c r="AI71" i="4" s="1"/>
  <c r="Y63" i="4"/>
  <c r="G63" i="4"/>
  <c r="F63" i="4"/>
  <c r="AI62" i="4"/>
  <c r="AA62" i="4"/>
  <c r="AH70" i="4"/>
  <c r="AI70" i="4" s="1"/>
  <c r="Y62" i="4"/>
  <c r="AA61" i="4"/>
  <c r="AH69" i="4"/>
  <c r="AI69" i="4" s="1"/>
  <c r="Y61" i="4"/>
  <c r="AA60" i="4"/>
  <c r="AH68" i="4"/>
  <c r="AI68" i="4"/>
  <c r="Y60" i="4"/>
  <c r="W51" i="4"/>
  <c r="V51" i="4"/>
  <c r="F51" i="4"/>
  <c r="E51" i="4"/>
  <c r="W50" i="4"/>
  <c r="V50" i="4"/>
  <c r="F50" i="4"/>
  <c r="E50" i="4"/>
  <c r="W49" i="4"/>
  <c r="V49" i="4"/>
  <c r="F49" i="4"/>
  <c r="E49" i="4"/>
  <c r="W48" i="4"/>
  <c r="V48" i="4"/>
  <c r="F48" i="4"/>
  <c r="E48" i="4"/>
  <c r="F47" i="4"/>
  <c r="I35" i="4"/>
  <c r="G35" i="4"/>
  <c r="I34" i="4"/>
  <c r="G34" i="4"/>
  <c r="I33" i="4"/>
  <c r="G33" i="4"/>
  <c r="I32" i="4"/>
  <c r="G32" i="4"/>
  <c r="I31" i="4"/>
  <c r="G31" i="4"/>
  <c r="I30" i="4"/>
  <c r="G30" i="4"/>
  <c r="I29" i="4"/>
  <c r="G29" i="4"/>
  <c r="I28" i="4"/>
  <c r="G28" i="4"/>
  <c r="Z27" i="4"/>
  <c r="X27" i="4"/>
  <c r="I27" i="4"/>
  <c r="G27" i="4"/>
  <c r="Z26" i="4"/>
  <c r="X26" i="4"/>
  <c r="I26" i="4"/>
  <c r="G26" i="4"/>
  <c r="Z25" i="4"/>
  <c r="X25" i="4"/>
  <c r="I25" i="4"/>
  <c r="G25" i="4"/>
  <c r="Z24" i="4"/>
  <c r="X24" i="4"/>
  <c r="E24" i="4"/>
  <c r="Z23" i="4"/>
  <c r="X23" i="4"/>
  <c r="E23" i="4"/>
  <c r="Z22" i="4"/>
  <c r="X22" i="4"/>
  <c r="E22" i="4"/>
  <c r="Z21" i="4"/>
  <c r="X21" i="4"/>
  <c r="E21" i="4"/>
  <c r="Z20" i="4"/>
  <c r="X20" i="4"/>
  <c r="Z19" i="4"/>
  <c r="X19" i="4"/>
  <c r="Z18" i="4"/>
  <c r="X18" i="4"/>
  <c r="V16" i="4"/>
  <c r="V15" i="4"/>
  <c r="V14" i="4"/>
  <c r="V13" i="4"/>
  <c r="I66" i="3"/>
  <c r="G66" i="3"/>
  <c r="I65" i="3"/>
  <c r="G65" i="3"/>
  <c r="E58" i="3"/>
  <c r="E57" i="3"/>
  <c r="E56" i="3"/>
  <c r="F47" i="3"/>
  <c r="E47" i="3"/>
  <c r="F46" i="3"/>
  <c r="E46" i="3"/>
  <c r="E43" i="3"/>
  <c r="E42" i="3"/>
  <c r="E41" i="3"/>
  <c r="E40" i="3"/>
  <c r="E34" i="3"/>
  <c r="E33" i="3"/>
  <c r="I18" i="3"/>
  <c r="G18" i="3"/>
  <c r="I17" i="3"/>
  <c r="G17" i="3"/>
  <c r="E13" i="3"/>
  <c r="E12" i="3"/>
  <c r="E11" i="3"/>
  <c r="E10" i="3"/>
  <c r="E7" i="3"/>
  <c r="E6" i="3"/>
  <c r="E5" i="3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E34" i="1"/>
  <c r="N33" i="1"/>
  <c r="E33" i="1"/>
  <c r="N32" i="1"/>
  <c r="E32" i="1"/>
  <c r="J31" i="1"/>
  <c r="N31" i="1" s="1"/>
  <c r="D31" i="1"/>
  <c r="E31" i="1" s="1"/>
</calcChain>
</file>

<file path=xl/sharedStrings.xml><?xml version="1.0" encoding="utf-8"?>
<sst xmlns="http://schemas.openxmlformats.org/spreadsheetml/2006/main" count="2135" uniqueCount="568">
  <si>
    <t>Enzymes</t>
  </si>
  <si>
    <t>Calib</t>
  </si>
  <si>
    <t>2i</t>
  </si>
  <si>
    <t>3i</t>
  </si>
  <si>
    <t>DH13B5</t>
  </si>
  <si>
    <t>C3UMY1</t>
  </si>
  <si>
    <t>MATOU568</t>
  </si>
  <si>
    <t>2f</t>
  </si>
  <si>
    <t>3f</t>
  </si>
  <si>
    <t>3m</t>
  </si>
  <si>
    <t>Substrat(s)</t>
  </si>
  <si>
    <t>2l</t>
  </si>
  <si>
    <t>1l</t>
  </si>
  <si>
    <t>2k</t>
  </si>
  <si>
    <t>1k</t>
  </si>
  <si>
    <t>2j</t>
  </si>
  <si>
    <t>2m</t>
  </si>
  <si>
    <t>1g</t>
  </si>
  <si>
    <t>2g</t>
  </si>
  <si>
    <t>3j</t>
  </si>
  <si>
    <t>3g</t>
  </si>
  <si>
    <t>DH13F8</t>
  </si>
  <si>
    <t>E3CZE3</t>
  </si>
  <si>
    <t>F2(D3AE01)</t>
  </si>
  <si>
    <t>G1 (65634)</t>
  </si>
  <si>
    <t>A</t>
  </si>
  <si>
    <t>B</t>
  </si>
  <si>
    <t>C</t>
  </si>
  <si>
    <t>D</t>
  </si>
  <si>
    <t>E</t>
  </si>
  <si>
    <t>F</t>
  </si>
  <si>
    <t>G</t>
  </si>
  <si>
    <t>H</t>
  </si>
  <si>
    <t>3i-cal1</t>
  </si>
  <si>
    <t>3i-cal2</t>
  </si>
  <si>
    <t>3i-cal3</t>
  </si>
  <si>
    <t>3i-cal4</t>
  </si>
  <si>
    <t>2i-BL</t>
  </si>
  <si>
    <t>2i-R</t>
  </si>
  <si>
    <t>C3-BL</t>
  </si>
  <si>
    <t>3f-cal1</t>
  </si>
  <si>
    <t>3f-cal2</t>
  </si>
  <si>
    <t>3f-cal3</t>
  </si>
  <si>
    <t>3f-cal4</t>
  </si>
  <si>
    <t>3m-cal1</t>
  </si>
  <si>
    <t>3m-cal2</t>
  </si>
  <si>
    <t>3m-cal3</t>
  </si>
  <si>
    <t>3m-cal4</t>
  </si>
  <si>
    <t>1l/2l-BL</t>
  </si>
  <si>
    <t>1l/2l-R</t>
  </si>
  <si>
    <t>3j-cal1</t>
  </si>
  <si>
    <t>3j-cal2</t>
  </si>
  <si>
    <t>3j-cal3</t>
  </si>
  <si>
    <t>3j-cal4</t>
  </si>
  <si>
    <t>2j-BL</t>
  </si>
  <si>
    <t>2j-R</t>
  </si>
  <si>
    <t>2m-BL</t>
  </si>
  <si>
    <t>2m-R</t>
  </si>
  <si>
    <t>3g-cal1</t>
  </si>
  <si>
    <t>3g-cal2</t>
  </si>
  <si>
    <t>3g-cal3</t>
  </si>
  <si>
    <t>3g-cal4</t>
  </si>
  <si>
    <t>Conc mères (mM)</t>
  </si>
  <si>
    <t>Conc dans milieu (mM)</t>
  </si>
  <si>
    <t>Tampon Formate ammonium pH 8.0 (neuf ou récent)</t>
  </si>
  <si>
    <t>CaCl2</t>
  </si>
  <si>
    <t>Glucose</t>
  </si>
  <si>
    <t>GDH</t>
  </si>
  <si>
    <t>3 U/ml</t>
  </si>
  <si>
    <t>0.5 mg/ml</t>
  </si>
  <si>
    <t>V1</t>
  </si>
  <si>
    <t>H2O</t>
  </si>
  <si>
    <t>30 U/ml</t>
  </si>
  <si>
    <t>Ajoutés séparemment / en dehors du mix</t>
  </si>
  <si>
    <t>STD amine</t>
  </si>
  <si>
    <t>T. dessalage</t>
  </si>
  <si>
    <t>cal1 = 0mM</t>
  </si>
  <si>
    <t>cal2 = 1mM</t>
  </si>
  <si>
    <t>cal3 = 5mM</t>
  </si>
  <si>
    <t>cal4 = 10mM</t>
  </si>
  <si>
    <t>NADP</t>
  </si>
  <si>
    <t>1k/2k-BL</t>
  </si>
  <si>
    <t>1k/2k-R</t>
  </si>
  <si>
    <t>10 ou 5 + 5</t>
  </si>
  <si>
    <t xml:space="preserve">Tampon </t>
  </si>
  <si>
    <t>Tampon</t>
  </si>
  <si>
    <t>1 ou 2 sub</t>
  </si>
  <si>
    <t>100 /200</t>
  </si>
  <si>
    <t>2f-BL</t>
  </si>
  <si>
    <t>2f-R</t>
  </si>
  <si>
    <t>V20</t>
  </si>
  <si>
    <t>24 (1.2 eq)</t>
  </si>
  <si>
    <t>V*1</t>
  </si>
  <si>
    <t>volume du mix à ajouter</t>
  </si>
  <si>
    <t>52 µL</t>
  </si>
  <si>
    <t>V*50             (= mix)</t>
  </si>
  <si>
    <t>Mode opératoire pour calibration</t>
  </si>
  <si>
    <t>Mode opératoire pour pour blans (BL) et réactions ("R")</t>
  </si>
  <si>
    <t>NAD</t>
  </si>
  <si>
    <t>90 µL</t>
  </si>
  <si>
    <t>BL-F8</t>
  </si>
  <si>
    <t>BL-B5</t>
  </si>
  <si>
    <t>BL-MAT</t>
  </si>
  <si>
    <t>BL-2i</t>
  </si>
  <si>
    <t>BL-2f</t>
  </si>
  <si>
    <t>BL-2l/1l</t>
  </si>
  <si>
    <t>BL-2k/1k</t>
  </si>
  <si>
    <t>BL-2j</t>
  </si>
  <si>
    <t>BL-2m</t>
  </si>
  <si>
    <t>BL-2g/1g</t>
  </si>
  <si>
    <t>R-2i</t>
  </si>
  <si>
    <t>R-2f</t>
  </si>
  <si>
    <t>R-2l/1l</t>
  </si>
  <si>
    <t>R-2j</t>
  </si>
  <si>
    <t>R-2m</t>
  </si>
  <si>
    <t>R-2g/1g</t>
  </si>
  <si>
    <t>R-2k/1k</t>
  </si>
  <si>
    <t>BL-E3</t>
  </si>
  <si>
    <t>BL-F2</t>
  </si>
  <si>
    <t>BL-G1</t>
  </si>
  <si>
    <t>substrat</t>
  </si>
  <si>
    <t>Ci</t>
  </si>
  <si>
    <t>100 / 200</t>
  </si>
  <si>
    <t>E3CZE3 (DH13D11)</t>
  </si>
  <si>
    <t>boite jaune</t>
  </si>
  <si>
    <t>AmDH Adam</t>
  </si>
  <si>
    <t>cal1</t>
  </si>
  <si>
    <t>cal2</t>
  </si>
  <si>
    <t>cal3</t>
  </si>
  <si>
    <t>cal4</t>
  </si>
  <si>
    <t>Réactions</t>
  </si>
  <si>
    <t>B5</t>
  </si>
  <si>
    <t>F8</t>
  </si>
  <si>
    <t>MAT</t>
  </si>
  <si>
    <t>E3</t>
  </si>
  <si>
    <t>F2</t>
  </si>
  <si>
    <t>G1</t>
  </si>
  <si>
    <t>T. dess</t>
  </si>
  <si>
    <t>STD1</t>
  </si>
  <si>
    <t>STD2</t>
  </si>
  <si>
    <t>STD3</t>
  </si>
  <si>
    <t>STD4</t>
  </si>
  <si>
    <t>BL enzymes</t>
  </si>
  <si>
    <t>cal</t>
  </si>
  <si>
    <t>BL sub</t>
  </si>
  <si>
    <t>3 f</t>
  </si>
  <si>
    <t>n.a.</t>
  </si>
  <si>
    <t>2i-BL1</t>
  </si>
  <si>
    <t>2i-R1</t>
  </si>
  <si>
    <t>2i-BL2</t>
  </si>
  <si>
    <t>2i-R2</t>
  </si>
  <si>
    <t>2f-BL1</t>
  </si>
  <si>
    <t>2f-R1</t>
  </si>
  <si>
    <t>2f-BL2</t>
  </si>
  <si>
    <t>2f-R2</t>
  </si>
  <si>
    <t>1l/2l-BL1</t>
  </si>
  <si>
    <t>1l/2l-R1</t>
  </si>
  <si>
    <t>1l/2l-BL2</t>
  </si>
  <si>
    <t>1l/2l-R2</t>
  </si>
  <si>
    <t>2m-BL1</t>
  </si>
  <si>
    <t>2m-R1</t>
  </si>
  <si>
    <t>2m-BL2</t>
  </si>
  <si>
    <t>2m-R2</t>
  </si>
  <si>
    <t>1k/2k-BL1</t>
  </si>
  <si>
    <t>1k/2k-R1</t>
  </si>
  <si>
    <t>1k/2k-BL2</t>
  </si>
  <si>
    <t>1k/2k-R2</t>
  </si>
  <si>
    <t>2j-BL1</t>
  </si>
  <si>
    <t>2j-R1</t>
  </si>
  <si>
    <t>2j-BL2</t>
  </si>
  <si>
    <t>2j-R2</t>
  </si>
  <si>
    <t>2i-BL2-err</t>
  </si>
  <si>
    <t>3m-cal1err</t>
  </si>
  <si>
    <t>[amine]</t>
  </si>
  <si>
    <t>[3 i]</t>
  </si>
  <si>
    <t>[3 f]</t>
  </si>
  <si>
    <t>[3 m]</t>
  </si>
  <si>
    <t>[3 j]</t>
  </si>
  <si>
    <t>Aire (3i)</t>
  </si>
  <si>
    <t xml:space="preserve">2i-BL1-err </t>
  </si>
  <si>
    <t>Vf2 = 118µL donc [calc] x 118/100</t>
  </si>
  <si>
    <t>Aire (3f)</t>
  </si>
  <si>
    <t xml:space="preserve"> Aire (3m)</t>
  </si>
  <si>
    <t xml:space="preserve"> Aire (3l)</t>
  </si>
  <si>
    <t>[3 l]</t>
  </si>
  <si>
    <t xml:space="preserve"> Aire (4l)</t>
  </si>
  <si>
    <t>[4 l]</t>
  </si>
  <si>
    <t>ènone</t>
  </si>
  <si>
    <t>cétone</t>
  </si>
  <si>
    <t>Aire (3j)</t>
  </si>
  <si>
    <t>F8 / B5 / MATOU / E3 / F2 &amp; G1</t>
  </si>
  <si>
    <t>Screening sur C3UMY1</t>
  </si>
  <si>
    <t>03/10/2019  _ Test de C3UMY1</t>
  </si>
  <si>
    <t>BL-MAT (1)</t>
  </si>
  <si>
    <t>BL-E3 (1)</t>
  </si>
  <si>
    <t>R-2l/1l (2)</t>
  </si>
  <si>
    <t>R-2m (2)</t>
  </si>
  <si>
    <t>R-2k/1k (2)</t>
  </si>
  <si>
    <t>R-2j (2)</t>
  </si>
  <si>
    <t>(2) : MATOU mise à la place de E3 donc ajout de 10µL de NADP 2mM</t>
  </si>
  <si>
    <t>F (07/10/19)</t>
  </si>
  <si>
    <t>(1) : enzymes interverties -&gt; refaits sur plaque C3UMY1 : BL-MAT = F10 ; BL-E3 = F1 (voir plan de plaque plus haut)</t>
  </si>
  <si>
    <t>08/10/2019 : dérivatisation BzCl de cette plaque + dériv de la plaque C3UMY1 : 3m-cal-2, 3m-cal3, 3m-cal4, BL et R-2k/1k x 2, BL et R-1l/2l x 2</t>
  </si>
  <si>
    <r>
      <t>2i-BL</t>
    </r>
    <r>
      <rPr>
        <sz val="10"/>
        <color rgb="FF7030A0"/>
        <rFont val="Calibri"/>
        <family val="2"/>
        <scheme val="minor"/>
      </rPr>
      <t>*</t>
    </r>
  </si>
  <si>
    <r>
      <t>3m-cal1</t>
    </r>
    <r>
      <rPr>
        <sz val="10"/>
        <color rgb="FF7030A0"/>
        <rFont val="Calibri"/>
        <family val="2"/>
        <scheme val="minor"/>
      </rPr>
      <t>**</t>
    </r>
  </si>
  <si>
    <r>
      <t>2i-BL</t>
    </r>
    <r>
      <rPr>
        <sz val="10"/>
        <color rgb="FF7030A0"/>
        <rFont val="Calibri"/>
        <family val="2"/>
        <scheme val="minor"/>
      </rPr>
      <t>* : erreur enzyme ajoutée</t>
    </r>
  </si>
  <si>
    <r>
      <t>3m-cal1</t>
    </r>
    <r>
      <rPr>
        <sz val="10"/>
        <color rgb="FF7030A0"/>
        <rFont val="Calibri"/>
        <family val="2"/>
        <scheme val="minor"/>
      </rPr>
      <t>** : erreur ajout 10µL 3m 10mM</t>
    </r>
  </si>
  <si>
    <t xml:space="preserve">No. </t>
  </si>
  <si>
    <t>Injection Name</t>
  </si>
  <si>
    <t xml:space="preserve">Comment </t>
  </si>
  <si>
    <t xml:space="preserve">Area </t>
  </si>
  <si>
    <t>Area</t>
  </si>
  <si>
    <t>UV_VIS_1</t>
  </si>
  <si>
    <t>3 i</t>
  </si>
  <si>
    <t>3 m</t>
  </si>
  <si>
    <t>3 j</t>
  </si>
  <si>
    <t>1 l</t>
  </si>
  <si>
    <t>2 l</t>
  </si>
  <si>
    <t>3 g</t>
  </si>
  <si>
    <t>D42464-033</t>
  </si>
  <si>
    <t>D42464-033 _ test MS</t>
  </si>
  <si>
    <t>BL1-1l/2l -C3</t>
  </si>
  <si>
    <t>BL2-1l/2l-C3</t>
  </si>
  <si>
    <t>R1-1l/2l-C3</t>
  </si>
  <si>
    <t>R2-1l/2l-C3</t>
  </si>
  <si>
    <t>3m-cal2-C3</t>
  </si>
  <si>
    <t>3m-cal3-C3</t>
  </si>
  <si>
    <t>3m-cal4-C3</t>
  </si>
  <si>
    <t>R1-2i-B5</t>
  </si>
  <si>
    <t>R2-2i-B5</t>
  </si>
  <si>
    <t>R1-2i-MAT</t>
  </si>
  <si>
    <t>R2-2i-MAT</t>
  </si>
  <si>
    <t>R1-2f-B5</t>
  </si>
  <si>
    <t>R2-2f-B5</t>
  </si>
  <si>
    <t>R1-2f-MAT</t>
  </si>
  <si>
    <t>R2-2f-MAT</t>
  </si>
  <si>
    <t>R1-2g/1g-B5</t>
  </si>
  <si>
    <t>R2-2g/1g-B5</t>
  </si>
  <si>
    <t>R1-2g/1g-MAT</t>
  </si>
  <si>
    <t>R2-2g/1g-MAT</t>
  </si>
  <si>
    <t>R1-2l/1l-F8</t>
  </si>
  <si>
    <t>R2-2l/1l-F8</t>
  </si>
  <si>
    <t>R1-2l/1l-MAT-err</t>
  </si>
  <si>
    <t>R2-2l/1l-MAT-err</t>
  </si>
  <si>
    <t>R1-2l/1l-F2</t>
  </si>
  <si>
    <t>R2-2l/1l-F2</t>
  </si>
  <si>
    <t>R1-2l/1l-G1</t>
  </si>
  <si>
    <t>R2-2l/1l-G1</t>
  </si>
  <si>
    <t>R1-2l/1l-E3</t>
  </si>
  <si>
    <t>R2-2l/1l-E3</t>
  </si>
  <si>
    <t>R1-2m-F8</t>
  </si>
  <si>
    <t>R2-2m-F8</t>
  </si>
  <si>
    <t>R1-2m-MAT-err</t>
  </si>
  <si>
    <t>R2-2m-MAT-err</t>
  </si>
  <si>
    <t>R1-2m-F2</t>
  </si>
  <si>
    <t>R2-2m-F2</t>
  </si>
  <si>
    <t>R1-2m-G1</t>
  </si>
  <si>
    <t>R2-2m-G1</t>
  </si>
  <si>
    <t>R1-2m-E3</t>
  </si>
  <si>
    <t>R2-2m-E3</t>
  </si>
  <si>
    <t>R1-2k/1k-F8</t>
  </si>
  <si>
    <t>R2-2k/1k-F8</t>
  </si>
  <si>
    <t>R1-2k/1k-MAT-err</t>
  </si>
  <si>
    <t>R2-2k/1k-MAT-err</t>
  </si>
  <si>
    <t>R1-2k/1k-F2</t>
  </si>
  <si>
    <t>R2-2k/1k-F2</t>
  </si>
  <si>
    <t>R1-2k/1k-G1</t>
  </si>
  <si>
    <t>R2-2k/1k-G1</t>
  </si>
  <si>
    <t>R1-2k/1k-E3</t>
  </si>
  <si>
    <t>R2-2k/1k-E3</t>
  </si>
  <si>
    <t>R1-2j-F8</t>
  </si>
  <si>
    <t>R2-2j-F8</t>
  </si>
  <si>
    <t>R1-2j-MAT-err</t>
  </si>
  <si>
    <t>R2-2j-MAT-err</t>
  </si>
  <si>
    <t>R1-2j-F2</t>
  </si>
  <si>
    <t>R2-2j-F2</t>
  </si>
  <si>
    <t>R1-2j-G1</t>
  </si>
  <si>
    <t>R2-2j-G1</t>
  </si>
  <si>
    <t>R1-2j-E3</t>
  </si>
  <si>
    <t>R2-2j-E3</t>
  </si>
  <si>
    <t>[amine calc]</t>
  </si>
  <si>
    <t>Composés i</t>
  </si>
  <si>
    <t>Composés f</t>
  </si>
  <si>
    <t>Composés m</t>
  </si>
  <si>
    <t>Composés j</t>
  </si>
  <si>
    <t>Composés g</t>
  </si>
  <si>
    <t>doute sur droite de calib (tube amine 100mM non retrouvé : utilisation du 500mM ??) non idem calib suivante</t>
  </si>
  <si>
    <t>3 l (RT 4,18)</t>
  </si>
  <si>
    <t>4 l (RT = 4,01)</t>
  </si>
  <si>
    <t>BL substrat</t>
  </si>
  <si>
    <t>amine</t>
  </si>
  <si>
    <t>ènamine</t>
  </si>
  <si>
    <t>Substrat initial</t>
  </si>
  <si>
    <t>Produit formé (en mM)</t>
  </si>
  <si>
    <t>2l/1l _ (cc = 3i)</t>
  </si>
  <si>
    <t>2k/1k _ (cc = 3g)</t>
  </si>
  <si>
    <t>2g/1g</t>
  </si>
  <si>
    <t>4 g</t>
  </si>
  <si>
    <t>SIM 178,2</t>
  </si>
  <si>
    <t>amine *</t>
  </si>
  <si>
    <t>* pour substrat 2j, amine vue uniquement en masse, calcul [C] produit en croix</t>
  </si>
  <si>
    <t>[amine calc] prod en croix</t>
  </si>
  <si>
    <t>[amine calc] via cc</t>
  </si>
  <si>
    <t>[amine calc] via prod croix 10mM</t>
  </si>
  <si>
    <t>amine **</t>
  </si>
  <si>
    <t>[amine calc] via prod croix 1mM</t>
  </si>
  <si>
    <t>amine***</t>
  </si>
  <si>
    <t>*** utilisation des points de calib des plaques 1 &amp; 2</t>
  </si>
  <si>
    <t>Aires des points de calibration pour chaque amine</t>
  </si>
  <si>
    <t>C3</t>
  </si>
  <si>
    <t>Aire (3k)</t>
  </si>
  <si>
    <t>[3 k]</t>
  </si>
  <si>
    <t>Aire (4k)</t>
  </si>
  <si>
    <t>[4 k]</t>
  </si>
  <si>
    <t>UV</t>
  </si>
  <si>
    <t>MS</t>
  </si>
  <si>
    <t xml:space="preserve">3i : M+H (Bz-3i) = 192,2 _ RT = 3,75min </t>
  </si>
  <si>
    <t>3f : M+H (Bz-3f) = 218,1 _ RT = 4,20 min</t>
  </si>
  <si>
    <t>3L : M+H (Bz-3l) = 206,3 _ RT = 4,18 min</t>
  </si>
  <si>
    <t>4L : M+H (Bz-4l) = 204,3 _ RT = 4,01 min</t>
  </si>
  <si>
    <t>détecteur sature pour 10mM : intensité &gt; 2 000 000. Il y a de fortes chances que les concentrations soient sous-évaluées. D'ailleurs les [C] en UV tournent autour de 5mM</t>
  </si>
  <si>
    <t>Pour les composés 3i : utilisation courbe de calib y = 7899,9x + 5885,3</t>
  </si>
  <si>
    <t>Pour les composés 3L et 4L : utilisation de la même courbe mais forcée (0,0) pour ne pas perdre des faibles positifs.</t>
  </si>
  <si>
    <t>3m : M+H (Bz-3m) = 192,2 _ RT = 3,85 min</t>
  </si>
  <si>
    <t>3K - 3I - 3M _ 192,2</t>
  </si>
  <si>
    <t>13 to 15</t>
  </si>
  <si>
    <t>injection courbe calib 3m</t>
  </si>
  <si>
    <t>43 to 46</t>
  </si>
  <si>
    <t>4g</t>
  </si>
  <si>
    <t>[amine calc] 3g</t>
  </si>
  <si>
    <t>estimation quantité 3 m dans les injections suivantes de la calib</t>
  </si>
  <si>
    <t>x</t>
  </si>
  <si>
    <t>y</t>
  </si>
  <si>
    <t>Aire estimée</t>
  </si>
  <si>
    <t>[ènamine] 4g</t>
  </si>
  <si>
    <t>Certainement à refaire en faisant attention à la conta. E3 sort quand-même bien du lot. F8 sorti en UV (aire divisée par 2 par rapport à E3)</t>
  </si>
  <si>
    <t>Confirmé : pas de conversion sur 2j avec les enzymes F8 ; MAT ; F2 ; G1 et E3</t>
  </si>
  <si>
    <t>Résultats obtenus en UV</t>
  </si>
  <si>
    <t>Résultats obtenus en MS</t>
  </si>
  <si>
    <t>[ènamine calc]</t>
  </si>
  <si>
    <t>Area 3K</t>
  </si>
  <si>
    <t>Area 4K</t>
  </si>
  <si>
    <t>0 ; 1 ; 10</t>
  </si>
  <si>
    <t>0 ; 1 ; 5</t>
  </si>
  <si>
    <t>Ne pas utiliser une courbe de calibration faite un autre jour.</t>
  </si>
  <si>
    <t>Pour chaque couple enzyme/substrat : résultat ligne 1 = UV, ligne 2 = MS</t>
  </si>
  <si>
    <t>MW amine</t>
  </si>
  <si>
    <t>1a</t>
  </si>
  <si>
    <t>2a</t>
  </si>
  <si>
    <t>1b</t>
  </si>
  <si>
    <t>2b</t>
  </si>
  <si>
    <t>1c</t>
  </si>
  <si>
    <t>2c</t>
  </si>
  <si>
    <t>1d</t>
  </si>
  <si>
    <t>traces ?</t>
  </si>
  <si>
    <t>2d</t>
  </si>
  <si>
    <t>1e</t>
  </si>
  <si>
    <t>present</t>
  </si>
  <si>
    <t>traces</t>
  </si>
  <si>
    <t>2e</t>
  </si>
  <si>
    <t>1f</t>
  </si>
  <si>
    <t>1h</t>
  </si>
  <si>
    <t>2h</t>
  </si>
  <si>
    <t>1i</t>
  </si>
  <si>
    <t>1j</t>
  </si>
  <si>
    <t>1m</t>
  </si>
  <si>
    <t>&gt; traces</t>
  </si>
  <si>
    <t>cyclopentenone (1a)</t>
  </si>
  <si>
    <t>cyclopentanone (2a)</t>
  </si>
  <si>
    <t>2-methylcyclopentenone (1b)</t>
  </si>
  <si>
    <t>2-methylcyclopentanone (2b)</t>
  </si>
  <si>
    <t>3-methylcyclopentenone (1c)</t>
  </si>
  <si>
    <t>3-methylcyclopentanone (2c)</t>
  </si>
  <si>
    <t>cyclohexenone (1d)</t>
  </si>
  <si>
    <t>cyclohexanone (2d)</t>
  </si>
  <si>
    <t>2-methylcyclohexenone (1e)</t>
  </si>
  <si>
    <t>2-methylcyclohexanone (2e)</t>
  </si>
  <si>
    <t>3-methylcyclohexenone (1f)</t>
  </si>
  <si>
    <t>3-methylcyclohexanone (2f)</t>
  </si>
  <si>
    <t>3-buten-2-one (1g)</t>
  </si>
  <si>
    <t>3-butan-2-one (2g)</t>
  </si>
  <si>
    <t>1-penten-3-one (1h)</t>
  </si>
  <si>
    <t>pentan-3-one (2h)</t>
  </si>
  <si>
    <t>3-penten-2-one (1i)</t>
  </si>
  <si>
    <t>pentan-2-one (2i)</t>
  </si>
  <si>
    <t>2-methyl-2-propenal (1j)</t>
  </si>
  <si>
    <t>2-methyl-2-propanal (2j)</t>
  </si>
  <si>
    <t>trans 2-methyl-2-butenal (1k)</t>
  </si>
  <si>
    <t>trans 2-methyl-2-butanal (2k)</t>
  </si>
  <si>
    <t>(cc = 3g)</t>
  </si>
  <si>
    <t>(cc = 3i)</t>
  </si>
  <si>
    <t>2-methyl-2-pentenal (1l)</t>
  </si>
  <si>
    <t>2-methyl-2-pentanal (2l)</t>
  </si>
  <si>
    <t>trans-2-pentenal (1m)</t>
  </si>
  <si>
    <t>pentanal (2m)</t>
  </si>
  <si>
    <t>MS : environ 2mM d'amine formée avec B5 ou MATOU mais présence également de l'énamine (2%). La concentration en ènamine via la masse semble sous-évaluée. UV : environ 1,4mM d'amine formée mais 30 à 40% d'énamine</t>
  </si>
  <si>
    <t>[amine] mM</t>
  </si>
  <si>
    <t>n° inj ap dernière inj. 3m</t>
  </si>
  <si>
    <t>No.  Inj.</t>
  </si>
  <si>
    <r>
      <t>y = 159944e</t>
    </r>
    <r>
      <rPr>
        <vertAlign val="superscript"/>
        <sz val="11"/>
        <color theme="1"/>
        <rFont val="Calibri"/>
        <family val="2"/>
        <scheme val="minor"/>
      </rPr>
      <t>-0,127x</t>
    </r>
  </si>
  <si>
    <t>UV : [NH2] selon CC</t>
  </si>
  <si>
    <t>MS : [NH2] selon CC</t>
  </si>
  <si>
    <t>CC 3g</t>
  </si>
  <si>
    <t>CC 3j</t>
  </si>
  <si>
    <t>3K / 4K avec courbe calib 3g ou 3j</t>
  </si>
  <si>
    <t>3k/4K (avec courbe de calibration 3g ou 3j)</t>
  </si>
  <si>
    <t>** souci avec courbe de calib, produit en croix avec STD 1mM</t>
  </si>
  <si>
    <t>Nouvelle dérivatisation de la plaque 1 : résultats non analysés</t>
  </si>
  <si>
    <t>Pas de conversion sur 2j avec ces enzymes</t>
  </si>
  <si>
    <t>[C] sur-évaluée : [3K] de 13mM avec l'enzyme E3. Par contre, présence à chaque fois de l'ènamine à 25% (E3) jusqu'à 50% pour les autres enzymes. Résultats avec CC 3g montrés à Caroline donc ils sont gardés  mais de toute façon, ces [C] servent juste à comparer les enzymes.</t>
  </si>
  <si>
    <t>Si plusieurs valeurs (résultats Rudy et Aurélie) : moyenne faite sauf pour E3 sur 2m : la valeur de Rudy (0,1) non mise car éloignée de mes 2 duplicats.</t>
  </si>
  <si>
    <t>3 B</t>
  </si>
  <si>
    <t>3B-2</t>
  </si>
  <si>
    <t>3B-3</t>
  </si>
  <si>
    <t>3B-4</t>
  </si>
  <si>
    <t>3B-5</t>
  </si>
  <si>
    <t>2B-MAT</t>
  </si>
  <si>
    <t>2B-B5</t>
  </si>
  <si>
    <t>2B-C3</t>
  </si>
  <si>
    <t>2C-C3</t>
  </si>
  <si>
    <t>2C-F8</t>
  </si>
  <si>
    <t>3B-1</t>
  </si>
  <si>
    <t>1B-MAT</t>
  </si>
  <si>
    <t>1B-C3</t>
  </si>
  <si>
    <t>1B-B5</t>
  </si>
  <si>
    <t>1C-F8</t>
  </si>
  <si>
    <t>1C-C3</t>
  </si>
  <si>
    <t>[3 B]</t>
  </si>
  <si>
    <t>[3 B] mM</t>
  </si>
  <si>
    <t>CC [0-5] mM</t>
  </si>
  <si>
    <t>MS_F1_204.0</t>
  </si>
  <si>
    <t>1B</t>
  </si>
  <si>
    <t>2B</t>
  </si>
  <si>
    <t>1C</t>
  </si>
  <si>
    <t>2C</t>
  </si>
  <si>
    <t>1B + MAT</t>
  </si>
  <si>
    <t>1B + B5</t>
  </si>
  <si>
    <t>1B + C3</t>
  </si>
  <si>
    <t>2B + MAT</t>
  </si>
  <si>
    <t>2B + B5</t>
  </si>
  <si>
    <t>2B + C3</t>
  </si>
  <si>
    <t>1C + C3</t>
  </si>
  <si>
    <t>2C + C3</t>
  </si>
  <si>
    <t>1C + F8</t>
  </si>
  <si>
    <t>2C + F8</t>
  </si>
  <si>
    <t>T. formate</t>
  </si>
  <si>
    <t>MAT (4,17mg/mL)</t>
  </si>
  <si>
    <t>B5 (6,76mg/mL)</t>
  </si>
  <si>
    <t>F8 (4,17mg/mL)</t>
  </si>
  <si>
    <t>C3 (2,78mg/mL)</t>
  </si>
  <si>
    <t>3B (20mM)</t>
  </si>
  <si>
    <t>cal 3B - 1 (0mM)</t>
  </si>
  <si>
    <t>cal 3B - 2 (1mM)</t>
  </si>
  <si>
    <t>cal 3B - 3 (2,5mM)</t>
  </si>
  <si>
    <t>cal 3B - 4 (5mM)</t>
  </si>
  <si>
    <t>cal 3B - 5 (10mM)</t>
  </si>
  <si>
    <t>[3 B] C relles</t>
  </si>
  <si>
    <t>CC "[3 B] C relles"</t>
  </si>
  <si>
    <t>à vérifier car encore moins plausible</t>
  </si>
  <si>
    <t>3B (100mM)</t>
  </si>
  <si>
    <t>Ret.Time</t>
  </si>
  <si>
    <t>pos 204</t>
  </si>
  <si>
    <t>3B RT 3.65</t>
  </si>
  <si>
    <t>3B RT 3.83</t>
  </si>
  <si>
    <t>3B-cal1</t>
  </si>
  <si>
    <t>3B-cal2</t>
  </si>
  <si>
    <t>3B-cal3</t>
  </si>
  <si>
    <t>3B-cal4</t>
  </si>
  <si>
    <t>3B-cal5</t>
  </si>
  <si>
    <t>Cal [3 B]</t>
  </si>
  <si>
    <t>1B (ènone)</t>
  </si>
  <si>
    <t>1C  (ènone)</t>
  </si>
  <si>
    <t>2B  (cétone)</t>
  </si>
  <si>
    <t>2C  (cétone)</t>
  </si>
  <si>
    <t>C3 (Réact plaque)</t>
  </si>
  <si>
    <t>C3 (Réact µtube)</t>
  </si>
  <si>
    <t>1B-C3 (ènone)</t>
  </si>
  <si>
    <t>1C-C3 (ènone)</t>
  </si>
  <si>
    <t>2B-C3 (cétone)</t>
  </si>
  <si>
    <t>2C-C3 (cétone)</t>
  </si>
  <si>
    <t>[amine] RT 3,65 min CC[0-10] mM forcée (0,0)</t>
  </si>
  <si>
    <t>Tableau pour Caroline Paul</t>
  </si>
  <si>
    <t>Réaction</t>
  </si>
  <si>
    <t>1B + C3UMY1</t>
  </si>
  <si>
    <t>2B + C3UMY1</t>
  </si>
  <si>
    <t>1C + C3UMY1</t>
  </si>
  <si>
    <t>2C + C3UMY1</t>
  </si>
  <si>
    <t>MS+ 204</t>
  </si>
  <si>
    <t>RT 3,65 min</t>
  </si>
  <si>
    <t>RT 3,83 min</t>
  </si>
  <si>
    <t>[amine]     CC[0-10] mM forcée (0,0)</t>
  </si>
  <si>
    <t>[amine] RT 3,83 min CC[0-10] mM forcée (0,0)</t>
  </si>
  <si>
    <t>mM d'amine formé</t>
  </si>
  <si>
    <t>total [amine]</t>
  </si>
  <si>
    <t>results in 96-well plate</t>
  </si>
  <si>
    <t xml:space="preserve">dia 1 [amine] </t>
  </si>
  <si>
    <t>dia 2 [amine]</t>
  </si>
  <si>
    <t>traces : afficher &lt; 0.05 (Aurélie vérifie</t>
  </si>
  <si>
    <t>enones: on n'a pas tous les standards : détection MS. Voir dia reunion labo 10/11/2019 pour qui a servit à qui</t>
  </si>
  <si>
    <t>certains en mélange et pas d'autres</t>
  </si>
  <si>
    <t>calib pour sans standards : cf PPT et au dessus des tableux de resultats</t>
  </si>
  <si>
    <t>calib entre amines montrent des aires tres variables donc choix amine pour calib pas forcement judicieux</t>
  </si>
  <si>
    <t>aucune enamine pour connaitre reactivite en derivatsiation / amine donc ds tous les cas j'enleve les chiffres sur enamines</t>
  </si>
  <si>
    <t>peut etre tout enlevé et mettre des couleurs</t>
  </si>
  <si>
    <t xml:space="preserve"> mettre chromato</t>
  </si>
  <si>
    <t>figures chromato sur k et f avec SIM enamine et amine</t>
  </si>
  <si>
    <t>CfusAmDH</t>
  </si>
  <si>
    <t>ChatAmDH</t>
  </si>
  <si>
    <t>IGCAmDH5</t>
  </si>
  <si>
    <t>ApauAmDH</t>
  </si>
  <si>
    <t>MATOUAmDH2</t>
  </si>
  <si>
    <t>MsmeAmDH</t>
  </si>
  <si>
    <t>MicroAmDH</t>
  </si>
  <si>
    <t>3.4</t>
  </si>
  <si>
    <t>4.1</t>
  </si>
  <si>
    <t>2.9</t>
  </si>
  <si>
    <t>0.5</t>
  </si>
  <si>
    <t>0.8</t>
  </si>
  <si>
    <t>1.6</t>
  </si>
  <si>
    <t>0.7</t>
  </si>
  <si>
    <t>2.4</t>
  </si>
  <si>
    <t>3.5</t>
  </si>
  <si>
    <t>4.3</t>
  </si>
  <si>
    <t>1.2</t>
  </si>
  <si>
    <t>2.2</t>
  </si>
  <si>
    <t>3.7</t>
  </si>
  <si>
    <t>1.9</t>
  </si>
  <si>
    <t>4.5</t>
  </si>
  <si>
    <t>2.3</t>
  </si>
  <si>
    <t>0.1</t>
  </si>
  <si>
    <t>0.9</t>
  </si>
  <si>
    <t>7.1</t>
  </si>
  <si>
    <t>8.2</t>
  </si>
  <si>
    <t>7.8</t>
  </si>
  <si>
    <t>5.2</t>
  </si>
  <si>
    <t>1.8</t>
  </si>
  <si>
    <t>0.4</t>
  </si>
  <si>
    <t>0.6</t>
  </si>
  <si>
    <t>nd</t>
  </si>
  <si>
    <t>1.5</t>
  </si>
  <si>
    <t>10.0</t>
  </si>
  <si>
    <t>e: tester C3 meme si enamine, car bine plus substrat que MATOU utuolisé qui a conduit à mauvais rendement</t>
  </si>
  <si>
    <t>f: OK MATOU testé, mais C3 était aussi tres bien (mieux, meme si un peu enamine possible)</t>
  </si>
  <si>
    <t>j : resultats ant montrent C3, MATOU au moins OK</t>
  </si>
  <si>
    <t>m: ca devrait E3 et C3 de tester et non MATOU (meme si des resultats antérieurs montrent MATOU OK)</t>
  </si>
  <si>
    <t>grisé quand trop de enamine, mais à revoir si Ewald en choisi par mi ces grisés</t>
  </si>
  <si>
    <t>nd*</t>
  </si>
  <si>
    <t>*</t>
  </si>
  <si>
    <t>2j*</t>
  </si>
  <si>
    <t>AmDH</t>
  </si>
  <si>
    <t>Cfus</t>
  </si>
  <si>
    <t>Chat</t>
  </si>
  <si>
    <t>Apau</t>
  </si>
  <si>
    <t>Msme</t>
  </si>
  <si>
    <t>Micro</t>
  </si>
  <si>
    <t>IGC5</t>
  </si>
  <si>
    <t>MATOU2</t>
  </si>
  <si>
    <t>[corresponding amines 3 a-m] (mM)</t>
  </si>
  <si>
    <r>
      <t>Cfus</t>
    </r>
    <r>
      <rPr>
        <sz val="9"/>
        <color theme="1"/>
        <rFont val="Arial"/>
        <family val="2"/>
      </rPr>
      <t>AmDH</t>
    </r>
    <r>
      <rPr>
        <vertAlign val="superscript"/>
        <sz val="9"/>
        <color theme="1"/>
        <rFont val="Arial"/>
        <family val="2"/>
      </rPr>
      <t>[b]</t>
    </r>
  </si>
  <si>
    <r>
      <t>Chat</t>
    </r>
    <r>
      <rPr>
        <sz val="9"/>
        <color theme="1"/>
        <rFont val="Arial"/>
        <family val="2"/>
      </rPr>
      <t>AmDH</t>
    </r>
    <r>
      <rPr>
        <vertAlign val="superscript"/>
        <sz val="9"/>
        <color theme="1"/>
        <rFont val="Arial"/>
        <family val="2"/>
      </rPr>
      <t>[c]</t>
    </r>
  </si>
  <si>
    <r>
      <t>IGCAmDH5</t>
    </r>
    <r>
      <rPr>
        <vertAlign val="superscript"/>
        <sz val="9"/>
        <color theme="1"/>
        <rFont val="Arial"/>
        <family val="2"/>
      </rPr>
      <t>[c]</t>
    </r>
  </si>
  <si>
    <r>
      <t>Apau</t>
    </r>
    <r>
      <rPr>
        <sz val="9"/>
        <color theme="1"/>
        <rFont val="Arial"/>
        <family val="2"/>
      </rPr>
      <t>AmDH</t>
    </r>
    <r>
      <rPr>
        <vertAlign val="superscript"/>
        <sz val="9"/>
        <color theme="1"/>
        <rFont val="Arial"/>
        <family val="2"/>
      </rPr>
      <t>[c]</t>
    </r>
  </si>
  <si>
    <r>
      <t>MATOUAmDH2</t>
    </r>
    <r>
      <rPr>
        <vertAlign val="superscript"/>
        <sz val="9"/>
        <color theme="1"/>
        <rFont val="Arial"/>
        <family val="2"/>
      </rPr>
      <t>[b]</t>
    </r>
  </si>
  <si>
    <r>
      <t>Msme</t>
    </r>
    <r>
      <rPr>
        <sz val="9"/>
        <color theme="1"/>
        <rFont val="Arial"/>
        <family val="2"/>
      </rPr>
      <t>AmDH</t>
    </r>
    <r>
      <rPr>
        <vertAlign val="superscript"/>
        <sz val="9"/>
        <color theme="1"/>
        <rFont val="Arial"/>
        <family val="2"/>
      </rPr>
      <t>[b]</t>
    </r>
  </si>
  <si>
    <r>
      <t>Micro</t>
    </r>
    <r>
      <rPr>
        <sz val="9"/>
        <color theme="1"/>
        <rFont val="Arial"/>
        <family val="2"/>
      </rPr>
      <t>AmDH</t>
    </r>
    <r>
      <rPr>
        <vertAlign val="superscript"/>
        <sz val="9"/>
        <color theme="1"/>
        <rFont val="Arial"/>
        <family val="2"/>
      </rPr>
      <t>[b]</t>
    </r>
  </si>
  <si>
    <r>
      <t>2j</t>
    </r>
    <r>
      <rPr>
        <vertAlign val="superscript"/>
        <sz val="9"/>
        <color theme="1"/>
        <rFont val="Arial"/>
        <family val="2"/>
      </rPr>
      <t>[d]</t>
    </r>
  </si>
  <si>
    <r>
      <t>2l</t>
    </r>
    <r>
      <rPr>
        <vertAlign val="superscript"/>
        <sz val="9"/>
        <color theme="1"/>
        <rFont val="Arial"/>
        <family val="2"/>
      </rPr>
      <t>[e]</t>
    </r>
  </si>
  <si>
    <r>
      <t>2m</t>
    </r>
    <r>
      <rPr>
        <vertAlign val="superscript"/>
        <sz val="9"/>
        <color theme="1"/>
        <rFont val="Arial"/>
        <family val="2"/>
      </rPr>
      <t>[e]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</si>
</sst>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9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FDC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83B7B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D966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5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2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0" fontId="5" fillId="0" borderId="13" xfId="0" applyFont="1" applyBorder="1" applyAlignment="1">
      <alignment vertical="center"/>
    </xf>
    <xf numFmtId="2" fontId="5" fillId="0" borderId="13" xfId="0" applyNumberFormat="1" applyFont="1" applyBorder="1" applyAlignment="1">
      <alignment vertical="center"/>
    </xf>
    <xf numFmtId="0" fontId="5" fillId="12" borderId="13" xfId="0" applyFont="1" applyFill="1" applyBorder="1" applyAlignment="1">
      <alignment vertical="center"/>
    </xf>
    <xf numFmtId="0" fontId="5" fillId="12" borderId="3" xfId="0" applyFont="1" applyFill="1" applyBorder="1" applyAlignment="1">
      <alignment vertical="center"/>
    </xf>
    <xf numFmtId="14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2" fontId="6" fillId="0" borderId="13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5" fillId="8" borderId="13" xfId="0" applyFont="1" applyFill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8" borderId="13" xfId="0" applyFont="1" applyFill="1" applyBorder="1" applyAlignment="1">
      <alignment vertical="center"/>
    </xf>
    <xf numFmtId="2" fontId="5" fillId="8" borderId="0" xfId="0" applyNumberFormat="1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13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5" fillId="9" borderId="0" xfId="0" applyFont="1" applyFill="1" applyAlignment="1">
      <alignment vertical="center"/>
    </xf>
    <xf numFmtId="1" fontId="5" fillId="9" borderId="0" xfId="0" applyNumberFormat="1" applyFont="1" applyFill="1" applyAlignment="1">
      <alignment vertical="center"/>
    </xf>
    <xf numFmtId="2" fontId="5" fillId="9" borderId="0" xfId="0" applyNumberFormat="1" applyFont="1" applyFill="1" applyAlignment="1">
      <alignment vertical="center"/>
    </xf>
    <xf numFmtId="0" fontId="5" fillId="9" borderId="0" xfId="0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1" xfId="0" applyFont="1" applyBorder="1" applyAlignment="1">
      <alignment vertical="center" textRotation="90" wrapText="1"/>
    </xf>
    <xf numFmtId="0" fontId="5" fillId="0" borderId="0" xfId="0" applyFont="1" applyAlignment="1">
      <alignment vertical="center" textRotation="90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textRotation="90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3" xfId="0" applyNumberFormat="1" applyFont="1" applyBorder="1" applyAlignment="1">
      <alignment vertical="center"/>
    </xf>
    <xf numFmtId="0" fontId="0" fillId="9" borderId="0" xfId="0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1" fontId="5" fillId="9" borderId="0" xfId="0" applyNumberFormat="1" applyFont="1" applyFill="1" applyAlignment="1">
      <alignment horizontal="center" vertical="center"/>
    </xf>
    <xf numFmtId="0" fontId="5" fillId="14" borderId="0" xfId="0" applyFont="1" applyFill="1" applyAlignment="1">
      <alignment vertical="center"/>
    </xf>
    <xf numFmtId="0" fontId="5" fillId="0" borderId="15" xfId="0" applyFont="1" applyBorder="1" applyAlignment="1">
      <alignment vertical="center" wrapText="1"/>
    </xf>
    <xf numFmtId="1" fontId="0" fillId="0" borderId="0" xfId="0" applyNumberFormat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13" xfId="0" applyFont="1" applyFill="1" applyBorder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2" fontId="5" fillId="3" borderId="0" xfId="0" applyNumberFormat="1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13" fillId="5" borderId="19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164" fontId="5" fillId="5" borderId="20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vertical="center"/>
    </xf>
    <xf numFmtId="0" fontId="5" fillId="5" borderId="21" xfId="0" applyFont="1" applyFill="1" applyBorder="1" applyAlignment="1">
      <alignment vertical="center"/>
    </xf>
    <xf numFmtId="2" fontId="5" fillId="0" borderId="18" xfId="0" applyNumberFormat="1" applyFont="1" applyBorder="1" applyAlignment="1">
      <alignment vertical="center"/>
    </xf>
    <xf numFmtId="2" fontId="5" fillId="9" borderId="14" xfId="0" applyNumberFormat="1" applyFont="1" applyFill="1" applyBorder="1" applyAlignment="1">
      <alignment vertical="center"/>
    </xf>
    <xf numFmtId="2" fontId="5" fillId="0" borderId="14" xfId="0" applyNumberFormat="1" applyFont="1" applyBorder="1" applyAlignment="1">
      <alignment vertical="center"/>
    </xf>
    <xf numFmtId="0" fontId="5" fillId="14" borderId="0" xfId="0" applyFont="1" applyFill="1" applyAlignment="1">
      <alignment horizontal="center" vertical="center"/>
    </xf>
    <xf numFmtId="0" fontId="5" fillId="14" borderId="0" xfId="0" applyFont="1" applyFill="1" applyAlignment="1">
      <alignment horizontal="left" vertical="center"/>
    </xf>
    <xf numFmtId="0" fontId="5" fillId="14" borderId="13" xfId="0" applyFont="1" applyFill="1" applyBorder="1" applyAlignment="1">
      <alignment vertical="center"/>
    </xf>
    <xf numFmtId="0" fontId="5" fillId="14" borderId="1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2" fontId="5" fillId="2" borderId="23" xfId="0" applyNumberFormat="1" applyFont="1" applyFill="1" applyBorder="1" applyAlignment="1">
      <alignment vertical="center"/>
    </xf>
    <xf numFmtId="2" fontId="5" fillId="2" borderId="6" xfId="0" applyNumberFormat="1" applyFont="1" applyFill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164" fontId="5" fillId="0" borderId="24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right" vertical="center"/>
    </xf>
    <xf numFmtId="0" fontId="5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2" fontId="5" fillId="6" borderId="0" xfId="0" applyNumberFormat="1" applyFont="1" applyFill="1" applyAlignment="1">
      <alignment horizontal="center" vertical="center"/>
    </xf>
    <xf numFmtId="2" fontId="5" fillId="6" borderId="24" xfId="0" applyNumberFormat="1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14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6" fillId="19" borderId="0" xfId="0" applyFont="1" applyFill="1" applyAlignment="1">
      <alignment horizontal="center"/>
    </xf>
    <xf numFmtId="0" fontId="16" fillId="20" borderId="0" xfId="0" applyFont="1" applyFill="1" applyAlignment="1">
      <alignment horizontal="center"/>
    </xf>
    <xf numFmtId="0" fontId="16" fillId="20" borderId="0" xfId="0" applyFont="1" applyFill="1" applyAlignment="1">
      <alignment horizontal="center" vertical="center"/>
    </xf>
    <xf numFmtId="0" fontId="16" fillId="21" borderId="0" xfId="0" applyFont="1" applyFill="1" applyAlignment="1">
      <alignment horizontal="center" vertical="center"/>
    </xf>
    <xf numFmtId="0" fontId="16" fillId="19" borderId="0" xfId="0" applyFont="1" applyFill="1" applyAlignment="1">
      <alignment horizontal="center" vertical="center"/>
    </xf>
    <xf numFmtId="0" fontId="16" fillId="21" borderId="0" xfId="0" applyFont="1" applyFill="1" applyAlignment="1">
      <alignment horizontal="center"/>
    </xf>
    <xf numFmtId="0" fontId="16" fillId="0" borderId="29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6" fillId="23" borderId="0" xfId="0" applyFont="1" applyFill="1" applyAlignment="1">
      <alignment horizontal="center" vertical="center"/>
    </xf>
    <xf numFmtId="0" fontId="16" fillId="21" borderId="29" xfId="0" applyFont="1" applyFill="1" applyBorder="1" applyAlignment="1">
      <alignment horizontal="center" vertical="center"/>
    </xf>
    <xf numFmtId="0" fontId="16" fillId="16" borderId="0" xfId="0" applyFont="1" applyFill="1" applyAlignment="1">
      <alignment horizontal="center" vertical="center"/>
    </xf>
    <xf numFmtId="0" fontId="16" fillId="22" borderId="0" xfId="0" applyFont="1" applyFill="1" applyAlignment="1">
      <alignment horizontal="center"/>
    </xf>
    <xf numFmtId="0" fontId="16" fillId="19" borderId="29" xfId="0" applyFont="1" applyFill="1" applyBorder="1" applyAlignment="1">
      <alignment horizontal="center" vertical="center"/>
    </xf>
    <xf numFmtId="0" fontId="16" fillId="22" borderId="0" xfId="0" applyFont="1" applyFill="1" applyAlignment="1">
      <alignment horizontal="center" vertical="center"/>
    </xf>
    <xf numFmtId="0" fontId="16" fillId="20" borderId="29" xfId="0" applyFont="1" applyFill="1" applyBorder="1" applyAlignment="1">
      <alignment horizontal="center" vertical="center"/>
    </xf>
    <xf numFmtId="0" fontId="16" fillId="18" borderId="0" xfId="0" applyFont="1" applyFill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0" fontId="16" fillId="20" borderId="29" xfId="0" applyFont="1" applyFill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19" borderId="29" xfId="0" applyFont="1" applyFill="1" applyBorder="1" applyAlignment="1">
      <alignment horizontal="center"/>
    </xf>
    <xf numFmtId="0" fontId="16" fillId="21" borderId="29" xfId="0" applyFont="1" applyFill="1" applyBorder="1" applyAlignment="1">
      <alignment horizontal="center"/>
    </xf>
    <xf numFmtId="0" fontId="17" fillId="0" borderId="29" xfId="0" applyFont="1" applyBorder="1" applyAlignment="1">
      <alignment horizontal="center" vertical="center"/>
    </xf>
    <xf numFmtId="0" fontId="17" fillId="19" borderId="29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9" borderId="0" xfId="0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8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16" borderId="0" xfId="0" applyFont="1" applyFill="1" applyAlignment="1">
      <alignment horizontal="center" vertical="center"/>
    </xf>
    <xf numFmtId="0" fontId="8" fillId="16" borderId="14" xfId="0" applyFont="1" applyFill="1" applyBorder="1" applyAlignment="1">
      <alignment horizontal="center" vertical="center"/>
    </xf>
    <xf numFmtId="0" fontId="8" fillId="17" borderId="17" xfId="0" applyFont="1" applyFill="1" applyBorder="1" applyAlignment="1">
      <alignment horizontal="center" vertical="center"/>
    </xf>
    <xf numFmtId="0" fontId="8" fillId="17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4" fontId="8" fillId="0" borderId="25" xfId="0" applyNumberFormat="1" applyFont="1" applyBorder="1" applyAlignment="1">
      <alignment horizontal="center" vertical="center"/>
    </xf>
    <xf numFmtId="14" fontId="8" fillId="0" borderId="26" xfId="0" applyNumberFormat="1" applyFont="1" applyBorder="1" applyAlignment="1">
      <alignment horizontal="center" vertical="center"/>
    </xf>
    <xf numFmtId="14" fontId="8" fillId="0" borderId="2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/>
    </xf>
    <xf numFmtId="0" fontId="5" fillId="0" borderId="16" xfId="0" applyFont="1" applyBorder="1" applyAlignment="1">
      <alignment horizontal="center" vertical="center" textRotation="90"/>
    </xf>
    <xf numFmtId="0" fontId="5" fillId="0" borderId="28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27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20" borderId="29" xfId="0" applyFont="1" applyFill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29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8" fillId="20" borderId="29" xfId="0" applyFont="1" applyFill="1" applyBorder="1" applyAlignment="1">
      <alignment horizontal="center" vertical="center"/>
    </xf>
    <xf numFmtId="0" fontId="18" fillId="21" borderId="29" xfId="0" applyFont="1" applyFill="1" applyBorder="1" applyAlignment="1">
      <alignment horizontal="center" vertical="center"/>
    </xf>
    <xf numFmtId="0" fontId="19" fillId="19" borderId="29" xfId="0" applyFont="1" applyFill="1" applyBorder="1" applyAlignment="1">
      <alignment horizontal="center" vertical="center"/>
    </xf>
    <xf numFmtId="0" fontId="18" fillId="19" borderId="29" xfId="0" applyFont="1" applyFill="1" applyBorder="1" applyAlignment="1">
      <alignment horizontal="center" vertical="center"/>
    </xf>
    <xf numFmtId="0" fontId="18" fillId="19" borderId="29" xfId="0" applyFont="1" applyFill="1" applyBorder="1" applyAlignment="1">
      <alignment horizontal="center"/>
    </xf>
    <xf numFmtId="0" fontId="18" fillId="21" borderId="29" xfId="0" applyFont="1" applyFill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22" borderId="0" xfId="0" applyFont="1" applyFill="1" applyBorder="1" applyAlignment="1">
      <alignment horizontal="center"/>
    </xf>
    <xf numFmtId="0" fontId="18" fillId="18" borderId="0" xfId="0" applyFont="1" applyFill="1" applyBorder="1" applyAlignment="1">
      <alignment horizontal="center"/>
    </xf>
    <xf numFmtId="0" fontId="18" fillId="0" borderId="22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21" borderId="30" xfId="0" applyFont="1" applyFill="1" applyBorder="1" applyAlignment="1">
      <alignment horizontal="center" vertical="center"/>
    </xf>
    <xf numFmtId="0" fontId="18" fillId="20" borderId="30" xfId="0" applyFont="1" applyFill="1" applyBorder="1" applyAlignment="1">
      <alignment horizontal="center" vertical="center"/>
    </xf>
    <xf numFmtId="0" fontId="18" fillId="19" borderId="30" xfId="0" applyFont="1" applyFill="1" applyBorder="1" applyAlignment="1">
      <alignment horizontal="center" vertical="center"/>
    </xf>
    <xf numFmtId="0" fontId="18" fillId="22" borderId="24" xfId="0" applyFont="1" applyFill="1" applyBorder="1" applyAlignment="1">
      <alignment horizontal="center" vertical="center"/>
    </xf>
    <xf numFmtId="0" fontId="18" fillId="18" borderId="24" xfId="0" applyFont="1" applyFill="1" applyBorder="1" applyAlignment="1">
      <alignment horizontal="center"/>
    </xf>
    <xf numFmtId="0" fontId="18" fillId="0" borderId="24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23" borderId="0" xfId="0" applyFont="1" applyFill="1" applyBorder="1" applyAlignment="1">
      <alignment horizontal="center" vertical="center"/>
    </xf>
    <xf numFmtId="0" fontId="18" fillId="22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9" fillId="19" borderId="30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20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19" borderId="12" xfId="0" applyFont="1" applyFill="1" applyBorder="1" applyAlignment="1">
      <alignment horizontal="center"/>
    </xf>
    <xf numFmtId="0" fontId="18" fillId="21" borderId="12" xfId="0" applyFont="1" applyFill="1" applyBorder="1" applyAlignment="1">
      <alignment horizontal="center"/>
    </xf>
    <xf numFmtId="0" fontId="18" fillId="22" borderId="32" xfId="0" applyFont="1" applyFill="1" applyBorder="1" applyAlignment="1">
      <alignment horizontal="center"/>
    </xf>
    <xf numFmtId="0" fontId="18" fillId="18" borderId="32" xfId="0" applyFont="1" applyFill="1" applyBorder="1" applyAlignment="1">
      <alignment horizontal="center"/>
    </xf>
    <xf numFmtId="0" fontId="18" fillId="18" borderId="33" xfId="0" applyFont="1" applyFill="1" applyBorder="1" applyAlignment="1">
      <alignment horizontal="center"/>
    </xf>
    <xf numFmtId="0" fontId="20" fillId="0" borderId="5" xfId="0" applyFont="1" applyBorder="1" applyAlignment="1"/>
    <xf numFmtId="0" fontId="19" fillId="0" borderId="33" xfId="0" applyFont="1" applyBorder="1" applyAlignment="1">
      <alignment horizontal="center"/>
    </xf>
    <xf numFmtId="0" fontId="18" fillId="21" borderId="35" xfId="0" applyFont="1" applyFill="1" applyBorder="1" applyAlignment="1">
      <alignment horizontal="center"/>
    </xf>
    <xf numFmtId="0" fontId="18" fillId="20" borderId="35" xfId="0" applyFont="1" applyFill="1" applyBorder="1" applyAlignment="1">
      <alignment horizontal="center"/>
    </xf>
    <xf numFmtId="0" fontId="18" fillId="19" borderId="35" xfId="0" applyFont="1" applyFill="1" applyBorder="1" applyAlignment="1">
      <alignment horizontal="center"/>
    </xf>
    <xf numFmtId="0" fontId="18" fillId="22" borderId="33" xfId="0" applyFont="1" applyFill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19" borderId="12" xfId="0" applyFont="1" applyFill="1" applyBorder="1" applyAlignment="1">
      <alignment horizontal="center"/>
    </xf>
    <xf numFmtId="0" fontId="19" fillId="19" borderId="35" xfId="0" applyFont="1" applyFill="1" applyBorder="1" applyAlignment="1">
      <alignment horizontal="center"/>
    </xf>
    <xf numFmtId="0" fontId="18" fillId="23" borderId="32" xfId="0" applyFont="1" applyFill="1" applyBorder="1" applyAlignment="1">
      <alignment horizontal="center"/>
    </xf>
    <xf numFmtId="0" fontId="18" fillId="16" borderId="32" xfId="0" applyFont="1" applyFill="1" applyBorder="1" applyAlignment="1">
      <alignment horizontal="center"/>
    </xf>
    <xf numFmtId="0" fontId="19" fillId="0" borderId="0" xfId="0" applyFont="1" applyBorder="1" applyAlignment="1">
      <alignment horizontal="justify" vertical="center" wrapText="1"/>
    </xf>
    <xf numFmtId="0" fontId="18" fillId="24" borderId="0" xfId="0" applyFont="1" applyFill="1" applyBorder="1" applyAlignment="1">
      <alignment horizontal="center"/>
    </xf>
    <xf numFmtId="0" fontId="18" fillId="24" borderId="0" xfId="0" applyFont="1" applyFill="1" applyBorder="1" applyAlignment="1">
      <alignment horizontal="center" vertical="center"/>
    </xf>
    <xf numFmtId="0" fontId="18" fillId="25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justify" vertical="center" wrapText="1"/>
    </xf>
    <xf numFmtId="0" fontId="18" fillId="26" borderId="0" xfId="0" applyFont="1" applyFill="1" applyBorder="1" applyAlignment="1">
      <alignment horizontal="center" vertical="center"/>
    </xf>
    <xf numFmtId="0" fontId="18" fillId="26" borderId="0" xfId="0" applyFont="1" applyFill="1" applyBorder="1" applyAlignment="1">
      <alignment horizontal="center"/>
    </xf>
    <xf numFmtId="0" fontId="18" fillId="25" borderId="0" xfId="0" applyFont="1" applyFill="1" applyBorder="1" applyAlignment="1">
      <alignment horizont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/>
    <xf numFmtId="0" fontId="18" fillId="0" borderId="3" xfId="0" applyFont="1" applyBorder="1"/>
    <xf numFmtId="0" fontId="19" fillId="0" borderId="13" xfId="0" applyFont="1" applyBorder="1" applyAlignment="1">
      <alignment horizontal="justify" vertical="center" wrapText="1"/>
    </xf>
    <xf numFmtId="0" fontId="18" fillId="25" borderId="13" xfId="0" applyFont="1" applyFill="1" applyBorder="1" applyAlignment="1">
      <alignment horizontal="center" vertical="center"/>
    </xf>
    <xf numFmtId="0" fontId="18" fillId="24" borderId="13" xfId="0" applyFont="1" applyFill="1" applyBorder="1" applyAlignment="1">
      <alignment horizontal="center" vertical="center"/>
    </xf>
    <xf numFmtId="0" fontId="18" fillId="26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/>
    </xf>
    <xf numFmtId="0" fontId="0" fillId="0" borderId="15" xfId="0" applyBorder="1"/>
    <xf numFmtId="0" fontId="18" fillId="0" borderId="2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966"/>
      <color rgb="FFD9D9D9"/>
      <color rgb="FFF4B083"/>
      <color rgb="FFFFCCFF"/>
      <color rgb="FFFFEDB3"/>
      <color rgb="FFFFFFBD"/>
      <color rgb="FF83B7B5"/>
      <color rgb="FFEFDC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45327433923413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73617299748656E-2"/>
          <c:y val="0.17001020149074855"/>
          <c:w val="0.66844944583616428"/>
          <c:h val="0.65487820557134491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1.061852103488377E-2"/>
                  <c:y val="-2.301634628989419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C3UMY1'!$C$4:$C$7</c:f>
              <c:numCache>
                <c:formatCode>General</c:formatCode>
                <c:ptCount val="4"/>
                <c:pt idx="0">
                  <c:v>0</c:v>
                </c:pt>
                <c:pt idx="1">
                  <c:v>1.087</c:v>
                </c:pt>
                <c:pt idx="2">
                  <c:v>5.4349999999999996</c:v>
                </c:pt>
                <c:pt idx="3">
                  <c:v>10.87</c:v>
                </c:pt>
              </c:numCache>
            </c:numRef>
          </c:xVal>
          <c:yVal>
            <c:numRef>
              <c:f>'Résultats C3UMY1'!$D$4:$D$7</c:f>
              <c:numCache>
                <c:formatCode>General</c:formatCode>
                <c:ptCount val="4"/>
                <c:pt idx="0">
                  <c:v>0</c:v>
                </c:pt>
                <c:pt idx="1">
                  <c:v>0.66200000000000003</c:v>
                </c:pt>
                <c:pt idx="2">
                  <c:v>3.0609999999999999</c:v>
                </c:pt>
                <c:pt idx="3">
                  <c:v>5.8090000000000002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63-4B4C-8604-EEE64A82D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05184"/>
        <c:axId val="146606720"/>
      </c:scatterChart>
      <c:valAx>
        <c:axId val="14660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606720"/>
        <c:crosses val="autoZero"/>
        <c:crossBetween val="midCat"/>
      </c:valAx>
      <c:valAx>
        <c:axId val="146606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605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6136655520799628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m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'Résultats plaque 2 UV - MS'!$C$59:$C$61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'Résultats plaque 2 UV - MS'!$E$59:$E$61</c:f>
              <c:numCache>
                <c:formatCode>General</c:formatCode>
                <c:ptCount val="3"/>
                <c:pt idx="0">
                  <c:v>0</c:v>
                </c:pt>
                <c:pt idx="1">
                  <c:v>21.626000000000001</c:v>
                </c:pt>
                <c:pt idx="2">
                  <c:v>59.988999999999997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66-40B5-BC28-753782D9EC71}"/>
            </c:ext>
          </c:extLst>
        </c:ser>
        <c:ser>
          <c:idx val="1"/>
          <c:order val="1"/>
          <c:tx>
            <c:v>3 m (plaque1)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plaque 2 UV - MS'!$C$83:$C$86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0</c:v>
                </c:pt>
              </c:numCache>
            </c:numRef>
          </c:xVal>
          <c:yVal>
            <c:numRef>
              <c:f>'Résultats plaque 2 UV - MS'!$E$83:$E$86</c:f>
              <c:numCache>
                <c:formatCode>General</c:formatCode>
                <c:ptCount val="4"/>
                <c:pt idx="0">
                  <c:v>21.792999999999999</c:v>
                </c:pt>
                <c:pt idx="1">
                  <c:v>65.222999999999999</c:v>
                </c:pt>
                <c:pt idx="2">
                  <c:v>92.091999999999999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66-40B5-BC28-753782D9E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14336"/>
        <c:axId val="147215872"/>
      </c:scatterChart>
      <c:valAx>
        <c:axId val="147214336"/>
        <c:scaling>
          <c:orientation val="minMax"/>
          <c:max val="1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47215872"/>
        <c:crosses val="autoZero"/>
        <c:crossBetween val="midCat"/>
      </c:valAx>
      <c:valAx>
        <c:axId val="14721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214336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108515521424819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plaque 2 UV - MS'!$T$8:$T$11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MS'!$U$8:$U$11</c:f>
              <c:numCache>
                <c:formatCode>General</c:formatCode>
                <c:ptCount val="4"/>
                <c:pt idx="0">
                  <c:v>0</c:v>
                </c:pt>
                <c:pt idx="1">
                  <c:v>16150.058000000001</c:v>
                </c:pt>
                <c:pt idx="2">
                  <c:v>52898.195</c:v>
                </c:pt>
                <c:pt idx="3">
                  <c:v>80890.448999999993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5-4A93-9E58-A90B83375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53504"/>
        <c:axId val="149094400"/>
      </c:scatterChart>
      <c:valAx>
        <c:axId val="147253504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9094400"/>
        <c:crosses val="autoZero"/>
        <c:crossBetween val="midCat"/>
      </c:valAx>
      <c:valAx>
        <c:axId val="14909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253504"/>
        <c:crosses val="autoZero"/>
        <c:crossBetween val="midCat"/>
      </c:valAx>
      <c:spPr>
        <a:solidFill>
          <a:schemeClr val="bg1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7121045353205E-2"/>
          <c:y val="6.7288143112620977E-2"/>
          <c:w val="0.82073390982029304"/>
          <c:h val="0.68385666492425823"/>
        </c:manualLayout>
      </c:layout>
      <c:scatterChart>
        <c:scatterStyle val="lineMarker"/>
        <c:varyColors val="0"/>
        <c:ser>
          <c:idx val="1"/>
          <c:order val="0"/>
          <c:tx>
            <c:v>3 f moins 10mM</c:v>
          </c:tx>
          <c:spPr>
            <a:ln w="28575">
              <a:noFill/>
            </a:ln>
          </c:spPr>
          <c:marker>
            <c:symbol val="square"/>
            <c:size val="3"/>
          </c:marke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1.2369924347691832E-3"/>
                  <c:y val="2.093533014638379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C0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'Résultats plaque 2 UV - MS'!$T$43:$T$45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'Résultats plaque 2 UV - MS'!$U$43:$U$45</c:f>
              <c:numCache>
                <c:formatCode>General</c:formatCode>
                <c:ptCount val="3"/>
                <c:pt idx="0">
                  <c:v>0</c:v>
                </c:pt>
                <c:pt idx="1">
                  <c:v>55465.383000000002</c:v>
                </c:pt>
                <c:pt idx="2">
                  <c:v>172385.038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18-4C0A-863E-A6EDE24AAF1B}"/>
            </c:ext>
          </c:extLst>
        </c:ser>
        <c:ser>
          <c:idx val="0"/>
          <c:order val="1"/>
          <c:tx>
            <c:v>3f moins 5mM</c:v>
          </c:tx>
          <c:spPr>
            <a:ln w="28575">
              <a:noFill/>
            </a:ln>
          </c:spPr>
          <c:marker>
            <c:symbol val="diamond"/>
            <c:size val="8"/>
          </c:marker>
          <c:trendline>
            <c:spPr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372703412073493E-2"/>
                  <c:y val="0.2923924671713204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chemeClr val="tx2">
                          <a:lumMod val="75000"/>
                        </a:schemeClr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('Résultats plaque 2 UV - MS'!$T$43:$T$44,'Résultats plaque 2 UV - MS'!$T$46)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10</c:v>
                </c:pt>
              </c:numCache>
            </c:numRef>
          </c:xVal>
          <c:yVal>
            <c:numRef>
              <c:f>('Résultats plaque 2 UV - MS'!$U$43:$U$44,'Résultats plaque 2 UV - MS'!$U$46)</c:f>
              <c:numCache>
                <c:formatCode>General</c:formatCode>
                <c:ptCount val="3"/>
                <c:pt idx="0">
                  <c:v>0</c:v>
                </c:pt>
                <c:pt idx="1">
                  <c:v>55465.383000000002</c:v>
                </c:pt>
                <c:pt idx="2">
                  <c:v>135610.59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18-4C0A-863E-A6EDE24AA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22048"/>
        <c:axId val="149136128"/>
      </c:scatterChart>
      <c:valAx>
        <c:axId val="149122048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9136128"/>
        <c:crosses val="autoZero"/>
        <c:crossBetween val="midCat"/>
      </c:valAx>
      <c:valAx>
        <c:axId val="14913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122048"/>
        <c:crosses val="autoZero"/>
        <c:crossBetween val="midCat"/>
        <c:majorUnit val="50000"/>
      </c:valAx>
    </c:plotArea>
    <c:legend>
      <c:legendPos val="b"/>
      <c:layout>
        <c:manualLayout>
          <c:xMode val="edge"/>
          <c:yMode val="edge"/>
          <c:x val="0"/>
          <c:y val="0.84343495876309593"/>
          <c:w val="1"/>
          <c:h val="0.15656504123690407"/>
        </c:manualLayout>
      </c:layout>
      <c:overlay val="0"/>
      <c:txPr>
        <a:bodyPr/>
        <a:lstStyle/>
        <a:p>
          <a:pPr>
            <a:defRPr sz="1000"/>
          </a:pPr>
          <a:endParaRPr lang="nl-NL"/>
        </a:p>
      </c:txPr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108515521424819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plaque 2 UV - MS'!$T$8:$T$11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MS'!$U$8:$U$11</c:f>
              <c:numCache>
                <c:formatCode>General</c:formatCode>
                <c:ptCount val="4"/>
                <c:pt idx="0">
                  <c:v>0</c:v>
                </c:pt>
                <c:pt idx="1">
                  <c:v>16150.058000000001</c:v>
                </c:pt>
                <c:pt idx="2">
                  <c:v>52898.195</c:v>
                </c:pt>
                <c:pt idx="3">
                  <c:v>80890.448999999993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C0-4009-A762-E9F50A1C9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61472"/>
        <c:axId val="149163008"/>
      </c:scatterChart>
      <c:valAx>
        <c:axId val="149161472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9163008"/>
        <c:crosses val="autoZero"/>
        <c:crossBetween val="midCat"/>
      </c:valAx>
      <c:valAx>
        <c:axId val="14916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161472"/>
        <c:crosses val="autoZero"/>
        <c:crossBetween val="midCat"/>
      </c:valAx>
      <c:spPr>
        <a:solidFill>
          <a:schemeClr val="bg1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décroissance de la conta</a:t>
            </a:r>
            <a:r>
              <a:rPr lang="fr-FR" sz="1100" baseline="0"/>
              <a:t> après injection de 3m</a:t>
            </a:r>
            <a:endParaRPr lang="fr-FR" sz="11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919602883119358"/>
          <c:y val="0.14264070454058336"/>
          <c:w val="0.58632994163573915"/>
          <c:h val="0.66885819710467798"/>
        </c:manualLayout>
      </c:layout>
      <c:scatterChart>
        <c:scatterStyle val="lineMarker"/>
        <c:varyColors val="0"/>
        <c:ser>
          <c:idx val="2"/>
          <c:order val="0"/>
          <c:tx>
            <c:v>Tous BL sub</c:v>
          </c:tx>
          <c:spPr>
            <a:ln w="28575">
              <a:noFill/>
            </a:ln>
          </c:spPr>
          <c:marker>
            <c:symbol val="triangle"/>
            <c:size val="5"/>
          </c:marker>
          <c:trendline>
            <c:trendlineType val="exp"/>
            <c:dispRSqr val="1"/>
            <c:dispEq val="1"/>
            <c:trendlineLbl>
              <c:layout>
                <c:manualLayout>
                  <c:x val="2.9327181965931547E-2"/>
                  <c:y val="-0.132612437896370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nl-NL"/>
                </a:p>
              </c:txPr>
            </c:trendlineLbl>
          </c:trendline>
          <c:xVal>
            <c:numRef>
              <c:f>('Résultats plaque 2 UV - MS'!$R$61:$R$63,'Résultats plaque 2 UV - MS'!$R$65:$R$66)</c:f>
              <c:numCache>
                <c:formatCode>General</c:formatCode>
                <c:ptCount val="5"/>
                <c:pt idx="0">
                  <c:v>5</c:v>
                </c:pt>
                <c:pt idx="1">
                  <c:v>14</c:v>
                </c:pt>
                <c:pt idx="2">
                  <c:v>23</c:v>
                </c:pt>
                <c:pt idx="3">
                  <c:v>1</c:v>
                </c:pt>
                <c:pt idx="4">
                  <c:v>12</c:v>
                </c:pt>
              </c:numCache>
            </c:numRef>
          </c:xVal>
          <c:yVal>
            <c:numRef>
              <c:f>('Résultats plaque 2 UV - MS'!$V$61:$V$63,'Résultats plaque 2 UV - MS'!$V$65:$V$66)</c:f>
              <c:numCache>
                <c:formatCode>General</c:formatCode>
                <c:ptCount val="5"/>
                <c:pt idx="0">
                  <c:v>79368.277000000002</c:v>
                </c:pt>
                <c:pt idx="1">
                  <c:v>26844.707999999999</c:v>
                </c:pt>
                <c:pt idx="2">
                  <c:v>8926.2350000000006</c:v>
                </c:pt>
                <c:pt idx="3">
                  <c:v>151436.93400000001</c:v>
                </c:pt>
                <c:pt idx="4">
                  <c:v>33939.599999999999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35-474B-80FA-B5FC57136A76}"/>
            </c:ext>
          </c:extLst>
        </c:ser>
        <c:ser>
          <c:idx val="3"/>
          <c:order val="1"/>
          <c:tx>
            <c:v>Réactions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'Résultats plaque 2 UV - MS'!$AC$66:$AC$76</c:f>
              <c:numCache>
                <c:formatCode>General</c:formatCode>
                <c:ptCount val="11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numCache>
            </c:numRef>
          </c:xVal>
          <c:yVal>
            <c:numRef>
              <c:f>'Résultats plaque 2 UV - MS'!$AG$66:$AG$76</c:f>
              <c:numCache>
                <c:formatCode>0</c:formatCode>
                <c:ptCount val="11"/>
                <c:pt idx="0">
                  <c:v>33939.599999999999</c:v>
                </c:pt>
                <c:pt idx="1">
                  <c:v>148610.43299999999</c:v>
                </c:pt>
                <c:pt idx="2">
                  <c:v>148373.149</c:v>
                </c:pt>
                <c:pt idx="3">
                  <c:v>102371.758</c:v>
                </c:pt>
                <c:pt idx="4">
                  <c:v>112576.773</c:v>
                </c:pt>
                <c:pt idx="5">
                  <c:v>106381.933</c:v>
                </c:pt>
                <c:pt idx="6">
                  <c:v>97132.627999999997</c:v>
                </c:pt>
                <c:pt idx="7">
                  <c:v>106688.26</c:v>
                </c:pt>
                <c:pt idx="8">
                  <c:v>95128.842999999993</c:v>
                </c:pt>
                <c:pt idx="9">
                  <c:v>216387.89199999999</c:v>
                </c:pt>
                <c:pt idx="10">
                  <c:v>248334.50700000001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35-474B-80FA-B5FC57136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98336"/>
        <c:axId val="149200256"/>
      </c:scatterChart>
      <c:valAx>
        <c:axId val="14919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nb injections</a:t>
                </a:r>
                <a:r>
                  <a:rPr lang="fr-FR" baseline="0"/>
                  <a:t> après 3m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35157108486439193"/>
              <c:y val="0.9249766695829687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9200256"/>
        <c:crosses val="autoZero"/>
        <c:crossBetween val="midCat"/>
      </c:valAx>
      <c:valAx>
        <c:axId val="149200256"/>
        <c:scaling>
          <c:orientation val="minMax"/>
          <c:max val="18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aire</a:t>
                </a:r>
                <a:r>
                  <a:rPr lang="fr-FR" baseline="0"/>
                  <a:t> du pic 3m (MS)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4.262709942096466E-4"/>
              <c:y val="0.297805919881057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919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16007285207876"/>
          <c:y val="0.32209548630961321"/>
          <c:w val="0.23320426910193168"/>
          <c:h val="0.3967405529379283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j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7274934383202099E-2"/>
                  <c:y val="-2.3507217847769029E-2"/>
                </c:manualLayout>
              </c:layout>
              <c:numFmt formatCode="General" sourceLinked="0"/>
            </c:trendlineLbl>
          </c:trendline>
          <c:xVal>
            <c:numRef>
              <c:f>'Résultats plaque 2 UV - MS'!$U$100:$U$103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MS'!$V$100:$V$103</c:f>
              <c:numCache>
                <c:formatCode>General</c:formatCode>
                <c:ptCount val="4"/>
                <c:pt idx="0">
                  <c:v>239.304</c:v>
                </c:pt>
                <c:pt idx="1">
                  <c:v>78069.356</c:v>
                </c:pt>
                <c:pt idx="2">
                  <c:v>239515.391</c:v>
                </c:pt>
                <c:pt idx="3">
                  <c:v>376206.86099999998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15-48C5-8074-C080AE546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82432"/>
        <c:axId val="151283968"/>
      </c:scatterChart>
      <c:valAx>
        <c:axId val="1512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283968"/>
        <c:crosses val="autoZero"/>
        <c:crossBetween val="midCat"/>
      </c:valAx>
      <c:valAx>
        <c:axId val="15128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282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g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7274934383202099E-2"/>
                  <c:y val="-2.3507217847769029E-2"/>
                </c:manualLayout>
              </c:layout>
              <c:numFmt formatCode="General" sourceLinked="0"/>
            </c:trendlineLbl>
          </c:trendline>
          <c:xVal>
            <c:numRef>
              <c:f>'Résultats plaque 2 UV - MS'!$U$123:$U$126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MS'!$V$123:$V$126</c:f>
              <c:numCache>
                <c:formatCode>General</c:formatCode>
                <c:ptCount val="4"/>
                <c:pt idx="0">
                  <c:v>0</c:v>
                </c:pt>
                <c:pt idx="1">
                  <c:v>19157.714</c:v>
                </c:pt>
                <c:pt idx="2">
                  <c:v>70195.278999999995</c:v>
                </c:pt>
                <c:pt idx="3">
                  <c:v>124752.48299999999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0B-4F0B-BBB3-1ACC7B1BD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97408"/>
        <c:axId val="151323776"/>
      </c:scatterChart>
      <c:valAx>
        <c:axId val="1512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23776"/>
        <c:crosses val="autoZero"/>
        <c:crossBetween val="midCat"/>
      </c:valAx>
      <c:valAx>
        <c:axId val="15132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297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 m</c:v>
          </c:tx>
          <c:spPr>
            <a:ln w="28575">
              <a:noFill/>
            </a:ln>
          </c:spP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6552777777777777"/>
                  <c:y val="0.2402661125692621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070C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'Résultats plaque 2 UV - MS'!$AF$62:$AF$65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MS'!$AG$62:$AG$65</c:f>
              <c:numCache>
                <c:formatCode>0</c:formatCode>
                <c:ptCount val="4"/>
                <c:pt idx="0">
                  <c:v>2017.557</c:v>
                </c:pt>
                <c:pt idx="1">
                  <c:v>257713.69</c:v>
                </c:pt>
                <c:pt idx="2">
                  <c:v>435252.7</c:v>
                </c:pt>
                <c:pt idx="3">
                  <c:v>403066.21899999998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0-4FB3-AE5A-3475F64B0C47}"/>
            </c:ext>
          </c:extLst>
        </c:ser>
        <c:ser>
          <c:idx val="1"/>
          <c:order val="1"/>
          <c:tx>
            <c:v>3 m [0-5] mM</c:v>
          </c:tx>
          <c:spPr>
            <a:ln w="28575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8.1512685914260724E-2"/>
                  <c:y val="-5.603018372703411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>
                      <a:solidFill>
                        <a:srgbClr val="FF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'Résultats plaque 2 UV - MS'!$AF$62:$AF$64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'Résultats plaque 2 UV - MS'!$AG$62:$AG$64</c:f>
              <c:numCache>
                <c:formatCode>0</c:formatCode>
                <c:ptCount val="3"/>
                <c:pt idx="0">
                  <c:v>2017.557</c:v>
                </c:pt>
                <c:pt idx="1">
                  <c:v>257713.69</c:v>
                </c:pt>
                <c:pt idx="2">
                  <c:v>435252.7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F0-4FB3-AE5A-3475F64B0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55776"/>
        <c:axId val="151357312"/>
      </c:scatterChart>
      <c:valAx>
        <c:axId val="1513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57312"/>
        <c:crosses val="autoZero"/>
        <c:crossBetween val="midCat"/>
      </c:valAx>
      <c:valAx>
        <c:axId val="15135731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51355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décroissance de la conta</a:t>
            </a:r>
            <a:r>
              <a:rPr lang="fr-FR" sz="1400" baseline="0"/>
              <a:t> après injection de 3m</a:t>
            </a:r>
            <a:endParaRPr lang="fr-FR" sz="14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15 injections</c:v>
          </c:tx>
          <c:spPr>
            <a:ln w="28575">
              <a:noFill/>
            </a:ln>
          </c:spPr>
          <c:marker>
            <c:symbol val="triangle"/>
            <c:size val="5"/>
          </c:marker>
          <c:trendline>
            <c:trendlineType val="exp"/>
            <c:dispRSqr val="1"/>
            <c:dispEq val="1"/>
            <c:trendlineLbl>
              <c:layout>
                <c:manualLayout>
                  <c:x val="-4.9608175067566547E-2"/>
                  <c:y val="-0.4358465555021918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nl-NL"/>
                </a:p>
              </c:txPr>
            </c:trendlineLbl>
          </c:trendline>
          <c:xVal>
            <c:numRef>
              <c:f>('Résultats plaque 2 UV - MS'!$R$61:$R$62,'Résultats plaque 2 UV - MS'!$R$65:$R$66)</c:f>
              <c:numCache>
                <c:formatCode>General</c:formatCode>
                <c:ptCount val="4"/>
                <c:pt idx="0">
                  <c:v>5</c:v>
                </c:pt>
                <c:pt idx="1">
                  <c:v>14</c:v>
                </c:pt>
                <c:pt idx="2">
                  <c:v>1</c:v>
                </c:pt>
                <c:pt idx="3">
                  <c:v>12</c:v>
                </c:pt>
              </c:numCache>
            </c:numRef>
          </c:xVal>
          <c:yVal>
            <c:numRef>
              <c:f>('Résultats plaque 2 UV - MS'!$V$61:$V$62,'Résultats plaque 2 UV - MS'!$V$65:$V$66)</c:f>
              <c:numCache>
                <c:formatCode>General</c:formatCode>
                <c:ptCount val="4"/>
                <c:pt idx="0">
                  <c:v>79368.277000000002</c:v>
                </c:pt>
                <c:pt idx="1">
                  <c:v>26844.707999999999</c:v>
                </c:pt>
                <c:pt idx="2">
                  <c:v>151436.93400000001</c:v>
                </c:pt>
                <c:pt idx="3">
                  <c:v>33939.599999999999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19-402F-A8E4-C1FE56F669E4}"/>
            </c:ext>
          </c:extLst>
        </c:ser>
        <c:ser>
          <c:idx val="0"/>
          <c:order val="1"/>
          <c:tx>
            <c:v>réactions</c:v>
          </c:tx>
          <c:spPr>
            <a:ln w="28575">
              <a:noFill/>
            </a:ln>
          </c:spPr>
          <c:xVal>
            <c:numRef>
              <c:f>'Résultats plaque 2 UV - MS'!$AC$66:$AC$76</c:f>
              <c:numCache>
                <c:formatCode>General</c:formatCode>
                <c:ptCount val="11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numCache>
            </c:numRef>
          </c:xVal>
          <c:yVal>
            <c:numRef>
              <c:f>'Résultats plaque 2 UV - MS'!$AG$66:$AG$76</c:f>
              <c:numCache>
                <c:formatCode>0</c:formatCode>
                <c:ptCount val="11"/>
                <c:pt idx="0">
                  <c:v>33939.599999999999</c:v>
                </c:pt>
                <c:pt idx="1">
                  <c:v>148610.43299999999</c:v>
                </c:pt>
                <c:pt idx="2">
                  <c:v>148373.149</c:v>
                </c:pt>
                <c:pt idx="3">
                  <c:v>102371.758</c:v>
                </c:pt>
                <c:pt idx="4">
                  <c:v>112576.773</c:v>
                </c:pt>
                <c:pt idx="5">
                  <c:v>106381.933</c:v>
                </c:pt>
                <c:pt idx="6">
                  <c:v>97132.627999999997</c:v>
                </c:pt>
                <c:pt idx="7">
                  <c:v>106688.26</c:v>
                </c:pt>
                <c:pt idx="8">
                  <c:v>95128.842999999993</c:v>
                </c:pt>
                <c:pt idx="9">
                  <c:v>216387.89199999999</c:v>
                </c:pt>
                <c:pt idx="10">
                  <c:v>248334.50700000001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19-402F-A8E4-C1FE56F66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1344"/>
        <c:axId val="152123264"/>
      </c:scatterChart>
      <c:valAx>
        <c:axId val="15212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nb injectiion</a:t>
                </a:r>
                <a:r>
                  <a:rPr lang="fr-FR" baseline="0"/>
                  <a:t> après 3m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35157108486439193"/>
              <c:y val="0.9249766695829687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2123264"/>
        <c:crosses val="autoZero"/>
        <c:crossBetween val="midCat"/>
      </c:valAx>
      <c:valAx>
        <c:axId val="152123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aire</a:t>
                </a:r>
                <a:r>
                  <a:rPr lang="fr-FR" baseline="0"/>
                  <a:t> du pic 3m (MS)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8.3333333333333332E-3"/>
              <c:y val="0.2876870078740157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2121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'Tests sur B et C'!$C$2</c:f>
              <c:strCache>
                <c:ptCount val="1"/>
                <c:pt idx="0">
                  <c:v>[3 B]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070C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'Tests sur B et C'!$C$5:$C$9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'Tests sur B et C'!$D$5:$D$9</c:f>
              <c:numCache>
                <c:formatCode>General</c:formatCode>
                <c:ptCount val="5"/>
                <c:pt idx="0">
                  <c:v>20066.827000000001</c:v>
                </c:pt>
                <c:pt idx="1">
                  <c:v>0</c:v>
                </c:pt>
                <c:pt idx="2">
                  <c:v>46416.752999999997</c:v>
                </c:pt>
                <c:pt idx="3">
                  <c:v>93229.1</c:v>
                </c:pt>
                <c:pt idx="4">
                  <c:v>136885.41399999999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5-4781-9058-82336F8EB1C1}"/>
            </c:ext>
          </c:extLst>
        </c:ser>
        <c:ser>
          <c:idx val="1"/>
          <c:order val="1"/>
          <c:tx>
            <c:v>3 B [0-5] mM</c:v>
          </c:tx>
          <c:spPr>
            <a:ln w="28575">
              <a:noFill/>
            </a:ln>
          </c:spPr>
          <c:marker>
            <c:symbol val="square"/>
            <c:size val="4"/>
          </c:marke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724846894138231"/>
                  <c:y val="0.1644083552055992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'Tests sur B et C'!$C$5:$C$8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2.5</c:v>
                </c:pt>
                <c:pt idx="3">
                  <c:v>5</c:v>
                </c:pt>
              </c:numCache>
            </c:numRef>
          </c:xVal>
          <c:yVal>
            <c:numRef>
              <c:f>'Tests sur B et C'!$D$5:$D$8</c:f>
              <c:numCache>
                <c:formatCode>General</c:formatCode>
                <c:ptCount val="4"/>
                <c:pt idx="0">
                  <c:v>20066.827000000001</c:v>
                </c:pt>
                <c:pt idx="1">
                  <c:v>0</c:v>
                </c:pt>
                <c:pt idx="2">
                  <c:v>46416.752999999997</c:v>
                </c:pt>
                <c:pt idx="3">
                  <c:v>93229.1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45-4781-9058-82336F8EB1C1}"/>
            </c:ext>
          </c:extLst>
        </c:ser>
        <c:ser>
          <c:idx val="2"/>
          <c:order val="2"/>
          <c:tx>
            <c:v>[3 B] C reelles</c:v>
          </c:tx>
          <c:spPr>
            <a:ln w="28575">
              <a:noFill/>
            </a:ln>
          </c:spPr>
          <c:trendline>
            <c:spPr>
              <a:ln>
                <a:solidFill>
                  <a:srgbClr val="92D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6600185791635922"/>
                  <c:y val="0.1740606698909845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'Tests sur B et C'!$F$5:$F$9</c:f>
              <c:numCache>
                <c:formatCode>General</c:formatCode>
                <c:ptCount val="5"/>
                <c:pt idx="0">
                  <c:v>0.67</c:v>
                </c:pt>
                <c:pt idx="1">
                  <c:v>0</c:v>
                </c:pt>
                <c:pt idx="2">
                  <c:v>1.67</c:v>
                </c:pt>
                <c:pt idx="3">
                  <c:v>3.33</c:v>
                </c:pt>
                <c:pt idx="4">
                  <c:v>6.67</c:v>
                </c:pt>
              </c:numCache>
            </c:numRef>
          </c:xVal>
          <c:yVal>
            <c:numRef>
              <c:f>'Tests sur B et C'!$D$5:$D$9</c:f>
              <c:numCache>
                <c:formatCode>General</c:formatCode>
                <c:ptCount val="5"/>
                <c:pt idx="0">
                  <c:v>20066.827000000001</c:v>
                </c:pt>
                <c:pt idx="1">
                  <c:v>0</c:v>
                </c:pt>
                <c:pt idx="2">
                  <c:v>46416.752999999997</c:v>
                </c:pt>
                <c:pt idx="3">
                  <c:v>93229.1</c:v>
                </c:pt>
                <c:pt idx="4">
                  <c:v>136885.41399999999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45-4781-9058-82336F8EB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75776"/>
        <c:axId val="153281664"/>
      </c:scatterChart>
      <c:valAx>
        <c:axId val="15327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281664"/>
        <c:crosses val="autoZero"/>
        <c:crossBetween val="midCat"/>
      </c:valAx>
      <c:valAx>
        <c:axId val="15328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275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628243883307688"/>
          <c:y val="8.7466278979293613E-2"/>
          <c:w val="0.34419732955723858"/>
          <c:h val="0.9125337210207064"/>
        </c:manualLayout>
      </c:layout>
      <c:overlay val="0"/>
      <c:txPr>
        <a:bodyPr/>
        <a:lstStyle/>
        <a:p>
          <a:pPr>
            <a:defRPr sz="900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45327433923413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73617299748656E-2"/>
          <c:y val="0.17001020149074855"/>
          <c:w val="0.66844944583616428"/>
          <c:h val="0.65487820557134491"/>
        </c:manualLayout>
      </c:layout>
      <c:scatterChart>
        <c:scatterStyle val="lineMarker"/>
        <c:varyColors val="0"/>
        <c:ser>
          <c:idx val="0"/>
          <c:order val="0"/>
          <c:tx>
            <c:v>3 f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1.061852103488377E-2"/>
                  <c:y val="-2.301634628989419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C3UMY1'!$C$27:$C$30</c:f>
              <c:numCache>
                <c:formatCode>General</c:formatCode>
                <c:ptCount val="4"/>
                <c:pt idx="0">
                  <c:v>0</c:v>
                </c:pt>
                <c:pt idx="1">
                  <c:v>1.087</c:v>
                </c:pt>
                <c:pt idx="2">
                  <c:v>5.4349999999999996</c:v>
                </c:pt>
                <c:pt idx="3">
                  <c:v>10.87</c:v>
                </c:pt>
              </c:numCache>
            </c:numRef>
          </c:xVal>
          <c:yVal>
            <c:numRef>
              <c:f>'Résultats C3UMY1'!$D$27:$D$30</c:f>
              <c:numCache>
                <c:formatCode>General</c:formatCode>
                <c:ptCount val="4"/>
                <c:pt idx="0">
                  <c:v>0</c:v>
                </c:pt>
                <c:pt idx="1">
                  <c:v>1.244</c:v>
                </c:pt>
                <c:pt idx="2">
                  <c:v>5.9169999999999998</c:v>
                </c:pt>
                <c:pt idx="3">
                  <c:v>11.238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9-4E38-8AB0-F45B26055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20416"/>
        <c:axId val="146621952"/>
      </c:scatterChart>
      <c:valAx>
        <c:axId val="14662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621952"/>
        <c:crosses val="autoZero"/>
        <c:crossBetween val="midCat"/>
      </c:valAx>
      <c:valAx>
        <c:axId val="146621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620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CC 3B</c:v>
          </c:tx>
          <c:spPr>
            <a:ln w="28575">
              <a:noFill/>
            </a:ln>
          </c:spPr>
          <c:trendline>
            <c:spPr>
              <a:ln>
                <a:solidFill>
                  <a:srgbClr val="0070C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8.6143394971556153E-2"/>
                  <c:y val="0.2788360299361283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0070C0"/>
                      </a:solidFill>
                    </a:defRPr>
                  </a:pPr>
                  <a:endParaRPr lang="nl-NL"/>
                </a:p>
              </c:txPr>
            </c:trendlineLbl>
          </c:trendline>
          <c:trendline>
            <c:spPr>
              <a:ln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7.9271267562142964E-2"/>
                  <c:y val="-4.2469014865448675E-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7030A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'Tests sur B et C'!$C$40:$C$44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'Tests sur B et C'!$H$40:$H$44</c:f>
              <c:numCache>
                <c:formatCode>General</c:formatCode>
                <c:ptCount val="5"/>
                <c:pt idx="0">
                  <c:v>0</c:v>
                </c:pt>
                <c:pt idx="1">
                  <c:v>13584.43</c:v>
                </c:pt>
                <c:pt idx="2">
                  <c:v>27219.9</c:v>
                </c:pt>
                <c:pt idx="3">
                  <c:v>53676.722000000002</c:v>
                </c:pt>
                <c:pt idx="4">
                  <c:v>80151.241999999998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B-4955-8108-1914CCE58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07296"/>
        <c:axId val="146887040"/>
      </c:scatterChart>
      <c:valAx>
        <c:axId val="14560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887040"/>
        <c:crosses val="autoZero"/>
        <c:crossBetween val="midCat"/>
      </c:valAx>
      <c:valAx>
        <c:axId val="14688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607296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9424321959755033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'bilan pour publi'!$C$16:$C$19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publi'!$D$16:$D$19</c:f>
              <c:numCache>
                <c:formatCode>General</c:formatCode>
                <c:ptCount val="4"/>
                <c:pt idx="0">
                  <c:v>0</c:v>
                </c:pt>
                <c:pt idx="1">
                  <c:v>1.8240000000000001</c:v>
                </c:pt>
                <c:pt idx="2">
                  <c:v>8.6630000000000003</c:v>
                </c:pt>
                <c:pt idx="3">
                  <c:v>16.971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7E-4FE5-8BB8-A10D98A1E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581568"/>
        <c:axId val="145583104"/>
      </c:scatterChart>
      <c:valAx>
        <c:axId val="145581568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5583104"/>
        <c:crosses val="autoZero"/>
        <c:crossBetween val="midCat"/>
      </c:valAx>
      <c:valAx>
        <c:axId val="14558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581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051361313975258E-2"/>
          <c:y val="0.11121921358704853"/>
          <c:w val="0.89164472429057184"/>
          <c:h val="0.60453220067790903"/>
        </c:manualLayout>
      </c:layout>
      <c:scatterChart>
        <c:scatterStyle val="lineMarker"/>
        <c:varyColors val="0"/>
        <c:ser>
          <c:idx val="1"/>
          <c:order val="0"/>
          <c:tx>
            <c:v>3f moins 10mM</c:v>
          </c:tx>
          <c:spPr>
            <a:ln w="28575">
              <a:noFill/>
            </a:ln>
          </c:spP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5035154587259693"/>
                  <c:y val="-3.402796771686702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C0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'bilan pour publi'!$C$43:$C$45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'bilan pour publi'!$D$43:$D$45</c:f>
              <c:numCache>
                <c:formatCode>General</c:formatCode>
                <c:ptCount val="3"/>
                <c:pt idx="0">
                  <c:v>0</c:v>
                </c:pt>
                <c:pt idx="1">
                  <c:v>3.2749999999999999</c:v>
                </c:pt>
                <c:pt idx="2">
                  <c:v>17.463000000000001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D1-402E-BC01-6B0059B653AF}"/>
            </c:ext>
          </c:extLst>
        </c:ser>
        <c:ser>
          <c:idx val="0"/>
          <c:order val="1"/>
          <c:tx>
            <c:v>3f moins 5mM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964302082266657"/>
                  <c:y val="0.1508867442052297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0070C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('bilan pour publi'!$C$43:$C$44,'bilan pour publi'!$C$46)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10</c:v>
                </c:pt>
              </c:numCache>
            </c:numRef>
          </c:xVal>
          <c:yVal>
            <c:numRef>
              <c:f>('bilan pour publi'!$D$43:$D$44,'bilan pour publi'!$D$46)</c:f>
              <c:numCache>
                <c:formatCode>General</c:formatCode>
                <c:ptCount val="3"/>
                <c:pt idx="0">
                  <c:v>0</c:v>
                </c:pt>
                <c:pt idx="1">
                  <c:v>3.2749999999999999</c:v>
                </c:pt>
                <c:pt idx="2">
                  <c:v>12.154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D1-402E-BC01-6B0059B65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06304"/>
        <c:axId val="145690624"/>
      </c:scatterChart>
      <c:valAx>
        <c:axId val="14950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5690624"/>
        <c:crosses val="autoZero"/>
        <c:crossBetween val="midCat"/>
      </c:valAx>
      <c:valAx>
        <c:axId val="14569062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50630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9.8820862310739221E-3"/>
          <c:y val="0.82103700230531795"/>
          <c:w val="0.99011791376892599"/>
          <c:h val="0.17896299769468213"/>
        </c:manualLayout>
      </c:layout>
      <c:overlay val="0"/>
      <c:txPr>
        <a:bodyPr/>
        <a:lstStyle/>
        <a:p>
          <a:pPr>
            <a:defRPr sz="1000"/>
          </a:pPr>
          <a:endParaRPr lang="nl-NL"/>
        </a:p>
      </c:txPr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3148356390934504"/>
          <c:h val="0.68078373099306422"/>
        </c:manualLayout>
      </c:layout>
      <c:scatterChart>
        <c:scatterStyle val="lineMarker"/>
        <c:varyColors val="0"/>
        <c:ser>
          <c:idx val="1"/>
          <c:order val="0"/>
          <c:tx>
            <c:v>Ensemble des points</c:v>
          </c:tx>
          <c:spPr>
            <a:ln w="28575">
              <a:noFill/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'bilan pour publi'!$C$59:$C$62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publi'!$E$59:$E$62</c:f>
              <c:numCache>
                <c:formatCode>General</c:formatCode>
                <c:ptCount val="4"/>
                <c:pt idx="0">
                  <c:v>0</c:v>
                </c:pt>
                <c:pt idx="1">
                  <c:v>21.626000000000001</c:v>
                </c:pt>
                <c:pt idx="2">
                  <c:v>59.988999999999997</c:v>
                </c:pt>
                <c:pt idx="3">
                  <c:v>44.116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9-411D-8513-54C9CF76744C}"/>
            </c:ext>
          </c:extLst>
        </c:ser>
        <c:ser>
          <c:idx val="0"/>
          <c:order val="1"/>
          <c:tx>
            <c:v>3 m - cc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340849080311703"/>
                  <c:y val="-0.153688311252161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/>
                  </a:pPr>
                  <a:endParaRPr lang="nl-NL"/>
                </a:p>
              </c:txPr>
            </c:trendlineLbl>
          </c:trendline>
          <c:xVal>
            <c:numRef>
              <c:f>'bilan pour publi'!$C$59:$C$61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'bilan pour publi'!$E$59:$E$61</c:f>
              <c:numCache>
                <c:formatCode>General</c:formatCode>
                <c:ptCount val="3"/>
                <c:pt idx="0">
                  <c:v>0</c:v>
                </c:pt>
                <c:pt idx="1">
                  <c:v>21.626000000000001</c:v>
                </c:pt>
                <c:pt idx="2">
                  <c:v>59.988999999999997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F9-411D-8513-54C9CF767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21216"/>
        <c:axId val="145722752"/>
      </c:scatterChart>
      <c:valAx>
        <c:axId val="145721216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5722752"/>
        <c:crosses val="autoZero"/>
        <c:crossBetween val="midCat"/>
      </c:valAx>
      <c:valAx>
        <c:axId val="14572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721216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9424321959755033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j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'bilan pour publi'!$C$100:$C$103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publi'!$E$100:$E$103</c:f>
              <c:numCache>
                <c:formatCode>General</c:formatCode>
                <c:ptCount val="4"/>
                <c:pt idx="0">
                  <c:v>0</c:v>
                </c:pt>
                <c:pt idx="1">
                  <c:v>3.7709999999999999</c:v>
                </c:pt>
                <c:pt idx="2">
                  <c:v>18.878</c:v>
                </c:pt>
                <c:pt idx="3">
                  <c:v>37.722000000000001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BE-4F06-9F64-DC16E2011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36896"/>
        <c:axId val="147138432"/>
      </c:scatterChart>
      <c:valAx>
        <c:axId val="147136896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7138432"/>
        <c:crosses val="autoZero"/>
        <c:crossBetween val="midCat"/>
      </c:valAx>
      <c:valAx>
        <c:axId val="14713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13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9424321959755033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g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'bilan pour publi'!$C$127:$C$130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publi'!$E$127:$E$130</c:f>
              <c:numCache>
                <c:formatCode>General</c:formatCode>
                <c:ptCount val="4"/>
                <c:pt idx="0">
                  <c:v>0</c:v>
                </c:pt>
                <c:pt idx="1">
                  <c:v>2.0710000000000002</c:v>
                </c:pt>
                <c:pt idx="2">
                  <c:v>10.122</c:v>
                </c:pt>
                <c:pt idx="3">
                  <c:v>22.411999999999999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F7-46F9-A7CF-6669F3C7E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64160"/>
        <c:axId val="147165952"/>
      </c:scatterChart>
      <c:valAx>
        <c:axId val="147164160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7165952"/>
        <c:crosses val="autoZero"/>
        <c:crossBetween val="midCat"/>
      </c:valAx>
      <c:valAx>
        <c:axId val="147165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16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6136655520799628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m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'bilan pour publi'!$C$59:$C$61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'bilan pour publi'!$E$59:$E$61</c:f>
              <c:numCache>
                <c:formatCode>General</c:formatCode>
                <c:ptCount val="3"/>
                <c:pt idx="0">
                  <c:v>0</c:v>
                </c:pt>
                <c:pt idx="1">
                  <c:v>21.626000000000001</c:v>
                </c:pt>
                <c:pt idx="2">
                  <c:v>59.988999999999997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DC-491B-9D11-6955BA9F8E26}"/>
            </c:ext>
          </c:extLst>
        </c:ser>
        <c:ser>
          <c:idx val="1"/>
          <c:order val="1"/>
          <c:tx>
            <c:v>3 m (plaque1)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'bilan pour publi'!$C$83:$C$86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0</c:v>
                </c:pt>
              </c:numCache>
            </c:numRef>
          </c:xVal>
          <c:yVal>
            <c:numRef>
              <c:f>'bilan pour publi'!$E$83:$E$86</c:f>
              <c:numCache>
                <c:formatCode>General</c:formatCode>
                <c:ptCount val="4"/>
                <c:pt idx="0">
                  <c:v>21.792999999999999</c:v>
                </c:pt>
                <c:pt idx="1">
                  <c:v>65.222999999999999</c:v>
                </c:pt>
                <c:pt idx="2">
                  <c:v>92.091999999999999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DC-491B-9D11-6955BA9F8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14336"/>
        <c:axId val="147215872"/>
      </c:scatterChart>
      <c:valAx>
        <c:axId val="147214336"/>
        <c:scaling>
          <c:orientation val="minMax"/>
          <c:max val="1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47215872"/>
        <c:crosses val="autoZero"/>
        <c:crossBetween val="midCat"/>
      </c:valAx>
      <c:valAx>
        <c:axId val="14721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214336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108515521424819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'bilan pour publi'!$T$8:$T$11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publi'!$U$8:$U$11</c:f>
              <c:numCache>
                <c:formatCode>General</c:formatCode>
                <c:ptCount val="4"/>
                <c:pt idx="0">
                  <c:v>0</c:v>
                </c:pt>
                <c:pt idx="1">
                  <c:v>16150.058000000001</c:v>
                </c:pt>
                <c:pt idx="2">
                  <c:v>52898.195</c:v>
                </c:pt>
                <c:pt idx="3">
                  <c:v>80890.448999999993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43-46CC-9450-94799B877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53504"/>
        <c:axId val="149094400"/>
      </c:scatterChart>
      <c:valAx>
        <c:axId val="147253504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9094400"/>
        <c:crosses val="autoZero"/>
        <c:crossBetween val="midCat"/>
      </c:valAx>
      <c:valAx>
        <c:axId val="14909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253504"/>
        <c:crosses val="autoZero"/>
        <c:crossBetween val="midCat"/>
      </c:valAx>
      <c:spPr>
        <a:solidFill>
          <a:schemeClr val="bg1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7121045353205E-2"/>
          <c:y val="6.7288143112620977E-2"/>
          <c:w val="0.82073390982029304"/>
          <c:h val="0.68385666492425823"/>
        </c:manualLayout>
      </c:layout>
      <c:scatterChart>
        <c:scatterStyle val="lineMarker"/>
        <c:varyColors val="0"/>
        <c:ser>
          <c:idx val="1"/>
          <c:order val="0"/>
          <c:tx>
            <c:v>3 f moins 10mM</c:v>
          </c:tx>
          <c:spPr>
            <a:ln w="28575">
              <a:noFill/>
            </a:ln>
          </c:spPr>
          <c:marker>
            <c:symbol val="square"/>
            <c:size val="3"/>
          </c:marke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1.2369924347691832E-3"/>
                  <c:y val="2.093533014638379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C0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'bilan pour publi'!$T$43:$T$45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'bilan pour publi'!$U$43:$U$45</c:f>
              <c:numCache>
                <c:formatCode>General</c:formatCode>
                <c:ptCount val="3"/>
                <c:pt idx="0">
                  <c:v>0</c:v>
                </c:pt>
                <c:pt idx="1">
                  <c:v>55465.383000000002</c:v>
                </c:pt>
                <c:pt idx="2">
                  <c:v>172385.038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A6-4997-9CCF-D4E608FB9370}"/>
            </c:ext>
          </c:extLst>
        </c:ser>
        <c:ser>
          <c:idx val="0"/>
          <c:order val="1"/>
          <c:tx>
            <c:v>3f moins 5mM</c:v>
          </c:tx>
          <c:spPr>
            <a:ln w="28575">
              <a:noFill/>
            </a:ln>
          </c:spPr>
          <c:marker>
            <c:symbol val="diamond"/>
            <c:size val="8"/>
          </c:marker>
          <c:trendline>
            <c:spPr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372703412073493E-2"/>
                  <c:y val="0.2923924671713204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chemeClr val="tx2">
                          <a:lumMod val="75000"/>
                        </a:schemeClr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('bilan pour publi'!$T$43:$T$44,'bilan pour publi'!$T$46)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10</c:v>
                </c:pt>
              </c:numCache>
            </c:numRef>
          </c:xVal>
          <c:yVal>
            <c:numRef>
              <c:f>('bilan pour publi'!$U$43:$U$44,'bilan pour publi'!$U$46)</c:f>
              <c:numCache>
                <c:formatCode>General</c:formatCode>
                <c:ptCount val="3"/>
                <c:pt idx="0">
                  <c:v>0</c:v>
                </c:pt>
                <c:pt idx="1">
                  <c:v>55465.383000000002</c:v>
                </c:pt>
                <c:pt idx="2">
                  <c:v>135610.59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A6-4997-9CCF-D4E608FB9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22048"/>
        <c:axId val="149136128"/>
      </c:scatterChart>
      <c:valAx>
        <c:axId val="149122048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9136128"/>
        <c:crosses val="autoZero"/>
        <c:crossBetween val="midCat"/>
      </c:valAx>
      <c:valAx>
        <c:axId val="14913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122048"/>
        <c:crosses val="autoZero"/>
        <c:crossBetween val="midCat"/>
        <c:majorUnit val="50000"/>
      </c:valAx>
    </c:plotArea>
    <c:legend>
      <c:legendPos val="b"/>
      <c:layout>
        <c:manualLayout>
          <c:xMode val="edge"/>
          <c:yMode val="edge"/>
          <c:x val="0"/>
          <c:y val="0.84343495876309593"/>
          <c:w val="1"/>
          <c:h val="0.15656504123690407"/>
        </c:manualLayout>
      </c:layout>
      <c:overlay val="0"/>
      <c:txPr>
        <a:bodyPr/>
        <a:lstStyle/>
        <a:p>
          <a:pPr>
            <a:defRPr sz="1000"/>
          </a:pPr>
          <a:endParaRPr lang="nl-NL"/>
        </a:p>
      </c:txPr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108515521424819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'bilan pour publi'!$T$8:$T$11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publi'!$U$8:$U$11</c:f>
              <c:numCache>
                <c:formatCode>General</c:formatCode>
                <c:ptCount val="4"/>
                <c:pt idx="0">
                  <c:v>0</c:v>
                </c:pt>
                <c:pt idx="1">
                  <c:v>16150.058000000001</c:v>
                </c:pt>
                <c:pt idx="2">
                  <c:v>52898.195</c:v>
                </c:pt>
                <c:pt idx="3">
                  <c:v>80890.448999999993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D9-4571-8651-12FB2B4A5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61472"/>
        <c:axId val="149163008"/>
      </c:scatterChart>
      <c:valAx>
        <c:axId val="149161472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9163008"/>
        <c:crosses val="autoZero"/>
        <c:crossBetween val="midCat"/>
      </c:valAx>
      <c:valAx>
        <c:axId val="14916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161472"/>
        <c:crosses val="autoZero"/>
        <c:crossBetween val="midCat"/>
      </c:valAx>
      <c:spPr>
        <a:solidFill>
          <a:schemeClr val="bg1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45327433923413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73617299748656E-2"/>
          <c:y val="0.17001020149074855"/>
          <c:w val="0.66844944583616428"/>
          <c:h val="0.65487820557134491"/>
        </c:manualLayout>
      </c:layout>
      <c:scatterChart>
        <c:scatterStyle val="lineMarker"/>
        <c:varyColors val="0"/>
        <c:ser>
          <c:idx val="0"/>
          <c:order val="0"/>
          <c:tx>
            <c:v>3 m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2731096268119059E-4"/>
                  <c:y val="0.3734679904142417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C3UMY1'!$C$39:$C$43</c:f>
              <c:numCache>
                <c:formatCode>General</c:formatCode>
                <c:ptCount val="5"/>
                <c:pt idx="0">
                  <c:v>0</c:v>
                </c:pt>
                <c:pt idx="1">
                  <c:v>1.087</c:v>
                </c:pt>
                <c:pt idx="2">
                  <c:v>5.4349999999999996</c:v>
                </c:pt>
                <c:pt idx="3">
                  <c:v>10.87</c:v>
                </c:pt>
                <c:pt idx="4">
                  <c:v>0.98</c:v>
                </c:pt>
              </c:numCache>
            </c:numRef>
          </c:xVal>
          <c:yVal>
            <c:numRef>
              <c:f>'Résultats C3UMY1'!$D$39:$D$43</c:f>
              <c:numCache>
                <c:formatCode>General</c:formatCode>
                <c:ptCount val="5"/>
                <c:pt idx="0">
                  <c:v>0</c:v>
                </c:pt>
                <c:pt idx="1">
                  <c:v>10.587999999999999</c:v>
                </c:pt>
                <c:pt idx="2">
                  <c:v>37.18</c:v>
                </c:pt>
                <c:pt idx="3">
                  <c:v>45.914999999999999</c:v>
                </c:pt>
                <c:pt idx="4">
                  <c:v>10.372999999999999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4F-4E7E-B560-DAF177D0E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39488"/>
        <c:axId val="146645376"/>
      </c:scatterChart>
      <c:valAx>
        <c:axId val="146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645376"/>
        <c:crosses val="autoZero"/>
        <c:crossBetween val="midCat"/>
      </c:valAx>
      <c:valAx>
        <c:axId val="14664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639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décroissance de la conta</a:t>
            </a:r>
            <a:r>
              <a:rPr lang="fr-FR" sz="1100" baseline="0"/>
              <a:t> après injection de 3m</a:t>
            </a:r>
            <a:endParaRPr lang="fr-FR" sz="11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919602883119358"/>
          <c:y val="0.14264070454058336"/>
          <c:w val="0.58632994163573915"/>
          <c:h val="0.66885819710467798"/>
        </c:manualLayout>
      </c:layout>
      <c:scatterChart>
        <c:scatterStyle val="lineMarker"/>
        <c:varyColors val="0"/>
        <c:ser>
          <c:idx val="2"/>
          <c:order val="0"/>
          <c:tx>
            <c:v>Tous BL sub</c:v>
          </c:tx>
          <c:spPr>
            <a:ln w="28575">
              <a:noFill/>
            </a:ln>
          </c:spPr>
          <c:marker>
            <c:symbol val="triangle"/>
            <c:size val="5"/>
          </c:marker>
          <c:trendline>
            <c:trendlineType val="exp"/>
            <c:dispRSqr val="1"/>
            <c:dispEq val="1"/>
            <c:trendlineLbl>
              <c:layout>
                <c:manualLayout>
                  <c:x val="2.9327181965931547E-2"/>
                  <c:y val="-0.132612437896370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nl-NL"/>
                </a:p>
              </c:txPr>
            </c:trendlineLbl>
          </c:trendline>
          <c:xVal>
            <c:numRef>
              <c:f>('bilan pour publi'!$R$61:$R$63,'bilan pour publi'!$R$65:$R$66)</c:f>
              <c:numCache>
                <c:formatCode>General</c:formatCode>
                <c:ptCount val="5"/>
                <c:pt idx="0">
                  <c:v>5</c:v>
                </c:pt>
                <c:pt idx="1">
                  <c:v>14</c:v>
                </c:pt>
                <c:pt idx="2">
                  <c:v>23</c:v>
                </c:pt>
                <c:pt idx="3">
                  <c:v>1</c:v>
                </c:pt>
                <c:pt idx="4">
                  <c:v>12</c:v>
                </c:pt>
              </c:numCache>
            </c:numRef>
          </c:xVal>
          <c:yVal>
            <c:numRef>
              <c:f>('bilan pour publi'!$V$61:$V$63,'bilan pour publi'!$V$65:$V$66)</c:f>
              <c:numCache>
                <c:formatCode>General</c:formatCode>
                <c:ptCount val="5"/>
                <c:pt idx="0">
                  <c:v>79368.277000000002</c:v>
                </c:pt>
                <c:pt idx="1">
                  <c:v>26844.707999999999</c:v>
                </c:pt>
                <c:pt idx="2">
                  <c:v>8926.2350000000006</c:v>
                </c:pt>
                <c:pt idx="3">
                  <c:v>151436.93400000001</c:v>
                </c:pt>
                <c:pt idx="4">
                  <c:v>33939.599999999999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68-4565-8A27-82DB6263E96B}"/>
            </c:ext>
          </c:extLst>
        </c:ser>
        <c:ser>
          <c:idx val="3"/>
          <c:order val="1"/>
          <c:tx>
            <c:v>Réactions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'bilan pour publi'!$AC$66:$AC$76</c:f>
              <c:numCache>
                <c:formatCode>General</c:formatCode>
                <c:ptCount val="11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numCache>
            </c:numRef>
          </c:xVal>
          <c:yVal>
            <c:numRef>
              <c:f>'bilan pour publi'!$AG$66:$AG$76</c:f>
              <c:numCache>
                <c:formatCode>0</c:formatCode>
                <c:ptCount val="11"/>
                <c:pt idx="0">
                  <c:v>33939.599999999999</c:v>
                </c:pt>
                <c:pt idx="1">
                  <c:v>148610.43299999999</c:v>
                </c:pt>
                <c:pt idx="2">
                  <c:v>148373.149</c:v>
                </c:pt>
                <c:pt idx="3">
                  <c:v>102371.758</c:v>
                </c:pt>
                <c:pt idx="4">
                  <c:v>112576.773</c:v>
                </c:pt>
                <c:pt idx="5">
                  <c:v>106381.933</c:v>
                </c:pt>
                <c:pt idx="6">
                  <c:v>97132.627999999997</c:v>
                </c:pt>
                <c:pt idx="7">
                  <c:v>106688.26</c:v>
                </c:pt>
                <c:pt idx="8">
                  <c:v>95128.842999999993</c:v>
                </c:pt>
                <c:pt idx="9">
                  <c:v>216387.89199999999</c:v>
                </c:pt>
                <c:pt idx="10">
                  <c:v>248334.50700000001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68-4565-8A27-82DB6263E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98336"/>
        <c:axId val="149200256"/>
      </c:scatterChart>
      <c:valAx>
        <c:axId val="14919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nb injections</a:t>
                </a:r>
                <a:r>
                  <a:rPr lang="fr-FR" baseline="0"/>
                  <a:t> après 3m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35157108486439193"/>
              <c:y val="0.9249766695829687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9200256"/>
        <c:crosses val="autoZero"/>
        <c:crossBetween val="midCat"/>
      </c:valAx>
      <c:valAx>
        <c:axId val="149200256"/>
        <c:scaling>
          <c:orientation val="minMax"/>
          <c:max val="18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aire</a:t>
                </a:r>
                <a:r>
                  <a:rPr lang="fr-FR" baseline="0"/>
                  <a:t> du pic 3m (MS)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4.262709942096466E-4"/>
              <c:y val="0.297805919881057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919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16007285207876"/>
          <c:y val="0.32209548630961321"/>
          <c:w val="0.23320426910193168"/>
          <c:h val="0.3967405529379283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j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7274934383202099E-2"/>
                  <c:y val="-2.3507217847769029E-2"/>
                </c:manualLayout>
              </c:layout>
              <c:numFmt formatCode="General" sourceLinked="0"/>
            </c:trendlineLbl>
          </c:trendline>
          <c:xVal>
            <c:numRef>
              <c:f>'bilan pour publi'!$U$100:$U$103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publi'!$V$100:$V$103</c:f>
              <c:numCache>
                <c:formatCode>General</c:formatCode>
                <c:ptCount val="4"/>
                <c:pt idx="0">
                  <c:v>239.304</c:v>
                </c:pt>
                <c:pt idx="1">
                  <c:v>78069.356</c:v>
                </c:pt>
                <c:pt idx="2">
                  <c:v>239515.391</c:v>
                </c:pt>
                <c:pt idx="3">
                  <c:v>376206.86099999998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E-41B2-A38C-CABD1C23A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82432"/>
        <c:axId val="151283968"/>
      </c:scatterChart>
      <c:valAx>
        <c:axId val="1512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283968"/>
        <c:crosses val="autoZero"/>
        <c:crossBetween val="midCat"/>
      </c:valAx>
      <c:valAx>
        <c:axId val="15128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282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 g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7274934383202099E-2"/>
                  <c:y val="-2.3507217847769029E-2"/>
                </c:manualLayout>
              </c:layout>
              <c:numFmt formatCode="General" sourceLinked="0"/>
            </c:trendlineLbl>
          </c:trendline>
          <c:xVal>
            <c:numRef>
              <c:f>'bilan pour publi'!$U$123:$U$126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publi'!$V$123:$V$126</c:f>
              <c:numCache>
                <c:formatCode>General</c:formatCode>
                <c:ptCount val="4"/>
                <c:pt idx="0">
                  <c:v>0</c:v>
                </c:pt>
                <c:pt idx="1">
                  <c:v>19157.714</c:v>
                </c:pt>
                <c:pt idx="2">
                  <c:v>70195.278999999995</c:v>
                </c:pt>
                <c:pt idx="3">
                  <c:v>124752.48299999999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5D-4BB6-9901-BD64B8DB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97408"/>
        <c:axId val="151323776"/>
      </c:scatterChart>
      <c:valAx>
        <c:axId val="1512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23776"/>
        <c:crosses val="autoZero"/>
        <c:crossBetween val="midCat"/>
      </c:valAx>
      <c:valAx>
        <c:axId val="15132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297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 m</c:v>
          </c:tx>
          <c:spPr>
            <a:ln w="28575">
              <a:noFill/>
            </a:ln>
          </c:spP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6552777777777777"/>
                  <c:y val="0.2402661125692621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070C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'bilan pour publi'!$AF$62:$AF$65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'bilan pour publi'!$AG$62:$AG$65</c:f>
              <c:numCache>
                <c:formatCode>0</c:formatCode>
                <c:ptCount val="4"/>
                <c:pt idx="0">
                  <c:v>2017.557</c:v>
                </c:pt>
                <c:pt idx="1">
                  <c:v>257713.69</c:v>
                </c:pt>
                <c:pt idx="2">
                  <c:v>435252.7</c:v>
                </c:pt>
                <c:pt idx="3">
                  <c:v>403066.21899999998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EF-463D-9664-E418B80CC5A4}"/>
            </c:ext>
          </c:extLst>
        </c:ser>
        <c:ser>
          <c:idx val="1"/>
          <c:order val="1"/>
          <c:tx>
            <c:v>3 m [0-5] mM</c:v>
          </c:tx>
          <c:spPr>
            <a:ln w="28575">
              <a:noFill/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8.1512685914260724E-2"/>
                  <c:y val="-5.603018372703411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 b="1">
                      <a:solidFill>
                        <a:srgbClr val="FF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'bilan pour publi'!$AF$62:$AF$64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'bilan pour publi'!$AG$62:$AG$64</c:f>
              <c:numCache>
                <c:formatCode>0</c:formatCode>
                <c:ptCount val="3"/>
                <c:pt idx="0">
                  <c:v>2017.557</c:v>
                </c:pt>
                <c:pt idx="1">
                  <c:v>257713.69</c:v>
                </c:pt>
                <c:pt idx="2">
                  <c:v>435252.7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EF-463D-9664-E418B80CC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55776"/>
        <c:axId val="151357312"/>
      </c:scatterChart>
      <c:valAx>
        <c:axId val="1513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57312"/>
        <c:crosses val="autoZero"/>
        <c:crossBetween val="midCat"/>
      </c:valAx>
      <c:valAx>
        <c:axId val="15135731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51355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décroissance de la conta</a:t>
            </a:r>
            <a:r>
              <a:rPr lang="fr-FR" sz="1400" baseline="0"/>
              <a:t> après injection de 3m</a:t>
            </a:r>
            <a:endParaRPr lang="fr-FR" sz="14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15 injections</c:v>
          </c:tx>
          <c:spPr>
            <a:ln w="28575">
              <a:noFill/>
            </a:ln>
          </c:spPr>
          <c:marker>
            <c:symbol val="triangle"/>
            <c:size val="5"/>
          </c:marker>
          <c:trendline>
            <c:trendlineType val="exp"/>
            <c:dispRSqr val="1"/>
            <c:dispEq val="1"/>
            <c:trendlineLbl>
              <c:layout>
                <c:manualLayout>
                  <c:x val="-4.9608175067566547E-2"/>
                  <c:y val="-0.4358465555021918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nl-NL"/>
                </a:p>
              </c:txPr>
            </c:trendlineLbl>
          </c:trendline>
          <c:xVal>
            <c:numRef>
              <c:f>('bilan pour publi'!$R$61:$R$62,'bilan pour publi'!$R$65:$R$66)</c:f>
              <c:numCache>
                <c:formatCode>General</c:formatCode>
                <c:ptCount val="4"/>
                <c:pt idx="0">
                  <c:v>5</c:v>
                </c:pt>
                <c:pt idx="1">
                  <c:v>14</c:v>
                </c:pt>
                <c:pt idx="2">
                  <c:v>1</c:v>
                </c:pt>
                <c:pt idx="3">
                  <c:v>12</c:v>
                </c:pt>
              </c:numCache>
            </c:numRef>
          </c:xVal>
          <c:yVal>
            <c:numRef>
              <c:f>('bilan pour publi'!$V$61:$V$62,'bilan pour publi'!$V$65:$V$66)</c:f>
              <c:numCache>
                <c:formatCode>General</c:formatCode>
                <c:ptCount val="4"/>
                <c:pt idx="0">
                  <c:v>79368.277000000002</c:v>
                </c:pt>
                <c:pt idx="1">
                  <c:v>26844.707999999999</c:v>
                </c:pt>
                <c:pt idx="2">
                  <c:v>151436.93400000001</c:v>
                </c:pt>
                <c:pt idx="3">
                  <c:v>33939.599999999999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DA-4185-8786-078EEF33B203}"/>
            </c:ext>
          </c:extLst>
        </c:ser>
        <c:ser>
          <c:idx val="0"/>
          <c:order val="1"/>
          <c:tx>
            <c:v>réactions</c:v>
          </c:tx>
          <c:spPr>
            <a:ln w="28575">
              <a:noFill/>
            </a:ln>
          </c:spPr>
          <c:xVal>
            <c:numRef>
              <c:f>'bilan pour publi'!$AC$66:$AC$76</c:f>
              <c:numCache>
                <c:formatCode>General</c:formatCode>
                <c:ptCount val="11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numCache>
            </c:numRef>
          </c:xVal>
          <c:yVal>
            <c:numRef>
              <c:f>'bilan pour publi'!$AG$66:$AG$76</c:f>
              <c:numCache>
                <c:formatCode>0</c:formatCode>
                <c:ptCount val="11"/>
                <c:pt idx="0">
                  <c:v>33939.599999999999</c:v>
                </c:pt>
                <c:pt idx="1">
                  <c:v>148610.43299999999</c:v>
                </c:pt>
                <c:pt idx="2">
                  <c:v>148373.149</c:v>
                </c:pt>
                <c:pt idx="3">
                  <c:v>102371.758</c:v>
                </c:pt>
                <c:pt idx="4">
                  <c:v>112576.773</c:v>
                </c:pt>
                <c:pt idx="5">
                  <c:v>106381.933</c:v>
                </c:pt>
                <c:pt idx="6">
                  <c:v>97132.627999999997</c:v>
                </c:pt>
                <c:pt idx="7">
                  <c:v>106688.26</c:v>
                </c:pt>
                <c:pt idx="8">
                  <c:v>95128.842999999993</c:v>
                </c:pt>
                <c:pt idx="9">
                  <c:v>216387.89199999999</c:v>
                </c:pt>
                <c:pt idx="10">
                  <c:v>248334.50700000001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DA-4185-8786-078EEF33B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21344"/>
        <c:axId val="152123264"/>
      </c:scatterChart>
      <c:valAx>
        <c:axId val="15212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nb injectiion</a:t>
                </a:r>
                <a:r>
                  <a:rPr lang="fr-FR" baseline="0"/>
                  <a:t> après 3m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35157108486439193"/>
              <c:y val="0.9249766695829687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2123264"/>
        <c:crosses val="autoZero"/>
        <c:crossBetween val="midCat"/>
      </c:valAx>
      <c:valAx>
        <c:axId val="152123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aire</a:t>
                </a:r>
                <a:r>
                  <a:rPr lang="fr-FR" baseline="0"/>
                  <a:t> du pic 3m (MS)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8.3333333333333332E-3"/>
              <c:y val="0.2876870078740157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2121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9643554208107611E-2"/>
          <c:y val="6.0601729398455206E-2"/>
          <c:w val="0.85865582035363874"/>
          <c:h val="0.80959423217398396"/>
        </c:manualLayout>
      </c:layout>
      <c:bar3DChart>
        <c:barDir val="col"/>
        <c:grouping val="standard"/>
        <c:varyColors val="0"/>
        <c:ser>
          <c:idx val="0"/>
          <c:order val="0"/>
          <c:tx>
            <c:v>CfusAmDH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'bilan pour publi'!$B$210:$AA$210</c:f>
              <c:strCache>
                <c:ptCount val="26"/>
                <c:pt idx="0">
                  <c:v>1a</c:v>
                </c:pt>
                <c:pt idx="1">
                  <c:v>2a</c:v>
                </c:pt>
                <c:pt idx="2">
                  <c:v>1b</c:v>
                </c:pt>
                <c:pt idx="3">
                  <c:v>2b</c:v>
                </c:pt>
                <c:pt idx="4">
                  <c:v>1c</c:v>
                </c:pt>
                <c:pt idx="5">
                  <c:v>2c</c:v>
                </c:pt>
                <c:pt idx="6">
                  <c:v>1d</c:v>
                </c:pt>
                <c:pt idx="7">
                  <c:v>2d</c:v>
                </c:pt>
                <c:pt idx="8">
                  <c:v>1e</c:v>
                </c:pt>
                <c:pt idx="9">
                  <c:v>2e</c:v>
                </c:pt>
                <c:pt idx="10">
                  <c:v>1f</c:v>
                </c:pt>
                <c:pt idx="11">
                  <c:v>2f</c:v>
                </c:pt>
                <c:pt idx="12">
                  <c:v>1g</c:v>
                </c:pt>
                <c:pt idx="13">
                  <c:v>2g</c:v>
                </c:pt>
                <c:pt idx="14">
                  <c:v>1h</c:v>
                </c:pt>
                <c:pt idx="15">
                  <c:v>2h</c:v>
                </c:pt>
                <c:pt idx="16">
                  <c:v>1i</c:v>
                </c:pt>
                <c:pt idx="17">
                  <c:v>2i</c:v>
                </c:pt>
                <c:pt idx="18">
                  <c:v>1j</c:v>
                </c:pt>
                <c:pt idx="19">
                  <c:v>2j</c:v>
                </c:pt>
                <c:pt idx="20">
                  <c:v>1k</c:v>
                </c:pt>
                <c:pt idx="21">
                  <c:v>2k</c:v>
                </c:pt>
                <c:pt idx="22">
                  <c:v>1l</c:v>
                </c:pt>
                <c:pt idx="23">
                  <c:v>2l</c:v>
                </c:pt>
                <c:pt idx="24">
                  <c:v>1m</c:v>
                </c:pt>
                <c:pt idx="25">
                  <c:v>2m</c:v>
                </c:pt>
              </c:strCache>
            </c:strRef>
          </c:cat>
          <c:val>
            <c:numRef>
              <c:f>'bilan pour publi'!$B$213:$AA$213</c:f>
              <c:numCache>
                <c:formatCode>0.0</c:formatCode>
                <c:ptCount val="26"/>
                <c:pt idx="0" formatCode="General">
                  <c:v>0</c:v>
                </c:pt>
                <c:pt idx="1">
                  <c:v>3.3499999999999996</c:v>
                </c:pt>
                <c:pt idx="4" formatCode="General">
                  <c:v>0</c:v>
                </c:pt>
                <c:pt idx="5">
                  <c:v>1.6</c:v>
                </c:pt>
                <c:pt idx="19">
                  <c:v>0</c:v>
                </c:pt>
                <c:pt idx="20">
                  <c:v>4.8303171119074761</c:v>
                </c:pt>
                <c:pt idx="21">
                  <c:v>7.1350349405440623</c:v>
                </c:pt>
                <c:pt idx="22">
                  <c:v>2.9872972754186327</c:v>
                </c:pt>
                <c:pt idx="23">
                  <c:v>1.8172540822462762</c:v>
                </c:pt>
                <c:pt idx="24" formatCode="General">
                  <c:v>0</c:v>
                </c:pt>
                <c:pt idx="25">
                  <c:v>0.4975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EC-4066-812D-3382D84A1810}"/>
            </c:ext>
          </c:extLst>
        </c:ser>
        <c:ser>
          <c:idx val="1"/>
          <c:order val="1"/>
          <c:tx>
            <c:v>F2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'bilan pour publi'!$B$215:$AA$215</c:f>
              <c:numCache>
                <c:formatCode>General</c:formatCode>
                <c:ptCount val="26"/>
                <c:pt idx="19" formatCode="0.0">
                  <c:v>0</c:v>
                </c:pt>
                <c:pt idx="20" formatCode="0.0">
                  <c:v>4.1703356002606284</c:v>
                </c:pt>
                <c:pt idx="21" formatCode="0.0">
                  <c:v>8.237147581039256</c:v>
                </c:pt>
                <c:pt idx="22" formatCode="0.0">
                  <c:v>1.0852765056897029</c:v>
                </c:pt>
                <c:pt idx="23" formatCode="0.0">
                  <c:v>0.43186962253677486</c:v>
                </c:pt>
                <c:pt idx="24">
                  <c:v>0</c:v>
                </c:pt>
                <c:pt idx="25" formatCode="0.0">
                  <c:v>5.6666666666666671E-2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EC-4066-812D-3382D84A1810}"/>
            </c:ext>
          </c:extLst>
        </c:ser>
        <c:ser>
          <c:idx val="2"/>
          <c:order val="2"/>
          <c:tx>
            <c:strRef>
              <c:f>'bilan pour publi'!$A$216:$A$217</c:f>
              <c:strCache>
                <c:ptCount val="1"/>
                <c:pt idx="0">
                  <c:v>G1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'bilan pour publi'!$B$217:$AA$217</c:f>
              <c:numCache>
                <c:formatCode>General</c:formatCode>
                <c:ptCount val="26"/>
                <c:pt idx="19" formatCode="0.0">
                  <c:v>0</c:v>
                </c:pt>
                <c:pt idx="20" formatCode="0.00">
                  <c:v>4.3175245153933863</c:v>
                </c:pt>
                <c:pt idx="21" formatCode="0.0">
                  <c:v>7.7957155481348757</c:v>
                </c:pt>
                <c:pt idx="22" formatCode="0.0">
                  <c:v>0.90812846933111291</c:v>
                </c:pt>
                <c:pt idx="23" formatCode="0.0">
                  <c:v>0.61155541678231096</c:v>
                </c:pt>
                <c:pt idx="24">
                  <c:v>0</c:v>
                </c:pt>
                <c:pt idx="25" formatCode="0.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EC-4066-812D-3382D84A1810}"/>
            </c:ext>
          </c:extLst>
        </c:ser>
        <c:ser>
          <c:idx val="3"/>
          <c:order val="3"/>
          <c:tx>
            <c:v>ApauAmDH</c:v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'bilan pour publi'!$B$219:$AA$219</c:f>
              <c:numCache>
                <c:formatCode>General</c:formatCode>
                <c:ptCount val="26"/>
                <c:pt idx="19" formatCode="0.0">
                  <c:v>0</c:v>
                </c:pt>
                <c:pt idx="20" formatCode="0.0">
                  <c:v>3.6127026388662644</c:v>
                </c:pt>
                <c:pt idx="21" formatCode="0.0">
                  <c:v>12.588834093500573</c:v>
                </c:pt>
                <c:pt idx="22" formatCode="0.0">
                  <c:v>0.8172231473771856</c:v>
                </c:pt>
                <c:pt idx="23" formatCode="0.0">
                  <c:v>0.64274106069016557</c:v>
                </c:pt>
                <c:pt idx="24">
                  <c:v>0</c:v>
                </c:pt>
                <c:pt idx="25" formatCode="0.0">
                  <c:v>1.8699999999999999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EC-4066-812D-3382D84A1810}"/>
            </c:ext>
          </c:extLst>
        </c:ser>
        <c:ser>
          <c:idx val="4"/>
          <c:order val="4"/>
          <c:tx>
            <c:v>MsmeAmDH</c:v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val>
            <c:numRef>
              <c:f>'bilan pour publi'!$B$223:$AA$223</c:f>
              <c:numCache>
                <c:formatCode>General</c:formatCode>
                <c:ptCount val="26"/>
                <c:pt idx="2">
                  <c:v>0</c:v>
                </c:pt>
                <c:pt idx="3" formatCode="0.0">
                  <c:v>0.75</c:v>
                </c:pt>
                <c:pt idx="8">
                  <c:v>0</c:v>
                </c:pt>
                <c:pt idx="9" formatCode="0.0">
                  <c:v>2.2000000000000002</c:v>
                </c:pt>
                <c:pt idx="10">
                  <c:v>0</c:v>
                </c:pt>
                <c:pt idx="11" formatCode="0.0">
                  <c:v>3.4175000000000004</c:v>
                </c:pt>
                <c:pt idx="12" formatCode="0.00">
                  <c:v>3.0040601075093654E-2</c:v>
                </c:pt>
                <c:pt idx="13" formatCode="0.0">
                  <c:v>2.2560536325134386</c:v>
                </c:pt>
                <c:pt idx="14">
                  <c:v>0</c:v>
                </c:pt>
                <c:pt idx="15" formatCode="0.0">
                  <c:v>1.2</c:v>
                </c:pt>
                <c:pt idx="16">
                  <c:v>0</c:v>
                </c:pt>
                <c:pt idx="17" formatCode="0.0">
                  <c:v>1.1557190597349334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EEC-4066-812D-3382D84A1810}"/>
            </c:ext>
          </c:extLst>
        </c:ser>
        <c:ser>
          <c:idx val="5"/>
          <c:order val="5"/>
          <c:tx>
            <c:v>MicroAmDH</c:v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val>
            <c:numRef>
              <c:f>'bilan pour publi'!$B$225:$AA$225</c:f>
              <c:numCache>
                <c:formatCode>0.0</c:formatCode>
                <c:ptCount val="26"/>
                <c:pt idx="0" formatCode="General">
                  <c:v>0</c:v>
                </c:pt>
                <c:pt idx="1">
                  <c:v>2.9</c:v>
                </c:pt>
                <c:pt idx="2" formatCode="General">
                  <c:v>0</c:v>
                </c:pt>
                <c:pt idx="3">
                  <c:v>0.5</c:v>
                </c:pt>
                <c:pt idx="4" formatCode="General">
                  <c:v>0</c:v>
                </c:pt>
                <c:pt idx="5">
                  <c:v>2.4</c:v>
                </c:pt>
                <c:pt idx="6" formatCode="General">
                  <c:v>0</c:v>
                </c:pt>
                <c:pt idx="7">
                  <c:v>4.3</c:v>
                </c:pt>
                <c:pt idx="8" formatCode="General">
                  <c:v>0</c:v>
                </c:pt>
                <c:pt idx="9">
                  <c:v>3.7</c:v>
                </c:pt>
                <c:pt idx="10" formatCode="General">
                  <c:v>0</c:v>
                </c:pt>
                <c:pt idx="11">
                  <c:v>4.5</c:v>
                </c:pt>
                <c:pt idx="14" formatCode="General">
                  <c:v>0</c:v>
                </c:pt>
                <c:pt idx="15">
                  <c:v>1.5</c:v>
                </c:pt>
                <c:pt idx="16" formatCode="General">
                  <c:v>0</c:v>
                </c:pt>
                <c:pt idx="19">
                  <c:v>0</c:v>
                </c:pt>
                <c:pt idx="24" formatCode="General">
                  <c:v>0</c:v>
                </c:pt>
                <c:pt idx="2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EEC-4066-812D-3382D84A1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6133296"/>
        <c:axId val="610792560"/>
        <c:axId val="752085440"/>
      </c:bar3DChart>
      <c:catAx>
        <c:axId val="61613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0792560"/>
        <c:crosses val="autoZero"/>
        <c:auto val="1"/>
        <c:lblAlgn val="ctr"/>
        <c:lblOffset val="100"/>
        <c:noMultiLvlLbl val="0"/>
      </c:catAx>
      <c:valAx>
        <c:axId val="61079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6133296"/>
        <c:crosses val="autoZero"/>
        <c:crossBetween val="between"/>
      </c:valAx>
      <c:serAx>
        <c:axId val="752085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0792560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698264802469267"/>
          <c:y val="0.87985084663521496"/>
          <c:w val="0.64664208128560596"/>
          <c:h val="5.6516361776022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45327433923413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73617299748656E-2"/>
          <c:y val="0.17001020149074855"/>
          <c:w val="0.66844944583616428"/>
          <c:h val="0.65487820557134491"/>
        </c:manualLayout>
      </c:layout>
      <c:scatterChart>
        <c:scatterStyle val="lineMarker"/>
        <c:varyColors val="0"/>
        <c:ser>
          <c:idx val="0"/>
          <c:order val="0"/>
          <c:tx>
            <c:v>3 j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003019689428455"/>
                  <c:y val="0.2424600162389773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C3UMY1'!$C$55:$C$58</c:f>
              <c:numCache>
                <c:formatCode>General</c:formatCode>
                <c:ptCount val="4"/>
                <c:pt idx="0">
                  <c:v>0</c:v>
                </c:pt>
                <c:pt idx="1">
                  <c:v>1.087</c:v>
                </c:pt>
                <c:pt idx="2">
                  <c:v>5.4349999999999996</c:v>
                </c:pt>
                <c:pt idx="3">
                  <c:v>10.87</c:v>
                </c:pt>
              </c:numCache>
            </c:numRef>
          </c:xVal>
          <c:yVal>
            <c:numRef>
              <c:f>'Résultats C3UMY1'!$D$55:$D$58</c:f>
              <c:numCache>
                <c:formatCode>General</c:formatCode>
                <c:ptCount val="4"/>
                <c:pt idx="0">
                  <c:v>0</c:v>
                </c:pt>
                <c:pt idx="1">
                  <c:v>2.073</c:v>
                </c:pt>
                <c:pt idx="2">
                  <c:v>9.3829999999999991</c:v>
                </c:pt>
                <c:pt idx="3">
                  <c:v>17.631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4C-43F1-845D-2DACA0C3B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93248"/>
        <c:axId val="149494784"/>
      </c:scatterChart>
      <c:valAx>
        <c:axId val="14949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494784"/>
        <c:crosses val="autoZero"/>
        <c:crossBetween val="midCat"/>
      </c:valAx>
      <c:valAx>
        <c:axId val="14949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493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9424321959755033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i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plaque 2 UV - MS'!$C$16:$C$19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MS'!$D$16:$D$19</c:f>
              <c:numCache>
                <c:formatCode>General</c:formatCode>
                <c:ptCount val="4"/>
                <c:pt idx="0">
                  <c:v>0</c:v>
                </c:pt>
                <c:pt idx="1">
                  <c:v>1.8240000000000001</c:v>
                </c:pt>
                <c:pt idx="2">
                  <c:v>8.6630000000000003</c:v>
                </c:pt>
                <c:pt idx="3">
                  <c:v>16.971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32-4EE7-B5A8-7CDC444E1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581568"/>
        <c:axId val="145583104"/>
      </c:scatterChart>
      <c:valAx>
        <c:axId val="145581568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5583104"/>
        <c:crosses val="autoZero"/>
        <c:crossBetween val="midCat"/>
      </c:valAx>
      <c:valAx>
        <c:axId val="14558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581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051361313975258E-2"/>
          <c:y val="0.11121921358704853"/>
          <c:w val="0.89164472429057184"/>
          <c:h val="0.60453220067790903"/>
        </c:manualLayout>
      </c:layout>
      <c:scatterChart>
        <c:scatterStyle val="lineMarker"/>
        <c:varyColors val="0"/>
        <c:ser>
          <c:idx val="1"/>
          <c:order val="0"/>
          <c:tx>
            <c:v>3f moins 10mM</c:v>
          </c:tx>
          <c:spPr>
            <a:ln w="28575">
              <a:noFill/>
            </a:ln>
          </c:spP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35035154587259693"/>
                  <c:y val="-3.402796771686702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C0000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'Résultats plaque 2 UV - MS'!$C$43:$C$45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'Résultats plaque 2 UV - MS'!$D$43:$D$45</c:f>
              <c:numCache>
                <c:formatCode>General</c:formatCode>
                <c:ptCount val="3"/>
                <c:pt idx="0">
                  <c:v>0</c:v>
                </c:pt>
                <c:pt idx="1">
                  <c:v>3.2749999999999999</c:v>
                </c:pt>
                <c:pt idx="2">
                  <c:v>17.463000000000001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16-47CC-9A0B-C99B03603ADB}"/>
            </c:ext>
          </c:extLst>
        </c:ser>
        <c:ser>
          <c:idx val="0"/>
          <c:order val="1"/>
          <c:tx>
            <c:v>3f moins 5mM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964302082266657"/>
                  <c:y val="0.1508867442052297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>
                      <a:solidFill>
                        <a:srgbClr val="0070C0"/>
                      </a:solidFill>
                    </a:defRPr>
                  </a:pPr>
                  <a:endParaRPr lang="nl-NL"/>
                </a:p>
              </c:txPr>
            </c:trendlineLbl>
          </c:trendline>
          <c:xVal>
            <c:numRef>
              <c:f>('Résultats plaque 2 UV - MS'!$C$43:$C$44,'Résultats plaque 2 UV - MS'!$C$46)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10</c:v>
                </c:pt>
              </c:numCache>
            </c:numRef>
          </c:xVal>
          <c:yVal>
            <c:numRef>
              <c:f>('Résultats plaque 2 UV - MS'!$D$43:$D$44,'Résultats plaque 2 UV - MS'!$D$46)</c:f>
              <c:numCache>
                <c:formatCode>General</c:formatCode>
                <c:ptCount val="3"/>
                <c:pt idx="0">
                  <c:v>0</c:v>
                </c:pt>
                <c:pt idx="1">
                  <c:v>3.2749999999999999</c:v>
                </c:pt>
                <c:pt idx="2">
                  <c:v>12.154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16-47CC-9A0B-C99B03603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06304"/>
        <c:axId val="145690624"/>
      </c:scatterChart>
      <c:valAx>
        <c:axId val="14950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5690624"/>
        <c:crosses val="autoZero"/>
        <c:crossBetween val="midCat"/>
      </c:valAx>
      <c:valAx>
        <c:axId val="14569062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50630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9.8820862310739221E-3"/>
          <c:y val="0.82103700230531795"/>
          <c:w val="0.99011791376892599"/>
          <c:h val="0.17896299769468213"/>
        </c:manualLayout>
      </c:layout>
      <c:overlay val="0"/>
      <c:txPr>
        <a:bodyPr/>
        <a:lstStyle/>
        <a:p>
          <a:pPr>
            <a:defRPr sz="1000"/>
          </a:pPr>
          <a:endParaRPr lang="nl-NL"/>
        </a:p>
      </c:txPr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3148356390934504"/>
          <c:h val="0.68078373099306422"/>
        </c:manualLayout>
      </c:layout>
      <c:scatterChart>
        <c:scatterStyle val="lineMarker"/>
        <c:varyColors val="0"/>
        <c:ser>
          <c:idx val="1"/>
          <c:order val="0"/>
          <c:tx>
            <c:v>Ensemble des points</c:v>
          </c:tx>
          <c:spPr>
            <a:ln w="28575">
              <a:noFill/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'Résultats plaque 2 UV - MS'!$C$59:$C$62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MS'!$E$59:$E$62</c:f>
              <c:numCache>
                <c:formatCode>General</c:formatCode>
                <c:ptCount val="4"/>
                <c:pt idx="0">
                  <c:v>0</c:v>
                </c:pt>
                <c:pt idx="1">
                  <c:v>21.626000000000001</c:v>
                </c:pt>
                <c:pt idx="2">
                  <c:v>59.988999999999997</c:v>
                </c:pt>
                <c:pt idx="3">
                  <c:v>44.116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8-4F89-81E2-440230245351}"/>
            </c:ext>
          </c:extLst>
        </c:ser>
        <c:ser>
          <c:idx val="0"/>
          <c:order val="1"/>
          <c:tx>
            <c:v>3 m - cc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340849080311703"/>
                  <c:y val="-0.153688311252161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/>
                  </a:pPr>
                  <a:endParaRPr lang="nl-NL"/>
                </a:p>
              </c:txPr>
            </c:trendlineLbl>
          </c:trendline>
          <c:xVal>
            <c:numRef>
              <c:f>'Résultats plaque 2 UV - MS'!$C$59:$C$61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'Résultats plaque 2 UV - MS'!$E$59:$E$61</c:f>
              <c:numCache>
                <c:formatCode>General</c:formatCode>
                <c:ptCount val="3"/>
                <c:pt idx="0">
                  <c:v>0</c:v>
                </c:pt>
                <c:pt idx="1">
                  <c:v>21.626000000000001</c:v>
                </c:pt>
                <c:pt idx="2">
                  <c:v>59.988999999999997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88-4F89-81E2-440230245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21216"/>
        <c:axId val="145722752"/>
      </c:scatterChart>
      <c:valAx>
        <c:axId val="145721216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5722752"/>
        <c:crosses val="autoZero"/>
        <c:crossBetween val="midCat"/>
      </c:valAx>
      <c:valAx>
        <c:axId val="14572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721216"/>
        <c:crosses val="autoZero"/>
        <c:crossBetween val="midCat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9424321959755033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j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plaque 2 UV - MS'!$C$100:$C$103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MS'!$E$100:$E$103</c:f>
              <c:numCache>
                <c:formatCode>General</c:formatCode>
                <c:ptCount val="4"/>
                <c:pt idx="0">
                  <c:v>0</c:v>
                </c:pt>
                <c:pt idx="1">
                  <c:v>3.7709999999999999</c:v>
                </c:pt>
                <c:pt idx="2">
                  <c:v>18.878</c:v>
                </c:pt>
                <c:pt idx="3">
                  <c:v>37.722000000000001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95-4072-B0ED-A009E9EB4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36896"/>
        <c:axId val="147138432"/>
      </c:scatterChart>
      <c:valAx>
        <c:axId val="147136896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7138432"/>
        <c:crosses val="autoZero"/>
        <c:crossBetween val="midCat"/>
      </c:valAx>
      <c:valAx>
        <c:axId val="14713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13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76792820252307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967121045353205E-2"/>
          <c:y val="0.1773832153600492"/>
          <c:w val="0.59424321959755033"/>
          <c:h val="0.68078373099306422"/>
        </c:manualLayout>
      </c:layout>
      <c:scatterChart>
        <c:scatterStyle val="lineMarker"/>
        <c:varyColors val="0"/>
        <c:ser>
          <c:idx val="0"/>
          <c:order val="0"/>
          <c:tx>
            <c:v>3 g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762765965493505"/>
                  <c:y val="1.549030386804592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/>
                  </a:pPr>
                  <a:endParaRPr lang="nl-NL"/>
                </a:p>
              </c:txPr>
            </c:trendlineLbl>
          </c:trendline>
          <c:xVal>
            <c:numRef>
              <c:f>'Résultats plaque 2 UV - MS'!$C$127:$C$130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'Résultats plaque 2 UV - MS'!$E$127:$E$130</c:f>
              <c:numCache>
                <c:formatCode>General</c:formatCode>
                <c:ptCount val="4"/>
                <c:pt idx="0">
                  <c:v>0</c:v>
                </c:pt>
                <c:pt idx="1">
                  <c:v>2.0710000000000002</c:v>
                </c:pt>
                <c:pt idx="2">
                  <c:v>10.122</c:v>
                </c:pt>
                <c:pt idx="3">
                  <c:v>22.411999999999999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FE-41C1-979F-B2A3B192B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64160"/>
        <c:axId val="147165952"/>
      </c:scatterChart>
      <c:valAx>
        <c:axId val="147164160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47165952"/>
        <c:crosses val="autoZero"/>
        <c:crossBetween val="midCat"/>
      </c:valAx>
      <c:valAx>
        <c:axId val="147165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16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13" Type="http://schemas.openxmlformats.org/officeDocument/2006/relationships/chart" Target="../charts/chart17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12" Type="http://schemas.openxmlformats.org/officeDocument/2006/relationships/chart" Target="../charts/chart16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Relationship Id="rId14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10" Type="http://schemas.openxmlformats.org/officeDocument/2006/relationships/chart" Target="../charts/chart30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5</xdr:row>
      <xdr:rowOff>23813</xdr:rowOff>
    </xdr:from>
    <xdr:to>
      <xdr:col>15</xdr:col>
      <xdr:colOff>438150</xdr:colOff>
      <xdr:row>12</xdr:row>
      <xdr:rowOff>123826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104775</xdr:colOff>
      <xdr:row>25</xdr:row>
      <xdr:rowOff>95250</xdr:rowOff>
    </xdr:from>
    <xdr:to>
      <xdr:col>12</xdr:col>
      <xdr:colOff>200025</xdr:colOff>
      <xdr:row>32</xdr:row>
      <xdr:rowOff>133350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36</xdr:row>
      <xdr:rowOff>123825</xdr:rowOff>
    </xdr:from>
    <xdr:to>
      <xdr:col>19</xdr:col>
      <xdr:colOff>514351</xdr:colOff>
      <xdr:row>47</xdr:row>
      <xdr:rowOff>95250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533400</xdr:colOff>
      <xdr:row>54</xdr:row>
      <xdr:rowOff>76200</xdr:rowOff>
    </xdr:from>
    <xdr:to>
      <xdr:col>16</xdr:col>
      <xdr:colOff>47626</xdr:colOff>
      <xdr:row>62</xdr:row>
      <xdr:rowOff>9525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13</xdr:col>
      <xdr:colOff>333375</xdr:colOff>
      <xdr:row>23</xdr:row>
      <xdr:rowOff>114300</xdr:rowOff>
    </xdr:from>
    <xdr:to>
      <xdr:col>15</xdr:col>
      <xdr:colOff>47625</xdr:colOff>
      <xdr:row>28</xdr:row>
      <xdr:rowOff>76200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7015" r="63380" b="65797"/>
        <a:stretch/>
      </xdr:blipFill>
      <xdr:spPr>
        <a:xfrm>
          <a:off x="6667500" y="2695575"/>
          <a:ext cx="609600" cy="771525"/>
        </a:xfrm>
        <a:prstGeom prst="rect">
          <a:avLst/>
        </a:prstGeom>
      </xdr:spPr>
    </xdr:pic>
    <xdr:clientData/>
  </xdr:twoCellAnchor>
  <xdr:twoCellAnchor editAs="oneCell">
    <xdr:from>
      <xdr:col>16</xdr:col>
      <xdr:colOff>142875</xdr:colOff>
      <xdr:row>3</xdr:row>
      <xdr:rowOff>57151</xdr:rowOff>
    </xdr:from>
    <xdr:to>
      <xdr:col>19</xdr:col>
      <xdr:colOff>628650</xdr:colOff>
      <xdr:row>16</xdr:row>
      <xdr:rowOff>122116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651" t="3801" r="72535"/>
        <a:stretch/>
      </xdr:blipFill>
      <xdr:spPr>
        <a:xfrm>
          <a:off x="7934325" y="695326"/>
          <a:ext cx="1638300" cy="2169990"/>
        </a:xfrm>
        <a:prstGeom prst="rect">
          <a:avLst/>
        </a:prstGeom>
      </xdr:spPr>
    </xdr:pic>
    <xdr:clientData/>
  </xdr:twoCellAnchor>
  <xdr:twoCellAnchor editAs="oneCell">
    <xdr:from>
      <xdr:col>19</xdr:col>
      <xdr:colOff>542925</xdr:colOff>
      <xdr:row>35</xdr:row>
      <xdr:rowOff>57150</xdr:rowOff>
    </xdr:from>
    <xdr:to>
      <xdr:col>20</xdr:col>
      <xdr:colOff>704850</xdr:colOff>
      <xdr:row>48</xdr:row>
      <xdr:rowOff>150691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r="85442"/>
        <a:stretch/>
      </xdr:blipFill>
      <xdr:spPr>
        <a:xfrm>
          <a:off x="9486900" y="4095750"/>
          <a:ext cx="923925" cy="2255716"/>
        </a:xfrm>
        <a:prstGeom prst="rect">
          <a:avLst/>
        </a:prstGeom>
      </xdr:spPr>
    </xdr:pic>
    <xdr:clientData/>
  </xdr:twoCellAnchor>
  <xdr:twoCellAnchor editAs="oneCell">
    <xdr:from>
      <xdr:col>13</xdr:col>
      <xdr:colOff>323850</xdr:colOff>
      <xdr:row>28</xdr:row>
      <xdr:rowOff>47625</xdr:rowOff>
    </xdr:from>
    <xdr:to>
      <xdr:col>15</xdr:col>
      <xdr:colOff>38100</xdr:colOff>
      <xdr:row>33</xdr:row>
      <xdr:rowOff>141166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7015" t="59961" r="63380"/>
        <a:stretch/>
      </xdr:blipFill>
      <xdr:spPr>
        <a:xfrm>
          <a:off x="6657975" y="3114675"/>
          <a:ext cx="609600" cy="903166"/>
        </a:xfrm>
        <a:prstGeom prst="rect">
          <a:avLst/>
        </a:prstGeom>
      </xdr:spPr>
    </xdr:pic>
    <xdr:clientData/>
  </xdr:twoCellAnchor>
  <xdr:twoCellAnchor editAs="oneCell">
    <xdr:from>
      <xdr:col>17</xdr:col>
      <xdr:colOff>9525</xdr:colOff>
      <xdr:row>52</xdr:row>
      <xdr:rowOff>38100</xdr:rowOff>
    </xdr:from>
    <xdr:to>
      <xdr:col>19</xdr:col>
      <xdr:colOff>57150</xdr:colOff>
      <xdr:row>66</xdr:row>
      <xdr:rowOff>26866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r="85742"/>
        <a:stretch/>
      </xdr:blipFill>
      <xdr:spPr>
        <a:xfrm>
          <a:off x="8096250" y="6829425"/>
          <a:ext cx="904875" cy="2255716"/>
        </a:xfrm>
        <a:prstGeom prst="rect">
          <a:avLst/>
        </a:prstGeom>
      </xdr:spPr>
    </xdr:pic>
    <xdr:clientData/>
  </xdr:twoCellAnchor>
  <xdr:twoCellAnchor editAs="oneCell">
    <xdr:from>
      <xdr:col>20</xdr:col>
      <xdr:colOff>704849</xdr:colOff>
      <xdr:row>35</xdr:row>
      <xdr:rowOff>57150</xdr:rowOff>
    </xdr:from>
    <xdr:to>
      <xdr:col>22</xdr:col>
      <xdr:colOff>85724</xdr:colOff>
      <xdr:row>48</xdr:row>
      <xdr:rowOff>150691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50578" r="35164"/>
        <a:stretch/>
      </xdr:blipFill>
      <xdr:spPr>
        <a:xfrm>
          <a:off x="10410824" y="5876925"/>
          <a:ext cx="904875" cy="2255716"/>
        </a:xfrm>
        <a:prstGeom prst="rect">
          <a:avLst/>
        </a:prstGeom>
      </xdr:spPr>
    </xdr:pic>
    <xdr:clientData/>
  </xdr:twoCellAnchor>
  <xdr:twoCellAnchor editAs="oneCell">
    <xdr:from>
      <xdr:col>19</xdr:col>
      <xdr:colOff>57150</xdr:colOff>
      <xdr:row>52</xdr:row>
      <xdr:rowOff>38100</xdr:rowOff>
    </xdr:from>
    <xdr:to>
      <xdr:col>20</xdr:col>
      <xdr:colOff>723900</xdr:colOff>
      <xdr:row>66</xdr:row>
      <xdr:rowOff>26866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64836" r="12651"/>
        <a:stretch/>
      </xdr:blipFill>
      <xdr:spPr>
        <a:xfrm>
          <a:off x="9001125" y="6829425"/>
          <a:ext cx="1428750" cy="2255716"/>
        </a:xfrm>
        <a:prstGeom prst="rect">
          <a:avLst/>
        </a:prstGeom>
      </xdr:spPr>
    </xdr:pic>
    <xdr:clientData/>
  </xdr:twoCellAnchor>
  <xdr:twoCellAnchor editAs="oneCell">
    <xdr:from>
      <xdr:col>19</xdr:col>
      <xdr:colOff>628650</xdr:colOff>
      <xdr:row>2</xdr:row>
      <xdr:rowOff>133350</xdr:rowOff>
    </xdr:from>
    <xdr:to>
      <xdr:col>21</xdr:col>
      <xdr:colOff>47625</xdr:colOff>
      <xdr:row>16</xdr:row>
      <xdr:rowOff>122116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6020" r="49122"/>
        <a:stretch/>
      </xdr:blipFill>
      <xdr:spPr>
        <a:xfrm>
          <a:off x="9572625" y="609600"/>
          <a:ext cx="942975" cy="22557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354106</xdr:colOff>
      <xdr:row>15</xdr:row>
      <xdr:rowOff>139794</xdr:rowOff>
    </xdr:from>
    <xdr:to>
      <xdr:col>9</xdr:col>
      <xdr:colOff>487456</xdr:colOff>
      <xdr:row>23</xdr:row>
      <xdr:rowOff>58831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201706</xdr:colOff>
      <xdr:row>39</xdr:row>
      <xdr:rowOff>49865</xdr:rowOff>
    </xdr:from>
    <xdr:to>
      <xdr:col>14</xdr:col>
      <xdr:colOff>358588</xdr:colOff>
      <xdr:row>52</xdr:row>
      <xdr:rowOff>22412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156322</xdr:colOff>
      <xdr:row>56</xdr:row>
      <xdr:rowOff>110380</xdr:rowOff>
    </xdr:from>
    <xdr:to>
      <xdr:col>15</xdr:col>
      <xdr:colOff>235322</xdr:colOff>
      <xdr:row>70</xdr:row>
      <xdr:rowOff>145677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558614</xdr:colOff>
      <xdr:row>96</xdr:row>
      <xdr:rowOff>183777</xdr:rowOff>
    </xdr:from>
    <xdr:to>
      <xdr:col>14</xdr:col>
      <xdr:colOff>336176</xdr:colOff>
      <xdr:row>105</xdr:row>
      <xdr:rowOff>123265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399490</xdr:colOff>
      <xdr:row>124</xdr:row>
      <xdr:rowOff>17370</xdr:rowOff>
    </xdr:from>
    <xdr:to>
      <xdr:col>14</xdr:col>
      <xdr:colOff>8964</xdr:colOff>
      <xdr:row>131</xdr:row>
      <xdr:rowOff>105056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494740</xdr:colOff>
      <xdr:row>79</xdr:row>
      <xdr:rowOff>112619</xdr:rowOff>
    </xdr:from>
    <xdr:to>
      <xdr:col>16</xdr:col>
      <xdr:colOff>119343</xdr:colOff>
      <xdr:row>89</xdr:row>
      <xdr:rowOff>7844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141194</xdr:colOff>
      <xdr:row>8</xdr:row>
      <xdr:rowOff>27736</xdr:rowOff>
    </xdr:from>
    <xdr:to>
      <xdr:col>26</xdr:col>
      <xdr:colOff>649942</xdr:colOff>
      <xdr:row>15</xdr:row>
      <xdr:rowOff>126067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246529</xdr:colOff>
      <xdr:row>39</xdr:row>
      <xdr:rowOff>78440</xdr:rowOff>
    </xdr:from>
    <xdr:to>
      <xdr:col>28</xdr:col>
      <xdr:colOff>672352</xdr:colOff>
      <xdr:row>51</xdr:row>
      <xdr:rowOff>78440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437029</xdr:colOff>
      <xdr:row>16</xdr:row>
      <xdr:rowOff>33618</xdr:rowOff>
    </xdr:from>
    <xdr:to>
      <xdr:col>31</xdr:col>
      <xdr:colOff>60513</xdr:colOff>
      <xdr:row>23</xdr:row>
      <xdr:rowOff>131949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89647</xdr:colOff>
      <xdr:row>75</xdr:row>
      <xdr:rowOff>89647</xdr:rowOff>
    </xdr:from>
    <xdr:to>
      <xdr:col>25</xdr:col>
      <xdr:colOff>201707</xdr:colOff>
      <xdr:row>89</xdr:row>
      <xdr:rowOff>89648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549088</xdr:colOff>
      <xdr:row>96</xdr:row>
      <xdr:rowOff>85165</xdr:rowOff>
    </xdr:from>
    <xdr:to>
      <xdr:col>31</xdr:col>
      <xdr:colOff>201706</xdr:colOff>
      <xdr:row>111</xdr:row>
      <xdr:rowOff>138953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661146</xdr:colOff>
      <xdr:row>119</xdr:row>
      <xdr:rowOff>78442</xdr:rowOff>
    </xdr:from>
    <xdr:to>
      <xdr:col>32</xdr:col>
      <xdr:colOff>78442</xdr:colOff>
      <xdr:row>132</xdr:row>
      <xdr:rowOff>44823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100852</xdr:colOff>
      <xdr:row>59</xdr:row>
      <xdr:rowOff>44822</xdr:rowOff>
    </xdr:from>
    <xdr:to>
      <xdr:col>43</xdr:col>
      <xdr:colOff>380999</xdr:colOff>
      <xdr:row>74</xdr:row>
      <xdr:rowOff>98610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605118</xdr:colOff>
      <xdr:row>77</xdr:row>
      <xdr:rowOff>145676</xdr:rowOff>
    </xdr:from>
    <xdr:to>
      <xdr:col>34</xdr:col>
      <xdr:colOff>33618</xdr:colOff>
      <xdr:row>93</xdr:row>
      <xdr:rowOff>123263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12</xdr:row>
      <xdr:rowOff>152400</xdr:rowOff>
    </xdr:from>
    <xdr:to>
      <xdr:col>11</xdr:col>
      <xdr:colOff>590550</xdr:colOff>
      <xdr:row>24</xdr:row>
      <xdr:rowOff>76201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381000</xdr:colOff>
      <xdr:row>45</xdr:row>
      <xdr:rowOff>61912</xdr:rowOff>
    </xdr:from>
    <xdr:to>
      <xdr:col>7</xdr:col>
      <xdr:colOff>209550</xdr:colOff>
      <xdr:row>59</xdr:row>
      <xdr:rowOff>114300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354106</xdr:colOff>
      <xdr:row>15</xdr:row>
      <xdr:rowOff>139794</xdr:rowOff>
    </xdr:from>
    <xdr:to>
      <xdr:col>9</xdr:col>
      <xdr:colOff>487456</xdr:colOff>
      <xdr:row>23</xdr:row>
      <xdr:rowOff>58831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201706</xdr:colOff>
      <xdr:row>39</xdr:row>
      <xdr:rowOff>49865</xdr:rowOff>
    </xdr:from>
    <xdr:to>
      <xdr:col>14</xdr:col>
      <xdr:colOff>358588</xdr:colOff>
      <xdr:row>52</xdr:row>
      <xdr:rowOff>22412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156322</xdr:colOff>
      <xdr:row>56</xdr:row>
      <xdr:rowOff>110380</xdr:rowOff>
    </xdr:from>
    <xdr:to>
      <xdr:col>15</xdr:col>
      <xdr:colOff>235322</xdr:colOff>
      <xdr:row>70</xdr:row>
      <xdr:rowOff>145677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558614</xdr:colOff>
      <xdr:row>96</xdr:row>
      <xdr:rowOff>183777</xdr:rowOff>
    </xdr:from>
    <xdr:to>
      <xdr:col>14</xdr:col>
      <xdr:colOff>336176</xdr:colOff>
      <xdr:row>105</xdr:row>
      <xdr:rowOff>123265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399490</xdr:colOff>
      <xdr:row>124</xdr:row>
      <xdr:rowOff>17370</xdr:rowOff>
    </xdr:from>
    <xdr:to>
      <xdr:col>14</xdr:col>
      <xdr:colOff>8964</xdr:colOff>
      <xdr:row>131</xdr:row>
      <xdr:rowOff>105056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494740</xdr:colOff>
      <xdr:row>79</xdr:row>
      <xdr:rowOff>112619</xdr:rowOff>
    </xdr:from>
    <xdr:to>
      <xdr:col>16</xdr:col>
      <xdr:colOff>119343</xdr:colOff>
      <xdr:row>89</xdr:row>
      <xdr:rowOff>7844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141194</xdr:colOff>
      <xdr:row>8</xdr:row>
      <xdr:rowOff>27736</xdr:rowOff>
    </xdr:from>
    <xdr:to>
      <xdr:col>26</xdr:col>
      <xdr:colOff>649942</xdr:colOff>
      <xdr:row>15</xdr:row>
      <xdr:rowOff>126067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246529</xdr:colOff>
      <xdr:row>39</xdr:row>
      <xdr:rowOff>78440</xdr:rowOff>
    </xdr:from>
    <xdr:to>
      <xdr:col>28</xdr:col>
      <xdr:colOff>672352</xdr:colOff>
      <xdr:row>51</xdr:row>
      <xdr:rowOff>78440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437029</xdr:colOff>
      <xdr:row>16</xdr:row>
      <xdr:rowOff>33618</xdr:rowOff>
    </xdr:from>
    <xdr:to>
      <xdr:col>31</xdr:col>
      <xdr:colOff>60513</xdr:colOff>
      <xdr:row>23</xdr:row>
      <xdr:rowOff>131949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89647</xdr:colOff>
      <xdr:row>75</xdr:row>
      <xdr:rowOff>89647</xdr:rowOff>
    </xdr:from>
    <xdr:to>
      <xdr:col>25</xdr:col>
      <xdr:colOff>201707</xdr:colOff>
      <xdr:row>89</xdr:row>
      <xdr:rowOff>89648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549088</xdr:colOff>
      <xdr:row>96</xdr:row>
      <xdr:rowOff>85165</xdr:rowOff>
    </xdr:from>
    <xdr:to>
      <xdr:col>31</xdr:col>
      <xdr:colOff>201706</xdr:colOff>
      <xdr:row>111</xdr:row>
      <xdr:rowOff>138953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661146</xdr:colOff>
      <xdr:row>119</xdr:row>
      <xdr:rowOff>78442</xdr:rowOff>
    </xdr:from>
    <xdr:to>
      <xdr:col>32</xdr:col>
      <xdr:colOff>78442</xdr:colOff>
      <xdr:row>132</xdr:row>
      <xdr:rowOff>44823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100852</xdr:colOff>
      <xdr:row>59</xdr:row>
      <xdr:rowOff>44822</xdr:rowOff>
    </xdr:from>
    <xdr:to>
      <xdr:col>43</xdr:col>
      <xdr:colOff>380999</xdr:colOff>
      <xdr:row>74</xdr:row>
      <xdr:rowOff>98610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605118</xdr:colOff>
      <xdr:row>77</xdr:row>
      <xdr:rowOff>145676</xdr:rowOff>
    </xdr:from>
    <xdr:to>
      <xdr:col>34</xdr:col>
      <xdr:colOff>33618</xdr:colOff>
      <xdr:row>93</xdr:row>
      <xdr:rowOff>123263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235321</xdr:colOff>
      <xdr:row>228</xdr:row>
      <xdr:rowOff>168089</xdr:rowOff>
    </xdr:from>
    <xdr:to>
      <xdr:col>26</xdr:col>
      <xdr:colOff>44823</xdr:colOff>
      <xdr:row>242</xdr:row>
      <xdr:rowOff>4482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8"/>
  <sheetViews>
    <sheetView topLeftCell="A40" workbookViewId="0">
      <selection activeCell="H17" sqref="H17"/>
    </sheetView>
  </sheetViews>
  <sheetFormatPr defaultColWidth="11.42578125" defaultRowHeight="15" x14ac:dyDescent="0.25"/>
  <cols>
    <col min="1" max="1" width="11.28515625" style="1" customWidth="1"/>
    <col min="2" max="13" width="8" style="1" customWidth="1"/>
    <col min="14" max="14" width="11.140625" style="1" customWidth="1"/>
    <col min="15" max="20" width="6.28515625" style="1" customWidth="1"/>
    <col min="21" max="24" width="7.28515625" style="1" customWidth="1"/>
    <col min="25" max="16384" width="11.42578125" style="1"/>
  </cols>
  <sheetData>
    <row r="1" spans="1:14" ht="26.25" customHeight="1" x14ac:dyDescent="0.25">
      <c r="A1" s="3" t="s">
        <v>10</v>
      </c>
      <c r="B1" s="3" t="s">
        <v>1</v>
      </c>
      <c r="C1" s="225" t="s">
        <v>0</v>
      </c>
      <c r="D1" s="226"/>
      <c r="E1" s="226"/>
      <c r="F1" s="226"/>
      <c r="G1" s="226"/>
      <c r="H1" s="226"/>
      <c r="I1" s="227"/>
      <c r="N1" s="185">
        <v>43741</v>
      </c>
    </row>
    <row r="2" spans="1:14" ht="17.25" customHeight="1" x14ac:dyDescent="0.25">
      <c r="A2" s="3" t="s">
        <v>2</v>
      </c>
      <c r="B2" s="3" t="s">
        <v>3</v>
      </c>
      <c r="C2" s="3"/>
      <c r="D2" s="3" t="s">
        <v>4</v>
      </c>
      <c r="E2" s="3" t="s">
        <v>5</v>
      </c>
      <c r="F2" s="3" t="s">
        <v>6</v>
      </c>
      <c r="G2" s="3"/>
      <c r="H2" s="3"/>
      <c r="I2" s="3"/>
    </row>
    <row r="3" spans="1:14" ht="17.25" customHeight="1" x14ac:dyDescent="0.25">
      <c r="A3" s="3" t="s">
        <v>7</v>
      </c>
      <c r="B3" s="3" t="s">
        <v>8</v>
      </c>
      <c r="C3" s="3"/>
      <c r="D3" s="3" t="s">
        <v>4</v>
      </c>
      <c r="E3" s="3" t="s">
        <v>5</v>
      </c>
      <c r="F3" s="3" t="s">
        <v>6</v>
      </c>
      <c r="G3" s="3"/>
      <c r="H3" s="3"/>
      <c r="I3" s="3"/>
    </row>
    <row r="4" spans="1:14" ht="17.25" customHeight="1" x14ac:dyDescent="0.25">
      <c r="A4" s="3" t="s">
        <v>11</v>
      </c>
      <c r="B4" s="219" t="s">
        <v>9</v>
      </c>
      <c r="C4" s="219" t="s">
        <v>21</v>
      </c>
      <c r="D4" s="219"/>
      <c r="E4" s="219" t="s">
        <v>5</v>
      </c>
      <c r="F4" s="219"/>
      <c r="G4" s="237" t="s">
        <v>22</v>
      </c>
      <c r="H4" s="235" t="s">
        <v>23</v>
      </c>
      <c r="I4" s="235" t="s">
        <v>24</v>
      </c>
    </row>
    <row r="5" spans="1:14" ht="17.25" customHeight="1" x14ac:dyDescent="0.25">
      <c r="A5" s="3" t="s">
        <v>12</v>
      </c>
      <c r="B5" s="220"/>
      <c r="C5" s="220"/>
      <c r="D5" s="220"/>
      <c r="E5" s="220"/>
      <c r="F5" s="220"/>
      <c r="G5" s="238"/>
      <c r="H5" s="236"/>
      <c r="I5" s="236"/>
    </row>
    <row r="6" spans="1:14" ht="17.25" customHeight="1" x14ac:dyDescent="0.25">
      <c r="A6" s="3" t="s">
        <v>13</v>
      </c>
      <c r="B6" s="219" t="s">
        <v>19</v>
      </c>
      <c r="C6" s="219" t="s">
        <v>21</v>
      </c>
      <c r="D6" s="219"/>
      <c r="E6" s="219" t="s">
        <v>5</v>
      </c>
      <c r="F6" s="219"/>
      <c r="G6" s="237" t="s">
        <v>22</v>
      </c>
      <c r="H6" s="235" t="s">
        <v>23</v>
      </c>
      <c r="I6" s="235" t="s">
        <v>24</v>
      </c>
    </row>
    <row r="7" spans="1:14" ht="17.25" customHeight="1" x14ac:dyDescent="0.25">
      <c r="A7" s="3" t="s">
        <v>14</v>
      </c>
      <c r="B7" s="220"/>
      <c r="C7" s="220"/>
      <c r="D7" s="220"/>
      <c r="E7" s="220"/>
      <c r="F7" s="220"/>
      <c r="G7" s="238"/>
      <c r="H7" s="236"/>
      <c r="I7" s="236"/>
    </row>
    <row r="8" spans="1:14" ht="17.25" customHeight="1" x14ac:dyDescent="0.25">
      <c r="A8" s="3" t="s">
        <v>15</v>
      </c>
      <c r="B8" s="3" t="s">
        <v>19</v>
      </c>
      <c r="C8" s="3" t="s">
        <v>21</v>
      </c>
      <c r="D8" s="3"/>
      <c r="E8" s="3" t="s">
        <v>5</v>
      </c>
      <c r="F8" s="3"/>
      <c r="G8" s="25" t="s">
        <v>22</v>
      </c>
      <c r="H8" s="184" t="s">
        <v>23</v>
      </c>
      <c r="I8" s="184" t="s">
        <v>24</v>
      </c>
    </row>
    <row r="9" spans="1:14" ht="17.25" customHeight="1" x14ac:dyDescent="0.25">
      <c r="A9" s="3" t="s">
        <v>16</v>
      </c>
      <c r="B9" s="3" t="s">
        <v>9</v>
      </c>
      <c r="C9" s="3" t="s">
        <v>21</v>
      </c>
      <c r="D9" s="3"/>
      <c r="E9" s="3" t="s">
        <v>5</v>
      </c>
      <c r="F9" s="3"/>
      <c r="G9" s="25" t="s">
        <v>22</v>
      </c>
      <c r="H9" s="184" t="s">
        <v>23</v>
      </c>
      <c r="I9" s="184" t="s">
        <v>24</v>
      </c>
    </row>
    <row r="10" spans="1:14" ht="17.25" customHeight="1" x14ac:dyDescent="0.25">
      <c r="A10" s="3" t="s">
        <v>17</v>
      </c>
      <c r="B10" s="219" t="s">
        <v>20</v>
      </c>
      <c r="C10" s="219"/>
      <c r="D10" s="219" t="s">
        <v>4</v>
      </c>
      <c r="E10" s="219"/>
      <c r="F10" s="219" t="s">
        <v>6</v>
      </c>
      <c r="G10" s="219"/>
      <c r="H10" s="219"/>
      <c r="I10" s="219"/>
    </row>
    <row r="11" spans="1:14" ht="17.25" customHeight="1" x14ac:dyDescent="0.25">
      <c r="A11" s="3" t="s">
        <v>18</v>
      </c>
      <c r="B11" s="220"/>
      <c r="C11" s="220"/>
      <c r="D11" s="220"/>
      <c r="E11" s="220"/>
      <c r="F11" s="220"/>
      <c r="G11" s="220"/>
      <c r="H11" s="220"/>
      <c r="I11" s="220"/>
    </row>
    <row r="12" spans="1:14" x14ac:dyDescent="0.25">
      <c r="A12" s="26" t="s">
        <v>98</v>
      </c>
    </row>
    <row r="13" spans="1:14" x14ac:dyDescent="0.25">
      <c r="A13" s="7" t="s">
        <v>64</v>
      </c>
    </row>
    <row r="14" spans="1:14" x14ac:dyDescent="0.25">
      <c r="A14" s="7"/>
    </row>
    <row r="15" spans="1:14" ht="17.25" customHeight="1" x14ac:dyDescent="0.25">
      <c r="A15" s="228" t="s">
        <v>192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</row>
    <row r="16" spans="1:14" ht="17.25" customHeight="1" x14ac:dyDescent="0.25">
      <c r="A16" s="42"/>
      <c r="B16" s="42">
        <v>1</v>
      </c>
      <c r="C16" s="42">
        <v>2</v>
      </c>
      <c r="D16" s="42">
        <v>3</v>
      </c>
      <c r="E16" s="42">
        <v>4</v>
      </c>
      <c r="F16" s="42">
        <v>5</v>
      </c>
      <c r="G16" s="42">
        <v>6</v>
      </c>
      <c r="H16" s="42">
        <v>7</v>
      </c>
      <c r="I16" s="42">
        <v>8</v>
      </c>
      <c r="J16" s="42">
        <v>9</v>
      </c>
      <c r="K16" s="42">
        <v>10</v>
      </c>
      <c r="L16" s="42">
        <v>11</v>
      </c>
      <c r="M16" s="42">
        <v>12</v>
      </c>
    </row>
    <row r="17" spans="1:22" ht="17.25" customHeight="1" x14ac:dyDescent="0.25">
      <c r="A17" s="42" t="s">
        <v>25</v>
      </c>
      <c r="B17" s="60" t="s">
        <v>33</v>
      </c>
      <c r="C17" s="60" t="s">
        <v>34</v>
      </c>
      <c r="D17" s="60" t="s">
        <v>35</v>
      </c>
      <c r="E17" s="60" t="s">
        <v>36</v>
      </c>
      <c r="F17" s="42" t="s">
        <v>203</v>
      </c>
      <c r="G17" s="61" t="s">
        <v>38</v>
      </c>
      <c r="H17" s="42" t="s">
        <v>203</v>
      </c>
      <c r="I17" s="61" t="s">
        <v>38</v>
      </c>
      <c r="J17" s="62" t="s">
        <v>40</v>
      </c>
      <c r="K17" s="62" t="s">
        <v>41</v>
      </c>
      <c r="L17" s="62" t="s">
        <v>42</v>
      </c>
      <c r="M17" s="62" t="s">
        <v>43</v>
      </c>
    </row>
    <row r="18" spans="1:22" ht="17.25" customHeight="1" x14ac:dyDescent="0.25">
      <c r="A18" s="42" t="s">
        <v>26</v>
      </c>
      <c r="B18" s="42" t="s">
        <v>88</v>
      </c>
      <c r="C18" s="61" t="s">
        <v>89</v>
      </c>
      <c r="D18" s="42" t="s">
        <v>88</v>
      </c>
      <c r="E18" s="61" t="s">
        <v>89</v>
      </c>
      <c r="F18" s="63" t="s">
        <v>204</v>
      </c>
      <c r="G18" s="63" t="s">
        <v>45</v>
      </c>
      <c r="H18" s="63" t="s">
        <v>46</v>
      </c>
      <c r="I18" s="63" t="s">
        <v>47</v>
      </c>
      <c r="J18" s="42" t="s">
        <v>48</v>
      </c>
      <c r="K18" s="61" t="s">
        <v>49</v>
      </c>
      <c r="L18" s="42" t="s">
        <v>48</v>
      </c>
      <c r="M18" s="61" t="s">
        <v>49</v>
      </c>
    </row>
    <row r="19" spans="1:22" ht="17.25" customHeight="1" x14ac:dyDescent="0.25">
      <c r="A19" s="42" t="s">
        <v>27</v>
      </c>
      <c r="B19" s="42" t="s">
        <v>56</v>
      </c>
      <c r="C19" s="61" t="s">
        <v>57</v>
      </c>
      <c r="D19" s="42" t="s">
        <v>56</v>
      </c>
      <c r="E19" s="61" t="s">
        <v>57</v>
      </c>
      <c r="F19" s="64" t="s">
        <v>50</v>
      </c>
      <c r="G19" s="64" t="s">
        <v>51</v>
      </c>
      <c r="H19" s="64" t="s">
        <v>52</v>
      </c>
      <c r="I19" s="64" t="s">
        <v>53</v>
      </c>
      <c r="J19" s="42" t="s">
        <v>81</v>
      </c>
      <c r="K19" s="61" t="s">
        <v>82</v>
      </c>
      <c r="L19" s="42" t="s">
        <v>81</v>
      </c>
      <c r="M19" s="61" t="s">
        <v>82</v>
      </c>
    </row>
    <row r="20" spans="1:22" ht="17.25" customHeight="1" thickBot="1" x14ac:dyDescent="0.3">
      <c r="A20" s="42" t="s">
        <v>28</v>
      </c>
      <c r="B20" s="42" t="s">
        <v>54</v>
      </c>
      <c r="C20" s="65" t="s">
        <v>55</v>
      </c>
      <c r="D20" s="66" t="s">
        <v>54</v>
      </c>
      <c r="E20" s="65" t="s">
        <v>55</v>
      </c>
      <c r="F20" s="67" t="s">
        <v>44</v>
      </c>
      <c r="G20" s="66" t="s">
        <v>37</v>
      </c>
      <c r="H20" s="66" t="s">
        <v>37</v>
      </c>
      <c r="I20" s="66"/>
      <c r="J20" s="66"/>
      <c r="K20" s="65"/>
      <c r="L20" s="66"/>
      <c r="M20" s="65"/>
    </row>
    <row r="21" spans="1:22" ht="17.25" customHeight="1" thickBot="1" x14ac:dyDescent="0.3">
      <c r="A21" s="42" t="s">
        <v>29</v>
      </c>
      <c r="B21" s="68" t="s">
        <v>39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22" ht="17.25" customHeight="1" x14ac:dyDescent="0.25">
      <c r="A22" s="42" t="s">
        <v>200</v>
      </c>
      <c r="B22" s="46" t="s">
        <v>117</v>
      </c>
      <c r="C22" s="46" t="s">
        <v>112</v>
      </c>
      <c r="D22" s="46" t="s">
        <v>112</v>
      </c>
      <c r="E22" s="46" t="s">
        <v>114</v>
      </c>
      <c r="F22" s="46" t="s">
        <v>114</v>
      </c>
      <c r="G22" s="46" t="s">
        <v>116</v>
      </c>
      <c r="H22" s="46" t="s">
        <v>116</v>
      </c>
      <c r="I22" s="46" t="s">
        <v>113</v>
      </c>
      <c r="J22" s="46" t="s">
        <v>113</v>
      </c>
      <c r="K22" s="45" t="s">
        <v>102</v>
      </c>
      <c r="L22" s="42"/>
      <c r="M22" s="42"/>
    </row>
    <row r="23" spans="1:22" ht="17.25" customHeight="1" x14ac:dyDescent="0.25">
      <c r="A23" s="42" t="s">
        <v>31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22" ht="17.25" customHeight="1" x14ac:dyDescent="0.25">
      <c r="A24" s="42" t="s">
        <v>32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</row>
    <row r="25" spans="1:22" ht="17.25" customHeight="1" x14ac:dyDescent="0.25">
      <c r="A25" s="221" t="s">
        <v>205</v>
      </c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</row>
    <row r="26" spans="1:22" ht="17.25" customHeight="1" x14ac:dyDescent="0.25">
      <c r="A26" s="70" t="s">
        <v>206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"/>
      <c r="O26" s="7"/>
      <c r="P26" s="7"/>
      <c r="Q26" s="7"/>
      <c r="R26" s="7"/>
      <c r="S26" s="7"/>
      <c r="T26" s="7"/>
      <c r="U26" s="7"/>
      <c r="V26" s="7"/>
    </row>
    <row r="27" spans="1:22" ht="24" customHeight="1" x14ac:dyDescent="0.25"/>
    <row r="28" spans="1:22" x14ac:dyDescent="0.25">
      <c r="A28" s="232" t="s">
        <v>97</v>
      </c>
      <c r="B28" s="232"/>
      <c r="C28" s="232"/>
      <c r="D28" s="232"/>
      <c r="E28" s="232"/>
      <c r="G28" s="230" t="s">
        <v>96</v>
      </c>
      <c r="H28" s="230"/>
      <c r="I28" s="230"/>
      <c r="J28" s="230"/>
      <c r="K28" s="230"/>
      <c r="L28" s="230"/>
      <c r="M28" s="230"/>
      <c r="N28" s="230"/>
    </row>
    <row r="29" spans="1:22" ht="15" customHeight="1" x14ac:dyDescent="0.25">
      <c r="A29" s="232"/>
      <c r="B29" s="232"/>
      <c r="C29" s="232"/>
      <c r="D29" s="232"/>
      <c r="E29" s="232"/>
      <c r="G29" s="219"/>
      <c r="H29" s="233" t="s">
        <v>62</v>
      </c>
      <c r="I29" s="233" t="s">
        <v>63</v>
      </c>
      <c r="J29" s="231" t="s">
        <v>70</v>
      </c>
      <c r="K29" s="220"/>
      <c r="L29" s="220"/>
      <c r="M29" s="220"/>
      <c r="N29" s="3" t="s">
        <v>90</v>
      </c>
    </row>
    <row r="30" spans="1:22" ht="51" x14ac:dyDescent="0.25">
      <c r="A30" s="9"/>
      <c r="B30" s="9" t="s">
        <v>62</v>
      </c>
      <c r="C30" s="9" t="s">
        <v>63</v>
      </c>
      <c r="D30" s="21" t="s">
        <v>92</v>
      </c>
      <c r="E30" s="22" t="s">
        <v>95</v>
      </c>
      <c r="G30" s="220"/>
      <c r="H30" s="234"/>
      <c r="I30" s="234"/>
      <c r="J30" s="23" t="s">
        <v>76</v>
      </c>
      <c r="K30" s="8" t="s">
        <v>77</v>
      </c>
      <c r="L30" s="8" t="s">
        <v>78</v>
      </c>
      <c r="M30" s="20" t="s">
        <v>79</v>
      </c>
      <c r="N30" s="24"/>
    </row>
    <row r="31" spans="1:22" x14ac:dyDescent="0.25">
      <c r="A31" s="4" t="s">
        <v>71</v>
      </c>
      <c r="B31" s="4"/>
      <c r="C31" s="4"/>
      <c r="D31" s="3">
        <f>100-SUM(D32:D39)</f>
        <v>12</v>
      </c>
      <c r="E31" s="3">
        <f>50*D31</f>
        <v>600</v>
      </c>
      <c r="G31" s="4" t="s">
        <v>71</v>
      </c>
      <c r="H31" s="4"/>
      <c r="I31" s="5"/>
      <c r="J31" s="230">
        <f>100-SUM(J32:J42)</f>
        <v>70</v>
      </c>
      <c r="K31" s="230"/>
      <c r="L31" s="230"/>
      <c r="M31" s="225"/>
      <c r="N31" s="3">
        <f>J31*20</f>
        <v>1400</v>
      </c>
    </row>
    <row r="32" spans="1:22" x14ac:dyDescent="0.25">
      <c r="A32" s="4" t="s">
        <v>85</v>
      </c>
      <c r="B32" s="4">
        <v>10000</v>
      </c>
      <c r="C32" s="4">
        <v>1000</v>
      </c>
      <c r="D32" s="3">
        <v>10</v>
      </c>
      <c r="E32" s="3">
        <f>50*D32</f>
        <v>500</v>
      </c>
      <c r="G32" s="4" t="s">
        <v>84</v>
      </c>
      <c r="H32" s="4">
        <v>10000</v>
      </c>
      <c r="I32" s="5">
        <v>1000</v>
      </c>
      <c r="J32" s="230">
        <v>10</v>
      </c>
      <c r="K32" s="230"/>
      <c r="L32" s="230"/>
      <c r="M32" s="225"/>
      <c r="N32" s="3">
        <f>J32*20</f>
        <v>200</v>
      </c>
    </row>
    <row r="33" spans="1:15" x14ac:dyDescent="0.25">
      <c r="A33" s="4" t="s">
        <v>65</v>
      </c>
      <c r="B33" s="4">
        <v>50</v>
      </c>
      <c r="C33" s="4">
        <v>5</v>
      </c>
      <c r="D33" s="3">
        <v>10</v>
      </c>
      <c r="E33" s="3">
        <f>50*D33</f>
        <v>500</v>
      </c>
      <c r="G33" s="225" t="s">
        <v>75</v>
      </c>
      <c r="H33" s="226"/>
      <c r="I33" s="227"/>
      <c r="J33" s="230">
        <v>10</v>
      </c>
      <c r="K33" s="230"/>
      <c r="L33" s="230"/>
      <c r="M33" s="225"/>
      <c r="N33" s="3">
        <f>J33*20</f>
        <v>200</v>
      </c>
    </row>
    <row r="34" spans="1:15" ht="25.5" x14ac:dyDescent="0.25">
      <c r="A34" s="4" t="s">
        <v>66</v>
      </c>
      <c r="B34" s="4">
        <v>120</v>
      </c>
      <c r="C34" s="4" t="s">
        <v>91</v>
      </c>
      <c r="D34" s="3">
        <v>20</v>
      </c>
      <c r="E34" s="3">
        <f>50*D34</f>
        <v>1000</v>
      </c>
      <c r="G34" s="223" t="s">
        <v>93</v>
      </c>
      <c r="H34" s="223"/>
      <c r="I34" s="223"/>
      <c r="J34" s="223"/>
      <c r="K34" s="223"/>
      <c r="L34" s="223"/>
      <c r="M34" s="224"/>
      <c r="N34" s="2" t="s">
        <v>99</v>
      </c>
    </row>
    <row r="35" spans="1:15" x14ac:dyDescent="0.25">
      <c r="A35" s="223" t="s">
        <v>93</v>
      </c>
      <c r="B35" s="223"/>
      <c r="C35" s="223"/>
      <c r="D35" s="223"/>
      <c r="E35" s="2" t="s">
        <v>94</v>
      </c>
      <c r="G35" s="3" t="s">
        <v>71</v>
      </c>
      <c r="H35" s="3"/>
      <c r="I35" s="3"/>
      <c r="J35" s="3">
        <v>10</v>
      </c>
      <c r="K35" s="3"/>
      <c r="L35" s="3"/>
      <c r="M35" s="3"/>
    </row>
    <row r="36" spans="1:15" ht="26.25" thickBot="1" x14ac:dyDescent="0.3">
      <c r="A36" s="10" t="s">
        <v>86</v>
      </c>
      <c r="B36" s="11" t="s">
        <v>87</v>
      </c>
      <c r="C36" s="12" t="s">
        <v>83</v>
      </c>
      <c r="D36" s="3">
        <v>10</v>
      </c>
      <c r="G36" s="229" t="s">
        <v>74</v>
      </c>
      <c r="H36" s="6">
        <v>10</v>
      </c>
      <c r="I36" s="6">
        <v>1</v>
      </c>
      <c r="J36" s="3"/>
      <c r="K36" s="3">
        <v>10</v>
      </c>
      <c r="L36" s="3"/>
      <c r="M36" s="3"/>
    </row>
    <row r="37" spans="1:15" x14ac:dyDescent="0.25">
      <c r="A37" s="13" t="s">
        <v>80</v>
      </c>
      <c r="B37" s="13">
        <v>2</v>
      </c>
      <c r="C37" s="14">
        <v>0.2</v>
      </c>
      <c r="D37" s="3">
        <v>10</v>
      </c>
      <c r="G37" s="229"/>
      <c r="H37" s="6">
        <v>50</v>
      </c>
      <c r="I37" s="6">
        <v>5</v>
      </c>
      <c r="J37" s="3"/>
      <c r="K37" s="3"/>
      <c r="L37" s="3">
        <v>10</v>
      </c>
      <c r="M37" s="3"/>
    </row>
    <row r="38" spans="1:15" x14ac:dyDescent="0.25">
      <c r="A38" s="15" t="s">
        <v>67</v>
      </c>
      <c r="B38" s="15" t="s">
        <v>72</v>
      </c>
      <c r="C38" s="16" t="s">
        <v>68</v>
      </c>
      <c r="D38" s="3">
        <v>10</v>
      </c>
      <c r="G38" s="229"/>
      <c r="H38" s="6">
        <v>100</v>
      </c>
      <c r="I38" s="6">
        <v>10</v>
      </c>
      <c r="J38" s="3"/>
      <c r="K38" s="3"/>
      <c r="L38" s="3"/>
      <c r="M38" s="3">
        <v>10</v>
      </c>
    </row>
    <row r="39" spans="1:15" ht="25.5" x14ac:dyDescent="0.25">
      <c r="A39" s="17" t="s">
        <v>5</v>
      </c>
      <c r="B39" s="18">
        <v>2.78</v>
      </c>
      <c r="C39" s="19" t="s">
        <v>69</v>
      </c>
      <c r="D39" s="3">
        <v>18</v>
      </c>
    </row>
    <row r="40" spans="1:15" x14ac:dyDescent="0.25">
      <c r="A40" s="222" t="s">
        <v>73</v>
      </c>
      <c r="B40" s="222"/>
      <c r="C40" s="222"/>
    </row>
    <row r="41" spans="1:15" ht="15" customHeight="1" x14ac:dyDescent="0.25">
      <c r="A41" s="222"/>
      <c r="B41" s="222"/>
      <c r="C41" s="222"/>
    </row>
    <row r="43" spans="1:15" x14ac:dyDescent="0.25">
      <c r="A43" s="40">
        <v>43745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</row>
    <row r="44" spans="1:15" x14ac:dyDescent="0.25">
      <c r="A44" s="218" t="s">
        <v>190</v>
      </c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</row>
    <row r="45" spans="1:15" x14ac:dyDescent="0.25">
      <c r="A45" s="42"/>
      <c r="B45" s="42">
        <v>1</v>
      </c>
      <c r="C45" s="42">
        <v>2</v>
      </c>
      <c r="D45" s="42">
        <v>3</v>
      </c>
      <c r="E45" s="42">
        <v>4</v>
      </c>
      <c r="F45" s="42">
        <v>5</v>
      </c>
      <c r="G45" s="42">
        <v>6</v>
      </c>
      <c r="H45" s="42">
        <v>7</v>
      </c>
      <c r="I45" s="42">
        <v>8</v>
      </c>
      <c r="J45" s="42">
        <v>9</v>
      </c>
      <c r="K45" s="42">
        <v>10</v>
      </c>
      <c r="L45" s="42">
        <v>11</v>
      </c>
      <c r="M45" s="42">
        <v>12</v>
      </c>
      <c r="N45" s="7"/>
    </row>
    <row r="46" spans="1:15" ht="23.25" customHeight="1" x14ac:dyDescent="0.25">
      <c r="A46" s="42" t="s">
        <v>25</v>
      </c>
      <c r="B46" s="43" t="s">
        <v>100</v>
      </c>
      <c r="C46" s="44" t="s">
        <v>101</v>
      </c>
      <c r="D46" s="45" t="s">
        <v>193</v>
      </c>
      <c r="E46" s="46" t="s">
        <v>194</v>
      </c>
      <c r="F46" s="47" t="s">
        <v>118</v>
      </c>
      <c r="G46" s="48" t="s">
        <v>119</v>
      </c>
      <c r="H46" s="42"/>
      <c r="I46" s="42" t="s">
        <v>33</v>
      </c>
      <c r="J46" s="42" t="s">
        <v>40</v>
      </c>
      <c r="K46" s="42" t="s">
        <v>58</v>
      </c>
      <c r="L46" s="42" t="s">
        <v>44</v>
      </c>
      <c r="M46" s="42" t="s">
        <v>50</v>
      </c>
      <c r="O46" s="7" t="s">
        <v>201</v>
      </c>
    </row>
    <row r="47" spans="1:15" ht="23.25" customHeight="1" x14ac:dyDescent="0.25">
      <c r="A47" s="42" t="s">
        <v>26</v>
      </c>
      <c r="B47" s="42" t="s">
        <v>103</v>
      </c>
      <c r="C47" s="44" t="s">
        <v>110</v>
      </c>
      <c r="D47" s="44" t="s">
        <v>110</v>
      </c>
      <c r="E47" s="49" t="s">
        <v>110</v>
      </c>
      <c r="F47" s="49" t="s">
        <v>110</v>
      </c>
      <c r="G47" s="42"/>
      <c r="H47" s="42"/>
      <c r="I47" s="42" t="s">
        <v>34</v>
      </c>
      <c r="J47" s="42" t="s">
        <v>41</v>
      </c>
      <c r="K47" s="42" t="s">
        <v>59</v>
      </c>
      <c r="L47" s="42" t="s">
        <v>45</v>
      </c>
      <c r="M47" s="42" t="s">
        <v>51</v>
      </c>
    </row>
    <row r="48" spans="1:15" ht="23.25" customHeight="1" x14ac:dyDescent="0.25">
      <c r="A48" s="42" t="s">
        <v>27</v>
      </c>
      <c r="B48" s="42" t="s">
        <v>104</v>
      </c>
      <c r="C48" s="44" t="s">
        <v>111</v>
      </c>
      <c r="D48" s="44" t="s">
        <v>111</v>
      </c>
      <c r="E48" s="49" t="s">
        <v>111</v>
      </c>
      <c r="F48" s="49" t="s">
        <v>111</v>
      </c>
      <c r="G48" s="42"/>
      <c r="H48" s="42"/>
      <c r="I48" s="42" t="s">
        <v>35</v>
      </c>
      <c r="J48" s="42" t="s">
        <v>42</v>
      </c>
      <c r="K48" s="42" t="s">
        <v>60</v>
      </c>
      <c r="L48" s="42" t="s">
        <v>46</v>
      </c>
      <c r="M48" s="42" t="s">
        <v>52</v>
      </c>
    </row>
    <row r="49" spans="1:25" ht="23.25" customHeight="1" x14ac:dyDescent="0.25">
      <c r="A49" s="42" t="s">
        <v>28</v>
      </c>
      <c r="B49" s="42" t="s">
        <v>109</v>
      </c>
      <c r="C49" s="44" t="s">
        <v>115</v>
      </c>
      <c r="D49" s="44" t="s">
        <v>115</v>
      </c>
      <c r="E49" s="49" t="s">
        <v>115</v>
      </c>
      <c r="F49" s="49" t="s">
        <v>115</v>
      </c>
      <c r="G49" s="42"/>
      <c r="H49" s="42"/>
      <c r="I49" s="42" t="s">
        <v>36</v>
      </c>
      <c r="J49" s="42" t="s">
        <v>43</v>
      </c>
      <c r="K49" s="42" t="s">
        <v>61</v>
      </c>
      <c r="L49" s="42" t="s">
        <v>47</v>
      </c>
      <c r="M49" s="42" t="s">
        <v>53</v>
      </c>
    </row>
    <row r="50" spans="1:25" ht="23.25" customHeight="1" x14ac:dyDescent="0.25">
      <c r="A50" s="42" t="s">
        <v>29</v>
      </c>
      <c r="B50" s="42" t="s">
        <v>105</v>
      </c>
      <c r="C50" s="43" t="s">
        <v>112</v>
      </c>
      <c r="D50" s="43" t="s">
        <v>112</v>
      </c>
      <c r="E50" s="46" t="s">
        <v>195</v>
      </c>
      <c r="F50" s="46" t="s">
        <v>195</v>
      </c>
      <c r="G50" s="47" t="s">
        <v>112</v>
      </c>
      <c r="H50" s="47" t="s">
        <v>112</v>
      </c>
      <c r="I50" s="48" t="s">
        <v>112</v>
      </c>
      <c r="J50" s="48" t="s">
        <v>112</v>
      </c>
      <c r="K50" s="42"/>
      <c r="L50" s="42"/>
      <c r="M50" s="42"/>
      <c r="O50" s="7" t="s">
        <v>199</v>
      </c>
    </row>
    <row r="51" spans="1:25" ht="23.25" customHeight="1" x14ac:dyDescent="0.25">
      <c r="A51" s="42" t="s">
        <v>30</v>
      </c>
      <c r="B51" s="42" t="s">
        <v>108</v>
      </c>
      <c r="C51" s="43" t="s">
        <v>114</v>
      </c>
      <c r="D51" s="43" t="s">
        <v>114</v>
      </c>
      <c r="E51" s="46" t="s">
        <v>196</v>
      </c>
      <c r="F51" s="46" t="s">
        <v>196</v>
      </c>
      <c r="G51" s="47" t="s">
        <v>114</v>
      </c>
      <c r="H51" s="47" t="s">
        <v>114</v>
      </c>
      <c r="I51" s="48" t="s">
        <v>114</v>
      </c>
      <c r="J51" s="48" t="s">
        <v>114</v>
      </c>
      <c r="K51" s="42"/>
      <c r="L51" s="42"/>
      <c r="M51" s="42"/>
    </row>
    <row r="52" spans="1:25" ht="23.25" customHeight="1" x14ac:dyDescent="0.25">
      <c r="A52" s="42" t="s">
        <v>31</v>
      </c>
      <c r="B52" s="42" t="s">
        <v>106</v>
      </c>
      <c r="C52" s="43" t="s">
        <v>116</v>
      </c>
      <c r="D52" s="43" t="s">
        <v>116</v>
      </c>
      <c r="E52" s="46" t="s">
        <v>197</v>
      </c>
      <c r="F52" s="46" t="s">
        <v>197</v>
      </c>
      <c r="G52" s="47" t="s">
        <v>116</v>
      </c>
      <c r="H52" s="47" t="s">
        <v>116</v>
      </c>
      <c r="I52" s="48" t="s">
        <v>116</v>
      </c>
      <c r="J52" s="48" t="s">
        <v>116</v>
      </c>
      <c r="K52" s="42"/>
      <c r="L52" s="42"/>
      <c r="M52" s="42"/>
    </row>
    <row r="53" spans="1:25" ht="23.25" customHeight="1" x14ac:dyDescent="0.25">
      <c r="A53" s="42" t="s">
        <v>32</v>
      </c>
      <c r="B53" s="42" t="s">
        <v>107</v>
      </c>
      <c r="C53" s="43" t="s">
        <v>113</v>
      </c>
      <c r="D53" s="43" t="s">
        <v>113</v>
      </c>
      <c r="E53" s="46" t="s">
        <v>198</v>
      </c>
      <c r="F53" s="46" t="s">
        <v>198</v>
      </c>
      <c r="G53" s="47" t="s">
        <v>113</v>
      </c>
      <c r="H53" s="47" t="s">
        <v>113</v>
      </c>
      <c r="I53" s="48" t="s">
        <v>113</v>
      </c>
      <c r="J53" s="48" t="s">
        <v>113</v>
      </c>
      <c r="K53" s="42"/>
      <c r="L53" s="42"/>
      <c r="M53" s="42"/>
    </row>
    <row r="54" spans="1:25" ht="21" customHeight="1" x14ac:dyDescent="0.25">
      <c r="A54" s="50" t="s">
        <v>98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</row>
    <row r="55" spans="1:25" ht="21" customHeight="1" x14ac:dyDescent="0.25"/>
    <row r="56" spans="1:25" ht="12.75" customHeight="1" x14ac:dyDescent="0.25">
      <c r="B56" s="41"/>
      <c r="C56" s="218" t="s">
        <v>121</v>
      </c>
      <c r="D56" s="218" t="s">
        <v>144</v>
      </c>
      <c r="E56" s="218" t="s">
        <v>130</v>
      </c>
      <c r="F56" s="218"/>
      <c r="G56" s="218"/>
      <c r="H56" s="218"/>
      <c r="I56" s="218"/>
      <c r="J56" s="218"/>
      <c r="K56" s="218" t="s">
        <v>142</v>
      </c>
      <c r="L56" s="218"/>
      <c r="M56" s="218"/>
      <c r="N56" s="218"/>
      <c r="O56" s="218"/>
      <c r="P56" s="218"/>
      <c r="Q56" s="218" t="s">
        <v>143</v>
      </c>
      <c r="R56" s="218"/>
      <c r="S56" s="218"/>
      <c r="T56" s="218"/>
    </row>
    <row r="57" spans="1:25" ht="12.75" customHeight="1" x14ac:dyDescent="0.25">
      <c r="B57" s="41"/>
      <c r="C57" s="218"/>
      <c r="D57" s="218"/>
      <c r="E57" s="51" t="s">
        <v>132</v>
      </c>
      <c r="F57" s="52" t="s">
        <v>131</v>
      </c>
      <c r="G57" s="49" t="s">
        <v>133</v>
      </c>
      <c r="H57" s="53" t="s">
        <v>134</v>
      </c>
      <c r="I57" s="47" t="s">
        <v>135</v>
      </c>
      <c r="J57" s="48" t="s">
        <v>136</v>
      </c>
      <c r="K57" s="43" t="s">
        <v>100</v>
      </c>
      <c r="L57" s="44" t="s">
        <v>101</v>
      </c>
      <c r="M57" s="49" t="s">
        <v>102</v>
      </c>
      <c r="N57" s="53" t="s">
        <v>117</v>
      </c>
      <c r="O57" s="47" t="s">
        <v>118</v>
      </c>
      <c r="P57" s="48" t="s">
        <v>119</v>
      </c>
      <c r="Q57" s="42" t="s">
        <v>126</v>
      </c>
      <c r="R57" s="42" t="s">
        <v>127</v>
      </c>
      <c r="S57" s="42" t="s">
        <v>128</v>
      </c>
      <c r="T57" s="42" t="s">
        <v>129</v>
      </c>
    </row>
    <row r="58" spans="1:25" ht="12.75" customHeight="1" x14ac:dyDescent="0.25">
      <c r="A58" s="30"/>
      <c r="B58" s="31" t="s">
        <v>71</v>
      </c>
      <c r="C58" s="54"/>
      <c r="D58" s="54">
        <f>100-SUM(D59:D76)</f>
        <v>30</v>
      </c>
      <c r="E58" s="54">
        <f t="shared" ref="E58:T58" si="0">100-SUM(E59:E76)</f>
        <v>18</v>
      </c>
      <c r="F58" s="54">
        <f t="shared" si="0"/>
        <v>22.599999999999994</v>
      </c>
      <c r="G58" s="54">
        <f t="shared" si="0"/>
        <v>18</v>
      </c>
      <c r="H58" s="54">
        <f t="shared" si="0"/>
        <v>5.7999999999999972</v>
      </c>
      <c r="I58" s="54">
        <f t="shared" si="0"/>
        <v>16.900000000000006</v>
      </c>
      <c r="J58" s="54">
        <f t="shared" si="0"/>
        <v>17.400000000000006</v>
      </c>
      <c r="K58" s="54">
        <f t="shared" si="0"/>
        <v>28</v>
      </c>
      <c r="L58" s="54">
        <f t="shared" si="0"/>
        <v>32.599999999999994</v>
      </c>
      <c r="M58" s="54">
        <f t="shared" si="0"/>
        <v>28</v>
      </c>
      <c r="N58" s="54">
        <f t="shared" si="0"/>
        <v>15.799999999999997</v>
      </c>
      <c r="O58" s="54">
        <f t="shared" si="0"/>
        <v>26.900000000000006</v>
      </c>
      <c r="P58" s="54">
        <f t="shared" si="0"/>
        <v>27.400000000000006</v>
      </c>
      <c r="Q58" s="54">
        <f t="shared" si="0"/>
        <v>70</v>
      </c>
      <c r="R58" s="54">
        <f t="shared" si="0"/>
        <v>70</v>
      </c>
      <c r="S58" s="54">
        <f t="shared" si="0"/>
        <v>70</v>
      </c>
      <c r="T58" s="54">
        <f t="shared" si="0"/>
        <v>70</v>
      </c>
    </row>
    <row r="59" spans="1:25" ht="12.75" customHeight="1" x14ac:dyDescent="0.25">
      <c r="B59" s="27" t="s">
        <v>85</v>
      </c>
      <c r="C59" s="42">
        <v>10000</v>
      </c>
      <c r="D59" s="42">
        <v>10</v>
      </c>
      <c r="E59" s="42">
        <v>10</v>
      </c>
      <c r="F59" s="42">
        <v>10</v>
      </c>
      <c r="G59" s="42">
        <v>10</v>
      </c>
      <c r="H59" s="42">
        <v>10</v>
      </c>
      <c r="I59" s="42">
        <v>10</v>
      </c>
      <c r="J59" s="42">
        <v>10</v>
      </c>
      <c r="K59" s="42">
        <v>10</v>
      </c>
      <c r="L59" s="42">
        <v>10</v>
      </c>
      <c r="M59" s="42">
        <v>10</v>
      </c>
      <c r="N59" s="42">
        <v>10</v>
      </c>
      <c r="O59" s="42">
        <v>10</v>
      </c>
      <c r="P59" s="42">
        <v>10</v>
      </c>
      <c r="Q59" s="42">
        <v>10</v>
      </c>
      <c r="R59" s="42">
        <v>10</v>
      </c>
      <c r="S59" s="42">
        <v>10</v>
      </c>
      <c r="T59" s="42">
        <v>10</v>
      </c>
    </row>
    <row r="60" spans="1:25" s="30" customFormat="1" ht="12.75" customHeight="1" x14ac:dyDescent="0.25">
      <c r="A60" s="1"/>
      <c r="B60" s="27" t="s">
        <v>65</v>
      </c>
      <c r="C60" s="42">
        <v>50</v>
      </c>
      <c r="D60" s="42">
        <v>10</v>
      </c>
      <c r="E60" s="42">
        <v>10</v>
      </c>
      <c r="F60" s="42">
        <v>10</v>
      </c>
      <c r="G60" s="42">
        <v>10</v>
      </c>
      <c r="H60" s="42">
        <v>10</v>
      </c>
      <c r="I60" s="42">
        <v>10</v>
      </c>
      <c r="J60" s="42">
        <v>10</v>
      </c>
      <c r="K60" s="42">
        <v>10</v>
      </c>
      <c r="L60" s="42">
        <v>10</v>
      </c>
      <c r="M60" s="42">
        <v>10</v>
      </c>
      <c r="N60" s="42">
        <v>10</v>
      </c>
      <c r="O60" s="42">
        <v>10</v>
      </c>
      <c r="P60" s="42">
        <v>10</v>
      </c>
      <c r="Q60" s="59"/>
      <c r="R60" s="59"/>
      <c r="S60" s="59"/>
      <c r="T60" s="59"/>
    </row>
    <row r="61" spans="1:25" ht="12.75" customHeight="1" x14ac:dyDescent="0.25">
      <c r="B61" s="27" t="s">
        <v>66</v>
      </c>
      <c r="C61" s="42">
        <v>120</v>
      </c>
      <c r="D61" s="42">
        <v>20</v>
      </c>
      <c r="E61" s="42">
        <v>20</v>
      </c>
      <c r="F61" s="42">
        <v>20</v>
      </c>
      <c r="G61" s="42">
        <v>20</v>
      </c>
      <c r="H61" s="42">
        <v>20</v>
      </c>
      <c r="I61" s="42">
        <v>20</v>
      </c>
      <c r="J61" s="42">
        <v>20</v>
      </c>
      <c r="K61" s="42">
        <v>20</v>
      </c>
      <c r="L61" s="42">
        <v>20</v>
      </c>
      <c r="M61" s="42">
        <v>20</v>
      </c>
      <c r="N61" s="42">
        <v>20</v>
      </c>
      <c r="O61" s="42">
        <v>20</v>
      </c>
      <c r="P61" s="42">
        <v>20</v>
      </c>
      <c r="Q61" s="59"/>
      <c r="R61" s="59"/>
      <c r="S61" s="59"/>
      <c r="T61" s="59"/>
      <c r="V61" s="1">
        <f>120/5</f>
        <v>24</v>
      </c>
      <c r="Y61" s="30"/>
    </row>
    <row r="62" spans="1:25" ht="12.75" customHeight="1" x14ac:dyDescent="0.25">
      <c r="B62" s="28" t="s">
        <v>120</v>
      </c>
      <c r="C62" s="42" t="s">
        <v>122</v>
      </c>
      <c r="D62" s="42">
        <v>10</v>
      </c>
      <c r="E62" s="42">
        <v>10</v>
      </c>
      <c r="F62" s="42">
        <v>10</v>
      </c>
      <c r="G62" s="42">
        <v>10</v>
      </c>
      <c r="H62" s="42">
        <v>10</v>
      </c>
      <c r="I62" s="42">
        <v>10</v>
      </c>
      <c r="J62" s="42">
        <v>10</v>
      </c>
      <c r="K62" s="59"/>
      <c r="L62" s="59"/>
      <c r="M62" s="59"/>
      <c r="N62" s="59"/>
      <c r="O62" s="59"/>
      <c r="P62" s="59"/>
      <c r="Q62" s="59"/>
      <c r="R62" s="59"/>
      <c r="S62" s="59"/>
      <c r="T62" s="59"/>
      <c r="Y62" s="30"/>
    </row>
    <row r="63" spans="1:25" ht="12.75" customHeight="1" x14ac:dyDescent="0.25">
      <c r="B63" s="28" t="s">
        <v>80</v>
      </c>
      <c r="C63" s="42">
        <v>2</v>
      </c>
      <c r="D63" s="42">
        <v>5</v>
      </c>
      <c r="E63" s="42">
        <v>10</v>
      </c>
      <c r="F63" s="42">
        <v>10</v>
      </c>
      <c r="G63" s="42">
        <v>10</v>
      </c>
      <c r="H63" s="42"/>
      <c r="I63" s="42"/>
      <c r="J63" s="42"/>
      <c r="K63" s="42">
        <v>10</v>
      </c>
      <c r="L63" s="42">
        <v>10</v>
      </c>
      <c r="M63" s="42">
        <v>10</v>
      </c>
      <c r="N63" s="42"/>
      <c r="O63" s="42"/>
      <c r="P63" s="42"/>
      <c r="Q63" s="59"/>
      <c r="R63" s="59"/>
      <c r="S63" s="59"/>
      <c r="T63" s="59"/>
      <c r="Y63" s="30"/>
    </row>
    <row r="64" spans="1:25" ht="12.75" customHeight="1" x14ac:dyDescent="0.25">
      <c r="B64" s="29" t="s">
        <v>98</v>
      </c>
      <c r="C64" s="42">
        <v>2</v>
      </c>
      <c r="D64" s="42">
        <v>5</v>
      </c>
      <c r="E64" s="42"/>
      <c r="F64" s="42"/>
      <c r="G64" s="42"/>
      <c r="H64" s="42">
        <v>10</v>
      </c>
      <c r="I64" s="42">
        <v>10</v>
      </c>
      <c r="J64" s="42">
        <v>10</v>
      </c>
      <c r="K64" s="42"/>
      <c r="L64" s="42"/>
      <c r="M64" s="42"/>
      <c r="N64" s="42">
        <v>10</v>
      </c>
      <c r="O64" s="42">
        <v>10</v>
      </c>
      <c r="P64" s="42">
        <v>10</v>
      </c>
      <c r="Q64" s="59"/>
      <c r="R64" s="59"/>
      <c r="S64" s="59"/>
      <c r="T64" s="59"/>
      <c r="Y64" s="30"/>
    </row>
    <row r="65" spans="1:25" ht="12.75" customHeight="1" x14ac:dyDescent="0.25">
      <c r="B65" s="28" t="s">
        <v>67</v>
      </c>
      <c r="C65" s="42">
        <v>3</v>
      </c>
      <c r="D65" s="42">
        <v>10</v>
      </c>
      <c r="E65" s="42">
        <v>10</v>
      </c>
      <c r="F65" s="42">
        <v>10</v>
      </c>
      <c r="G65" s="42">
        <v>10</v>
      </c>
      <c r="H65" s="42">
        <v>10</v>
      </c>
      <c r="I65" s="42">
        <v>10</v>
      </c>
      <c r="J65" s="42">
        <v>10</v>
      </c>
      <c r="K65" s="42">
        <v>10</v>
      </c>
      <c r="L65" s="42">
        <v>10</v>
      </c>
      <c r="M65" s="42">
        <v>10</v>
      </c>
      <c r="N65" s="42">
        <v>10</v>
      </c>
      <c r="O65" s="42">
        <v>10</v>
      </c>
      <c r="P65" s="42">
        <v>10</v>
      </c>
      <c r="Q65" s="59"/>
      <c r="R65" s="59"/>
      <c r="S65" s="59"/>
      <c r="T65" s="59"/>
      <c r="Y65" s="30"/>
    </row>
    <row r="66" spans="1:25" ht="12.75" customHeight="1" x14ac:dyDescent="0.25">
      <c r="B66" s="27" t="s">
        <v>137</v>
      </c>
      <c r="C66" s="42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42">
        <v>10</v>
      </c>
      <c r="R66" s="42">
        <v>10</v>
      </c>
      <c r="S66" s="42">
        <v>10</v>
      </c>
      <c r="T66" s="42">
        <v>10</v>
      </c>
      <c r="Y66" s="30"/>
    </row>
    <row r="67" spans="1:25" ht="12.75" customHeight="1" x14ac:dyDescent="0.25">
      <c r="A67" s="217" t="s">
        <v>124</v>
      </c>
      <c r="B67" s="29" t="s">
        <v>21</v>
      </c>
      <c r="C67" s="42">
        <v>4.17</v>
      </c>
      <c r="D67" s="59"/>
      <c r="E67" s="43">
        <v>12</v>
      </c>
      <c r="F67" s="42"/>
      <c r="G67" s="42"/>
      <c r="H67" s="42"/>
      <c r="I67" s="42"/>
      <c r="J67" s="42"/>
      <c r="K67" s="43">
        <v>12</v>
      </c>
      <c r="L67" s="42"/>
      <c r="M67" s="42"/>
      <c r="N67" s="42"/>
      <c r="O67" s="42"/>
      <c r="P67" s="42"/>
      <c r="Q67" s="59"/>
      <c r="R67" s="59"/>
      <c r="S67" s="59"/>
      <c r="T67" s="59"/>
      <c r="Y67" s="30"/>
    </row>
    <row r="68" spans="1:25" ht="12.75" customHeight="1" x14ac:dyDescent="0.25">
      <c r="A68" s="217"/>
      <c r="B68" s="29" t="s">
        <v>4</v>
      </c>
      <c r="C68" s="42">
        <v>6.76</v>
      </c>
      <c r="D68" s="59"/>
      <c r="E68" s="42"/>
      <c r="F68" s="44">
        <v>7.4</v>
      </c>
      <c r="G68" s="42"/>
      <c r="H68" s="42"/>
      <c r="I68" s="42"/>
      <c r="J68" s="42"/>
      <c r="K68" s="42"/>
      <c r="L68" s="44">
        <v>7.4</v>
      </c>
      <c r="M68" s="42"/>
      <c r="N68" s="42"/>
      <c r="O68" s="42"/>
      <c r="P68" s="42"/>
      <c r="Q68" s="59"/>
      <c r="R68" s="59"/>
      <c r="S68" s="59"/>
      <c r="T68" s="59"/>
      <c r="Y68" s="30"/>
    </row>
    <row r="69" spans="1:25" ht="12.75" customHeight="1" x14ac:dyDescent="0.25">
      <c r="A69" s="1" t="s">
        <v>125</v>
      </c>
      <c r="B69" s="29" t="s">
        <v>6</v>
      </c>
      <c r="C69" s="42">
        <v>4.17</v>
      </c>
      <c r="D69" s="59"/>
      <c r="E69" s="42"/>
      <c r="F69" s="42"/>
      <c r="G69" s="49">
        <v>12</v>
      </c>
      <c r="H69" s="42"/>
      <c r="I69" s="42"/>
      <c r="J69" s="42"/>
      <c r="K69" s="42"/>
      <c r="L69" s="42"/>
      <c r="M69" s="49">
        <v>12</v>
      </c>
      <c r="N69" s="42"/>
      <c r="O69" s="42"/>
      <c r="P69" s="42"/>
      <c r="Q69" s="59"/>
      <c r="R69" s="59"/>
      <c r="S69" s="59"/>
      <c r="T69" s="59"/>
      <c r="Y69" s="30"/>
    </row>
    <row r="70" spans="1:25" ht="12.75" customHeight="1" x14ac:dyDescent="0.25">
      <c r="B70" s="29" t="s">
        <v>123</v>
      </c>
      <c r="C70" s="42">
        <v>2.0699999999999998</v>
      </c>
      <c r="D70" s="59"/>
      <c r="E70" s="42"/>
      <c r="F70" s="42"/>
      <c r="G70" s="42"/>
      <c r="H70" s="55">
        <v>24.2</v>
      </c>
      <c r="I70" s="42"/>
      <c r="J70" s="42"/>
      <c r="K70" s="42"/>
      <c r="L70" s="42"/>
      <c r="M70" s="42"/>
      <c r="N70" s="55">
        <v>24.2</v>
      </c>
      <c r="O70" s="42"/>
      <c r="P70" s="42"/>
      <c r="Q70" s="59"/>
      <c r="R70" s="59"/>
      <c r="S70" s="59"/>
      <c r="T70" s="59"/>
      <c r="Y70" s="30"/>
    </row>
    <row r="71" spans="1:25" ht="12.75" customHeight="1" x14ac:dyDescent="0.25">
      <c r="B71" s="29" t="s">
        <v>23</v>
      </c>
      <c r="C71" s="42">
        <v>3.83</v>
      </c>
      <c r="D71" s="59"/>
      <c r="E71" s="42"/>
      <c r="F71" s="42"/>
      <c r="G71" s="42"/>
      <c r="H71" s="42"/>
      <c r="I71" s="56">
        <v>13.1</v>
      </c>
      <c r="J71" s="42"/>
      <c r="K71" s="42"/>
      <c r="L71" s="42"/>
      <c r="M71" s="42"/>
      <c r="N71" s="42"/>
      <c r="O71" s="56">
        <v>13.1</v>
      </c>
      <c r="P71" s="42"/>
      <c r="Q71" s="59"/>
      <c r="R71" s="59"/>
      <c r="S71" s="59"/>
      <c r="T71" s="59"/>
      <c r="Y71" s="30"/>
    </row>
    <row r="72" spans="1:25" ht="12.75" customHeight="1" x14ac:dyDescent="0.25">
      <c r="B72" s="29" t="s">
        <v>24</v>
      </c>
      <c r="C72" s="42">
        <v>3.98</v>
      </c>
      <c r="D72" s="59"/>
      <c r="E72" s="42"/>
      <c r="F72" s="42"/>
      <c r="G72" s="42"/>
      <c r="H72" s="42"/>
      <c r="I72" s="42"/>
      <c r="J72" s="57">
        <v>12.6</v>
      </c>
      <c r="K72" s="42"/>
      <c r="L72" s="42"/>
      <c r="M72" s="42"/>
      <c r="N72" s="42"/>
      <c r="O72" s="42"/>
      <c r="P72" s="57">
        <v>12.6</v>
      </c>
      <c r="Q72" s="59"/>
      <c r="R72" s="59"/>
      <c r="S72" s="59"/>
      <c r="T72" s="59"/>
      <c r="Y72" s="30"/>
    </row>
    <row r="73" spans="1:25" ht="12.75" customHeight="1" x14ac:dyDescent="0.25">
      <c r="B73" s="29" t="s">
        <v>138</v>
      </c>
      <c r="C73" s="58" t="s">
        <v>71</v>
      </c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8">
        <v>10</v>
      </c>
      <c r="R73" s="42"/>
      <c r="S73" s="42"/>
      <c r="T73" s="42"/>
      <c r="Y73" s="30"/>
    </row>
    <row r="74" spans="1:25" ht="12.75" customHeight="1" x14ac:dyDescent="0.25">
      <c r="B74" s="29" t="s">
        <v>139</v>
      </c>
      <c r="C74" s="42">
        <v>10</v>
      </c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42"/>
      <c r="R74" s="42">
        <v>10</v>
      </c>
      <c r="S74" s="42"/>
      <c r="T74" s="42"/>
      <c r="Y74" s="30"/>
    </row>
    <row r="75" spans="1:25" ht="12.75" customHeight="1" x14ac:dyDescent="0.25">
      <c r="B75" s="29" t="s">
        <v>140</v>
      </c>
      <c r="C75" s="42">
        <v>50</v>
      </c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42"/>
      <c r="R75" s="42"/>
      <c r="S75" s="42">
        <v>10</v>
      </c>
      <c r="T75" s="42"/>
      <c r="Y75" s="30"/>
    </row>
    <row r="76" spans="1:25" ht="12.75" customHeight="1" x14ac:dyDescent="0.25">
      <c r="B76" s="29" t="s">
        <v>141</v>
      </c>
      <c r="C76" s="42">
        <v>100</v>
      </c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42"/>
      <c r="R76" s="42"/>
      <c r="S76" s="42"/>
      <c r="T76" s="42">
        <v>10</v>
      </c>
      <c r="Y76" s="30"/>
    </row>
    <row r="77" spans="1:25" x14ac:dyDescent="0.25">
      <c r="Y77" s="30"/>
    </row>
    <row r="78" spans="1:25" x14ac:dyDescent="0.25">
      <c r="A78" s="7" t="s">
        <v>202</v>
      </c>
      <c r="Y78" s="30"/>
    </row>
  </sheetData>
  <mergeCells count="48">
    <mergeCell ref="Q56:T56"/>
    <mergeCell ref="D56:D57"/>
    <mergeCell ref="C56:C57"/>
    <mergeCell ref="I4:I5"/>
    <mergeCell ref="H4:H5"/>
    <mergeCell ref="G4:G5"/>
    <mergeCell ref="F4:F5"/>
    <mergeCell ref="E56:J56"/>
    <mergeCell ref="I6:I7"/>
    <mergeCell ref="H6:H7"/>
    <mergeCell ref="G6:G7"/>
    <mergeCell ref="F6:F7"/>
    <mergeCell ref="E6:E7"/>
    <mergeCell ref="D10:D11"/>
    <mergeCell ref="E4:E5"/>
    <mergeCell ref="D4:D5"/>
    <mergeCell ref="C4:C5"/>
    <mergeCell ref="B4:B5"/>
    <mergeCell ref="D6:D7"/>
    <mergeCell ref="I10:I11"/>
    <mergeCell ref="H10:H11"/>
    <mergeCell ref="G10:G11"/>
    <mergeCell ref="F10:F11"/>
    <mergeCell ref="E10:E11"/>
    <mergeCell ref="C1:I1"/>
    <mergeCell ref="A15:M15"/>
    <mergeCell ref="G36:G38"/>
    <mergeCell ref="J33:M33"/>
    <mergeCell ref="J32:M32"/>
    <mergeCell ref="J31:M31"/>
    <mergeCell ref="G33:I33"/>
    <mergeCell ref="J29:M29"/>
    <mergeCell ref="G28:N28"/>
    <mergeCell ref="A28:E29"/>
    <mergeCell ref="I29:I30"/>
    <mergeCell ref="H29:H30"/>
    <mergeCell ref="C10:C11"/>
    <mergeCell ref="C6:C7"/>
    <mergeCell ref="B10:B11"/>
    <mergeCell ref="B6:B7"/>
    <mergeCell ref="A67:A68"/>
    <mergeCell ref="A44:M44"/>
    <mergeCell ref="G29:G30"/>
    <mergeCell ref="A25:M25"/>
    <mergeCell ref="A40:C41"/>
    <mergeCell ref="A35:D35"/>
    <mergeCell ref="G34:M34"/>
    <mergeCell ref="K56:P5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6"/>
  <sheetViews>
    <sheetView workbookViewId="0">
      <selection activeCell="F76" sqref="F76"/>
    </sheetView>
  </sheetViews>
  <sheetFormatPr defaultColWidth="11.42578125" defaultRowHeight="12.75" x14ac:dyDescent="0.25"/>
  <cols>
    <col min="1" max="1" width="4" style="32" bestFit="1" customWidth="1"/>
    <col min="2" max="2" width="12.85546875" style="32" bestFit="1" customWidth="1"/>
    <col min="3" max="3" width="7" style="32" bestFit="1" customWidth="1"/>
    <col min="4" max="4" width="8.42578125" style="32" bestFit="1" customWidth="1"/>
    <col min="5" max="5" width="5.42578125" style="32" bestFit="1" customWidth="1"/>
    <col min="6" max="6" width="8.42578125" style="32" bestFit="1" customWidth="1"/>
    <col min="7" max="7" width="7.7109375" style="32" customWidth="1"/>
    <col min="8" max="8" width="8.42578125" style="32" bestFit="1" customWidth="1"/>
    <col min="9" max="9" width="5.42578125" style="32" bestFit="1" customWidth="1"/>
    <col min="10" max="10" width="8.42578125" style="32" bestFit="1" customWidth="1"/>
    <col min="11" max="11" width="5.42578125" style="32" bestFit="1" customWidth="1"/>
    <col min="12" max="12" width="8.42578125" style="32" bestFit="1" customWidth="1"/>
    <col min="13" max="13" width="5" style="32" bestFit="1" customWidth="1"/>
    <col min="14" max="14" width="8.42578125" style="32" bestFit="1" customWidth="1"/>
    <col min="15" max="15" width="5" style="32" bestFit="1" customWidth="1"/>
    <col min="16" max="16" width="8.42578125" style="32" bestFit="1" customWidth="1"/>
    <col min="17" max="17" width="4.42578125" style="32" bestFit="1" customWidth="1"/>
    <col min="18" max="18" width="8.42578125" style="32" bestFit="1" customWidth="1"/>
    <col min="19" max="19" width="4.42578125" style="32" bestFit="1" customWidth="1"/>
    <col min="20" max="16384" width="11.42578125" style="32"/>
  </cols>
  <sheetData>
    <row r="1" spans="1:18" ht="24.75" customHeight="1" x14ac:dyDescent="0.25">
      <c r="A1" s="240" t="s">
        <v>191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</row>
    <row r="2" spans="1:18" x14ac:dyDescent="0.25">
      <c r="F2" s="239" t="s">
        <v>290</v>
      </c>
      <c r="G2" s="239"/>
      <c r="H2" s="239" t="s">
        <v>291</v>
      </c>
      <c r="I2" s="239"/>
    </row>
    <row r="3" spans="1:18" x14ac:dyDescent="0.25">
      <c r="C3" s="32" t="s">
        <v>174</v>
      </c>
      <c r="D3" s="32" t="s">
        <v>178</v>
      </c>
      <c r="E3" s="32" t="s">
        <v>174</v>
      </c>
      <c r="F3" s="32" t="s">
        <v>183</v>
      </c>
      <c r="G3" s="32" t="s">
        <v>184</v>
      </c>
      <c r="H3" s="32" t="s">
        <v>185</v>
      </c>
      <c r="I3" s="32" t="s">
        <v>186</v>
      </c>
    </row>
    <row r="4" spans="1:18" x14ac:dyDescent="0.25">
      <c r="B4" s="33" t="s">
        <v>33</v>
      </c>
      <c r="C4" s="33">
        <v>0</v>
      </c>
      <c r="D4" s="33">
        <v>0</v>
      </c>
      <c r="E4" s="32">
        <v>0</v>
      </c>
    </row>
    <row r="5" spans="1:18" x14ac:dyDescent="0.25">
      <c r="B5" s="33" t="s">
        <v>34</v>
      </c>
      <c r="C5" s="33">
        <v>1.087</v>
      </c>
      <c r="D5" s="33">
        <v>0.66200000000000003</v>
      </c>
      <c r="E5" s="34">
        <f>(D5-0.065)/0.5331</f>
        <v>1.1198649409116488</v>
      </c>
    </row>
    <row r="6" spans="1:18" x14ac:dyDescent="0.25">
      <c r="B6" s="33" t="s">
        <v>35</v>
      </c>
      <c r="C6" s="33">
        <v>5.4349999999999996</v>
      </c>
      <c r="D6" s="33">
        <v>3.0609999999999999</v>
      </c>
      <c r="E6" s="34">
        <f t="shared" ref="E6:E11" si="0">(D6-0.065)/0.5331</f>
        <v>5.6199587319452258</v>
      </c>
    </row>
    <row r="7" spans="1:18" x14ac:dyDescent="0.25">
      <c r="B7" s="33" t="s">
        <v>36</v>
      </c>
      <c r="C7" s="33">
        <v>10.87</v>
      </c>
      <c r="D7" s="33">
        <v>5.8090000000000002</v>
      </c>
      <c r="E7" s="34">
        <f t="shared" si="0"/>
        <v>10.774713937347588</v>
      </c>
    </row>
    <row r="8" spans="1:18" x14ac:dyDescent="0.25">
      <c r="B8" s="32" t="s">
        <v>147</v>
      </c>
      <c r="D8" s="32">
        <v>0</v>
      </c>
      <c r="E8" s="35">
        <v>0</v>
      </c>
    </row>
    <row r="9" spans="1:18" x14ac:dyDescent="0.25">
      <c r="B9" s="32" t="s">
        <v>149</v>
      </c>
      <c r="D9" s="32">
        <v>0</v>
      </c>
      <c r="E9" s="35">
        <v>0</v>
      </c>
    </row>
    <row r="10" spans="1:18" x14ac:dyDescent="0.25">
      <c r="B10" s="32" t="s">
        <v>148</v>
      </c>
      <c r="D10" s="32">
        <v>0.28199999999999997</v>
      </c>
      <c r="E10" s="34">
        <f>(D10-0.065)/0.5331</f>
        <v>0.40705308572500459</v>
      </c>
    </row>
    <row r="11" spans="1:18" x14ac:dyDescent="0.25">
      <c r="A11" s="36"/>
      <c r="B11" s="36" t="s">
        <v>150</v>
      </c>
      <c r="C11" s="36"/>
      <c r="D11" s="36">
        <v>0.29299999999999998</v>
      </c>
      <c r="E11" s="37">
        <f t="shared" si="0"/>
        <v>0.42768711311198643</v>
      </c>
      <c r="F11" s="36"/>
      <c r="G11" s="36"/>
      <c r="H11" s="36"/>
      <c r="I11" s="36"/>
    </row>
    <row r="12" spans="1:18" x14ac:dyDescent="0.25">
      <c r="B12" s="32" t="s">
        <v>179</v>
      </c>
      <c r="D12" s="32">
        <v>0.35399999999999998</v>
      </c>
      <c r="E12" s="34">
        <f>((D12-0.065)/0.5331)*118/100</f>
        <v>0.63969236540986674</v>
      </c>
    </row>
    <row r="13" spans="1:18" x14ac:dyDescent="0.25">
      <c r="B13" s="32" t="s">
        <v>171</v>
      </c>
      <c r="D13" s="32">
        <v>0.31</v>
      </c>
      <c r="E13" s="34">
        <f>((D13-0.065)/0.5331)*118/100</f>
        <v>0.54229975614331272</v>
      </c>
    </row>
    <row r="14" spans="1:18" x14ac:dyDescent="0.25">
      <c r="A14" s="36"/>
      <c r="B14" s="36" t="s">
        <v>180</v>
      </c>
      <c r="C14" s="36"/>
      <c r="D14" s="36"/>
      <c r="E14" s="36"/>
      <c r="F14" s="36"/>
      <c r="G14" s="36"/>
      <c r="H14" s="36"/>
      <c r="I14" s="36"/>
    </row>
    <row r="15" spans="1:18" x14ac:dyDescent="0.25">
      <c r="A15" s="32">
        <v>22</v>
      </c>
      <c r="B15" s="32" t="s">
        <v>155</v>
      </c>
      <c r="E15" s="34"/>
      <c r="F15" s="32">
        <v>0</v>
      </c>
      <c r="H15" s="32">
        <v>0</v>
      </c>
    </row>
    <row r="16" spans="1:18" x14ac:dyDescent="0.25">
      <c r="A16" s="32">
        <v>24</v>
      </c>
      <c r="B16" s="32" t="s">
        <v>157</v>
      </c>
      <c r="E16" s="34"/>
      <c r="F16" s="32">
        <v>0</v>
      </c>
      <c r="H16" s="32">
        <v>0</v>
      </c>
    </row>
    <row r="17" spans="1:9" x14ac:dyDescent="0.25">
      <c r="A17" s="32">
        <v>23</v>
      </c>
      <c r="B17" s="32" t="s">
        <v>156</v>
      </c>
      <c r="E17" s="34"/>
      <c r="F17" s="32">
        <v>0.434</v>
      </c>
      <c r="G17" s="34">
        <f>((F17-0.065)/0.5331)*118/100</f>
        <v>0.81676983680360149</v>
      </c>
      <c r="H17" s="32">
        <v>0.66100000000000003</v>
      </c>
      <c r="I17" s="34">
        <f>((H17-0.065)/0.5331)*118/100</f>
        <v>1.319227161883324</v>
      </c>
    </row>
    <row r="18" spans="1:9" x14ac:dyDescent="0.25">
      <c r="A18" s="36">
        <v>25</v>
      </c>
      <c r="B18" s="36" t="s">
        <v>158</v>
      </c>
      <c r="C18" s="36"/>
      <c r="D18" s="36"/>
      <c r="E18" s="37"/>
      <c r="F18" s="36">
        <v>0.41299999999999998</v>
      </c>
      <c r="G18" s="37">
        <f>((F18-0.065)/0.5331)*118/100</f>
        <v>0.77028700056274602</v>
      </c>
      <c r="H18" s="36">
        <v>0.48799999999999999</v>
      </c>
      <c r="I18" s="37">
        <f>((H18-0.065)/0.5331)*118/100</f>
        <v>0.93629712999437265</v>
      </c>
    </row>
    <row r="26" spans="1:9" x14ac:dyDescent="0.25">
      <c r="C26" s="32" t="s">
        <v>175</v>
      </c>
      <c r="D26" s="32" t="s">
        <v>181</v>
      </c>
      <c r="E26" s="32" t="s">
        <v>175</v>
      </c>
      <c r="F26" s="32" t="s">
        <v>145</v>
      </c>
    </row>
    <row r="27" spans="1:9" x14ac:dyDescent="0.25">
      <c r="B27" s="33" t="s">
        <v>40</v>
      </c>
      <c r="C27" s="33">
        <v>0</v>
      </c>
      <c r="D27" s="33">
        <v>0</v>
      </c>
    </row>
    <row r="28" spans="1:9" x14ac:dyDescent="0.25">
      <c r="B28" s="33" t="s">
        <v>41</v>
      </c>
      <c r="C28" s="33">
        <v>1.087</v>
      </c>
      <c r="D28" s="33">
        <v>1.244</v>
      </c>
    </row>
    <row r="29" spans="1:9" x14ac:dyDescent="0.25">
      <c r="B29" s="33" t="s">
        <v>42</v>
      </c>
      <c r="C29" s="33">
        <v>5.4349999999999996</v>
      </c>
      <c r="D29" s="33">
        <v>5.9169999999999998</v>
      </c>
    </row>
    <row r="30" spans="1:9" x14ac:dyDescent="0.25">
      <c r="B30" s="33" t="s">
        <v>43</v>
      </c>
      <c r="C30" s="33">
        <v>10.87</v>
      </c>
      <c r="D30" s="33">
        <v>11.238</v>
      </c>
    </row>
    <row r="31" spans="1:9" x14ac:dyDescent="0.25">
      <c r="B31" s="32" t="s">
        <v>151</v>
      </c>
      <c r="D31" s="32">
        <v>0</v>
      </c>
      <c r="E31" s="32">
        <v>0</v>
      </c>
    </row>
    <row r="32" spans="1:9" x14ac:dyDescent="0.25">
      <c r="B32" s="32" t="s">
        <v>153</v>
      </c>
      <c r="D32" s="32">
        <v>0</v>
      </c>
      <c r="E32" s="32">
        <v>0</v>
      </c>
    </row>
    <row r="33" spans="1:22" x14ac:dyDescent="0.25">
      <c r="B33" s="32" t="s">
        <v>152</v>
      </c>
      <c r="D33" s="32">
        <v>3.7290000000000001</v>
      </c>
      <c r="E33" s="34">
        <f>(D33-0.1086)/1.0329</f>
        <v>3.5050827766482722</v>
      </c>
    </row>
    <row r="34" spans="1:22" x14ac:dyDescent="0.25">
      <c r="B34" s="32" t="s">
        <v>154</v>
      </c>
      <c r="D34" s="32">
        <v>4.0389999999999997</v>
      </c>
      <c r="E34" s="34">
        <f>(D34-0.1086)/1.0329</f>
        <v>3.8052086358795623</v>
      </c>
    </row>
    <row r="35" spans="1:22" x14ac:dyDescent="0.25">
      <c r="E35" s="34"/>
    </row>
    <row r="36" spans="1:22" ht="15" customHeight="1" x14ac:dyDescent="0.25">
      <c r="F36" s="242" t="s">
        <v>303</v>
      </c>
    </row>
    <row r="37" spans="1:22" ht="15" customHeight="1" x14ac:dyDescent="0.25">
      <c r="F37" s="242"/>
      <c r="G37" s="239" t="s">
        <v>187</v>
      </c>
      <c r="H37" s="239"/>
      <c r="I37" s="239" t="s">
        <v>188</v>
      </c>
      <c r="J37" s="239"/>
    </row>
    <row r="38" spans="1:22" x14ac:dyDescent="0.25">
      <c r="C38" s="32" t="s">
        <v>176</v>
      </c>
      <c r="D38" s="32" t="s">
        <v>182</v>
      </c>
      <c r="E38" s="32" t="s">
        <v>176</v>
      </c>
      <c r="F38" s="242"/>
      <c r="G38" s="32" t="s">
        <v>183</v>
      </c>
      <c r="H38" s="32" t="s">
        <v>184</v>
      </c>
      <c r="I38" s="32" t="s">
        <v>185</v>
      </c>
      <c r="J38" s="32" t="s">
        <v>186</v>
      </c>
    </row>
    <row r="39" spans="1:22" x14ac:dyDescent="0.25">
      <c r="A39" s="33">
        <v>18</v>
      </c>
      <c r="B39" s="33" t="s">
        <v>44</v>
      </c>
      <c r="C39" s="33">
        <v>0</v>
      </c>
      <c r="D39" s="33">
        <v>0</v>
      </c>
      <c r="E39" s="32">
        <v>0</v>
      </c>
    </row>
    <row r="40" spans="1:22" ht="12.75" customHeight="1" x14ac:dyDescent="0.25">
      <c r="A40" s="33">
        <v>19</v>
      </c>
      <c r="B40" s="33" t="s">
        <v>45</v>
      </c>
      <c r="C40" s="33">
        <v>1.087</v>
      </c>
      <c r="D40" s="33">
        <v>10.587999999999999</v>
      </c>
      <c r="E40" s="34">
        <f>(D40-5.615)/4.1357</f>
        <v>1.2024566578813742</v>
      </c>
      <c r="G40" s="241" t="s">
        <v>286</v>
      </c>
      <c r="H40" s="241"/>
      <c r="I40" s="241"/>
      <c r="J40" s="241"/>
      <c r="K40" s="241"/>
      <c r="V40" s="34"/>
    </row>
    <row r="41" spans="1:22" x14ac:dyDescent="0.25">
      <c r="A41" s="33">
        <v>20</v>
      </c>
      <c r="B41" s="33" t="s">
        <v>46</v>
      </c>
      <c r="C41" s="33">
        <v>5.4349999999999996</v>
      </c>
      <c r="D41" s="33">
        <v>37.18</v>
      </c>
      <c r="E41" s="34">
        <f t="shared" ref="E41:E47" si="1">(D41-5.615)/4.1357</f>
        <v>7.632323427714776</v>
      </c>
      <c r="G41" s="241"/>
      <c r="H41" s="241"/>
      <c r="I41" s="241"/>
      <c r="J41" s="241"/>
      <c r="K41" s="241"/>
    </row>
    <row r="42" spans="1:22" x14ac:dyDescent="0.25">
      <c r="A42" s="38">
        <v>21</v>
      </c>
      <c r="B42" s="38" t="s">
        <v>47</v>
      </c>
      <c r="C42" s="38">
        <v>10.87</v>
      </c>
      <c r="D42" s="38">
        <v>45.914999999999999</v>
      </c>
      <c r="E42" s="37">
        <f t="shared" si="1"/>
        <v>9.7444205334042593</v>
      </c>
      <c r="F42" s="36"/>
      <c r="G42" s="36"/>
      <c r="H42" s="36"/>
      <c r="I42" s="36"/>
      <c r="J42" s="36"/>
    </row>
    <row r="43" spans="1:22" x14ac:dyDescent="0.25">
      <c r="A43" s="39">
        <v>44</v>
      </c>
      <c r="B43" s="39" t="s">
        <v>172</v>
      </c>
      <c r="C43" s="39">
        <v>0.98</v>
      </c>
      <c r="D43" s="39">
        <v>10.372999999999999</v>
      </c>
      <c r="E43" s="37">
        <f t="shared" si="1"/>
        <v>1.1504702952341803</v>
      </c>
      <c r="F43" s="36"/>
      <c r="G43" s="36"/>
      <c r="H43" s="36"/>
      <c r="I43" s="36"/>
      <c r="J43" s="36"/>
    </row>
    <row r="44" spans="1:22" x14ac:dyDescent="0.25">
      <c r="A44" s="32">
        <v>26</v>
      </c>
      <c r="B44" s="32" t="s">
        <v>159</v>
      </c>
      <c r="D44" s="32">
        <v>2.1000000000000001E-2</v>
      </c>
      <c r="E44" s="72"/>
    </row>
    <row r="45" spans="1:22" x14ac:dyDescent="0.25">
      <c r="A45" s="32">
        <v>28</v>
      </c>
      <c r="B45" s="32" t="s">
        <v>161</v>
      </c>
      <c r="D45" s="32">
        <v>0</v>
      </c>
      <c r="E45" s="72"/>
    </row>
    <row r="46" spans="1:22" x14ac:dyDescent="0.25">
      <c r="A46" s="32">
        <v>27</v>
      </c>
      <c r="B46" s="32" t="s">
        <v>160</v>
      </c>
      <c r="D46" s="32">
        <v>2.383</v>
      </c>
      <c r="E46" s="72">
        <f>(D46-5.615)/4.1357</f>
        <v>-0.78148801895688769</v>
      </c>
      <c r="F46" s="32">
        <f>D46*$C$42/$D$42</f>
        <v>0.56415572253076329</v>
      </c>
    </row>
    <row r="47" spans="1:22" x14ac:dyDescent="0.25">
      <c r="A47" s="36">
        <v>29</v>
      </c>
      <c r="B47" s="36" t="s">
        <v>162</v>
      </c>
      <c r="C47" s="36"/>
      <c r="D47" s="36">
        <v>2.8860000000000001</v>
      </c>
      <c r="E47" s="73">
        <f t="shared" si="1"/>
        <v>-0.65986411006601065</v>
      </c>
      <c r="F47" s="36">
        <f>D47*$C$42/$D$42</f>
        <v>0.68323685070238482</v>
      </c>
      <c r="G47" s="36"/>
      <c r="H47" s="36"/>
      <c r="I47" s="36"/>
      <c r="J47" s="36"/>
    </row>
    <row r="50" spans="1:11" x14ac:dyDescent="0.25">
      <c r="K50" s="74"/>
    </row>
    <row r="51" spans="1:11" x14ac:dyDescent="0.25">
      <c r="K51" s="34"/>
    </row>
    <row r="54" spans="1:11" x14ac:dyDescent="0.25">
      <c r="C54" s="32" t="s">
        <v>173</v>
      </c>
      <c r="D54" s="32" t="s">
        <v>189</v>
      </c>
      <c r="E54" s="32" t="s">
        <v>177</v>
      </c>
      <c r="F54" s="32" t="s">
        <v>310</v>
      </c>
      <c r="G54" s="32" t="s">
        <v>311</v>
      </c>
      <c r="H54" s="32" t="s">
        <v>312</v>
      </c>
      <c r="I54" s="32" t="s">
        <v>313</v>
      </c>
    </row>
    <row r="55" spans="1:11" x14ac:dyDescent="0.25">
      <c r="A55" s="33">
        <v>30</v>
      </c>
      <c r="B55" s="33" t="s">
        <v>50</v>
      </c>
      <c r="C55" s="33">
        <v>0</v>
      </c>
      <c r="D55" s="33">
        <v>0</v>
      </c>
      <c r="E55" s="32">
        <v>0</v>
      </c>
    </row>
    <row r="56" spans="1:11" x14ac:dyDescent="0.25">
      <c r="A56" s="33">
        <v>31</v>
      </c>
      <c r="B56" s="33" t="s">
        <v>51</v>
      </c>
      <c r="C56" s="33">
        <v>1.087</v>
      </c>
      <c r="D56" s="33">
        <v>2.073</v>
      </c>
      <c r="E56" s="34">
        <f>(D56-0.2427)/1.6166</f>
        <v>1.1321910181863171</v>
      </c>
    </row>
    <row r="57" spans="1:11" x14ac:dyDescent="0.25">
      <c r="A57" s="33">
        <v>32</v>
      </c>
      <c r="B57" s="33" t="s">
        <v>52</v>
      </c>
      <c r="C57" s="33">
        <v>5.4349999999999996</v>
      </c>
      <c r="D57" s="33">
        <v>9.3829999999999991</v>
      </c>
      <c r="E57" s="34">
        <f>(D57-0.2427)/1.6166</f>
        <v>5.6540269701843373</v>
      </c>
    </row>
    <row r="58" spans="1:11" x14ac:dyDescent="0.25">
      <c r="A58" s="38">
        <v>33</v>
      </c>
      <c r="B58" s="38" t="s">
        <v>53</v>
      </c>
      <c r="C58" s="38">
        <v>10.87</v>
      </c>
      <c r="D58" s="38">
        <v>17.631</v>
      </c>
      <c r="E58" s="37">
        <f>(D58-0.2427)/1.6166</f>
        <v>10.756093034764321</v>
      </c>
      <c r="F58" s="36"/>
      <c r="G58" s="36"/>
      <c r="H58" s="36"/>
      <c r="I58" s="36"/>
    </row>
    <row r="59" spans="1:11" x14ac:dyDescent="0.25">
      <c r="A59" s="32">
        <v>38</v>
      </c>
      <c r="B59" s="32" t="s">
        <v>167</v>
      </c>
      <c r="D59" s="32">
        <v>0</v>
      </c>
      <c r="E59" s="32">
        <v>0</v>
      </c>
    </row>
    <row r="60" spans="1:11" x14ac:dyDescent="0.25">
      <c r="A60" s="32">
        <v>39</v>
      </c>
      <c r="B60" s="32" t="s">
        <v>168</v>
      </c>
      <c r="D60" s="32">
        <v>0</v>
      </c>
      <c r="E60" s="32">
        <v>0</v>
      </c>
    </row>
    <row r="61" spans="1:11" x14ac:dyDescent="0.25">
      <c r="A61" s="32">
        <v>40</v>
      </c>
      <c r="B61" s="32" t="s">
        <v>169</v>
      </c>
      <c r="D61" s="32">
        <v>0</v>
      </c>
      <c r="E61" s="32">
        <v>0</v>
      </c>
    </row>
    <row r="62" spans="1:11" x14ac:dyDescent="0.25">
      <c r="A62" s="36">
        <v>41</v>
      </c>
      <c r="B62" s="36" t="s">
        <v>170</v>
      </c>
      <c r="C62" s="36"/>
      <c r="D62" s="36">
        <v>0</v>
      </c>
      <c r="E62" s="36">
        <v>0</v>
      </c>
      <c r="F62" s="36"/>
      <c r="G62" s="36"/>
      <c r="H62" s="36"/>
      <c r="I62" s="36"/>
    </row>
    <row r="63" spans="1:11" x14ac:dyDescent="0.25">
      <c r="A63" s="32">
        <v>34</v>
      </c>
      <c r="B63" s="32" t="s">
        <v>163</v>
      </c>
      <c r="F63" s="32" t="s">
        <v>146</v>
      </c>
      <c r="H63" s="32" t="s">
        <v>146</v>
      </c>
    </row>
    <row r="64" spans="1:11" x14ac:dyDescent="0.25">
      <c r="A64" s="32">
        <v>36</v>
      </c>
      <c r="B64" s="32" t="s">
        <v>165</v>
      </c>
      <c r="F64" s="32" t="s">
        <v>146</v>
      </c>
      <c r="H64" s="32" t="s">
        <v>146</v>
      </c>
    </row>
    <row r="65" spans="1:10" x14ac:dyDescent="0.25">
      <c r="A65" s="32">
        <v>35</v>
      </c>
      <c r="B65" s="32" t="s">
        <v>164</v>
      </c>
      <c r="F65" s="32">
        <v>1.9670000000000001</v>
      </c>
      <c r="G65" s="34">
        <f>(F65-0.2427)/1.6166</f>
        <v>1.066621303971298</v>
      </c>
      <c r="H65" s="32">
        <v>1.107</v>
      </c>
      <c r="I65" s="34">
        <f>(H65-0.2427)/1.6166</f>
        <v>0.53464060373623645</v>
      </c>
      <c r="J65" s="34"/>
    </row>
    <row r="66" spans="1:10" x14ac:dyDescent="0.25">
      <c r="A66" s="32">
        <v>37</v>
      </c>
      <c r="B66" s="32" t="s">
        <v>166</v>
      </c>
      <c r="F66" s="32">
        <v>1.9119999999999999</v>
      </c>
      <c r="G66" s="34">
        <f>(F66-0.2427)/1.6166</f>
        <v>1.0325992824446368</v>
      </c>
      <c r="H66" s="32">
        <v>1.198</v>
      </c>
      <c r="I66" s="34">
        <f>(H66-0.2427)/1.6166</f>
        <v>0.59093158480762087</v>
      </c>
    </row>
  </sheetData>
  <mergeCells count="7">
    <mergeCell ref="I37:J37"/>
    <mergeCell ref="G37:H37"/>
    <mergeCell ref="A1:R1"/>
    <mergeCell ref="G40:K41"/>
    <mergeCell ref="F36:F38"/>
    <mergeCell ref="F2:G2"/>
    <mergeCell ref="H2:I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258"/>
  <sheetViews>
    <sheetView topLeftCell="A14" zoomScale="115" zoomScaleNormal="115" workbookViewId="0">
      <selection activeCell="R39" sqref="R39:AC39"/>
    </sheetView>
  </sheetViews>
  <sheetFormatPr defaultColWidth="11.42578125" defaultRowHeight="14.25" customHeight="1" x14ac:dyDescent="0.25"/>
  <cols>
    <col min="1" max="1" width="11.42578125" style="32"/>
    <col min="2" max="27" width="6.5703125" style="32" customWidth="1"/>
    <col min="28" max="36" width="10.28515625" style="32" customWidth="1"/>
    <col min="37" max="37" width="7.140625" style="32" customWidth="1"/>
    <col min="38" max="38" width="7.140625" style="32" bestFit="1" customWidth="1"/>
    <col min="39" max="16384" width="11.42578125" style="32"/>
  </cols>
  <sheetData>
    <row r="1" spans="1:35" s="77" customFormat="1" ht="14.25" customHeight="1" x14ac:dyDescent="0.25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5"/>
      <c r="R1" s="266" t="s">
        <v>315</v>
      </c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</row>
    <row r="2" spans="1:35" ht="14.25" customHeight="1" x14ac:dyDescent="0.25">
      <c r="Q2" s="76"/>
    </row>
    <row r="3" spans="1:35" ht="14.25" customHeight="1" x14ac:dyDescent="0.25">
      <c r="A3" s="268" t="s">
        <v>308</v>
      </c>
      <c r="B3" s="269"/>
      <c r="C3" s="269"/>
      <c r="D3" s="269"/>
      <c r="E3" s="269"/>
      <c r="F3" s="270"/>
      <c r="Q3" s="76"/>
      <c r="R3" s="248" t="s">
        <v>316</v>
      </c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50"/>
    </row>
    <row r="4" spans="1:35" ht="14.25" customHeight="1" x14ac:dyDescent="0.25">
      <c r="A4" s="75" t="s">
        <v>396</v>
      </c>
      <c r="B4" s="32" t="s">
        <v>213</v>
      </c>
      <c r="C4" s="32" t="s">
        <v>145</v>
      </c>
      <c r="D4" s="32" t="s">
        <v>214</v>
      </c>
      <c r="E4" s="32" t="s">
        <v>215</v>
      </c>
      <c r="F4" s="76" t="s">
        <v>218</v>
      </c>
      <c r="Q4" s="76"/>
      <c r="R4" s="248" t="s">
        <v>318</v>
      </c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50"/>
    </row>
    <row r="5" spans="1:35" ht="14.25" customHeight="1" x14ac:dyDescent="0.25">
      <c r="A5" s="121">
        <v>0</v>
      </c>
      <c r="B5" s="32">
        <v>0</v>
      </c>
      <c r="C5" s="32">
        <v>0</v>
      </c>
      <c r="D5" s="78">
        <v>0</v>
      </c>
      <c r="E5" s="32">
        <v>0</v>
      </c>
      <c r="F5" s="76">
        <v>0</v>
      </c>
      <c r="Q5" s="76"/>
      <c r="R5" s="248" t="s">
        <v>319</v>
      </c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50"/>
    </row>
    <row r="6" spans="1:35" ht="14.25" customHeight="1" x14ac:dyDescent="0.25">
      <c r="A6" s="121">
        <v>1</v>
      </c>
      <c r="B6" s="32">
        <v>1.8240000000000001</v>
      </c>
      <c r="C6" s="32">
        <v>3.2749999999999999</v>
      </c>
      <c r="D6" s="78">
        <v>21.626000000000001</v>
      </c>
      <c r="E6" s="32">
        <v>3.7709999999999999</v>
      </c>
      <c r="F6" s="76">
        <v>2.0710000000000002</v>
      </c>
      <c r="Q6" s="76"/>
      <c r="R6" s="32" t="s">
        <v>207</v>
      </c>
      <c r="S6" s="32" t="s">
        <v>208</v>
      </c>
      <c r="U6" s="32" t="s">
        <v>210</v>
      </c>
      <c r="W6" s="32" t="s">
        <v>210</v>
      </c>
      <c r="Y6" s="32" t="s">
        <v>210</v>
      </c>
    </row>
    <row r="7" spans="1:35" ht="14.25" customHeight="1" x14ac:dyDescent="0.25">
      <c r="A7" s="121">
        <v>5</v>
      </c>
      <c r="B7" s="32">
        <v>8.6630000000000003</v>
      </c>
      <c r="C7" s="32">
        <v>17.463000000000001</v>
      </c>
      <c r="D7" s="78">
        <v>59.988999999999997</v>
      </c>
      <c r="E7" s="32">
        <v>18.878</v>
      </c>
      <c r="F7" s="76">
        <v>10.122</v>
      </c>
      <c r="Q7" s="76"/>
      <c r="T7" s="32" t="s">
        <v>173</v>
      </c>
      <c r="U7" s="32" t="s">
        <v>213</v>
      </c>
      <c r="V7" s="32" t="s">
        <v>280</v>
      </c>
      <c r="W7" s="32" t="s">
        <v>287</v>
      </c>
      <c r="X7" s="32" t="s">
        <v>280</v>
      </c>
      <c r="Y7" s="32" t="s">
        <v>288</v>
      </c>
      <c r="Z7" s="32" t="s">
        <v>339</v>
      </c>
    </row>
    <row r="8" spans="1:35" ht="14.25" customHeight="1" x14ac:dyDescent="0.25">
      <c r="A8" s="122">
        <v>10</v>
      </c>
      <c r="B8" s="36">
        <v>16.971</v>
      </c>
      <c r="C8" s="36">
        <v>12.154</v>
      </c>
      <c r="D8" s="80">
        <v>44.116</v>
      </c>
      <c r="E8" s="36">
        <v>37.722000000000001</v>
      </c>
      <c r="F8" s="81">
        <v>22.411999999999999</v>
      </c>
      <c r="Q8" s="76"/>
      <c r="R8" s="32">
        <v>16</v>
      </c>
      <c r="S8" s="32" t="s">
        <v>33</v>
      </c>
      <c r="T8" s="32">
        <v>0</v>
      </c>
      <c r="U8" s="32">
        <v>0</v>
      </c>
    </row>
    <row r="9" spans="1:35" ht="14.25" customHeight="1" x14ac:dyDescent="0.25">
      <c r="Q9" s="76"/>
      <c r="R9" s="32">
        <v>17</v>
      </c>
      <c r="S9" s="32" t="s">
        <v>34</v>
      </c>
      <c r="T9" s="32">
        <v>1</v>
      </c>
      <c r="U9" s="32">
        <v>16150.058000000001</v>
      </c>
    </row>
    <row r="10" spans="1:35" ht="14.25" customHeight="1" x14ac:dyDescent="0.25">
      <c r="Q10" s="76"/>
      <c r="R10" s="32">
        <v>18</v>
      </c>
      <c r="S10" s="32" t="s">
        <v>35</v>
      </c>
      <c r="T10" s="32">
        <v>5</v>
      </c>
      <c r="U10" s="32">
        <v>52898.195</v>
      </c>
    </row>
    <row r="11" spans="1:35" ht="14.25" customHeight="1" x14ac:dyDescent="0.25">
      <c r="Q11" s="76"/>
      <c r="R11" s="36">
        <v>19</v>
      </c>
      <c r="S11" s="36" t="s">
        <v>36</v>
      </c>
      <c r="T11" s="36">
        <v>10</v>
      </c>
      <c r="U11" s="36">
        <v>80890.448999999993</v>
      </c>
      <c r="V11" s="36"/>
    </row>
    <row r="12" spans="1:35" ht="14.25" customHeight="1" x14ac:dyDescent="0.25">
      <c r="A12" s="259" t="s">
        <v>281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1"/>
      <c r="Q12" s="76"/>
      <c r="R12" s="32">
        <v>20</v>
      </c>
      <c r="S12" s="32" t="s">
        <v>103</v>
      </c>
      <c r="U12" s="32">
        <v>0</v>
      </c>
      <c r="V12" s="35">
        <v>0</v>
      </c>
    </row>
    <row r="13" spans="1:35" ht="14.25" customHeight="1" x14ac:dyDescent="0.25">
      <c r="A13" s="32" t="s">
        <v>207</v>
      </c>
      <c r="B13" s="32" t="s">
        <v>208</v>
      </c>
      <c r="D13" s="32" t="s">
        <v>210</v>
      </c>
      <c r="F13" s="32" t="s">
        <v>210</v>
      </c>
      <c r="H13" s="32" t="s">
        <v>210</v>
      </c>
      <c r="Q13" s="76"/>
      <c r="R13" s="32">
        <v>21</v>
      </c>
      <c r="S13" s="32" t="s">
        <v>228</v>
      </c>
      <c r="U13" s="32">
        <v>14242.781999999999</v>
      </c>
      <c r="V13" s="82">
        <f>(U13-5885.3)/7899.9</f>
        <v>1.0579225053481691</v>
      </c>
    </row>
    <row r="14" spans="1:35" ht="14.25" customHeight="1" x14ac:dyDescent="0.25">
      <c r="D14" s="32" t="s">
        <v>212</v>
      </c>
      <c r="F14" s="32" t="s">
        <v>212</v>
      </c>
      <c r="H14" s="32" t="s">
        <v>212</v>
      </c>
      <c r="Q14" s="76"/>
      <c r="R14" s="32">
        <v>22</v>
      </c>
      <c r="S14" s="32" t="s">
        <v>229</v>
      </c>
      <c r="U14" s="32">
        <v>15787.948</v>
      </c>
      <c r="V14" s="82">
        <f>(U14-5885.3)/7899.9</f>
        <v>1.2535156141216979</v>
      </c>
    </row>
    <row r="15" spans="1:35" ht="14.25" customHeight="1" x14ac:dyDescent="0.25">
      <c r="C15" s="32" t="s">
        <v>173</v>
      </c>
      <c r="D15" s="32" t="s">
        <v>213</v>
      </c>
      <c r="E15" s="32" t="s">
        <v>280</v>
      </c>
      <c r="F15" s="32" t="s">
        <v>287</v>
      </c>
      <c r="G15" s="32" t="s">
        <v>280</v>
      </c>
      <c r="H15" s="32" t="s">
        <v>288</v>
      </c>
      <c r="I15" s="32" t="s">
        <v>280</v>
      </c>
      <c r="Q15" s="76"/>
      <c r="R15" s="32">
        <v>23</v>
      </c>
      <c r="S15" s="32" t="s">
        <v>230</v>
      </c>
      <c r="U15" s="32">
        <v>13538.352000000001</v>
      </c>
      <c r="V15" s="82">
        <f>(U15-5885.3)/7899.9</f>
        <v>0.96875302219015447</v>
      </c>
    </row>
    <row r="16" spans="1:35" ht="14.25" customHeight="1" x14ac:dyDescent="0.25">
      <c r="A16" s="32">
        <v>16</v>
      </c>
      <c r="B16" s="32" t="s">
        <v>33</v>
      </c>
      <c r="C16" s="32">
        <v>0</v>
      </c>
      <c r="D16" s="32">
        <v>0</v>
      </c>
      <c r="Q16" s="76"/>
      <c r="R16" s="79">
        <v>24</v>
      </c>
      <c r="S16" s="36" t="s">
        <v>231</v>
      </c>
      <c r="T16" s="36"/>
      <c r="U16" s="36">
        <v>13001.652</v>
      </c>
      <c r="V16" s="124">
        <f>(U16-5885.3)/7899.9</f>
        <v>0.9008154533601691</v>
      </c>
      <c r="W16" s="36"/>
      <c r="X16" s="36"/>
      <c r="Y16" s="36"/>
      <c r="Z16" s="36"/>
    </row>
    <row r="17" spans="1:26" ht="14.25" customHeight="1" x14ac:dyDescent="0.25">
      <c r="A17" s="32">
        <v>17</v>
      </c>
      <c r="B17" s="32" t="s">
        <v>34</v>
      </c>
      <c r="C17" s="32">
        <v>1</v>
      </c>
      <c r="D17" s="32">
        <v>1.8240000000000001</v>
      </c>
      <c r="Q17" s="76"/>
      <c r="R17" s="32">
        <v>47</v>
      </c>
      <c r="S17" s="32" t="s">
        <v>105</v>
      </c>
      <c r="W17" s="32">
        <v>0</v>
      </c>
      <c r="X17" s="35">
        <v>0</v>
      </c>
      <c r="Y17" s="32">
        <v>0</v>
      </c>
      <c r="Z17" s="35">
        <v>0</v>
      </c>
    </row>
    <row r="18" spans="1:26" ht="14.25" customHeight="1" x14ac:dyDescent="0.25">
      <c r="A18" s="32">
        <v>18</v>
      </c>
      <c r="B18" s="32" t="s">
        <v>35</v>
      </c>
      <c r="C18" s="32">
        <v>5</v>
      </c>
      <c r="D18" s="32">
        <v>8.6630000000000003</v>
      </c>
      <c r="Q18" s="76"/>
      <c r="R18" s="32">
        <v>48</v>
      </c>
      <c r="S18" s="32" t="s">
        <v>240</v>
      </c>
      <c r="W18" s="32">
        <v>14601.039000000001</v>
      </c>
      <c r="X18" s="82">
        <f>W18/8647.2</f>
        <v>1.6885279628087704</v>
      </c>
      <c r="Y18" s="32">
        <v>24298.335999999999</v>
      </c>
      <c r="Z18" s="82">
        <f>Y18/8647.2</f>
        <v>2.809965769266352</v>
      </c>
    </row>
    <row r="19" spans="1:26" ht="14.25" customHeight="1" x14ac:dyDescent="0.25">
      <c r="A19" s="36">
        <v>19</v>
      </c>
      <c r="B19" s="36" t="s">
        <v>36</v>
      </c>
      <c r="C19" s="36">
        <v>10</v>
      </c>
      <c r="D19" s="36">
        <v>16.971</v>
      </c>
      <c r="E19" s="36"/>
      <c r="Q19" s="76"/>
      <c r="R19" s="32">
        <v>49</v>
      </c>
      <c r="S19" s="32" t="s">
        <v>241</v>
      </c>
      <c r="W19" s="32">
        <v>16827.28</v>
      </c>
      <c r="X19" s="82">
        <f t="shared" ref="X19:X26" si="0">W19/8647.2</f>
        <v>1.9459802016837817</v>
      </c>
      <c r="Y19" s="32">
        <v>27365.178</v>
      </c>
      <c r="Z19" s="82">
        <f t="shared" ref="Z19:Z27" si="1">Y19/8647.2</f>
        <v>3.1646287815709129</v>
      </c>
    </row>
    <row r="20" spans="1:26" ht="14.25" customHeight="1" x14ac:dyDescent="0.25">
      <c r="A20" s="32">
        <v>20</v>
      </c>
      <c r="B20" s="32" t="s">
        <v>103</v>
      </c>
      <c r="D20" s="32">
        <v>0</v>
      </c>
      <c r="E20" s="32">
        <v>0</v>
      </c>
      <c r="Q20" s="76"/>
      <c r="R20" s="32">
        <v>50</v>
      </c>
      <c r="S20" s="32" t="s">
        <v>242</v>
      </c>
      <c r="W20" s="32">
        <v>18572.527999999998</v>
      </c>
      <c r="X20" s="82">
        <f t="shared" si="0"/>
        <v>2.1478083078915713</v>
      </c>
      <c r="Y20" s="32">
        <v>2054.1149999999998</v>
      </c>
      <c r="Z20" s="82">
        <f t="shared" si="1"/>
        <v>0.23754683597002493</v>
      </c>
    </row>
    <row r="21" spans="1:26" ht="14.25" customHeight="1" x14ac:dyDescent="0.25">
      <c r="A21" s="32">
        <v>21</v>
      </c>
      <c r="B21" s="32" t="s">
        <v>228</v>
      </c>
      <c r="D21" s="32">
        <v>1.349</v>
      </c>
      <c r="E21" s="34">
        <f>(D21-0.0892)/1.6938</f>
        <v>0.7437714015822412</v>
      </c>
      <c r="Q21" s="76"/>
      <c r="R21" s="32">
        <v>51</v>
      </c>
      <c r="S21" s="32" t="s">
        <v>243</v>
      </c>
      <c r="W21" s="32">
        <v>19559.757000000001</v>
      </c>
      <c r="X21" s="82">
        <f t="shared" si="0"/>
        <v>2.2619757840688317</v>
      </c>
      <c r="Y21" s="32">
        <v>2121.2750000000001</v>
      </c>
      <c r="Z21" s="82">
        <f t="shared" si="1"/>
        <v>0.24531351188824127</v>
      </c>
    </row>
    <row r="22" spans="1:26" ht="14.25" customHeight="1" x14ac:dyDescent="0.25">
      <c r="A22" s="32">
        <v>22</v>
      </c>
      <c r="B22" s="32" t="s">
        <v>229</v>
      </c>
      <c r="D22" s="32">
        <v>1.5269999999999999</v>
      </c>
      <c r="E22" s="34">
        <f>(D22-0.0892)/1.6938</f>
        <v>0.84886055024205931</v>
      </c>
      <c r="Q22" s="76"/>
      <c r="R22" s="32">
        <v>52</v>
      </c>
      <c r="S22" s="32" t="s">
        <v>244</v>
      </c>
      <c r="W22" s="32">
        <v>3773.7060000000001</v>
      </c>
      <c r="X22" s="82">
        <f t="shared" si="0"/>
        <v>0.43640785456563974</v>
      </c>
      <c r="Y22" s="32">
        <v>9187.7469999999994</v>
      </c>
      <c r="Z22" s="82">
        <f t="shared" si="1"/>
        <v>1.0625112175039317</v>
      </c>
    </row>
    <row r="23" spans="1:26" ht="14.25" customHeight="1" x14ac:dyDescent="0.25">
      <c r="A23" s="32">
        <v>23</v>
      </c>
      <c r="B23" s="32" t="s">
        <v>230</v>
      </c>
      <c r="D23" s="32">
        <v>1.2070000000000001</v>
      </c>
      <c r="E23" s="34">
        <f>(D23-0.0892)/1.6938</f>
        <v>0.65993623804463342</v>
      </c>
      <c r="Q23" s="76"/>
      <c r="R23" s="32">
        <v>53</v>
      </c>
      <c r="S23" s="32" t="s">
        <v>245</v>
      </c>
      <c r="W23" s="32">
        <v>3695.22</v>
      </c>
      <c r="X23" s="82">
        <f t="shared" si="0"/>
        <v>0.42733139050791003</v>
      </c>
      <c r="Y23" s="32">
        <v>9581.4590000000007</v>
      </c>
      <c r="Z23" s="82">
        <f t="shared" si="1"/>
        <v>1.1080417938754741</v>
      </c>
    </row>
    <row r="24" spans="1:26" ht="14.25" customHeight="1" x14ac:dyDescent="0.25">
      <c r="A24" s="32">
        <v>24</v>
      </c>
      <c r="B24" s="32" t="s">
        <v>231</v>
      </c>
      <c r="D24" s="32">
        <v>1.0620000000000001</v>
      </c>
      <c r="E24" s="34">
        <f>(D24-0.0892)/1.6938</f>
        <v>0.57432990908017478</v>
      </c>
      <c r="Q24" s="76"/>
      <c r="R24" s="32">
        <v>54</v>
      </c>
      <c r="S24" s="32" t="s">
        <v>246</v>
      </c>
      <c r="W24" s="32">
        <v>5766.8649999999998</v>
      </c>
      <c r="X24" s="82">
        <f t="shared" si="0"/>
        <v>0.66690547229160879</v>
      </c>
      <c r="Y24" s="32">
        <v>8132.558</v>
      </c>
      <c r="Z24" s="82">
        <f t="shared" si="1"/>
        <v>0.94048454991211017</v>
      </c>
    </row>
    <row r="25" spans="1:26" ht="14.25" customHeight="1" x14ac:dyDescent="0.25">
      <c r="A25" s="32">
        <v>47</v>
      </c>
      <c r="B25" s="32" t="s">
        <v>105</v>
      </c>
      <c r="F25" s="78">
        <v>0.03</v>
      </c>
      <c r="G25" s="34">
        <f>(F25-0.0892)/1.6938</f>
        <v>-3.4950997756523793E-2</v>
      </c>
      <c r="H25" s="78">
        <v>0.11</v>
      </c>
      <c r="I25" s="34">
        <f>(H25-0.0892)/1.6938</f>
        <v>1.2280080292832684E-2</v>
      </c>
      <c r="Q25" s="76"/>
      <c r="R25" s="32">
        <v>55</v>
      </c>
      <c r="S25" s="32" t="s">
        <v>247</v>
      </c>
      <c r="W25" s="32">
        <v>4809.6189999999997</v>
      </c>
      <c r="X25" s="82">
        <f t="shared" si="0"/>
        <v>0.55620536127301312</v>
      </c>
      <c r="Y25" s="32">
        <v>7572.9790000000003</v>
      </c>
      <c r="Z25" s="82">
        <f t="shared" si="1"/>
        <v>0.87577238875011565</v>
      </c>
    </row>
    <row r="26" spans="1:26" ht="14.25" customHeight="1" x14ac:dyDescent="0.25">
      <c r="A26" s="32">
        <v>48</v>
      </c>
      <c r="B26" s="32" t="s">
        <v>240</v>
      </c>
      <c r="F26" s="78">
        <v>0.42799999999999999</v>
      </c>
      <c r="G26" s="34">
        <f t="shared" ref="G26:G35" si="2">(F26-0.0892)/1.6938</f>
        <v>0.20002361553902467</v>
      </c>
      <c r="H26" s="78">
        <v>1.6120000000000001</v>
      </c>
      <c r="I26" s="34">
        <f t="shared" ref="I26:I35" si="3">(H26-0.0892)/1.6938</f>
        <v>0.89904357066950069</v>
      </c>
      <c r="Q26" s="76"/>
      <c r="R26" s="32">
        <v>56</v>
      </c>
      <c r="S26" s="32" t="s">
        <v>248</v>
      </c>
      <c r="W26" s="32">
        <v>5171.5529999999999</v>
      </c>
      <c r="X26" s="82">
        <f t="shared" si="0"/>
        <v>0.59806099084096576</v>
      </c>
      <c r="Y26" s="32">
        <v>6851.4669999999996</v>
      </c>
      <c r="Z26" s="82">
        <f t="shared" si="1"/>
        <v>0.7923335877509482</v>
      </c>
    </row>
    <row r="27" spans="1:26" ht="14.25" customHeight="1" x14ac:dyDescent="0.25">
      <c r="A27" s="32">
        <v>49</v>
      </c>
      <c r="B27" s="32" t="s">
        <v>241</v>
      </c>
      <c r="F27" s="78">
        <v>0.43099999999999999</v>
      </c>
      <c r="G27" s="34">
        <f t="shared" si="2"/>
        <v>0.20179478096587555</v>
      </c>
      <c r="H27" s="78">
        <v>1.63</v>
      </c>
      <c r="I27" s="34">
        <f t="shared" si="3"/>
        <v>0.90967056323060569</v>
      </c>
      <c r="Q27" s="76"/>
      <c r="R27" s="32">
        <v>57</v>
      </c>
      <c r="S27" s="32" t="s">
        <v>249</v>
      </c>
      <c r="W27" s="32">
        <v>5944.268</v>
      </c>
      <c r="X27" s="82">
        <f>W27/8647.2</f>
        <v>0.68742113053936527</v>
      </c>
      <c r="Y27" s="32">
        <v>7281.9170000000004</v>
      </c>
      <c r="Z27" s="82">
        <f t="shared" si="1"/>
        <v>0.842112707003423</v>
      </c>
    </row>
    <row r="28" spans="1:26" ht="14.25" customHeight="1" x14ac:dyDescent="0.25">
      <c r="A28" s="32">
        <v>50</v>
      </c>
      <c r="B28" s="32" t="s">
        <v>242</v>
      </c>
      <c r="F28" s="78">
        <v>0.44</v>
      </c>
      <c r="G28" s="34">
        <f t="shared" si="2"/>
        <v>0.20710827724642816</v>
      </c>
      <c r="H28" s="78">
        <v>0.16400000000000001</v>
      </c>
      <c r="I28" s="34">
        <f t="shared" si="3"/>
        <v>4.4161057976148312E-2</v>
      </c>
      <c r="Q28" s="76"/>
    </row>
    <row r="29" spans="1:26" ht="14.25" customHeight="1" x14ac:dyDescent="0.25">
      <c r="A29" s="32">
        <v>51</v>
      </c>
      <c r="B29" s="32" t="s">
        <v>243</v>
      </c>
      <c r="F29" s="78">
        <v>0.46100000000000002</v>
      </c>
      <c r="G29" s="34">
        <f t="shared" si="2"/>
        <v>0.21950643523438423</v>
      </c>
      <c r="H29" s="78">
        <v>0.187</v>
      </c>
      <c r="I29" s="34">
        <f t="shared" si="3"/>
        <v>5.7739992915338295E-2</v>
      </c>
      <c r="Q29" s="76"/>
      <c r="R29" s="32" t="s">
        <v>321</v>
      </c>
    </row>
    <row r="30" spans="1:26" ht="14.25" customHeight="1" x14ac:dyDescent="0.25">
      <c r="A30" s="32">
        <v>52</v>
      </c>
      <c r="B30" s="32" t="s">
        <v>244</v>
      </c>
      <c r="F30" s="78">
        <v>0.113</v>
      </c>
      <c r="G30" s="34">
        <f t="shared" si="2"/>
        <v>1.4051245719683553E-2</v>
      </c>
      <c r="H30" s="78">
        <v>0.44</v>
      </c>
      <c r="I30" s="34">
        <f t="shared" si="3"/>
        <v>0.20710827724642816</v>
      </c>
      <c r="Q30" s="76"/>
      <c r="R30" s="32" t="s">
        <v>322</v>
      </c>
    </row>
    <row r="31" spans="1:26" ht="14.25" customHeight="1" x14ac:dyDescent="0.25">
      <c r="A31" s="32">
        <v>53</v>
      </c>
      <c r="B31" s="32" t="s">
        <v>245</v>
      </c>
      <c r="F31" s="78">
        <v>9.9000000000000005E-2</v>
      </c>
      <c r="G31" s="34">
        <f t="shared" si="2"/>
        <v>5.7858070610461703E-3</v>
      </c>
      <c r="H31" s="78">
        <v>0.46600000000000003</v>
      </c>
      <c r="I31" s="34">
        <f t="shared" si="3"/>
        <v>0.22245837761246903</v>
      </c>
      <c r="Q31" s="76"/>
    </row>
    <row r="32" spans="1:26" ht="14.25" customHeight="1" x14ac:dyDescent="0.25">
      <c r="A32" s="32">
        <v>54</v>
      </c>
      <c r="B32" s="32" t="s">
        <v>246</v>
      </c>
      <c r="F32" s="78">
        <v>0.13500000000000001</v>
      </c>
      <c r="G32" s="34">
        <f t="shared" si="2"/>
        <v>2.7039792183256587E-2</v>
      </c>
      <c r="H32" s="78">
        <v>0.377</v>
      </c>
      <c r="I32" s="34">
        <f t="shared" si="3"/>
        <v>0.16991380328255992</v>
      </c>
      <c r="Q32" s="76"/>
    </row>
    <row r="33" spans="1:38" ht="14.25" customHeight="1" x14ac:dyDescent="0.25">
      <c r="A33" s="32">
        <v>55</v>
      </c>
      <c r="B33" s="32" t="s">
        <v>247</v>
      </c>
      <c r="F33" s="78">
        <v>0.114</v>
      </c>
      <c r="G33" s="34">
        <f t="shared" si="2"/>
        <v>1.4641634195300509E-2</v>
      </c>
      <c r="H33" s="78">
        <v>0.35</v>
      </c>
      <c r="I33" s="34">
        <f t="shared" si="3"/>
        <v>0.15397331444090209</v>
      </c>
      <c r="Q33" s="76"/>
    </row>
    <row r="34" spans="1:38" ht="14.25" customHeight="1" x14ac:dyDescent="0.25">
      <c r="A34" s="32">
        <v>56</v>
      </c>
      <c r="B34" s="32" t="s">
        <v>248</v>
      </c>
      <c r="F34" s="78">
        <v>0.12</v>
      </c>
      <c r="G34" s="34">
        <f t="shared" si="2"/>
        <v>1.818396504900224E-2</v>
      </c>
      <c r="H34" s="78">
        <v>0.28999999999999998</v>
      </c>
      <c r="I34" s="34">
        <f t="shared" si="3"/>
        <v>0.11855000590388474</v>
      </c>
      <c r="Q34" s="76"/>
    </row>
    <row r="35" spans="1:38" ht="14.25" customHeight="1" x14ac:dyDescent="0.25">
      <c r="A35" s="32">
        <v>57</v>
      </c>
      <c r="B35" s="32" t="s">
        <v>249</v>
      </c>
      <c r="F35" s="78">
        <v>0.125</v>
      </c>
      <c r="G35" s="34">
        <f t="shared" si="2"/>
        <v>2.1135907427087024E-2</v>
      </c>
      <c r="H35" s="78">
        <v>0.309</v>
      </c>
      <c r="I35" s="34">
        <f t="shared" si="3"/>
        <v>0.12976738694060691</v>
      </c>
      <c r="Q35" s="76"/>
    </row>
    <row r="36" spans="1:38" ht="14.25" customHeight="1" x14ac:dyDescent="0.25">
      <c r="Q36" s="76"/>
    </row>
    <row r="37" spans="1:38" ht="14.25" customHeight="1" x14ac:dyDescent="0.25">
      <c r="Q37" s="76"/>
    </row>
    <row r="38" spans="1:38" ht="14.25" customHeight="1" x14ac:dyDescent="0.25">
      <c r="Q38" s="76"/>
    </row>
    <row r="39" spans="1:38" ht="14.25" customHeight="1" x14ac:dyDescent="0.25">
      <c r="A39" s="259" t="s">
        <v>282</v>
      </c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1"/>
      <c r="Q39" s="76"/>
      <c r="R39" s="248" t="s">
        <v>317</v>
      </c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50"/>
    </row>
    <row r="40" spans="1:38" ht="14.25" customHeight="1" x14ac:dyDescent="0.25">
      <c r="A40" s="41" t="s">
        <v>207</v>
      </c>
      <c r="B40" s="71" t="s">
        <v>208</v>
      </c>
      <c r="C40" s="71"/>
      <c r="D40" s="41" t="s">
        <v>210</v>
      </c>
      <c r="E40" s="253" t="s">
        <v>400</v>
      </c>
      <c r="F40" s="253"/>
      <c r="G40" s="41"/>
      <c r="Q40" s="76"/>
      <c r="V40" s="253" t="s">
        <v>401</v>
      </c>
      <c r="W40" s="253"/>
    </row>
    <row r="41" spans="1:38" ht="14.25" customHeight="1" thickBot="1" x14ac:dyDescent="0.3">
      <c r="A41" s="41"/>
      <c r="B41" s="41"/>
      <c r="C41" s="41"/>
      <c r="D41" s="41" t="s">
        <v>212</v>
      </c>
      <c r="E41" s="254"/>
      <c r="F41" s="254"/>
      <c r="Q41" s="76"/>
      <c r="R41" s="32" t="s">
        <v>207</v>
      </c>
      <c r="S41" s="32" t="s">
        <v>208</v>
      </c>
      <c r="U41" s="32" t="s">
        <v>210</v>
      </c>
      <c r="V41" s="254"/>
      <c r="W41" s="254"/>
    </row>
    <row r="42" spans="1:38" ht="14.25" customHeight="1" x14ac:dyDescent="0.25">
      <c r="A42" s="41"/>
      <c r="B42" s="41"/>
      <c r="C42" s="41" t="s">
        <v>173</v>
      </c>
      <c r="D42" s="41" t="s">
        <v>145</v>
      </c>
      <c r="E42" s="142" t="s">
        <v>342</v>
      </c>
      <c r="F42" s="146" t="s">
        <v>343</v>
      </c>
      <c r="Q42" s="76"/>
      <c r="T42" s="32" t="s">
        <v>173</v>
      </c>
      <c r="U42" s="32" t="s">
        <v>145</v>
      </c>
      <c r="V42" s="142" t="s">
        <v>342</v>
      </c>
      <c r="W42" s="146" t="s">
        <v>343</v>
      </c>
      <c r="AH42" s="91"/>
    </row>
    <row r="43" spans="1:38" ht="14.25" customHeight="1" x14ac:dyDescent="0.25">
      <c r="A43" s="41">
        <v>25</v>
      </c>
      <c r="B43" s="71" t="s">
        <v>40</v>
      </c>
      <c r="C43" s="41">
        <v>0</v>
      </c>
      <c r="D43" s="41">
        <v>0</v>
      </c>
      <c r="E43" s="137"/>
      <c r="F43" s="147"/>
      <c r="Q43" s="76"/>
      <c r="R43" s="32">
        <v>25</v>
      </c>
      <c r="S43" s="32" t="s">
        <v>40</v>
      </c>
      <c r="T43" s="32">
        <v>0</v>
      </c>
      <c r="U43" s="32">
        <v>0</v>
      </c>
      <c r="V43" s="139"/>
      <c r="W43" s="151"/>
      <c r="AH43" s="91"/>
      <c r="AI43" s="41"/>
      <c r="AJ43" s="41"/>
      <c r="AK43" s="41"/>
      <c r="AL43" s="41"/>
    </row>
    <row r="44" spans="1:38" ht="14.25" customHeight="1" x14ac:dyDescent="0.25">
      <c r="A44" s="41">
        <v>26</v>
      </c>
      <c r="B44" s="71" t="s">
        <v>41</v>
      </c>
      <c r="C44" s="41">
        <v>1</v>
      </c>
      <c r="D44" s="41">
        <v>3.2749999999999999</v>
      </c>
      <c r="E44" s="137"/>
      <c r="F44" s="147"/>
      <c r="Q44" s="76"/>
      <c r="R44" s="32">
        <v>26</v>
      </c>
      <c r="S44" s="32" t="s">
        <v>41</v>
      </c>
      <c r="T44" s="32">
        <v>1</v>
      </c>
      <c r="U44" s="32">
        <v>55465.383000000002</v>
      </c>
      <c r="V44" s="139"/>
      <c r="W44" s="151"/>
      <c r="AH44" s="41"/>
      <c r="AI44" s="41"/>
      <c r="AJ44" s="41"/>
      <c r="AK44" s="41"/>
      <c r="AL44" s="41"/>
    </row>
    <row r="45" spans="1:38" ht="14.25" customHeight="1" x14ac:dyDescent="0.25">
      <c r="A45" s="41">
        <v>27</v>
      </c>
      <c r="B45" s="71" t="s">
        <v>42</v>
      </c>
      <c r="C45" s="41">
        <v>5</v>
      </c>
      <c r="D45" s="41">
        <v>17.463000000000001</v>
      </c>
      <c r="E45" s="137"/>
      <c r="F45" s="147"/>
      <c r="Q45" s="76"/>
      <c r="R45" s="32">
        <v>27</v>
      </c>
      <c r="S45" s="32" t="s">
        <v>42</v>
      </c>
      <c r="T45" s="32">
        <v>5</v>
      </c>
      <c r="U45" s="32">
        <v>172385.038</v>
      </c>
      <c r="V45" s="139"/>
      <c r="W45" s="151"/>
      <c r="AH45" s="41"/>
      <c r="AI45" s="41"/>
      <c r="AJ45" s="41"/>
      <c r="AK45" s="99"/>
      <c r="AL45" s="41"/>
    </row>
    <row r="46" spans="1:38" ht="14.25" customHeight="1" x14ac:dyDescent="0.25">
      <c r="A46" s="83">
        <v>28</v>
      </c>
      <c r="B46" s="84" t="s">
        <v>43</v>
      </c>
      <c r="C46" s="83">
        <v>10</v>
      </c>
      <c r="D46" s="83">
        <v>12.154</v>
      </c>
      <c r="E46" s="138"/>
      <c r="F46" s="148"/>
      <c r="Q46" s="76"/>
      <c r="R46" s="36">
        <v>28</v>
      </c>
      <c r="S46" s="36" t="s">
        <v>43</v>
      </c>
      <c r="T46" s="36">
        <v>10</v>
      </c>
      <c r="U46" s="36">
        <v>135610.59</v>
      </c>
      <c r="V46" s="140"/>
      <c r="W46" s="152"/>
      <c r="AH46" s="41"/>
      <c r="AI46" s="41"/>
      <c r="AJ46" s="41"/>
      <c r="AK46" s="99"/>
      <c r="AL46" s="41"/>
    </row>
    <row r="47" spans="1:38" ht="14.25" customHeight="1" x14ac:dyDescent="0.25">
      <c r="A47" s="41">
        <v>29</v>
      </c>
      <c r="B47" s="71" t="s">
        <v>104</v>
      </c>
      <c r="C47" s="41"/>
      <c r="D47" s="41">
        <v>0</v>
      </c>
      <c r="E47" s="137">
        <v>0</v>
      </c>
      <c r="F47" s="149">
        <f>(D47+0.1036)/3.5081</f>
        <v>2.9531655311992245E-2</v>
      </c>
      <c r="G47" s="41"/>
      <c r="Q47" s="76"/>
      <c r="R47" s="32">
        <v>29</v>
      </c>
      <c r="S47" s="32" t="s">
        <v>104</v>
      </c>
      <c r="U47" s="32">
        <v>3139.4549999999999</v>
      </c>
      <c r="V47" s="137">
        <v>0</v>
      </c>
      <c r="W47" s="147">
        <v>0</v>
      </c>
      <c r="AH47" s="41"/>
      <c r="AI47" s="41"/>
      <c r="AJ47" s="41"/>
      <c r="AK47" s="99"/>
      <c r="AL47" s="41"/>
    </row>
    <row r="48" spans="1:38" ht="14.25" customHeight="1" x14ac:dyDescent="0.25">
      <c r="A48" s="41">
        <v>30</v>
      </c>
      <c r="B48" s="71" t="s">
        <v>232</v>
      </c>
      <c r="C48" s="41"/>
      <c r="D48" s="41">
        <v>6.1609999999999996</v>
      </c>
      <c r="E48" s="141">
        <f>(D48-0.706)/1.0423</f>
        <v>5.2336179602801494</v>
      </c>
      <c r="F48" s="149">
        <f>(D48+0.1036)/3.5081</f>
        <v>1.7857529716940792</v>
      </c>
      <c r="G48" s="41"/>
      <c r="Q48" s="76"/>
      <c r="R48" s="32">
        <v>30</v>
      </c>
      <c r="S48" s="32" t="s">
        <v>232</v>
      </c>
      <c r="U48" s="32">
        <v>104640.356</v>
      </c>
      <c r="V48" s="141">
        <f>(U48-20722)/11719</f>
        <v>7.1608802798873628</v>
      </c>
      <c r="W48" s="149">
        <f>(U48-9994.5)/32978</f>
        <v>2.8699695554612163</v>
      </c>
      <c r="AH48" s="41"/>
      <c r="AI48" s="41"/>
      <c r="AJ48" s="100"/>
      <c r="AK48" s="99"/>
      <c r="AL48" s="100"/>
    </row>
    <row r="49" spans="1:38" ht="14.25" customHeight="1" x14ac:dyDescent="0.25">
      <c r="A49" s="41">
        <v>31</v>
      </c>
      <c r="B49" s="71" t="s">
        <v>233</v>
      </c>
      <c r="C49" s="41"/>
      <c r="D49" s="41">
        <v>6.25</v>
      </c>
      <c r="E49" s="141">
        <f>(D49-0.706)/1.0423</f>
        <v>5.3190060443250511</v>
      </c>
      <c r="F49" s="149">
        <f>(D49+0.1036)/3.5081</f>
        <v>1.8111228300219491</v>
      </c>
      <c r="G49" s="41"/>
      <c r="Q49" s="76"/>
      <c r="R49" s="32">
        <v>31</v>
      </c>
      <c r="S49" s="32" t="s">
        <v>233</v>
      </c>
      <c r="U49" s="32">
        <v>108915.398</v>
      </c>
      <c r="V49" s="141">
        <f>(U49-20722)/11719</f>
        <v>7.5256760815769264</v>
      </c>
      <c r="W49" s="149">
        <f>(U49-9994.5)/32978</f>
        <v>2.9996027048335252</v>
      </c>
      <c r="AH49" s="41"/>
      <c r="AI49" s="41"/>
      <c r="AJ49" s="100"/>
      <c r="AK49" s="99"/>
      <c r="AL49" s="100"/>
    </row>
    <row r="50" spans="1:38" ht="14.25" customHeight="1" x14ac:dyDescent="0.25">
      <c r="A50" s="41">
        <v>32</v>
      </c>
      <c r="B50" s="71" t="s">
        <v>234</v>
      </c>
      <c r="C50" s="41"/>
      <c r="D50" s="41">
        <v>5.774</v>
      </c>
      <c r="E50" s="141">
        <f>(D50-0.706)/1.0423</f>
        <v>4.8623237071860306</v>
      </c>
      <c r="F50" s="149">
        <f>(D50+0.1036)/3.5081</f>
        <v>1.6754368461560387</v>
      </c>
      <c r="G50" s="41"/>
      <c r="Q50" s="76"/>
      <c r="R50" s="32">
        <v>32</v>
      </c>
      <c r="S50" s="32" t="s">
        <v>234</v>
      </c>
      <c r="U50" s="32">
        <v>95340.800000000003</v>
      </c>
      <c r="V50" s="141">
        <f>(U50-20722)/11719</f>
        <v>6.3673350968512672</v>
      </c>
      <c r="W50" s="149">
        <f>(U50-9994.5)/32978</f>
        <v>2.5879768330402086</v>
      </c>
      <c r="AH50" s="41"/>
      <c r="AI50" s="41"/>
      <c r="AJ50" s="100"/>
      <c r="AK50" s="99"/>
      <c r="AL50" s="100"/>
    </row>
    <row r="51" spans="1:38" ht="14.25" customHeight="1" thickBot="1" x14ac:dyDescent="0.3">
      <c r="A51" s="41">
        <v>33</v>
      </c>
      <c r="B51" s="71" t="s">
        <v>235</v>
      </c>
      <c r="C51" s="41"/>
      <c r="D51" s="41">
        <v>5.3659999999999997</v>
      </c>
      <c r="E51" s="141">
        <f>(D51-0.706)/1.0423</f>
        <v>4.4708817039240145</v>
      </c>
      <c r="F51" s="150">
        <f>(D51+0.1036)/3.5081</f>
        <v>1.5591345742709728</v>
      </c>
      <c r="G51" s="41"/>
      <c r="Q51" s="76"/>
      <c r="R51" s="32">
        <v>33</v>
      </c>
      <c r="S51" s="32" t="s">
        <v>235</v>
      </c>
      <c r="U51" s="32">
        <v>94692.349000000002</v>
      </c>
      <c r="V51" s="141">
        <f>(U51-20722)/11719</f>
        <v>6.3120017919617712</v>
      </c>
      <c r="W51" s="150">
        <f>(U51-9994.5)/32978</f>
        <v>2.5683136939778035</v>
      </c>
      <c r="AH51" s="41"/>
      <c r="AI51" s="41"/>
      <c r="AJ51" s="100"/>
      <c r="AK51" s="99"/>
      <c r="AL51" s="100"/>
    </row>
    <row r="52" spans="1:38" ht="14.25" customHeight="1" x14ac:dyDescent="0.25">
      <c r="A52" s="41"/>
      <c r="B52" s="41"/>
      <c r="C52" s="41"/>
      <c r="D52" s="41"/>
      <c r="E52" s="41"/>
      <c r="F52" s="85"/>
      <c r="G52" s="41"/>
      <c r="Q52" s="76"/>
    </row>
    <row r="53" spans="1:38" ht="14.25" customHeight="1" x14ac:dyDescent="0.25">
      <c r="A53" s="32" t="s">
        <v>344</v>
      </c>
      <c r="Q53" s="76"/>
      <c r="R53" s="32" t="s">
        <v>320</v>
      </c>
    </row>
    <row r="54" spans="1:38" ht="14.25" customHeight="1" x14ac:dyDescent="0.25">
      <c r="Q54" s="76"/>
    </row>
    <row r="55" spans="1:38" ht="14.25" customHeight="1" x14ac:dyDescent="0.25">
      <c r="A55" s="259" t="s">
        <v>283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1"/>
      <c r="Q55" s="76"/>
      <c r="R55" s="248" t="s">
        <v>323</v>
      </c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50"/>
    </row>
    <row r="56" spans="1:38" ht="24.75" customHeight="1" x14ac:dyDescent="0.25">
      <c r="A56" s="32" t="s">
        <v>207</v>
      </c>
      <c r="B56" s="32" t="s">
        <v>208</v>
      </c>
      <c r="D56" s="32" t="s">
        <v>209</v>
      </c>
      <c r="E56" s="32" t="s">
        <v>211</v>
      </c>
      <c r="F56" s="263" t="s">
        <v>302</v>
      </c>
      <c r="G56" s="263" t="s">
        <v>305</v>
      </c>
      <c r="Q56" s="76"/>
      <c r="X56" s="132"/>
      <c r="Y56" s="132"/>
      <c r="Z56" s="132"/>
      <c r="AA56" s="132"/>
    </row>
    <row r="57" spans="1:38" ht="24.75" customHeight="1" x14ac:dyDescent="0.25">
      <c r="E57" s="32" t="s">
        <v>212</v>
      </c>
      <c r="F57" s="263"/>
      <c r="G57" s="263"/>
      <c r="Q57" s="76"/>
      <c r="R57" s="274" t="s">
        <v>397</v>
      </c>
      <c r="S57" s="239" t="s">
        <v>207</v>
      </c>
      <c r="T57" s="239" t="s">
        <v>208</v>
      </c>
      <c r="U57" s="239"/>
      <c r="V57" s="32" t="s">
        <v>211</v>
      </c>
      <c r="X57" s="252" t="s">
        <v>330</v>
      </c>
      <c r="Y57" s="252"/>
      <c r="Z57" s="252"/>
      <c r="AA57" s="252"/>
    </row>
    <row r="58" spans="1:38" ht="14.25" customHeight="1" x14ac:dyDescent="0.25">
      <c r="C58" s="32" t="s">
        <v>173</v>
      </c>
      <c r="E58" s="32" t="s">
        <v>214</v>
      </c>
      <c r="F58" s="263"/>
      <c r="G58" s="263"/>
      <c r="Q58" s="76"/>
      <c r="R58" s="274"/>
      <c r="S58" s="239"/>
      <c r="T58" s="239"/>
      <c r="U58" s="239"/>
      <c r="V58" s="32" t="s">
        <v>324</v>
      </c>
      <c r="X58" t="s">
        <v>399</v>
      </c>
      <c r="Y58" s="101"/>
      <c r="AB58" s="101"/>
    </row>
    <row r="59" spans="1:38" ht="14.25" customHeight="1" x14ac:dyDescent="0.25">
      <c r="A59" s="32">
        <v>43</v>
      </c>
      <c r="B59" s="32" t="s">
        <v>44</v>
      </c>
      <c r="C59" s="32">
        <v>0</v>
      </c>
      <c r="D59" s="32" t="s">
        <v>219</v>
      </c>
      <c r="E59" s="78">
        <v>0</v>
      </c>
      <c r="I59" s="78"/>
      <c r="K59" s="78"/>
      <c r="Q59" s="76"/>
      <c r="R59" s="274"/>
      <c r="S59" s="239"/>
      <c r="T59" s="239"/>
      <c r="U59" s="239"/>
      <c r="V59" s="32" t="s">
        <v>214</v>
      </c>
      <c r="X59" s="135" t="s">
        <v>331</v>
      </c>
      <c r="Y59" s="135" t="s">
        <v>332</v>
      </c>
      <c r="Z59" s="136" t="s">
        <v>331</v>
      </c>
      <c r="AA59" s="135" t="s">
        <v>332</v>
      </c>
      <c r="AB59" s="101"/>
    </row>
    <row r="60" spans="1:38" ht="14.25" customHeight="1" x14ac:dyDescent="0.25">
      <c r="A60" s="32">
        <v>44</v>
      </c>
      <c r="B60" s="32" t="s">
        <v>45</v>
      </c>
      <c r="C60" s="32">
        <v>1</v>
      </c>
      <c r="D60" s="32" t="s">
        <v>219</v>
      </c>
      <c r="E60" s="78">
        <v>21.626000000000001</v>
      </c>
      <c r="I60" s="78"/>
      <c r="K60" s="78"/>
      <c r="Q60" s="76"/>
      <c r="R60" s="274"/>
      <c r="S60" s="32" t="s">
        <v>325</v>
      </c>
      <c r="T60" s="32" t="s">
        <v>326</v>
      </c>
      <c r="X60" s="1">
        <v>1</v>
      </c>
      <c r="Y60" s="133">
        <f>159944*EXP(-0.127*X60)</f>
        <v>140868.06652987967</v>
      </c>
      <c r="Z60" s="121">
        <v>14</v>
      </c>
      <c r="AA60" s="133">
        <f>159944*EXP(-0.127*Z60)</f>
        <v>27026.659127682888</v>
      </c>
      <c r="AC60" s="263" t="s">
        <v>397</v>
      </c>
      <c r="AD60" s="239" t="s">
        <v>398</v>
      </c>
      <c r="AE60" s="263" t="s">
        <v>208</v>
      </c>
      <c r="AG60" s="41" t="s">
        <v>210</v>
      </c>
      <c r="AH60" s="263" t="s">
        <v>333</v>
      </c>
    </row>
    <row r="61" spans="1:38" ht="14.25" customHeight="1" x14ac:dyDescent="0.25">
      <c r="A61" s="32">
        <v>45</v>
      </c>
      <c r="B61" s="32" t="s">
        <v>46</v>
      </c>
      <c r="C61" s="32">
        <v>5</v>
      </c>
      <c r="D61" s="32" t="s">
        <v>219</v>
      </c>
      <c r="E61" s="78">
        <v>59.988999999999997</v>
      </c>
      <c r="I61" s="78"/>
      <c r="K61" s="78"/>
      <c r="Q61" s="76"/>
      <c r="R61" s="32">
        <v>5</v>
      </c>
      <c r="S61" s="32">
        <v>20</v>
      </c>
      <c r="T61" s="32" t="s">
        <v>103</v>
      </c>
      <c r="V61" s="32">
        <v>79368.277000000002</v>
      </c>
      <c r="X61" s="1">
        <v>2</v>
      </c>
      <c r="Y61" s="133">
        <f t="shared" ref="Y61:Y72" si="4">159944*EXP(-0.127*X61)</f>
        <v>124067.24958652156</v>
      </c>
      <c r="Z61" s="121">
        <v>15</v>
      </c>
      <c r="AA61" s="133">
        <f>159944*EXP(-0.127*Z61)</f>
        <v>23803.288751555621</v>
      </c>
      <c r="AC61" s="263"/>
      <c r="AD61" s="239"/>
      <c r="AE61" s="263"/>
      <c r="AF61" s="41" t="s">
        <v>173</v>
      </c>
      <c r="AG61" s="41" t="s">
        <v>214</v>
      </c>
      <c r="AH61" s="263"/>
      <c r="AI61" s="32" t="s">
        <v>280</v>
      </c>
    </row>
    <row r="62" spans="1:38" ht="14.25" customHeight="1" x14ac:dyDescent="0.25">
      <c r="A62" s="36">
        <v>46</v>
      </c>
      <c r="B62" s="36" t="s">
        <v>47</v>
      </c>
      <c r="C62" s="87">
        <v>10</v>
      </c>
      <c r="D62" s="87" t="s">
        <v>219</v>
      </c>
      <c r="E62" s="80">
        <v>44.116</v>
      </c>
      <c r="F62" s="36"/>
      <c r="G62" s="36"/>
      <c r="I62" s="78"/>
      <c r="K62" s="78"/>
      <c r="Q62" s="76"/>
      <c r="R62" s="32">
        <v>14</v>
      </c>
      <c r="S62" s="32">
        <v>29</v>
      </c>
      <c r="T62" s="32" t="s">
        <v>104</v>
      </c>
      <c r="V62" s="32">
        <v>26844.707999999999</v>
      </c>
      <c r="X62" s="1">
        <v>3</v>
      </c>
      <c r="Y62" s="133">
        <f t="shared" si="4"/>
        <v>109270.20437736523</v>
      </c>
      <c r="Z62" s="134">
        <v>16</v>
      </c>
      <c r="AA62" s="133">
        <f>159944*EXP(-0.127*Z62)</f>
        <v>20964.357922048177</v>
      </c>
      <c r="AC62" s="263"/>
      <c r="AD62" s="41">
        <v>43</v>
      </c>
      <c r="AE62" s="32" t="s">
        <v>44</v>
      </c>
      <c r="AF62" s="41">
        <v>0</v>
      </c>
      <c r="AG62" s="35">
        <v>2017.557</v>
      </c>
      <c r="AI62" s="34">
        <f>(AG62-82517)/74572</f>
        <v>-1.0794861744354449</v>
      </c>
    </row>
    <row r="63" spans="1:38" ht="14.25" customHeight="1" x14ac:dyDescent="0.25">
      <c r="A63" s="32">
        <v>58</v>
      </c>
      <c r="B63" s="32" t="s">
        <v>108</v>
      </c>
      <c r="D63" s="32" t="s">
        <v>219</v>
      </c>
      <c r="E63" s="78">
        <v>0.76100000000000001</v>
      </c>
      <c r="F63" s="88">
        <f t="shared" ref="F63:F73" si="5">(E63-4.5849)/11.31</f>
        <v>-0.33809902740937225</v>
      </c>
      <c r="G63" s="153">
        <f t="shared" ref="G63:G73" si="6">E63*$C$60/$E$60</f>
        <v>3.5189124202349022E-2</v>
      </c>
      <c r="I63" s="78"/>
      <c r="J63" s="34"/>
      <c r="K63" s="78"/>
      <c r="L63" s="34"/>
      <c r="Q63" s="76"/>
      <c r="R63" s="32">
        <v>23</v>
      </c>
      <c r="S63" s="32">
        <v>38</v>
      </c>
      <c r="T63" s="32" t="s">
        <v>109</v>
      </c>
      <c r="V63" s="32">
        <v>8926.2350000000006</v>
      </c>
      <c r="X63" s="1">
        <v>4</v>
      </c>
      <c r="Y63" s="133">
        <f t="shared" si="4"/>
        <v>96237.948406718817</v>
      </c>
      <c r="Z63" s="121">
        <v>17</v>
      </c>
      <c r="AA63" s="133">
        <f t="shared" ref="AA63:AA71" si="7">159944*EXP(-0.127*Z63)</f>
        <v>18464.015946326796</v>
      </c>
      <c r="AC63" s="263"/>
      <c r="AD63" s="41">
        <v>44</v>
      </c>
      <c r="AE63" s="32" t="s">
        <v>45</v>
      </c>
      <c r="AF63" s="30">
        <v>1</v>
      </c>
      <c r="AG63" s="35">
        <v>257713.69</v>
      </c>
      <c r="AI63" s="126">
        <f>(AG63-82517)/74572</f>
        <v>2.3493628976023171</v>
      </c>
    </row>
    <row r="64" spans="1:38" ht="14.25" customHeight="1" x14ac:dyDescent="0.25">
      <c r="A64" s="32">
        <v>59</v>
      </c>
      <c r="B64" s="102" t="s">
        <v>250</v>
      </c>
      <c r="C64" s="102"/>
      <c r="D64" s="102" t="s">
        <v>219</v>
      </c>
      <c r="E64" s="105">
        <v>4.9790000000000001</v>
      </c>
      <c r="F64" s="104">
        <f t="shared" si="5"/>
        <v>3.4845269672855866E-2</v>
      </c>
      <c r="G64" s="154">
        <f t="shared" si="6"/>
        <v>0.23023212799408119</v>
      </c>
      <c r="I64" s="78"/>
      <c r="J64" s="34"/>
      <c r="K64" s="78"/>
      <c r="L64" s="34"/>
      <c r="Q64" s="76"/>
      <c r="S64" s="32" t="s">
        <v>327</v>
      </c>
      <c r="T64" s="32" t="s">
        <v>326</v>
      </c>
      <c r="X64" s="1">
        <v>5</v>
      </c>
      <c r="Y64" s="133">
        <f t="shared" si="4"/>
        <v>84760.001743465182</v>
      </c>
      <c r="Z64" s="121">
        <v>18</v>
      </c>
      <c r="AA64" s="133">
        <f t="shared" si="7"/>
        <v>16261.880575300866</v>
      </c>
      <c r="AC64" s="263"/>
      <c r="AD64" s="41">
        <v>45</v>
      </c>
      <c r="AE64" s="32" t="s">
        <v>46</v>
      </c>
      <c r="AF64" s="41">
        <v>5</v>
      </c>
      <c r="AG64" s="35">
        <v>435252.7</v>
      </c>
      <c r="AI64" s="34">
        <f>(AG64-82517)/74572</f>
        <v>4.7301359759695334</v>
      </c>
    </row>
    <row r="65" spans="1:44" ht="14.25" customHeight="1" x14ac:dyDescent="0.25">
      <c r="A65" s="32">
        <v>60</v>
      </c>
      <c r="B65" s="102" t="s">
        <v>251</v>
      </c>
      <c r="C65" s="102"/>
      <c r="D65" s="102" t="s">
        <v>219</v>
      </c>
      <c r="E65" s="105">
        <v>5.2450000000000001</v>
      </c>
      <c r="F65" s="104">
        <f t="shared" si="5"/>
        <v>5.8364279398762146E-2</v>
      </c>
      <c r="G65" s="154">
        <f t="shared" si="6"/>
        <v>0.24253213724220846</v>
      </c>
      <c r="I65" s="78"/>
      <c r="J65" s="34"/>
      <c r="K65" s="78"/>
      <c r="L65" s="34"/>
      <c r="Q65" s="76"/>
      <c r="R65" s="32">
        <v>1</v>
      </c>
      <c r="S65" s="32">
        <v>47</v>
      </c>
      <c r="T65" s="32" t="s">
        <v>105</v>
      </c>
      <c r="V65" s="32">
        <v>151436.93400000001</v>
      </c>
      <c r="X65" s="1">
        <v>6</v>
      </c>
      <c r="Y65" s="133">
        <f t="shared" si="4"/>
        <v>74650.987624863512</v>
      </c>
      <c r="Z65" s="134">
        <v>19</v>
      </c>
      <c r="AA65" s="133">
        <f t="shared" si="7"/>
        <v>14322.385802421097</v>
      </c>
      <c r="AC65" s="263"/>
      <c r="AD65" s="83">
        <v>46</v>
      </c>
      <c r="AE65" s="36" t="s">
        <v>47</v>
      </c>
      <c r="AF65" s="123">
        <v>10</v>
      </c>
      <c r="AG65" s="125">
        <v>403066.21899999998</v>
      </c>
      <c r="AH65" s="36"/>
      <c r="AI65" s="127">
        <f>(AG65-82517)/74572</f>
        <v>4.2985198063616368</v>
      </c>
    </row>
    <row r="66" spans="1:44" ht="14.25" customHeight="1" x14ac:dyDescent="0.25">
      <c r="A66" s="32">
        <v>61</v>
      </c>
      <c r="B66" s="32" t="s">
        <v>252</v>
      </c>
      <c r="D66" s="32" t="s">
        <v>219</v>
      </c>
      <c r="E66" s="78">
        <v>3.0760000000000001</v>
      </c>
      <c r="F66" s="88">
        <f t="shared" si="5"/>
        <v>-0.13341290893015031</v>
      </c>
      <c r="G66" s="155">
        <f t="shared" si="6"/>
        <v>0.14223619717007305</v>
      </c>
      <c r="I66" s="78"/>
      <c r="J66" s="34"/>
      <c r="K66" s="78"/>
      <c r="L66" s="34"/>
      <c r="Q66" s="76"/>
      <c r="R66" s="32">
        <v>12</v>
      </c>
      <c r="S66" s="32">
        <v>58</v>
      </c>
      <c r="T66" s="32" t="s">
        <v>108</v>
      </c>
      <c r="V66" s="32">
        <v>33939.599999999999</v>
      </c>
      <c r="X66" s="1">
        <v>7</v>
      </c>
      <c r="Y66" s="133">
        <f t="shared" si="4"/>
        <v>65747.638493850958</v>
      </c>
      <c r="Z66" s="121">
        <v>20</v>
      </c>
      <c r="AA66" s="133">
        <f t="shared" si="7"/>
        <v>12614.207448119714</v>
      </c>
      <c r="AC66" s="1">
        <v>12</v>
      </c>
      <c r="AD66" s="99">
        <v>58</v>
      </c>
      <c r="AE66" s="32" t="s">
        <v>108</v>
      </c>
      <c r="AG66" s="35">
        <v>33939.599999999999</v>
      </c>
      <c r="AH66" s="32">
        <v>0</v>
      </c>
      <c r="AI66" s="34">
        <f>(AG66-82517)/74572</f>
        <v>-0.65141608110282678</v>
      </c>
    </row>
    <row r="67" spans="1:44" ht="14.25" customHeight="1" x14ac:dyDescent="0.25">
      <c r="A67" s="32">
        <v>62</v>
      </c>
      <c r="B67" s="32" t="s">
        <v>253</v>
      </c>
      <c r="D67" s="32" t="s">
        <v>219</v>
      </c>
      <c r="E67" s="78">
        <v>3.63</v>
      </c>
      <c r="F67" s="88">
        <f t="shared" si="5"/>
        <v>-8.4429708222811692E-2</v>
      </c>
      <c r="G67" s="155">
        <f t="shared" si="6"/>
        <v>0.16785350966429297</v>
      </c>
      <c r="I67" s="78"/>
      <c r="J67" s="34"/>
      <c r="K67" s="78"/>
      <c r="L67" s="34"/>
      <c r="Q67" s="76"/>
      <c r="R67" s="89">
        <v>22</v>
      </c>
      <c r="S67" s="89">
        <v>69</v>
      </c>
      <c r="T67" s="89" t="s">
        <v>106</v>
      </c>
      <c r="U67" s="89"/>
      <c r="V67" s="89">
        <v>0</v>
      </c>
      <c r="X67" s="1">
        <v>8</v>
      </c>
      <c r="Y67" s="133">
        <f t="shared" si="4"/>
        <v>57906.159115279559</v>
      </c>
      <c r="Z67" s="121">
        <v>21</v>
      </c>
      <c r="AA67" s="133">
        <f t="shared" si="7"/>
        <v>11109.757252684887</v>
      </c>
      <c r="AC67" s="128">
        <v>13</v>
      </c>
      <c r="AD67" s="130">
        <v>59</v>
      </c>
      <c r="AE67" s="102" t="s">
        <v>250</v>
      </c>
      <c r="AF67" s="102"/>
      <c r="AG67" s="103">
        <v>148610.43299999999</v>
      </c>
      <c r="AH67" s="103">
        <f>AG67-Y72</f>
        <v>117923.9042926495</v>
      </c>
      <c r="AI67" s="104">
        <f t="shared" ref="AI67:AI76" si="8">(AH67-82517)/74572</f>
        <v>0.47480159165168567</v>
      </c>
    </row>
    <row r="68" spans="1:44" ht="14.25" customHeight="1" x14ac:dyDescent="0.25">
      <c r="A68" s="32">
        <v>63</v>
      </c>
      <c r="B68" s="32" t="s">
        <v>254</v>
      </c>
      <c r="D68" s="32" t="s">
        <v>219</v>
      </c>
      <c r="E68" s="78">
        <v>2.99</v>
      </c>
      <c r="F68" s="88">
        <f t="shared" si="5"/>
        <v>-0.14101679929266137</v>
      </c>
      <c r="G68" s="155">
        <f t="shared" si="6"/>
        <v>0.13825950245075372</v>
      </c>
      <c r="I68" s="78"/>
      <c r="J68" s="34"/>
      <c r="K68" s="78"/>
      <c r="L68" s="34"/>
      <c r="Q68" s="76"/>
      <c r="S68" s="32">
        <v>84</v>
      </c>
      <c r="T68" s="32" t="s">
        <v>107</v>
      </c>
      <c r="V68" s="32">
        <v>0</v>
      </c>
      <c r="X68" s="1">
        <v>9</v>
      </c>
      <c r="Y68" s="133">
        <f t="shared" si="4"/>
        <v>50999.904183595499</v>
      </c>
      <c r="Z68" s="134">
        <v>22</v>
      </c>
      <c r="AA68" s="133">
        <f t="shared" si="7"/>
        <v>9784.7373068200595</v>
      </c>
      <c r="AC68" s="128">
        <v>14</v>
      </c>
      <c r="AD68" s="130">
        <v>60</v>
      </c>
      <c r="AE68" s="102" t="s">
        <v>251</v>
      </c>
      <c r="AF68" s="102"/>
      <c r="AG68" s="103">
        <v>148373.149</v>
      </c>
      <c r="AH68" s="103">
        <f t="shared" ref="AH68:AH76" si="9">AG68-AA60</f>
        <v>121346.48987231712</v>
      </c>
      <c r="AI68" s="104">
        <f t="shared" si="8"/>
        <v>0.52069798144500778</v>
      </c>
    </row>
    <row r="69" spans="1:44" ht="14.25" customHeight="1" x14ac:dyDescent="0.25">
      <c r="A69" s="32">
        <v>64</v>
      </c>
      <c r="B69" s="32" t="s">
        <v>255</v>
      </c>
      <c r="D69" s="32" t="s">
        <v>219</v>
      </c>
      <c r="E69" s="78">
        <v>2.7629999999999999</v>
      </c>
      <c r="F69" s="88">
        <f t="shared" si="5"/>
        <v>-0.16108753315649868</v>
      </c>
      <c r="G69" s="155">
        <f t="shared" si="6"/>
        <v>0.12776287801720151</v>
      </c>
      <c r="I69" s="78"/>
      <c r="J69" s="34"/>
      <c r="K69" s="78"/>
      <c r="L69" s="34"/>
      <c r="Q69" s="76"/>
      <c r="X69" s="1">
        <v>10</v>
      </c>
      <c r="Y69" s="133">
        <f t="shared" si="4"/>
        <v>44917.332913721177</v>
      </c>
      <c r="Z69" s="121">
        <v>23</v>
      </c>
      <c r="AA69" s="133">
        <f t="shared" si="7"/>
        <v>8617.7476236340444</v>
      </c>
      <c r="AC69" s="1">
        <v>15</v>
      </c>
      <c r="AD69" s="99">
        <v>61</v>
      </c>
      <c r="AE69" s="32" t="s">
        <v>252</v>
      </c>
      <c r="AG69" s="35">
        <v>102371.758</v>
      </c>
      <c r="AH69" s="35">
        <f t="shared" si="9"/>
        <v>78568.46924844438</v>
      </c>
      <c r="AI69" s="34">
        <f t="shared" si="8"/>
        <v>-5.294924035235235E-2</v>
      </c>
    </row>
    <row r="70" spans="1:44" ht="14.25" customHeight="1" x14ac:dyDescent="0.25">
      <c r="A70" s="32">
        <v>65</v>
      </c>
      <c r="B70" s="32" t="s">
        <v>256</v>
      </c>
      <c r="D70" s="32" t="s">
        <v>219</v>
      </c>
      <c r="E70" s="78">
        <v>3.1549999999999998</v>
      </c>
      <c r="F70" s="88">
        <f t="shared" si="5"/>
        <v>-0.12642793987621576</v>
      </c>
      <c r="G70" s="155">
        <f t="shared" si="6"/>
        <v>0.1458892074354943</v>
      </c>
      <c r="I70" s="78"/>
      <c r="J70" s="34"/>
      <c r="K70" s="78"/>
      <c r="L70" s="34"/>
      <c r="Q70" s="76"/>
      <c r="X70" s="1">
        <v>11</v>
      </c>
      <c r="Y70" s="133">
        <f t="shared" si="4"/>
        <v>39560.207580370799</v>
      </c>
      <c r="Z70" s="121">
        <v>24</v>
      </c>
      <c r="AA70" s="133">
        <f t="shared" si="7"/>
        <v>7589.9405140786348</v>
      </c>
      <c r="AC70" s="1">
        <v>16</v>
      </c>
      <c r="AD70" s="99">
        <v>62</v>
      </c>
      <c r="AE70" s="32" t="s">
        <v>253</v>
      </c>
      <c r="AG70" s="35">
        <v>112576.773</v>
      </c>
      <c r="AH70" s="35">
        <f t="shared" si="9"/>
        <v>91612.415077951824</v>
      </c>
      <c r="AI70" s="34">
        <f t="shared" si="8"/>
        <v>0.12196823308952186</v>
      </c>
    </row>
    <row r="71" spans="1:44" ht="14.25" customHeight="1" x14ac:dyDescent="0.25">
      <c r="A71" s="32">
        <v>66</v>
      </c>
      <c r="B71" s="32" t="s">
        <v>257</v>
      </c>
      <c r="D71" s="32" t="s">
        <v>219</v>
      </c>
      <c r="E71" s="78">
        <v>2.7709999999999999</v>
      </c>
      <c r="F71" s="88">
        <f t="shared" si="5"/>
        <v>-0.16038019451812557</v>
      </c>
      <c r="G71" s="155">
        <f t="shared" si="6"/>
        <v>0.12813280310737074</v>
      </c>
      <c r="I71" s="78"/>
      <c r="J71" s="34"/>
      <c r="K71" s="78"/>
      <c r="L71" s="34"/>
      <c r="Q71" s="76"/>
      <c r="X71" s="1">
        <v>12</v>
      </c>
      <c r="Y71" s="133">
        <f t="shared" si="4"/>
        <v>34842.006910965865</v>
      </c>
      <c r="Z71" s="134">
        <v>25</v>
      </c>
      <c r="AA71" s="133">
        <f t="shared" si="7"/>
        <v>6684.7161837584308</v>
      </c>
      <c r="AC71" s="1">
        <v>17</v>
      </c>
      <c r="AD71" s="99">
        <v>63</v>
      </c>
      <c r="AE71" s="32" t="s">
        <v>254</v>
      </c>
      <c r="AG71" s="35">
        <v>106381.933</v>
      </c>
      <c r="AH71" s="35">
        <f t="shared" si="9"/>
        <v>87917.917053673213</v>
      </c>
      <c r="AI71" s="34">
        <f t="shared" si="8"/>
        <v>7.2425535773121455E-2</v>
      </c>
    </row>
    <row r="72" spans="1:44" ht="14.25" customHeight="1" x14ac:dyDescent="0.25">
      <c r="A72" s="32">
        <v>67</v>
      </c>
      <c r="B72" s="102" t="s">
        <v>258</v>
      </c>
      <c r="C72" s="102"/>
      <c r="D72" s="102" t="s">
        <v>219</v>
      </c>
      <c r="E72" s="105">
        <v>8.5449999999999999</v>
      </c>
      <c r="F72" s="104">
        <f t="shared" si="5"/>
        <v>0.35014146772767457</v>
      </c>
      <c r="G72" s="154">
        <f t="shared" si="6"/>
        <v>0.3951262369370202</v>
      </c>
      <c r="I72" s="78"/>
      <c r="J72" s="34"/>
      <c r="K72" s="78"/>
      <c r="L72" s="34"/>
      <c r="Q72" s="76"/>
      <c r="X72" s="1">
        <v>13</v>
      </c>
      <c r="Y72" s="133">
        <f t="shared" si="4"/>
        <v>30686.528707350491</v>
      </c>
      <c r="Z72" s="121"/>
      <c r="AA72" s="41"/>
      <c r="AC72" s="1">
        <v>18</v>
      </c>
      <c r="AD72" s="99">
        <v>64</v>
      </c>
      <c r="AE72" s="32" t="s">
        <v>255</v>
      </c>
      <c r="AG72" s="35">
        <v>97132.627999999997</v>
      </c>
      <c r="AH72" s="35">
        <f t="shared" si="9"/>
        <v>80870.747424699133</v>
      </c>
      <c r="AI72" s="34">
        <f t="shared" si="8"/>
        <v>-2.207601479510898E-2</v>
      </c>
    </row>
    <row r="73" spans="1:44" ht="14.25" customHeight="1" x14ac:dyDescent="0.25">
      <c r="A73" s="32">
        <v>68</v>
      </c>
      <c r="B73" s="102" t="s">
        <v>259</v>
      </c>
      <c r="C73" s="102"/>
      <c r="D73" s="102" t="s">
        <v>219</v>
      </c>
      <c r="E73" s="105">
        <v>9.1050000000000004</v>
      </c>
      <c r="F73" s="104">
        <f t="shared" si="5"/>
        <v>0.39965517241379311</v>
      </c>
      <c r="G73" s="154">
        <f t="shared" si="6"/>
        <v>0.4210209932488671</v>
      </c>
      <c r="I73" s="78"/>
      <c r="J73" s="34"/>
      <c r="K73" s="78"/>
      <c r="L73" s="34"/>
      <c r="Q73" s="76"/>
      <c r="X73" s="1"/>
      <c r="Y73" s="133"/>
      <c r="Z73" s="41"/>
      <c r="AA73" s="41"/>
      <c r="AC73" s="1">
        <v>19</v>
      </c>
      <c r="AD73" s="99">
        <v>65</v>
      </c>
      <c r="AE73" s="32" t="s">
        <v>256</v>
      </c>
      <c r="AG73" s="35">
        <v>106688.26</v>
      </c>
      <c r="AH73" s="35">
        <f t="shared" si="9"/>
        <v>92365.874197578902</v>
      </c>
      <c r="AI73" s="34">
        <f t="shared" si="8"/>
        <v>0.13207201359195009</v>
      </c>
    </row>
    <row r="74" spans="1:44" ht="14.25" customHeight="1" x14ac:dyDescent="0.25">
      <c r="I74" s="78"/>
      <c r="J74" s="34"/>
      <c r="K74" s="78"/>
      <c r="L74" s="34"/>
      <c r="Q74" s="76"/>
      <c r="X74" s="1"/>
      <c r="Y74" s="133"/>
      <c r="Z74" s="41"/>
      <c r="AA74" s="41"/>
      <c r="AC74" s="1">
        <v>20</v>
      </c>
      <c r="AD74" s="41">
        <v>66</v>
      </c>
      <c r="AE74" s="32" t="s">
        <v>257</v>
      </c>
      <c r="AG74" s="35">
        <v>95128.842999999993</v>
      </c>
      <c r="AH74" s="35">
        <f t="shared" si="9"/>
        <v>82514.635551880274</v>
      </c>
      <c r="AI74" s="34">
        <f t="shared" si="8"/>
        <v>-3.1706915728774185E-5</v>
      </c>
    </row>
    <row r="75" spans="1:44" ht="14.25" customHeight="1" x14ac:dyDescent="0.25">
      <c r="I75" s="78"/>
      <c r="J75" s="34"/>
      <c r="K75" s="78"/>
      <c r="L75" s="34"/>
      <c r="Q75" s="76"/>
      <c r="AC75" s="128">
        <v>21</v>
      </c>
      <c r="AD75" s="129">
        <v>67</v>
      </c>
      <c r="AE75" s="102" t="s">
        <v>258</v>
      </c>
      <c r="AF75" s="102"/>
      <c r="AG75" s="103">
        <v>216387.89199999999</v>
      </c>
      <c r="AH75" s="103">
        <f t="shared" si="9"/>
        <v>205278.13474731511</v>
      </c>
      <c r="AI75" s="104">
        <f t="shared" si="8"/>
        <v>1.646209498837568</v>
      </c>
    </row>
    <row r="76" spans="1:44" ht="14.25" customHeight="1" x14ac:dyDescent="0.25">
      <c r="I76" s="78"/>
      <c r="J76" s="34"/>
      <c r="K76" s="78"/>
      <c r="Q76" s="76"/>
      <c r="AC76" s="128">
        <v>22</v>
      </c>
      <c r="AD76" s="129">
        <v>68</v>
      </c>
      <c r="AE76" s="102" t="s">
        <v>259</v>
      </c>
      <c r="AF76" s="102"/>
      <c r="AG76" s="103">
        <v>248334.50700000001</v>
      </c>
      <c r="AH76" s="103">
        <f t="shared" si="9"/>
        <v>238549.76969317996</v>
      </c>
      <c r="AI76" s="104">
        <f t="shared" si="8"/>
        <v>2.0923774297749822</v>
      </c>
    </row>
    <row r="77" spans="1:44" ht="14.25" customHeight="1" x14ac:dyDescent="0.25">
      <c r="I77" s="78"/>
      <c r="J77" s="34"/>
      <c r="K77" s="78"/>
      <c r="Q77" s="76"/>
    </row>
    <row r="78" spans="1:44" ht="14.25" customHeight="1" x14ac:dyDescent="0.25">
      <c r="I78" s="78"/>
      <c r="J78" s="34"/>
      <c r="K78" s="78"/>
      <c r="Q78" s="76"/>
    </row>
    <row r="79" spans="1:44" ht="14.25" customHeight="1" x14ac:dyDescent="0.25">
      <c r="A79" s="258" t="s">
        <v>407</v>
      </c>
      <c r="B79" s="258"/>
      <c r="C79" s="258"/>
      <c r="D79" s="258"/>
      <c r="E79" s="258"/>
      <c r="F79" s="258"/>
      <c r="G79" s="258"/>
      <c r="H79" s="258"/>
      <c r="I79" s="258"/>
      <c r="J79" s="258"/>
      <c r="K79" s="106"/>
      <c r="L79" s="106"/>
      <c r="Q79" s="76"/>
      <c r="AJ79" s="271" t="s">
        <v>335</v>
      </c>
      <c r="AK79" s="271"/>
      <c r="AL79" s="271"/>
      <c r="AM79" s="271"/>
      <c r="AN79" s="271"/>
      <c r="AO79" s="271"/>
      <c r="AP79" s="271"/>
      <c r="AQ79" s="271"/>
      <c r="AR79" s="271"/>
    </row>
    <row r="80" spans="1:44" ht="14.25" customHeight="1" x14ac:dyDescent="0.25">
      <c r="A80" s="131" t="s">
        <v>207</v>
      </c>
      <c r="B80" s="131" t="s">
        <v>208</v>
      </c>
      <c r="C80" s="131"/>
      <c r="D80" s="131"/>
      <c r="E80" s="131" t="s">
        <v>211</v>
      </c>
      <c r="F80" s="131"/>
      <c r="G80" s="156" t="s">
        <v>210</v>
      </c>
      <c r="H80" s="156"/>
      <c r="I80" s="156" t="s">
        <v>210</v>
      </c>
      <c r="J80" s="156"/>
      <c r="K80" s="41"/>
      <c r="Q80" s="76"/>
      <c r="AJ80" s="271"/>
      <c r="AK80" s="271"/>
      <c r="AL80" s="271"/>
      <c r="AM80" s="271"/>
      <c r="AN80" s="271"/>
      <c r="AO80" s="271"/>
      <c r="AP80" s="271"/>
      <c r="AQ80" s="271"/>
      <c r="AR80" s="271"/>
    </row>
    <row r="81" spans="1:44" ht="14.25" customHeight="1" x14ac:dyDescent="0.25">
      <c r="A81" s="131"/>
      <c r="B81" s="131"/>
      <c r="C81" s="131"/>
      <c r="D81" s="131"/>
      <c r="E81" s="131" t="s">
        <v>212</v>
      </c>
      <c r="F81" s="131"/>
      <c r="G81" s="156" t="s">
        <v>212</v>
      </c>
      <c r="H81" s="156"/>
      <c r="I81" s="156" t="s">
        <v>212</v>
      </c>
      <c r="J81" s="156"/>
      <c r="K81" s="41"/>
      <c r="Q81" s="76"/>
      <c r="AJ81" s="271"/>
      <c r="AK81" s="271"/>
      <c r="AL81" s="271"/>
      <c r="AM81" s="271"/>
      <c r="AN81" s="271"/>
      <c r="AO81" s="271"/>
      <c r="AP81" s="271"/>
      <c r="AQ81" s="271"/>
      <c r="AR81" s="271"/>
    </row>
    <row r="82" spans="1:44" ht="14.25" customHeight="1" x14ac:dyDescent="0.25">
      <c r="A82" s="131"/>
      <c r="B82" s="131"/>
      <c r="C82" s="131"/>
      <c r="D82" s="131"/>
      <c r="E82" s="131" t="s">
        <v>214</v>
      </c>
      <c r="F82" s="131" t="s">
        <v>280</v>
      </c>
      <c r="G82" s="156" t="s">
        <v>216</v>
      </c>
      <c r="H82" s="157" t="s">
        <v>280</v>
      </c>
      <c r="I82" s="156" t="s">
        <v>217</v>
      </c>
      <c r="J82" s="157" t="s">
        <v>280</v>
      </c>
      <c r="K82" s="41"/>
      <c r="Q82" s="76"/>
    </row>
    <row r="83" spans="1:44" ht="14.25" customHeight="1" x14ac:dyDescent="0.25">
      <c r="A83" s="131">
        <v>13</v>
      </c>
      <c r="B83" s="131" t="s">
        <v>225</v>
      </c>
      <c r="C83" s="131">
        <v>1</v>
      </c>
      <c r="D83" s="131"/>
      <c r="E83" s="156">
        <v>21.792999999999999</v>
      </c>
      <c r="F83" s="131"/>
      <c r="G83" s="156"/>
      <c r="H83" s="156"/>
      <c r="I83" s="156"/>
      <c r="J83" s="156"/>
      <c r="K83" s="41"/>
      <c r="Q83" s="76"/>
    </row>
    <row r="84" spans="1:44" ht="14.25" customHeight="1" x14ac:dyDescent="0.25">
      <c r="A84" s="131">
        <v>14</v>
      </c>
      <c r="B84" s="131" t="s">
        <v>226</v>
      </c>
      <c r="C84" s="131">
        <v>5</v>
      </c>
      <c r="D84" s="131"/>
      <c r="E84" s="156">
        <v>65.222999999999999</v>
      </c>
      <c r="F84" s="131"/>
      <c r="G84" s="156"/>
      <c r="H84" s="156"/>
      <c r="I84" s="156"/>
      <c r="J84" s="156"/>
      <c r="K84" s="41"/>
      <c r="Q84" s="76"/>
    </row>
    <row r="85" spans="1:44" ht="14.25" customHeight="1" x14ac:dyDescent="0.25">
      <c r="A85" s="131">
        <v>15</v>
      </c>
      <c r="B85" s="131" t="s">
        <v>227</v>
      </c>
      <c r="C85" s="131">
        <v>10</v>
      </c>
      <c r="D85" s="131"/>
      <c r="E85" s="156">
        <v>92.091999999999999</v>
      </c>
      <c r="F85" s="131"/>
      <c r="G85" s="156"/>
      <c r="H85" s="156"/>
      <c r="I85" s="156"/>
      <c r="J85" s="156"/>
      <c r="K85" s="41"/>
      <c r="Q85" s="76"/>
    </row>
    <row r="86" spans="1:44" ht="14.25" customHeight="1" x14ac:dyDescent="0.25">
      <c r="A86" s="158"/>
      <c r="B86" s="158"/>
      <c r="C86" s="158">
        <v>0</v>
      </c>
      <c r="D86" s="158"/>
      <c r="E86" s="158">
        <v>0</v>
      </c>
      <c r="F86" s="158"/>
      <c r="G86" s="159"/>
      <c r="H86" s="159"/>
      <c r="I86" s="159"/>
      <c r="J86" s="159"/>
      <c r="K86" s="41"/>
      <c r="Q86" s="76"/>
    </row>
    <row r="87" spans="1:44" ht="14.25" customHeight="1" x14ac:dyDescent="0.25">
      <c r="A87" s="131">
        <v>9</v>
      </c>
      <c r="B87" s="131" t="s">
        <v>221</v>
      </c>
      <c r="C87" s="131"/>
      <c r="D87" s="131"/>
      <c r="E87" s="156" t="s">
        <v>146</v>
      </c>
      <c r="F87" s="131"/>
      <c r="G87" s="156" t="s">
        <v>146</v>
      </c>
      <c r="H87" s="156"/>
      <c r="I87" s="156" t="s">
        <v>146</v>
      </c>
      <c r="J87" s="156"/>
      <c r="K87" s="41"/>
      <c r="Q87" s="76"/>
    </row>
    <row r="88" spans="1:44" ht="14.25" customHeight="1" x14ac:dyDescent="0.25">
      <c r="A88" s="131">
        <v>10</v>
      </c>
      <c r="B88" s="131" t="s">
        <v>222</v>
      </c>
      <c r="C88" s="131"/>
      <c r="D88" s="131"/>
      <c r="E88" s="156" t="s">
        <v>146</v>
      </c>
      <c r="F88" s="131"/>
      <c r="G88" s="156">
        <v>7.4589999999999996</v>
      </c>
      <c r="H88" s="156"/>
      <c r="I88" s="156" t="s">
        <v>146</v>
      </c>
      <c r="J88" s="156"/>
      <c r="K88" s="41"/>
      <c r="Q88" s="76"/>
    </row>
    <row r="89" spans="1:44" ht="14.25" customHeight="1" x14ac:dyDescent="0.25">
      <c r="A89" s="131">
        <v>11</v>
      </c>
      <c r="B89" s="131" t="s">
        <v>223</v>
      </c>
      <c r="C89" s="131"/>
      <c r="D89" s="131"/>
      <c r="E89" s="156" t="s">
        <v>146</v>
      </c>
      <c r="F89" s="131"/>
      <c r="G89" s="156">
        <v>1.88</v>
      </c>
      <c r="H89" s="156"/>
      <c r="I89" s="156">
        <v>0.57399999999999995</v>
      </c>
      <c r="J89" s="156"/>
      <c r="K89" s="41"/>
      <c r="Q89" s="76"/>
    </row>
    <row r="90" spans="1:44" ht="14.25" customHeight="1" x14ac:dyDescent="0.25">
      <c r="A90" s="131">
        <v>12</v>
      </c>
      <c r="B90" s="131" t="s">
        <v>224</v>
      </c>
      <c r="C90" s="131"/>
      <c r="D90" s="131"/>
      <c r="E90" s="156" t="s">
        <v>146</v>
      </c>
      <c r="F90" s="131"/>
      <c r="G90" s="156">
        <v>1.1439999999999999</v>
      </c>
      <c r="H90" s="156"/>
      <c r="I90" s="156">
        <v>1.1200000000000001</v>
      </c>
      <c r="J90" s="156"/>
      <c r="K90" s="41"/>
      <c r="Q90" s="76"/>
    </row>
    <row r="91" spans="1:44" ht="14.25" customHeight="1" x14ac:dyDescent="0.25">
      <c r="G91" s="41"/>
      <c r="H91" s="41"/>
      <c r="I91" s="41"/>
      <c r="J91" s="41"/>
      <c r="K91" s="41"/>
      <c r="Q91" s="76"/>
    </row>
    <row r="92" spans="1:44" ht="14.25" customHeight="1" x14ac:dyDescent="0.25">
      <c r="Q92" s="76"/>
    </row>
    <row r="93" spans="1:44" ht="14.25" customHeight="1" x14ac:dyDescent="0.25">
      <c r="Q93" s="76"/>
    </row>
    <row r="94" spans="1:44" ht="14.25" customHeight="1" x14ac:dyDescent="0.25">
      <c r="Q94" s="76"/>
    </row>
    <row r="95" spans="1:44" ht="14.25" customHeight="1" x14ac:dyDescent="0.25">
      <c r="A95" s="259" t="s">
        <v>284</v>
      </c>
      <c r="B95" s="260"/>
      <c r="C95" s="260"/>
      <c r="D95" s="260"/>
      <c r="E95" s="260"/>
      <c r="F95" s="260"/>
      <c r="G95" s="260"/>
      <c r="H95" s="260"/>
      <c r="I95" s="260"/>
      <c r="J95" s="260"/>
      <c r="K95" s="260"/>
      <c r="L95" s="261"/>
      <c r="Q95" s="76"/>
      <c r="R95" s="248" t="s">
        <v>19</v>
      </c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50"/>
    </row>
    <row r="96" spans="1:44" ht="19.5" customHeight="1" x14ac:dyDescent="0.25">
      <c r="A96" s="32" t="s">
        <v>207</v>
      </c>
      <c r="B96" s="32" t="s">
        <v>208</v>
      </c>
      <c r="D96" s="32" t="s">
        <v>209</v>
      </c>
      <c r="E96" s="32" t="s">
        <v>210</v>
      </c>
      <c r="G96" s="86" t="s">
        <v>211</v>
      </c>
      <c r="H96" s="262" t="s">
        <v>301</v>
      </c>
      <c r="Q96" s="76"/>
    </row>
    <row r="97" spans="1:23" ht="19.5" customHeight="1" x14ac:dyDescent="0.25">
      <c r="E97" s="32" t="s">
        <v>212</v>
      </c>
      <c r="G97" s="75" t="s">
        <v>298</v>
      </c>
      <c r="H97" s="242"/>
      <c r="Q97" s="76"/>
    </row>
    <row r="98" spans="1:23" ht="14.25" customHeight="1" x14ac:dyDescent="0.25">
      <c r="C98" s="32" t="s">
        <v>173</v>
      </c>
      <c r="E98" s="32" t="s">
        <v>215</v>
      </c>
      <c r="F98" s="32" t="s">
        <v>280</v>
      </c>
      <c r="G98" s="75" t="s">
        <v>215</v>
      </c>
      <c r="H98" s="107"/>
      <c r="Q98" s="76"/>
      <c r="S98" s="32" t="s">
        <v>207</v>
      </c>
      <c r="T98" s="32" t="s">
        <v>208</v>
      </c>
      <c r="V98" s="32" t="s">
        <v>210</v>
      </c>
    </row>
    <row r="99" spans="1:23" ht="14.25" customHeight="1" x14ac:dyDescent="0.25">
      <c r="A99" s="32">
        <v>2</v>
      </c>
      <c r="B99" s="32" t="s">
        <v>53</v>
      </c>
      <c r="C99" s="89">
        <v>10</v>
      </c>
      <c r="D99" s="89" t="s">
        <v>220</v>
      </c>
      <c r="E99" s="89">
        <v>28.481999999999999</v>
      </c>
      <c r="F99" s="34">
        <f>(E99-0.0026)/3.7725</f>
        <v>7.5492113982770039</v>
      </c>
      <c r="G99" s="75"/>
      <c r="Q99" s="76"/>
      <c r="U99" s="32" t="s">
        <v>173</v>
      </c>
      <c r="V99" s="32" t="s">
        <v>215</v>
      </c>
      <c r="W99" s="32" t="s">
        <v>280</v>
      </c>
    </row>
    <row r="100" spans="1:23" ht="14.25" customHeight="1" x14ac:dyDescent="0.25">
      <c r="A100" s="32">
        <v>80</v>
      </c>
      <c r="B100" s="32" t="s">
        <v>50</v>
      </c>
      <c r="C100" s="32">
        <v>0</v>
      </c>
      <c r="D100" s="32" t="s">
        <v>219</v>
      </c>
      <c r="E100" s="32">
        <v>0</v>
      </c>
      <c r="F100" s="34">
        <f>(E100-0.0026)/3.7725</f>
        <v>-6.8919814446653414E-4</v>
      </c>
      <c r="G100" s="75"/>
      <c r="Q100" s="76"/>
      <c r="S100" s="32">
        <v>80</v>
      </c>
      <c r="T100" s="32" t="s">
        <v>50</v>
      </c>
      <c r="U100" s="32">
        <v>0</v>
      </c>
      <c r="V100" s="32">
        <v>239.304</v>
      </c>
    </row>
    <row r="101" spans="1:23" ht="14.25" customHeight="1" x14ac:dyDescent="0.25">
      <c r="A101" s="32">
        <v>81</v>
      </c>
      <c r="B101" s="32" t="s">
        <v>51</v>
      </c>
      <c r="C101" s="32">
        <v>1</v>
      </c>
      <c r="D101" s="32" t="s">
        <v>219</v>
      </c>
      <c r="E101" s="32">
        <v>3.7709999999999999</v>
      </c>
      <c r="F101" s="34">
        <f>(E101-0.0026)/3.7725</f>
        <v>0.99891318754141811</v>
      </c>
      <c r="G101" s="75">
        <v>78069</v>
      </c>
      <c r="Q101" s="76"/>
      <c r="S101" s="32">
        <v>81</v>
      </c>
      <c r="T101" s="32" t="s">
        <v>51</v>
      </c>
      <c r="U101" s="32">
        <v>1</v>
      </c>
      <c r="V101" s="32">
        <v>78069.356</v>
      </c>
    </row>
    <row r="102" spans="1:23" ht="14.25" customHeight="1" x14ac:dyDescent="0.25">
      <c r="A102" s="32">
        <v>82</v>
      </c>
      <c r="B102" s="32" t="s">
        <v>52</v>
      </c>
      <c r="C102" s="32">
        <v>5</v>
      </c>
      <c r="D102" s="32" t="s">
        <v>219</v>
      </c>
      <c r="E102" s="32">
        <v>18.878</v>
      </c>
      <c r="F102" s="34">
        <f>(E102-0.0026)/3.7725</f>
        <v>5.0034194831013918</v>
      </c>
      <c r="G102" s="75"/>
      <c r="Q102" s="76"/>
      <c r="S102" s="32">
        <v>82</v>
      </c>
      <c r="T102" s="32" t="s">
        <v>52</v>
      </c>
      <c r="U102" s="32">
        <v>5</v>
      </c>
      <c r="V102" s="32">
        <v>239515.391</v>
      </c>
    </row>
    <row r="103" spans="1:23" ht="14.25" customHeight="1" x14ac:dyDescent="0.25">
      <c r="A103" s="36">
        <v>83</v>
      </c>
      <c r="B103" s="36" t="s">
        <v>53</v>
      </c>
      <c r="C103" s="36">
        <v>10</v>
      </c>
      <c r="D103" s="36" t="s">
        <v>219</v>
      </c>
      <c r="E103" s="36">
        <v>37.722000000000001</v>
      </c>
      <c r="F103" s="37">
        <f>(E103-0.0026)/3.7725</f>
        <v>9.9985155732273032</v>
      </c>
      <c r="G103" s="79"/>
      <c r="H103" s="36"/>
      <c r="Q103" s="76"/>
      <c r="S103" s="36">
        <v>83</v>
      </c>
      <c r="T103" s="36" t="s">
        <v>53</v>
      </c>
      <c r="U103" s="36">
        <v>10</v>
      </c>
      <c r="V103" s="36">
        <v>376206.86099999998</v>
      </c>
      <c r="W103" s="36"/>
    </row>
    <row r="104" spans="1:23" ht="14.25" customHeight="1" x14ac:dyDescent="0.25">
      <c r="A104" s="32">
        <v>84</v>
      </c>
      <c r="B104" s="32" t="s">
        <v>107</v>
      </c>
      <c r="D104" s="32" t="s">
        <v>219</v>
      </c>
      <c r="E104" s="32" t="s">
        <v>146</v>
      </c>
      <c r="F104" s="34"/>
      <c r="G104" s="75"/>
      <c r="Q104" s="76"/>
      <c r="S104" s="32">
        <v>84</v>
      </c>
      <c r="T104" s="32" t="s">
        <v>107</v>
      </c>
      <c r="V104" s="32" t="s">
        <v>146</v>
      </c>
      <c r="W104" s="32">
        <v>0</v>
      </c>
    </row>
    <row r="105" spans="1:23" ht="14.25" customHeight="1" x14ac:dyDescent="0.25">
      <c r="A105" s="32">
        <v>85</v>
      </c>
      <c r="B105" s="32" t="s">
        <v>270</v>
      </c>
      <c r="D105" s="32" t="s">
        <v>219</v>
      </c>
      <c r="E105" s="32" t="s">
        <v>146</v>
      </c>
      <c r="F105" s="34"/>
      <c r="G105" s="75"/>
      <c r="Q105" s="76"/>
      <c r="S105" s="32">
        <v>85</v>
      </c>
      <c r="T105" s="32" t="s">
        <v>270</v>
      </c>
      <c r="V105" s="32">
        <v>397.30099999999999</v>
      </c>
      <c r="W105" s="82">
        <f t="shared" ref="W105:W113" si="10">(V105-27599)/36477</f>
        <v>-0.74572193436960277</v>
      </c>
    </row>
    <row r="106" spans="1:23" ht="14.25" customHeight="1" x14ac:dyDescent="0.25">
      <c r="A106" s="32">
        <v>86</v>
      </c>
      <c r="B106" s="32" t="s">
        <v>271</v>
      </c>
      <c r="D106" s="32" t="s">
        <v>219</v>
      </c>
      <c r="E106" s="32" t="s">
        <v>146</v>
      </c>
      <c r="F106" s="34"/>
      <c r="G106" s="75"/>
      <c r="Q106" s="76"/>
      <c r="S106" s="32">
        <v>86</v>
      </c>
      <c r="T106" s="32" t="s">
        <v>271</v>
      </c>
      <c r="V106" s="32">
        <v>592.12599999999998</v>
      </c>
      <c r="W106" s="82">
        <f t="shared" si="10"/>
        <v>-0.74038089755188197</v>
      </c>
    </row>
    <row r="107" spans="1:23" ht="14.25" customHeight="1" x14ac:dyDescent="0.25">
      <c r="A107" s="32">
        <v>87</v>
      </c>
      <c r="B107" s="32" t="s">
        <v>272</v>
      </c>
      <c r="D107" s="32" t="s">
        <v>219</v>
      </c>
      <c r="E107" s="32" t="s">
        <v>146</v>
      </c>
      <c r="F107" s="34"/>
      <c r="G107" s="75"/>
      <c r="Q107" s="76"/>
      <c r="S107" s="32">
        <v>87</v>
      </c>
      <c r="T107" s="32" t="s">
        <v>272</v>
      </c>
      <c r="V107" s="32" t="s">
        <v>146</v>
      </c>
      <c r="W107" s="32">
        <v>0</v>
      </c>
    </row>
    <row r="108" spans="1:23" ht="14.25" customHeight="1" x14ac:dyDescent="0.25">
      <c r="A108" s="32">
        <v>88</v>
      </c>
      <c r="B108" s="32" t="s">
        <v>273</v>
      </c>
      <c r="D108" s="32" t="s">
        <v>219</v>
      </c>
      <c r="E108" s="32" t="s">
        <v>146</v>
      </c>
      <c r="F108" s="34"/>
      <c r="G108" s="75"/>
      <c r="Q108" s="76"/>
      <c r="S108" s="32">
        <v>88</v>
      </c>
      <c r="T108" s="32" t="s">
        <v>273</v>
      </c>
      <c r="V108" s="32">
        <v>446.36099999999999</v>
      </c>
      <c r="W108" s="82">
        <f t="shared" si="10"/>
        <v>-0.74437697727335028</v>
      </c>
    </row>
    <row r="109" spans="1:23" ht="14.25" customHeight="1" x14ac:dyDescent="0.25">
      <c r="A109" s="32">
        <v>89</v>
      </c>
      <c r="B109" s="32" t="s">
        <v>274</v>
      </c>
      <c r="D109" s="32" t="s">
        <v>219</v>
      </c>
      <c r="E109" s="32" t="s">
        <v>146</v>
      </c>
      <c r="F109" s="34"/>
      <c r="G109" s="75"/>
      <c r="Q109" s="76"/>
      <c r="S109" s="32">
        <v>89</v>
      </c>
      <c r="T109" s="32" t="s">
        <v>274</v>
      </c>
      <c r="V109" s="32" t="s">
        <v>146</v>
      </c>
      <c r="W109" s="32">
        <v>0</v>
      </c>
    </row>
    <row r="110" spans="1:23" ht="14.25" customHeight="1" x14ac:dyDescent="0.25">
      <c r="A110" s="32">
        <v>90</v>
      </c>
      <c r="B110" s="32" t="s">
        <v>275</v>
      </c>
      <c r="D110" s="32" t="s">
        <v>219</v>
      </c>
      <c r="E110" s="32">
        <v>0.81399999999999995</v>
      </c>
      <c r="F110" s="34">
        <f>(E110-0.0026)/3.7725</f>
        <v>0.21508283631544067</v>
      </c>
      <c r="G110" s="75"/>
      <c r="Q110" s="76"/>
      <c r="S110" s="32">
        <v>90</v>
      </c>
      <c r="T110" s="32" t="s">
        <v>275</v>
      </c>
      <c r="V110" s="32">
        <v>210.16800000000001</v>
      </c>
      <c r="W110" s="82">
        <f t="shared" si="10"/>
        <v>-0.75085209858266844</v>
      </c>
    </row>
    <row r="111" spans="1:23" ht="14.25" customHeight="1" x14ac:dyDescent="0.25">
      <c r="A111" s="32">
        <v>91</v>
      </c>
      <c r="B111" s="32" t="s">
        <v>276</v>
      </c>
      <c r="D111" s="32" t="s">
        <v>219</v>
      </c>
      <c r="E111" s="32" t="s">
        <v>146</v>
      </c>
      <c r="G111" s="75">
        <v>491</v>
      </c>
      <c r="H111" s="32">
        <v>6.8000000000000005E-2</v>
      </c>
      <c r="Q111" s="76"/>
      <c r="S111" s="32">
        <v>91</v>
      </c>
      <c r="T111" s="32" t="s">
        <v>276</v>
      </c>
      <c r="V111" s="32">
        <v>450.661</v>
      </c>
      <c r="W111" s="82">
        <f t="shared" si="10"/>
        <v>-0.7442590947720481</v>
      </c>
    </row>
    <row r="112" spans="1:23" ht="14.25" customHeight="1" x14ac:dyDescent="0.25">
      <c r="A112" s="32">
        <v>92</v>
      </c>
      <c r="B112" s="32" t="s">
        <v>277</v>
      </c>
      <c r="D112" s="32" t="s">
        <v>219</v>
      </c>
      <c r="E112" s="32" t="s">
        <v>146</v>
      </c>
      <c r="G112" s="75">
        <v>451</v>
      </c>
      <c r="H112" s="32">
        <v>5.7000000000000002E-2</v>
      </c>
      <c r="Q112" s="76"/>
      <c r="S112" s="32">
        <v>92</v>
      </c>
      <c r="T112" s="32" t="s">
        <v>277</v>
      </c>
      <c r="V112" s="32">
        <v>490.50099999999998</v>
      </c>
      <c r="W112" s="82">
        <f t="shared" si="10"/>
        <v>-0.74316689969021577</v>
      </c>
    </row>
    <row r="113" spans="1:31" ht="14.25" customHeight="1" x14ac:dyDescent="0.25">
      <c r="A113" s="32">
        <v>93</v>
      </c>
      <c r="B113" s="32" t="s">
        <v>278</v>
      </c>
      <c r="D113" s="32" t="s">
        <v>219</v>
      </c>
      <c r="E113" s="32" t="s">
        <v>146</v>
      </c>
      <c r="G113" s="75"/>
      <c r="Q113" s="76"/>
      <c r="S113" s="32">
        <v>93</v>
      </c>
      <c r="T113" s="32" t="s">
        <v>278</v>
      </c>
      <c r="V113" s="32">
        <v>212.29900000000001</v>
      </c>
      <c r="W113" s="82">
        <f t="shared" si="10"/>
        <v>-0.75079367820818599</v>
      </c>
    </row>
    <row r="114" spans="1:31" ht="14.25" customHeight="1" x14ac:dyDescent="0.25">
      <c r="A114" s="32">
        <v>94</v>
      </c>
      <c r="B114" s="32" t="s">
        <v>279</v>
      </c>
      <c r="D114" s="32" t="s">
        <v>219</v>
      </c>
      <c r="E114" s="32" t="s">
        <v>146</v>
      </c>
      <c r="G114" s="75"/>
      <c r="Q114" s="76"/>
      <c r="S114" s="32">
        <v>94</v>
      </c>
      <c r="T114" s="32" t="s">
        <v>279</v>
      </c>
      <c r="V114" s="32" t="s">
        <v>146</v>
      </c>
      <c r="W114" s="32">
        <v>0</v>
      </c>
      <c r="Y114" s="272" t="s">
        <v>336</v>
      </c>
      <c r="Z114" s="272"/>
      <c r="AA114" s="272"/>
      <c r="AB114" s="272"/>
      <c r="AC114" s="272"/>
      <c r="AD114" s="272"/>
      <c r="AE114" s="272"/>
    </row>
    <row r="115" spans="1:31" ht="14.25" customHeight="1" x14ac:dyDescent="0.25">
      <c r="Q115" s="76"/>
    </row>
    <row r="116" spans="1:31" ht="14.25" customHeight="1" x14ac:dyDescent="0.25">
      <c r="Q116" s="76"/>
    </row>
    <row r="117" spans="1:31" ht="14.25" customHeight="1" x14ac:dyDescent="0.25">
      <c r="A117" s="32" t="s">
        <v>408</v>
      </c>
      <c r="Q117" s="76"/>
    </row>
    <row r="118" spans="1:31" ht="14.25" customHeight="1" x14ac:dyDescent="0.25">
      <c r="Q118" s="76"/>
    </row>
    <row r="119" spans="1:31" ht="14.25" customHeight="1" x14ac:dyDescent="0.25">
      <c r="Q119" s="76"/>
      <c r="R119" s="248" t="s">
        <v>20</v>
      </c>
      <c r="S119" s="249"/>
      <c r="T119" s="249"/>
      <c r="U119" s="249"/>
      <c r="V119" s="249"/>
      <c r="W119" s="249"/>
      <c r="X119" s="249"/>
      <c r="Y119" s="249"/>
      <c r="Z119" s="249"/>
      <c r="AA119" s="249"/>
      <c r="AB119" s="249"/>
      <c r="AC119" s="250"/>
    </row>
    <row r="120" spans="1:31" ht="14.25" customHeight="1" x14ac:dyDescent="0.25">
      <c r="Q120" s="76"/>
      <c r="S120" s="32" t="s">
        <v>207</v>
      </c>
    </row>
    <row r="121" spans="1:31" ht="14.25" customHeight="1" x14ac:dyDescent="0.25">
      <c r="Q121" s="76"/>
      <c r="T121" s="32" t="s">
        <v>208</v>
      </c>
      <c r="V121" s="239" t="s">
        <v>210</v>
      </c>
      <c r="W121" s="239"/>
      <c r="X121" s="263" t="s">
        <v>329</v>
      </c>
      <c r="Y121" s="263" t="s">
        <v>334</v>
      </c>
    </row>
    <row r="122" spans="1:31" ht="14.25" customHeight="1" x14ac:dyDescent="0.25">
      <c r="Q122" s="76"/>
      <c r="U122" s="32" t="s">
        <v>173</v>
      </c>
      <c r="V122" s="32" t="s">
        <v>20</v>
      </c>
      <c r="W122" s="32" t="s">
        <v>328</v>
      </c>
      <c r="X122" s="263"/>
      <c r="Y122" s="263"/>
    </row>
    <row r="123" spans="1:31" ht="14.25" customHeight="1" x14ac:dyDescent="0.25">
      <c r="A123" s="259" t="s">
        <v>285</v>
      </c>
      <c r="B123" s="260"/>
      <c r="C123" s="260"/>
      <c r="D123" s="260"/>
      <c r="E123" s="260"/>
      <c r="F123" s="260"/>
      <c r="G123" s="260"/>
      <c r="H123" s="260"/>
      <c r="I123" s="260"/>
      <c r="J123" s="260"/>
      <c r="K123" s="260"/>
      <c r="L123" s="261"/>
      <c r="Q123" s="76"/>
      <c r="S123" s="32">
        <v>34</v>
      </c>
      <c r="T123" s="32" t="s">
        <v>58</v>
      </c>
      <c r="U123" s="32">
        <v>0</v>
      </c>
      <c r="V123" s="32" t="s">
        <v>146</v>
      </c>
      <c r="W123" s="32" t="s">
        <v>146</v>
      </c>
    </row>
    <row r="124" spans="1:31" ht="14.25" customHeight="1" x14ac:dyDescent="0.25">
      <c r="A124" s="32" t="s">
        <v>207</v>
      </c>
      <c r="B124" s="32" t="s">
        <v>208</v>
      </c>
      <c r="D124" s="32" t="s">
        <v>209</v>
      </c>
      <c r="E124" s="32" t="s">
        <v>210</v>
      </c>
      <c r="G124" s="32" t="s">
        <v>210</v>
      </c>
      <c r="Q124" s="76"/>
      <c r="S124" s="32">
        <v>35</v>
      </c>
      <c r="T124" s="32" t="s">
        <v>59</v>
      </c>
      <c r="U124" s="32">
        <v>1</v>
      </c>
      <c r="V124" s="32">
        <v>19157.714</v>
      </c>
      <c r="W124" s="32">
        <v>0</v>
      </c>
    </row>
    <row r="125" spans="1:31" ht="14.25" customHeight="1" x14ac:dyDescent="0.25">
      <c r="E125" s="32" t="s">
        <v>212</v>
      </c>
      <c r="G125" s="32" t="s">
        <v>212</v>
      </c>
      <c r="Q125" s="76"/>
      <c r="S125" s="32">
        <v>36</v>
      </c>
      <c r="T125" s="32" t="s">
        <v>60</v>
      </c>
      <c r="U125" s="32">
        <v>5</v>
      </c>
      <c r="V125" s="32">
        <v>70195.278999999995</v>
      </c>
      <c r="W125" s="32">
        <v>0</v>
      </c>
    </row>
    <row r="126" spans="1:31" ht="24" customHeight="1" x14ac:dyDescent="0.25">
      <c r="C126" s="32" t="s">
        <v>173</v>
      </c>
      <c r="E126" s="90" t="s">
        <v>218</v>
      </c>
      <c r="F126" s="91" t="s">
        <v>280</v>
      </c>
      <c r="G126" s="90" t="s">
        <v>297</v>
      </c>
      <c r="H126" s="91" t="s">
        <v>280</v>
      </c>
      <c r="I126" s="90"/>
      <c r="J126" s="91"/>
      <c r="L126" s="90"/>
      <c r="M126" s="91"/>
      <c r="Q126" s="76"/>
      <c r="S126" s="36">
        <v>37</v>
      </c>
      <c r="T126" s="36" t="s">
        <v>61</v>
      </c>
      <c r="U126" s="36">
        <v>10</v>
      </c>
      <c r="V126" s="36">
        <v>124752.48299999999</v>
      </c>
      <c r="W126" s="36">
        <v>0</v>
      </c>
      <c r="X126" s="36"/>
      <c r="Y126" s="36"/>
    </row>
    <row r="127" spans="1:31" ht="14.25" customHeight="1" x14ac:dyDescent="0.2">
      <c r="A127" s="32">
        <v>34</v>
      </c>
      <c r="B127" s="32" t="s">
        <v>58</v>
      </c>
      <c r="C127" s="32">
        <v>0</v>
      </c>
      <c r="D127" s="32" t="s">
        <v>219</v>
      </c>
      <c r="E127" s="32">
        <v>0</v>
      </c>
      <c r="F127" s="34">
        <f>(E127+0.2766)/2.232</f>
        <v>0.12392473118279569</v>
      </c>
      <c r="G127" s="92" t="s">
        <v>146</v>
      </c>
      <c r="Q127" s="76"/>
      <c r="S127" s="32">
        <v>38</v>
      </c>
      <c r="T127" s="32" t="s">
        <v>109</v>
      </c>
      <c r="V127" s="32">
        <v>0</v>
      </c>
      <c r="W127" s="32" t="s">
        <v>146</v>
      </c>
      <c r="X127" s="34">
        <f>(V127-4414.3)/12278</f>
        <v>-0.35952923928978664</v>
      </c>
      <c r="Y127" s="34">
        <v>0</v>
      </c>
    </row>
    <row r="128" spans="1:31" ht="14.25" customHeight="1" x14ac:dyDescent="0.2">
      <c r="A128" s="32">
        <v>35</v>
      </c>
      <c r="B128" s="32" t="s">
        <v>59</v>
      </c>
      <c r="C128" s="32">
        <v>1</v>
      </c>
      <c r="D128" s="32" t="s">
        <v>219</v>
      </c>
      <c r="E128" s="32">
        <v>2.0710000000000002</v>
      </c>
      <c r="F128" s="34">
        <f t="shared" ref="F128:F135" si="11">(E128+0.2766)/2.232</f>
        <v>1.0517921146953406</v>
      </c>
      <c r="G128" s="92" t="s">
        <v>146</v>
      </c>
      <c r="Q128" s="76"/>
      <c r="S128" s="32">
        <v>39</v>
      </c>
      <c r="T128" s="32" t="s">
        <v>236</v>
      </c>
      <c r="V128" s="32">
        <v>31386.249</v>
      </c>
      <c r="W128" s="32">
        <v>4543.7809999999999</v>
      </c>
      <c r="X128" s="34">
        <f>(V128-4414.3)/12278</f>
        <v>2.1967705652386385</v>
      </c>
      <c r="Y128" s="34">
        <f>(W128-4414.3)/12278</f>
        <v>1.0545772927186819E-2</v>
      </c>
    </row>
    <row r="129" spans="1:31" ht="14.25" customHeight="1" x14ac:dyDescent="0.2">
      <c r="A129" s="32">
        <v>36</v>
      </c>
      <c r="B129" s="32" t="s">
        <v>60</v>
      </c>
      <c r="C129" s="32">
        <v>5</v>
      </c>
      <c r="D129" s="32" t="s">
        <v>219</v>
      </c>
      <c r="E129" s="32">
        <v>10.122</v>
      </c>
      <c r="F129" s="34">
        <f t="shared" si="11"/>
        <v>4.6588709677419349</v>
      </c>
      <c r="G129" s="92" t="s">
        <v>146</v>
      </c>
      <c r="Q129" s="76"/>
      <c r="S129" s="32">
        <v>40</v>
      </c>
      <c r="T129" s="32" t="s">
        <v>237</v>
      </c>
      <c r="V129" s="32">
        <v>32842.004000000001</v>
      </c>
      <c r="W129" s="32">
        <v>5022.4960000000001</v>
      </c>
      <c r="X129" s="34">
        <f>(V129-4414.3)/12278</f>
        <v>2.3153366997882392</v>
      </c>
      <c r="Y129" s="34">
        <f>(W129-4414.3)/12278</f>
        <v>4.9535429223000485E-2</v>
      </c>
    </row>
    <row r="130" spans="1:31" ht="14.25" customHeight="1" x14ac:dyDescent="0.2">
      <c r="A130" s="36">
        <v>37</v>
      </c>
      <c r="B130" s="36" t="s">
        <v>61</v>
      </c>
      <c r="C130" s="36">
        <v>10</v>
      </c>
      <c r="D130" s="36" t="s">
        <v>219</v>
      </c>
      <c r="E130" s="36">
        <v>22.411999999999999</v>
      </c>
      <c r="F130" s="37">
        <f t="shared" si="11"/>
        <v>10.165143369175626</v>
      </c>
      <c r="G130" s="93" t="s">
        <v>146</v>
      </c>
      <c r="H130" s="36"/>
      <c r="Q130" s="76"/>
      <c r="S130" s="32">
        <v>41</v>
      </c>
      <c r="T130" s="32" t="s">
        <v>238</v>
      </c>
      <c r="V130" s="32">
        <v>31423.32</v>
      </c>
      <c r="W130" s="32">
        <v>2985.8809999999999</v>
      </c>
      <c r="X130" s="34">
        <f>(V130-4414.3)/12278</f>
        <v>2.199789868056687</v>
      </c>
      <c r="Y130" s="34">
        <f>(W130-4414.3)/12278</f>
        <v>-0.11633971330835643</v>
      </c>
    </row>
    <row r="131" spans="1:31" ht="14.25" customHeight="1" x14ac:dyDescent="0.2">
      <c r="A131" s="32">
        <v>38</v>
      </c>
      <c r="B131" s="32" t="s">
        <v>109</v>
      </c>
      <c r="D131" s="32" t="s">
        <v>219</v>
      </c>
      <c r="E131" s="32" t="s">
        <v>146</v>
      </c>
      <c r="F131" s="35">
        <v>0</v>
      </c>
      <c r="G131" s="92" t="s">
        <v>146</v>
      </c>
      <c r="H131" s="35">
        <v>0</v>
      </c>
      <c r="Q131" s="76"/>
      <c r="S131" s="32">
        <v>42</v>
      </c>
      <c r="T131" s="32" t="s">
        <v>239</v>
      </c>
      <c r="V131" s="32">
        <v>33257.313000000002</v>
      </c>
      <c r="W131" s="32">
        <v>2686.3960000000002</v>
      </c>
      <c r="X131" s="34">
        <f>(V131-4414.3)/12278</f>
        <v>2.349162159960906</v>
      </c>
      <c r="Y131" s="34">
        <f>(W131-4414.3)/12278</f>
        <v>-0.14073171526307215</v>
      </c>
    </row>
    <row r="132" spans="1:31" ht="14.25" customHeight="1" x14ac:dyDescent="0.2">
      <c r="A132" s="32">
        <v>39</v>
      </c>
      <c r="B132" s="32" t="s">
        <v>236</v>
      </c>
      <c r="D132" s="32" t="s">
        <v>219</v>
      </c>
      <c r="E132" s="32">
        <v>2.9009999999999998</v>
      </c>
      <c r="F132" s="34">
        <f t="shared" si="11"/>
        <v>1.4236559139784946</v>
      </c>
      <c r="G132" s="92">
        <v>0.79</v>
      </c>
      <c r="H132" s="34">
        <f>(G132+0.2766)/2.232</f>
        <v>0.47786738351254476</v>
      </c>
      <c r="Q132" s="76"/>
    </row>
    <row r="133" spans="1:31" ht="14.25" customHeight="1" x14ac:dyDescent="0.2">
      <c r="A133" s="32">
        <v>40</v>
      </c>
      <c r="B133" s="32" t="s">
        <v>237</v>
      </c>
      <c r="D133" s="32" t="s">
        <v>219</v>
      </c>
      <c r="E133" s="32">
        <v>2.931</v>
      </c>
      <c r="F133" s="34">
        <f t="shared" si="11"/>
        <v>1.4370967741935483</v>
      </c>
      <c r="G133" s="92">
        <v>0.97599999999999998</v>
      </c>
      <c r="H133" s="34">
        <f>(G133+0.2766)/2.232</f>
        <v>0.56120071684587802</v>
      </c>
      <c r="Q133" s="76"/>
    </row>
    <row r="134" spans="1:31" ht="14.25" customHeight="1" x14ac:dyDescent="0.2">
      <c r="A134" s="32">
        <v>41</v>
      </c>
      <c r="B134" s="32" t="s">
        <v>238</v>
      </c>
      <c r="D134" s="32" t="s">
        <v>219</v>
      </c>
      <c r="E134" s="32">
        <v>2.6779999999999999</v>
      </c>
      <c r="F134" s="34">
        <f t="shared" si="11"/>
        <v>1.3237455197132615</v>
      </c>
      <c r="G134" s="92">
        <v>0.54800000000000004</v>
      </c>
      <c r="H134" s="34">
        <f>(G134+0.2766)/2.232</f>
        <v>0.36944444444444441</v>
      </c>
      <c r="Q134" s="76"/>
      <c r="S134" s="273" t="s">
        <v>395</v>
      </c>
      <c r="T134" s="273"/>
      <c r="U134" s="273"/>
      <c r="V134" s="273"/>
      <c r="W134" s="273"/>
      <c r="X134" s="273"/>
      <c r="Y134" s="273"/>
      <c r="Z134" s="273"/>
      <c r="AA134" s="273"/>
      <c r="AB134" s="273"/>
      <c r="AC134" s="273"/>
      <c r="AD134" s="273"/>
      <c r="AE134" s="273"/>
    </row>
    <row r="135" spans="1:31" ht="14.25" customHeight="1" x14ac:dyDescent="0.2">
      <c r="A135" s="32">
        <v>42</v>
      </c>
      <c r="B135" s="32" t="s">
        <v>239</v>
      </c>
      <c r="D135" s="32" t="s">
        <v>219</v>
      </c>
      <c r="E135" s="32">
        <v>2.5259999999999998</v>
      </c>
      <c r="F135" s="34">
        <f t="shared" si="11"/>
        <v>1.2556451612903226</v>
      </c>
      <c r="G135" s="92">
        <v>0.40200000000000002</v>
      </c>
      <c r="H135" s="34">
        <f>(G135+0.2766)/2.232</f>
        <v>0.30403225806451617</v>
      </c>
      <c r="Q135" s="76"/>
      <c r="S135" s="273"/>
      <c r="T135" s="273"/>
      <c r="U135" s="273"/>
      <c r="V135" s="273"/>
      <c r="W135" s="273"/>
      <c r="X135" s="273"/>
      <c r="Y135" s="273"/>
      <c r="Z135" s="273"/>
      <c r="AA135" s="273"/>
      <c r="AB135" s="273"/>
      <c r="AC135" s="273"/>
      <c r="AD135" s="273"/>
      <c r="AE135" s="273"/>
    </row>
    <row r="136" spans="1:31" ht="14.25" customHeight="1" x14ac:dyDescent="0.25">
      <c r="A136" s="255" t="s">
        <v>404</v>
      </c>
      <c r="B136" s="256"/>
      <c r="C136" s="256"/>
      <c r="D136" s="256"/>
      <c r="E136" s="256"/>
      <c r="F136" s="256"/>
      <c r="G136" s="256"/>
      <c r="H136" s="256"/>
      <c r="I136" s="256"/>
      <c r="J136" s="256"/>
      <c r="K136" s="256"/>
      <c r="L136" s="256"/>
      <c r="M136" s="257"/>
      <c r="Q136" s="76"/>
    </row>
    <row r="137" spans="1:31" ht="14.25" customHeight="1" x14ac:dyDescent="0.25">
      <c r="D137" s="32" t="s">
        <v>314</v>
      </c>
      <c r="E137" s="160" t="s">
        <v>402</v>
      </c>
      <c r="F137" s="143" t="s">
        <v>403</v>
      </c>
      <c r="G137" s="32" t="s">
        <v>212</v>
      </c>
      <c r="H137" s="160" t="s">
        <v>402</v>
      </c>
      <c r="I137" s="143" t="s">
        <v>403</v>
      </c>
      <c r="Q137" s="76"/>
      <c r="R137" s="255" t="s">
        <v>405</v>
      </c>
      <c r="S137" s="256"/>
      <c r="T137" s="256"/>
      <c r="U137" s="256"/>
      <c r="V137" s="256"/>
      <c r="W137" s="256"/>
      <c r="X137" s="256"/>
      <c r="Y137" s="256"/>
      <c r="Z137" s="256"/>
      <c r="AA137" s="256"/>
      <c r="AB137" s="256"/>
      <c r="AC137" s="257"/>
    </row>
    <row r="138" spans="1:31" ht="14.25" customHeight="1" x14ac:dyDescent="0.25">
      <c r="A138" s="32" t="s">
        <v>207</v>
      </c>
      <c r="B138" s="32" t="s">
        <v>208</v>
      </c>
      <c r="D138" s="32" t="s">
        <v>340</v>
      </c>
      <c r="E138" s="161" t="s">
        <v>280</v>
      </c>
      <c r="F138" s="143"/>
      <c r="G138" s="32" t="s">
        <v>341</v>
      </c>
      <c r="H138" s="161" t="s">
        <v>339</v>
      </c>
      <c r="I138" s="143"/>
      <c r="Q138" s="76"/>
      <c r="V138" s="32" t="s">
        <v>315</v>
      </c>
      <c r="W138" s="160" t="s">
        <v>402</v>
      </c>
      <c r="X138" s="143" t="s">
        <v>403</v>
      </c>
      <c r="Y138" s="32" t="s">
        <v>315</v>
      </c>
      <c r="Z138" s="160" t="s">
        <v>402</v>
      </c>
      <c r="AA138" s="143" t="s">
        <v>403</v>
      </c>
    </row>
    <row r="139" spans="1:31" ht="14.25" customHeight="1" x14ac:dyDescent="0.25">
      <c r="A139" s="32">
        <v>69</v>
      </c>
      <c r="B139" s="32" t="s">
        <v>106</v>
      </c>
      <c r="D139" s="32">
        <v>0</v>
      </c>
      <c r="E139" s="161">
        <v>0</v>
      </c>
      <c r="F139" s="145">
        <f t="shared" ref="F139:F149" si="12">(D139-0.0026)/3.7725</f>
        <v>-6.8919814446653414E-4</v>
      </c>
      <c r="G139" s="32">
        <v>0</v>
      </c>
      <c r="H139" s="161">
        <v>0</v>
      </c>
      <c r="I139" s="145">
        <f>(G139-0.0026)/3.7725</f>
        <v>-6.8919814446653414E-4</v>
      </c>
      <c r="Q139" s="76"/>
      <c r="S139" s="32" t="s">
        <v>207</v>
      </c>
      <c r="T139" s="32" t="s">
        <v>208</v>
      </c>
      <c r="V139" s="32" t="s">
        <v>340</v>
      </c>
      <c r="W139" s="161" t="s">
        <v>280</v>
      </c>
      <c r="X139" s="143"/>
      <c r="Y139" s="32" t="s">
        <v>341</v>
      </c>
      <c r="Z139" s="161" t="s">
        <v>339</v>
      </c>
      <c r="AA139" s="143"/>
    </row>
    <row r="140" spans="1:31" ht="14.25" customHeight="1" x14ac:dyDescent="0.25">
      <c r="A140" s="32">
        <v>70</v>
      </c>
      <c r="B140" s="32" t="s">
        <v>260</v>
      </c>
      <c r="D140" s="32">
        <v>2.5030000000000001</v>
      </c>
      <c r="E140" s="162">
        <f t="shared" ref="E140:E149" si="13">(D140+0.2766)/2.232</f>
        <v>1.2453405017921146</v>
      </c>
      <c r="F140" s="144">
        <f t="shared" si="12"/>
        <v>0.66279655400927762</v>
      </c>
      <c r="G140" s="32">
        <v>5.3570000000000002</v>
      </c>
      <c r="H140" s="162">
        <f t="shared" ref="H140:H149" si="14">(G140+0.2766)/2.232</f>
        <v>2.5240143369175625</v>
      </c>
      <c r="I140" s="144">
        <f t="shared" ref="I140:I149" si="15">(G140-0.0026)/3.7725</f>
        <v>1.4193240556660041</v>
      </c>
      <c r="Q140" s="76"/>
      <c r="S140" s="32">
        <v>69</v>
      </c>
      <c r="T140" s="32" t="s">
        <v>106</v>
      </c>
      <c r="V140" s="32">
        <v>1177.702</v>
      </c>
      <c r="W140" s="162">
        <v>0</v>
      </c>
      <c r="X140" s="144">
        <v>0</v>
      </c>
      <c r="Y140" s="32">
        <v>307.86099999999999</v>
      </c>
      <c r="Z140" s="162">
        <v>0</v>
      </c>
      <c r="AA140" s="144">
        <v>0</v>
      </c>
    </row>
    <row r="141" spans="1:31" ht="14.25" customHeight="1" x14ac:dyDescent="0.25">
      <c r="A141" s="32">
        <v>71</v>
      </c>
      <c r="B141" s="32" t="s">
        <v>261</v>
      </c>
      <c r="D141" s="32">
        <v>3.5089999999999999</v>
      </c>
      <c r="E141" s="162">
        <f t="shared" si="13"/>
        <v>1.6960573476702507</v>
      </c>
      <c r="F141" s="144">
        <f t="shared" si="12"/>
        <v>0.92946322067594422</v>
      </c>
      <c r="G141" s="32">
        <v>6.5389999999999997</v>
      </c>
      <c r="H141" s="162">
        <f t="shared" si="14"/>
        <v>3.0535842293906805</v>
      </c>
      <c r="I141" s="144">
        <f t="shared" si="15"/>
        <v>1.7326441351888666</v>
      </c>
      <c r="Q141" s="76"/>
      <c r="S141" s="32">
        <v>70</v>
      </c>
      <c r="T141" s="32" t="s">
        <v>260</v>
      </c>
      <c r="V141" s="32">
        <v>79989.168999999994</v>
      </c>
      <c r="W141" s="162">
        <f t="shared" ref="W141:W150" si="16">(V141-4414.3)/12278</f>
        <v>6.1553077862844106</v>
      </c>
      <c r="X141" s="144">
        <f t="shared" ref="X141:X150" si="17">(V141-27599)/36477</f>
        <v>1.4362521314801107</v>
      </c>
      <c r="Y141" s="32">
        <v>59274.521999999997</v>
      </c>
      <c r="Z141" s="162">
        <f>(Y141-4414.3)/12278</f>
        <v>4.4681725036650919</v>
      </c>
      <c r="AA141" s="144">
        <f t="shared" ref="AA141:AA150" si="18">(Y141-27599)/36477</f>
        <v>0.86836971242152583</v>
      </c>
    </row>
    <row r="142" spans="1:31" ht="14.25" customHeight="1" x14ac:dyDescent="0.25">
      <c r="A142" s="32">
        <v>72</v>
      </c>
      <c r="B142" s="32" t="s">
        <v>262</v>
      </c>
      <c r="D142" s="32">
        <v>2.2240000000000002</v>
      </c>
      <c r="E142" s="162">
        <f t="shared" si="13"/>
        <v>1.1203405017921149</v>
      </c>
      <c r="F142" s="144">
        <f t="shared" si="12"/>
        <v>0.58884029158383033</v>
      </c>
      <c r="G142" s="32">
        <v>2.4460000000000002</v>
      </c>
      <c r="H142" s="162">
        <f t="shared" si="14"/>
        <v>1.2198028673835126</v>
      </c>
      <c r="I142" s="144">
        <f t="shared" si="15"/>
        <v>0.64768721007289598</v>
      </c>
      <c r="Q142" s="76"/>
      <c r="S142" s="32">
        <v>71</v>
      </c>
      <c r="T142" s="32" t="s">
        <v>261</v>
      </c>
      <c r="V142" s="32">
        <v>104047.349</v>
      </c>
      <c r="W142" s="162">
        <f t="shared" si="16"/>
        <v>8.114762094803714</v>
      </c>
      <c r="X142" s="144">
        <f t="shared" si="17"/>
        <v>2.0957959536146067</v>
      </c>
      <c r="Y142" s="32">
        <v>68167.345000000001</v>
      </c>
      <c r="Z142" s="162">
        <f t="shared" ref="Z142:Z150" si="19">(Y142-4414.3)/12278</f>
        <v>5.1924617201498613</v>
      </c>
      <c r="AA142" s="144">
        <f t="shared" si="18"/>
        <v>1.1121623214628396</v>
      </c>
    </row>
    <row r="143" spans="1:31" ht="14.25" customHeight="1" x14ac:dyDescent="0.25">
      <c r="A143" s="32">
        <v>73</v>
      </c>
      <c r="B143" s="32" t="s">
        <v>263</v>
      </c>
      <c r="D143" s="32">
        <v>1.653</v>
      </c>
      <c r="E143" s="162">
        <f t="shared" si="13"/>
        <v>0.86451612903225794</v>
      </c>
      <c r="F143" s="144">
        <f t="shared" si="12"/>
        <v>0.43748177601060306</v>
      </c>
      <c r="G143" s="32">
        <v>2.423</v>
      </c>
      <c r="H143" s="162">
        <f t="shared" si="14"/>
        <v>1.2094982078853047</v>
      </c>
      <c r="I143" s="144">
        <f t="shared" si="15"/>
        <v>0.64159045725646124</v>
      </c>
      <c r="Q143" s="76"/>
      <c r="S143" s="32">
        <v>72</v>
      </c>
      <c r="T143" s="32" t="s">
        <v>262</v>
      </c>
      <c r="V143" s="32">
        <v>75417.074999999997</v>
      </c>
      <c r="W143" s="162">
        <f t="shared" si="16"/>
        <v>5.7829267796057984</v>
      </c>
      <c r="X143" s="144">
        <f t="shared" si="17"/>
        <v>1.3109102996408695</v>
      </c>
      <c r="Y143" s="32">
        <v>31959.734</v>
      </c>
      <c r="Z143" s="162">
        <f t="shared" si="19"/>
        <v>2.2434789053591793</v>
      </c>
      <c r="AA143" s="144">
        <f t="shared" si="18"/>
        <v>0.11954749568221072</v>
      </c>
    </row>
    <row r="144" spans="1:31" ht="14.25" customHeight="1" x14ac:dyDescent="0.25">
      <c r="A144" s="32">
        <v>74</v>
      </c>
      <c r="B144" s="32" t="s">
        <v>264</v>
      </c>
      <c r="D144" s="32">
        <v>3.1469999999999998</v>
      </c>
      <c r="E144" s="162">
        <f t="shared" si="13"/>
        <v>1.5338709677419353</v>
      </c>
      <c r="F144" s="144">
        <f t="shared" si="12"/>
        <v>0.8335056328694499</v>
      </c>
      <c r="G144" s="32">
        <v>4.3410000000000002</v>
      </c>
      <c r="H144" s="162">
        <f t="shared" si="14"/>
        <v>2.0688172043010753</v>
      </c>
      <c r="I144" s="144">
        <f t="shared" si="15"/>
        <v>1.1500066269052354</v>
      </c>
      <c r="Q144" s="76"/>
      <c r="S144" s="32">
        <v>73</v>
      </c>
      <c r="T144" s="32" t="s">
        <v>263</v>
      </c>
      <c r="V144" s="32">
        <v>61104.345999999998</v>
      </c>
      <c r="W144" s="162">
        <f t="shared" si="16"/>
        <v>4.6172052451539338</v>
      </c>
      <c r="X144" s="144">
        <f t="shared" si="17"/>
        <v>0.91853348685473035</v>
      </c>
      <c r="Y144" s="32">
        <v>31592.45</v>
      </c>
      <c r="Z144" s="162">
        <f t="shared" si="19"/>
        <v>2.2135649128522563</v>
      </c>
      <c r="AA144" s="144">
        <f t="shared" si="18"/>
        <v>0.10947857554075173</v>
      </c>
    </row>
    <row r="145" spans="1:32" ht="14.25" customHeight="1" x14ac:dyDescent="0.25">
      <c r="A145" s="32">
        <v>75</v>
      </c>
      <c r="B145" s="32" t="s">
        <v>265</v>
      </c>
      <c r="D145" s="32">
        <v>3.1560000000000001</v>
      </c>
      <c r="E145" s="162">
        <f t="shared" si="13"/>
        <v>1.5379032258064516</v>
      </c>
      <c r="F145" s="144">
        <f t="shared" si="12"/>
        <v>0.8358913187541418</v>
      </c>
      <c r="G145" s="32">
        <v>4.6619999999999999</v>
      </c>
      <c r="H145" s="162">
        <f t="shared" si="14"/>
        <v>2.2126344086021503</v>
      </c>
      <c r="I145" s="144">
        <f t="shared" si="15"/>
        <v>1.2350960901259112</v>
      </c>
      <c r="Q145" s="76"/>
      <c r="S145" s="32">
        <v>74</v>
      </c>
      <c r="T145" s="32" t="s">
        <v>264</v>
      </c>
      <c r="V145" s="32">
        <v>105664.51300000001</v>
      </c>
      <c r="W145" s="162">
        <f t="shared" si="16"/>
        <v>8.2464744258022478</v>
      </c>
      <c r="X145" s="144">
        <f t="shared" si="17"/>
        <v>2.1401297529950383</v>
      </c>
      <c r="Y145" s="32">
        <v>55130.491999999998</v>
      </c>
      <c r="Z145" s="162">
        <f t="shared" si="19"/>
        <v>4.1306558071347119</v>
      </c>
      <c r="AA145" s="144">
        <f t="shared" si="18"/>
        <v>0.7547630561723826</v>
      </c>
    </row>
    <row r="146" spans="1:32" ht="14.25" customHeight="1" x14ac:dyDescent="0.25">
      <c r="A146" s="32">
        <v>76</v>
      </c>
      <c r="B146" s="32" t="s">
        <v>266</v>
      </c>
      <c r="D146" s="32">
        <v>2.7519999999999998</v>
      </c>
      <c r="E146" s="162">
        <f t="shared" si="13"/>
        <v>1.3568996415770609</v>
      </c>
      <c r="F146" s="144">
        <f t="shared" si="12"/>
        <v>0.72880053015241875</v>
      </c>
      <c r="G146" s="32">
        <v>4.4820000000000002</v>
      </c>
      <c r="H146" s="162">
        <f t="shared" si="14"/>
        <v>2.1319892473118278</v>
      </c>
      <c r="I146" s="144">
        <f t="shared" si="15"/>
        <v>1.1873823724320742</v>
      </c>
      <c r="Q146" s="76"/>
      <c r="S146" s="32">
        <v>75</v>
      </c>
      <c r="T146" s="32" t="s">
        <v>265</v>
      </c>
      <c r="V146" s="32">
        <v>105435.48299999999</v>
      </c>
      <c r="W146" s="162">
        <f t="shared" si="16"/>
        <v>8.2278207362762661</v>
      </c>
      <c r="X146" s="144">
        <f t="shared" si="17"/>
        <v>2.1338510020012609</v>
      </c>
      <c r="Y146" s="32">
        <v>56104.868999999999</v>
      </c>
      <c r="Z146" s="162">
        <f t="shared" si="19"/>
        <v>4.210015393386545</v>
      </c>
      <c r="AA146" s="144">
        <f t="shared" si="18"/>
        <v>0.78147514872385337</v>
      </c>
    </row>
    <row r="147" spans="1:32" ht="14.25" customHeight="1" x14ac:dyDescent="0.25">
      <c r="A147" s="32">
        <v>77</v>
      </c>
      <c r="B147" s="32" t="s">
        <v>267</v>
      </c>
      <c r="D147" s="32">
        <v>3.1909999999999998</v>
      </c>
      <c r="E147" s="162">
        <f t="shared" si="13"/>
        <v>1.553584229390681</v>
      </c>
      <c r="F147" s="144">
        <f t="shared" si="12"/>
        <v>0.84516898608349889</v>
      </c>
      <c r="G147" s="32">
        <v>5.0730000000000004</v>
      </c>
      <c r="H147" s="162">
        <f t="shared" si="14"/>
        <v>2.3967741935483873</v>
      </c>
      <c r="I147" s="144">
        <f t="shared" si="15"/>
        <v>1.3440424121935057</v>
      </c>
      <c r="Q147" s="76"/>
      <c r="S147" s="32">
        <v>76</v>
      </c>
      <c r="T147" s="32" t="s">
        <v>266</v>
      </c>
      <c r="V147" s="32">
        <v>92406.57</v>
      </c>
      <c r="W147" s="162">
        <f t="shared" si="16"/>
        <v>7.1666615083889891</v>
      </c>
      <c r="X147" s="144">
        <f t="shared" si="17"/>
        <v>1.7766694081201855</v>
      </c>
      <c r="Y147" s="32">
        <v>55639.254999999997</v>
      </c>
      <c r="Z147" s="162">
        <f t="shared" si="19"/>
        <v>4.1720927675517183</v>
      </c>
      <c r="AA147" s="144">
        <f t="shared" si="18"/>
        <v>0.76871055733750027</v>
      </c>
    </row>
    <row r="148" spans="1:32" ht="14.25" customHeight="1" x14ac:dyDescent="0.25">
      <c r="A148" s="32">
        <v>78</v>
      </c>
      <c r="B148" s="32" t="s">
        <v>268</v>
      </c>
      <c r="D148" s="32">
        <v>5.3010000000000002</v>
      </c>
      <c r="E148" s="162">
        <f t="shared" si="13"/>
        <v>2.4989247311827958</v>
      </c>
      <c r="F148" s="144">
        <f t="shared" si="12"/>
        <v>1.4044797879390325</v>
      </c>
      <c r="G148" s="32">
        <v>3.7240000000000002</v>
      </c>
      <c r="H148" s="162">
        <f t="shared" si="14"/>
        <v>1.7923835125448029</v>
      </c>
      <c r="I148" s="144">
        <f t="shared" si="15"/>
        <v>0.98645460569913856</v>
      </c>
      <c r="Q148" s="76"/>
      <c r="S148" s="32">
        <v>77</v>
      </c>
      <c r="T148" s="32" t="s">
        <v>267</v>
      </c>
      <c r="V148" s="32">
        <v>107853.621</v>
      </c>
      <c r="W148" s="162">
        <f t="shared" si="16"/>
        <v>8.4247695878807622</v>
      </c>
      <c r="X148" s="144">
        <f t="shared" si="17"/>
        <v>2.2001431312882089</v>
      </c>
      <c r="Y148" s="32">
        <v>59210.476999999999</v>
      </c>
      <c r="Z148" s="162">
        <f t="shared" si="19"/>
        <v>4.4629562632350543</v>
      </c>
      <c r="AA148" s="144">
        <f t="shared" si="18"/>
        <v>0.86661394851550289</v>
      </c>
      <c r="AF148" s="34"/>
    </row>
    <row r="149" spans="1:32" ht="14.25" customHeight="1" x14ac:dyDescent="0.25">
      <c r="A149" s="32">
        <v>79</v>
      </c>
      <c r="B149" s="32" t="s">
        <v>269</v>
      </c>
      <c r="D149" s="32">
        <v>4.9320000000000004</v>
      </c>
      <c r="E149" s="163">
        <f t="shared" si="13"/>
        <v>2.3336021505376343</v>
      </c>
      <c r="F149" s="144">
        <f t="shared" si="12"/>
        <v>1.3066666666666666</v>
      </c>
      <c r="G149" s="32">
        <v>3.4329999999999998</v>
      </c>
      <c r="H149" s="163">
        <f t="shared" si="14"/>
        <v>1.6620071684587812</v>
      </c>
      <c r="I149" s="144">
        <f t="shared" si="15"/>
        <v>0.9093174287607686</v>
      </c>
      <c r="Q149" s="76"/>
      <c r="S149" s="32">
        <v>78</v>
      </c>
      <c r="T149" s="32" t="s">
        <v>268</v>
      </c>
      <c r="V149" s="32">
        <v>163905.72700000001</v>
      </c>
      <c r="W149" s="162">
        <f t="shared" si="16"/>
        <v>12.990016859423362</v>
      </c>
      <c r="X149" s="144">
        <f t="shared" si="17"/>
        <v>3.7367855635057712</v>
      </c>
      <c r="Y149" s="32">
        <v>48507.77</v>
      </c>
      <c r="Z149" s="162">
        <f t="shared" si="19"/>
        <v>3.5912583482651894</v>
      </c>
      <c r="AA149" s="144">
        <f t="shared" si="18"/>
        <v>0.57320421087260454</v>
      </c>
      <c r="AF149" s="34"/>
    </row>
    <row r="150" spans="1:32" ht="14.25" customHeight="1" x14ac:dyDescent="0.25">
      <c r="E150" s="34"/>
      <c r="H150" s="34"/>
      <c r="Q150" s="76"/>
      <c r="S150" s="32">
        <v>79</v>
      </c>
      <c r="T150" s="32" t="s">
        <v>269</v>
      </c>
      <c r="V150" s="32">
        <v>154054.283</v>
      </c>
      <c r="W150" s="163">
        <f t="shared" si="16"/>
        <v>12.187651327577782</v>
      </c>
      <c r="X150" s="144">
        <f t="shared" si="17"/>
        <v>3.4667128053293856</v>
      </c>
      <c r="Y150" s="32">
        <v>49034.356</v>
      </c>
      <c r="Z150" s="163">
        <f t="shared" si="19"/>
        <v>3.6341469294673399</v>
      </c>
      <c r="AA150" s="144">
        <f t="shared" si="18"/>
        <v>0.58764032129835242</v>
      </c>
      <c r="AF150" s="34"/>
    </row>
    <row r="151" spans="1:32" ht="14.25" customHeight="1" x14ac:dyDescent="0.25">
      <c r="E151" s="34"/>
      <c r="H151" s="34"/>
      <c r="Q151" s="76"/>
      <c r="AF151" s="34"/>
    </row>
    <row r="152" spans="1:32" ht="14.25" customHeight="1" x14ac:dyDescent="0.25">
      <c r="E152" s="34"/>
      <c r="H152" s="34"/>
      <c r="Q152" s="76"/>
      <c r="R152" s="251" t="s">
        <v>409</v>
      </c>
      <c r="S152" s="252"/>
      <c r="T152" s="252"/>
      <c r="U152" s="252"/>
      <c r="V152" s="252"/>
      <c r="W152" s="252"/>
      <c r="X152" s="252"/>
      <c r="Y152" s="252"/>
      <c r="Z152" s="252"/>
      <c r="AA152" s="252"/>
      <c r="AB152" s="252"/>
      <c r="AC152" s="252"/>
      <c r="AD152" s="252"/>
    </row>
    <row r="153" spans="1:32" ht="14.25" customHeight="1" x14ac:dyDescent="0.25">
      <c r="E153" s="34"/>
      <c r="H153" s="34"/>
      <c r="Q153" s="76"/>
      <c r="R153" s="251"/>
      <c r="S153" s="252"/>
      <c r="T153" s="252"/>
      <c r="U153" s="252"/>
      <c r="V153" s="252"/>
      <c r="W153" s="252"/>
      <c r="X153" s="252"/>
      <c r="Y153" s="252"/>
      <c r="Z153" s="252"/>
      <c r="AA153" s="252"/>
      <c r="AB153" s="252"/>
      <c r="AC153" s="252"/>
      <c r="AD153" s="252"/>
    </row>
    <row r="154" spans="1:32" ht="14.25" customHeight="1" x14ac:dyDescent="0.25">
      <c r="Q154" s="76"/>
      <c r="R154" s="251"/>
      <c r="S154" s="252"/>
      <c r="T154" s="252"/>
      <c r="U154" s="252"/>
      <c r="V154" s="252"/>
      <c r="W154" s="252"/>
      <c r="X154" s="252"/>
      <c r="Y154" s="252"/>
      <c r="Z154" s="252"/>
      <c r="AA154" s="252"/>
      <c r="AB154" s="252"/>
      <c r="AC154" s="252"/>
      <c r="AD154" s="252"/>
    </row>
    <row r="155" spans="1:32" ht="14.25" customHeight="1" x14ac:dyDescent="0.25">
      <c r="Q155" s="76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</row>
    <row r="156" spans="1:32" ht="14.25" customHeight="1" x14ac:dyDescent="0.25">
      <c r="Q156" s="76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</row>
    <row r="157" spans="1:32" ht="14.25" customHeight="1" x14ac:dyDescent="0.25">
      <c r="Q157" s="76"/>
    </row>
    <row r="158" spans="1:32" ht="14.25" customHeight="1" x14ac:dyDescent="0.25">
      <c r="A158" s="32">
        <v>100</v>
      </c>
      <c r="B158" s="32">
        <v>10</v>
      </c>
      <c r="Q158" s="76"/>
    </row>
    <row r="159" spans="1:32" ht="14.25" customHeight="1" x14ac:dyDescent="0.25">
      <c r="A159" s="221" t="s">
        <v>337</v>
      </c>
      <c r="B159" s="221"/>
      <c r="C159" s="221"/>
      <c r="D159" s="221"/>
      <c r="E159" s="221"/>
      <c r="F159" s="221"/>
      <c r="G159" s="221"/>
      <c r="H159" s="221"/>
      <c r="I159" s="221"/>
      <c r="J159" s="221"/>
      <c r="K159" s="221"/>
      <c r="Q159" s="76"/>
    </row>
    <row r="160" spans="1:32" ht="14.25" customHeight="1" x14ac:dyDescent="0.25">
      <c r="A160" s="275" t="s">
        <v>293</v>
      </c>
      <c r="B160" s="275"/>
      <c r="C160" s="275"/>
      <c r="D160" s="275"/>
      <c r="E160" s="275"/>
      <c r="F160" s="275"/>
      <c r="G160" s="275"/>
      <c r="H160" s="275"/>
      <c r="I160" s="275"/>
      <c r="J160" s="275"/>
      <c r="K160" s="275"/>
      <c r="Q160" s="76"/>
    </row>
    <row r="161" spans="1:31" ht="23.25" customHeight="1" x14ac:dyDescent="0.25">
      <c r="A161" s="94" t="s">
        <v>292</v>
      </c>
      <c r="B161" s="218" t="s">
        <v>294</v>
      </c>
      <c r="C161" s="218"/>
      <c r="D161" s="218" t="s">
        <v>295</v>
      </c>
      <c r="E161" s="218"/>
      <c r="F161" s="268" t="s">
        <v>296</v>
      </c>
      <c r="G161" s="270"/>
      <c r="H161" s="95" t="s">
        <v>15</v>
      </c>
      <c r="I161" s="95" t="s">
        <v>16</v>
      </c>
      <c r="J161" s="95" t="s">
        <v>7</v>
      </c>
      <c r="K161" s="95" t="s">
        <v>2</v>
      </c>
      <c r="Q161" s="76"/>
    </row>
    <row r="162" spans="1:31" ht="14.25" customHeight="1" x14ac:dyDescent="0.25">
      <c r="A162" s="95"/>
      <c r="B162" s="96" t="s">
        <v>290</v>
      </c>
      <c r="C162" s="95" t="s">
        <v>291</v>
      </c>
      <c r="D162" s="96" t="s">
        <v>290</v>
      </c>
      <c r="E162" s="95" t="s">
        <v>291</v>
      </c>
      <c r="F162" s="96" t="s">
        <v>290</v>
      </c>
      <c r="G162" s="95" t="s">
        <v>291</v>
      </c>
      <c r="H162" s="96" t="s">
        <v>299</v>
      </c>
      <c r="I162" s="96" t="s">
        <v>304</v>
      </c>
      <c r="J162" s="96" t="s">
        <v>306</v>
      </c>
      <c r="K162" s="96" t="s">
        <v>290</v>
      </c>
      <c r="Q162" s="76"/>
    </row>
    <row r="163" spans="1:31" ht="14.25" customHeight="1" x14ac:dyDescent="0.25">
      <c r="A163" s="95" t="s">
        <v>289</v>
      </c>
      <c r="B163" s="95">
        <v>0</v>
      </c>
      <c r="C163" s="95">
        <v>0</v>
      </c>
      <c r="D163" s="95">
        <v>0</v>
      </c>
      <c r="E163" s="95">
        <v>0</v>
      </c>
      <c r="F163" s="95">
        <v>0</v>
      </c>
      <c r="G163" s="95">
        <v>0</v>
      </c>
      <c r="H163" s="95">
        <v>0</v>
      </c>
      <c r="I163" s="165">
        <v>0</v>
      </c>
      <c r="J163" s="95">
        <v>0</v>
      </c>
      <c r="K163" s="95">
        <v>0</v>
      </c>
      <c r="Q163" s="76"/>
    </row>
    <row r="164" spans="1:31" ht="14.25" customHeight="1" x14ac:dyDescent="0.25">
      <c r="A164" s="218" t="s">
        <v>132</v>
      </c>
      <c r="B164" s="98">
        <v>0.20002361553902467</v>
      </c>
      <c r="C164" s="98">
        <v>0.89904357066950069</v>
      </c>
      <c r="D164" s="98">
        <v>1.2453405017921146</v>
      </c>
      <c r="E164" s="98">
        <v>2.5240143369175625</v>
      </c>
      <c r="F164" s="98"/>
      <c r="G164" s="98"/>
      <c r="H164" s="98"/>
      <c r="I164" s="98">
        <v>0.23023212799408119</v>
      </c>
      <c r="J164" s="98"/>
      <c r="K164" s="98"/>
      <c r="Q164" s="76"/>
    </row>
    <row r="165" spans="1:31" ht="14.25" customHeight="1" x14ac:dyDescent="0.25">
      <c r="A165" s="218"/>
      <c r="B165" s="98">
        <v>0.20179478096587555</v>
      </c>
      <c r="C165" s="98">
        <v>0.90967056323060569</v>
      </c>
      <c r="D165" s="98">
        <v>1.6960573476702507</v>
      </c>
      <c r="E165" s="98">
        <v>3.0535842293906805</v>
      </c>
      <c r="F165" s="98"/>
      <c r="G165" s="98"/>
      <c r="H165" s="98"/>
      <c r="I165" s="98">
        <v>0.24253213724220846</v>
      </c>
      <c r="J165" s="98"/>
      <c r="K165" s="98"/>
      <c r="Q165" s="76"/>
    </row>
    <row r="166" spans="1:31" ht="14.25" customHeight="1" x14ac:dyDescent="0.25">
      <c r="A166" s="218" t="s">
        <v>135</v>
      </c>
      <c r="B166" s="98">
        <v>1.4051245719683553E-2</v>
      </c>
      <c r="C166" s="98">
        <v>0.20710827724642816</v>
      </c>
      <c r="D166" s="98">
        <v>1.5338709677419353</v>
      </c>
      <c r="E166" s="98">
        <v>2.0688172043010753</v>
      </c>
      <c r="F166" s="98"/>
      <c r="G166" s="98"/>
      <c r="H166" s="98"/>
      <c r="I166" s="98">
        <v>0.13825950245075372</v>
      </c>
      <c r="J166" s="98"/>
      <c r="K166" s="98"/>
      <c r="Q166" s="76"/>
    </row>
    <row r="167" spans="1:31" ht="14.25" customHeight="1" x14ac:dyDescent="0.25">
      <c r="A167" s="218"/>
      <c r="B167" s="98">
        <v>5.7858070610461703E-3</v>
      </c>
      <c r="C167" s="98">
        <v>0.22245837761246903</v>
      </c>
      <c r="D167" s="98">
        <v>1.5379032258064516</v>
      </c>
      <c r="E167" s="98">
        <v>2.2126344086021503</v>
      </c>
      <c r="F167" s="98"/>
      <c r="G167" s="98"/>
      <c r="H167" s="98"/>
      <c r="I167" s="98">
        <v>0.12776287801720151</v>
      </c>
      <c r="J167" s="98"/>
      <c r="K167" s="98"/>
      <c r="Q167" s="76"/>
    </row>
    <row r="168" spans="1:31" ht="14.25" customHeight="1" x14ac:dyDescent="0.25">
      <c r="A168" s="218" t="s">
        <v>136</v>
      </c>
      <c r="B168" s="98">
        <v>2.7039792183256587E-2</v>
      </c>
      <c r="C168" s="98">
        <v>0.16991380328255992</v>
      </c>
      <c r="D168" s="98">
        <v>1.3568996415770609</v>
      </c>
      <c r="E168" s="98">
        <v>2.1319892473118278</v>
      </c>
      <c r="F168" s="98"/>
      <c r="G168" s="98"/>
      <c r="H168" s="165">
        <v>0</v>
      </c>
      <c r="I168" s="98">
        <v>0.1458892074354943</v>
      </c>
      <c r="J168" s="98"/>
      <c r="K168" s="98"/>
      <c r="Q168" s="76"/>
    </row>
    <row r="169" spans="1:31" ht="14.25" customHeight="1" x14ac:dyDescent="0.25">
      <c r="A169" s="218"/>
      <c r="B169" s="98">
        <v>1.4641634195300509E-2</v>
      </c>
      <c r="C169" s="98">
        <v>0.15397331444090209</v>
      </c>
      <c r="D169" s="98">
        <v>1.553584229390681</v>
      </c>
      <c r="E169" s="98">
        <v>2.3967741935483873</v>
      </c>
      <c r="F169" s="98"/>
      <c r="G169" s="98"/>
      <c r="H169" s="165">
        <v>0</v>
      </c>
      <c r="I169" s="98">
        <v>0.12813280310737074</v>
      </c>
      <c r="J169" s="98"/>
      <c r="K169" s="98"/>
      <c r="Q169" s="76"/>
      <c r="U169" s="91"/>
    </row>
    <row r="170" spans="1:31" ht="14.25" customHeight="1" x14ac:dyDescent="0.25">
      <c r="A170" s="218" t="s">
        <v>134</v>
      </c>
      <c r="B170" s="98">
        <v>1.818396504900224E-2</v>
      </c>
      <c r="C170" s="98">
        <v>0.11855000590388474</v>
      </c>
      <c r="D170" s="98">
        <v>2.4989247311827958</v>
      </c>
      <c r="E170" s="98">
        <v>1.7923835125448029</v>
      </c>
      <c r="F170" s="98"/>
      <c r="G170" s="98"/>
      <c r="H170" s="98"/>
      <c r="I170" s="98">
        <v>0.3951262369370202</v>
      </c>
      <c r="J170" s="98"/>
      <c r="K170" s="98"/>
      <c r="Q170" s="76"/>
      <c r="V170" s="77"/>
      <c r="X170" s="77"/>
    </row>
    <row r="171" spans="1:31" ht="14.25" customHeight="1" x14ac:dyDescent="0.25">
      <c r="A171" s="218"/>
      <c r="B171" s="98">
        <v>2.1135907427087024E-2</v>
      </c>
      <c r="C171" s="98">
        <v>0.12976738694060691</v>
      </c>
      <c r="D171" s="98">
        <v>2.3336021505376343</v>
      </c>
      <c r="E171" s="98">
        <v>1.6620071684587812</v>
      </c>
      <c r="F171" s="98"/>
      <c r="G171" s="98"/>
      <c r="H171" s="98"/>
      <c r="I171" s="98">
        <v>0.4210209932488671</v>
      </c>
      <c r="J171" s="98"/>
      <c r="K171" s="98"/>
      <c r="Q171" s="76"/>
    </row>
    <row r="172" spans="1:31" ht="14.25" customHeight="1" x14ac:dyDescent="0.25">
      <c r="A172" s="218" t="s">
        <v>133</v>
      </c>
      <c r="B172" s="98">
        <v>0.20710827724642816</v>
      </c>
      <c r="C172" s="98">
        <v>4.4161057976148312E-2</v>
      </c>
      <c r="D172" s="98">
        <v>1.1203405017921149</v>
      </c>
      <c r="E172" s="98">
        <v>1.2198028673835126</v>
      </c>
      <c r="F172" s="98">
        <v>1.3237455197132615</v>
      </c>
      <c r="G172" s="98">
        <v>0.36944444444444441</v>
      </c>
      <c r="H172" s="98"/>
      <c r="I172" s="98">
        <v>0.14223619717007305</v>
      </c>
      <c r="J172" s="98">
        <v>1.6754368461560387</v>
      </c>
      <c r="K172" s="98">
        <v>0.65993623804463342</v>
      </c>
      <c r="Q172" s="76"/>
      <c r="Z172" s="77"/>
      <c r="AB172" s="77"/>
      <c r="AC172" s="77"/>
      <c r="AD172" s="77"/>
      <c r="AE172" s="77"/>
    </row>
    <row r="173" spans="1:31" ht="14.25" customHeight="1" x14ac:dyDescent="0.25">
      <c r="A173" s="218"/>
      <c r="B173" s="98">
        <v>0.21950643523438423</v>
      </c>
      <c r="C173" s="98">
        <v>5.7739992915338295E-2</v>
      </c>
      <c r="D173" s="98">
        <v>0.86451612903225794</v>
      </c>
      <c r="E173" s="98">
        <v>1.2094982078853047</v>
      </c>
      <c r="F173" s="98">
        <v>1.2556451612903226</v>
      </c>
      <c r="G173" s="98">
        <v>0.30403225806451617</v>
      </c>
      <c r="H173" s="98"/>
      <c r="I173" s="98">
        <v>0.16785350966429297</v>
      </c>
      <c r="J173" s="98">
        <v>1.5591345742709728</v>
      </c>
      <c r="K173" s="98">
        <v>0.57432990908017478</v>
      </c>
      <c r="Q173" s="76"/>
      <c r="Z173" s="77"/>
      <c r="AB173" s="77"/>
      <c r="AC173" s="108"/>
      <c r="AD173" s="77"/>
      <c r="AE173" s="77"/>
    </row>
    <row r="174" spans="1:31" ht="14.25" customHeight="1" x14ac:dyDescent="0.25">
      <c r="A174" s="218" t="s">
        <v>131</v>
      </c>
      <c r="B174" s="98"/>
      <c r="C174" s="98"/>
      <c r="D174" s="98"/>
      <c r="E174" s="98"/>
      <c r="F174" s="98">
        <v>1.4236559139784946</v>
      </c>
      <c r="G174" s="98">
        <v>0.47786738351254476</v>
      </c>
      <c r="H174" s="98"/>
      <c r="I174" s="98"/>
      <c r="J174" s="98">
        <v>1.7857529716940792</v>
      </c>
      <c r="K174" s="98">
        <v>0.7437714015822412</v>
      </c>
      <c r="Q174" s="76"/>
      <c r="Z174" s="77"/>
      <c r="AB174" s="77"/>
      <c r="AD174" s="77"/>
      <c r="AE174" s="77"/>
    </row>
    <row r="175" spans="1:31" ht="27.75" customHeight="1" x14ac:dyDescent="0.25">
      <c r="A175" s="218"/>
      <c r="B175" s="98"/>
      <c r="C175" s="98"/>
      <c r="D175" s="98"/>
      <c r="E175" s="98"/>
      <c r="F175" s="98">
        <v>1.4370967741935483</v>
      </c>
      <c r="G175" s="98">
        <v>0.56120071684587802</v>
      </c>
      <c r="H175" s="98"/>
      <c r="I175" s="98"/>
      <c r="J175" s="98">
        <v>1.8111228300219491</v>
      </c>
      <c r="K175" s="98">
        <v>0.84886055024205931</v>
      </c>
      <c r="Z175" s="77"/>
      <c r="AB175" s="77"/>
      <c r="AD175" s="77"/>
      <c r="AE175" s="77"/>
    </row>
    <row r="176" spans="1:31" ht="14.25" customHeight="1" x14ac:dyDescent="0.25">
      <c r="A176" s="218" t="s">
        <v>309</v>
      </c>
      <c r="B176" s="98">
        <v>0.81676983680360149</v>
      </c>
      <c r="C176" s="98">
        <v>1.319227161883324</v>
      </c>
      <c r="D176" s="98">
        <v>1.066621303971298</v>
      </c>
      <c r="E176" s="98">
        <v>0.53464060373623645</v>
      </c>
      <c r="F176" s="98"/>
      <c r="G176" s="98"/>
      <c r="H176" s="98">
        <v>0</v>
      </c>
      <c r="I176" s="98">
        <v>0.56415572253076329</v>
      </c>
      <c r="J176" s="98">
        <v>3.5050827766482722</v>
      </c>
      <c r="K176" s="98">
        <v>0.40705308572500459</v>
      </c>
      <c r="Z176" s="77"/>
      <c r="AB176" s="77"/>
      <c r="AD176" s="77"/>
      <c r="AE176" s="77"/>
    </row>
    <row r="177" spans="1:31" ht="14.25" customHeight="1" x14ac:dyDescent="0.25">
      <c r="A177" s="218"/>
      <c r="B177" s="98">
        <v>0.77028700056274602</v>
      </c>
      <c r="C177" s="98">
        <v>0.93629712999437265</v>
      </c>
      <c r="D177" s="98">
        <v>1.0325992824446368</v>
      </c>
      <c r="E177" s="98">
        <v>0.59093158480762087</v>
      </c>
      <c r="F177" s="98"/>
      <c r="G177" s="98"/>
      <c r="H177" s="98">
        <v>0</v>
      </c>
      <c r="I177" s="98">
        <v>0.68323685070238482</v>
      </c>
      <c r="J177" s="98">
        <v>3.8052086358795623</v>
      </c>
      <c r="K177" s="98">
        <v>0.42768711311198643</v>
      </c>
      <c r="AB177" s="77"/>
      <c r="AD177" s="77"/>
      <c r="AE177" s="77"/>
    </row>
    <row r="178" spans="1:31" ht="14.25" customHeight="1" x14ac:dyDescent="0.25">
      <c r="A178" s="221" t="s">
        <v>300</v>
      </c>
      <c r="B178" s="221"/>
      <c r="C178" s="221"/>
      <c r="D178" s="221"/>
      <c r="E178" s="221"/>
      <c r="F178" s="221"/>
      <c r="G178" s="221"/>
      <c r="H178" s="221"/>
      <c r="I178" s="221"/>
      <c r="J178" s="221"/>
      <c r="K178" s="221"/>
      <c r="AD178" s="77"/>
      <c r="AE178" s="77"/>
    </row>
    <row r="179" spans="1:31" ht="14.25" customHeight="1" x14ac:dyDescent="0.25">
      <c r="A179" s="221" t="s">
        <v>406</v>
      </c>
      <c r="B179" s="221"/>
      <c r="C179" s="221"/>
      <c r="D179" s="221"/>
      <c r="E179" s="221"/>
      <c r="F179" s="221"/>
      <c r="G179" s="221"/>
      <c r="H179" s="221"/>
      <c r="I179" s="221"/>
      <c r="J179" s="221"/>
      <c r="K179" s="221"/>
      <c r="Z179" s="77"/>
      <c r="AD179" s="77"/>
      <c r="AE179" s="77"/>
    </row>
    <row r="180" spans="1:31" ht="14.25" customHeight="1" x14ac:dyDescent="0.25">
      <c r="A180" s="221" t="s">
        <v>307</v>
      </c>
      <c r="B180" s="221"/>
      <c r="C180" s="221"/>
      <c r="D180" s="221"/>
      <c r="E180" s="221"/>
      <c r="F180" s="221"/>
      <c r="G180" s="221"/>
      <c r="H180" s="221"/>
      <c r="I180" s="221"/>
      <c r="J180" s="221"/>
      <c r="K180" s="221"/>
      <c r="Z180" s="77"/>
      <c r="AB180" s="77"/>
      <c r="AD180" s="77"/>
      <c r="AE180" s="77"/>
    </row>
    <row r="181" spans="1:31" ht="14.25" customHeight="1" x14ac:dyDescent="0.25">
      <c r="H181" s="32">
        <v>50</v>
      </c>
      <c r="Z181" s="77"/>
      <c r="AB181" s="77"/>
      <c r="AD181" s="77"/>
      <c r="AE181" s="77"/>
    </row>
    <row r="182" spans="1:31" ht="14.25" customHeight="1" x14ac:dyDescent="0.25">
      <c r="Z182" s="34"/>
      <c r="AB182" s="77"/>
    </row>
    <row r="183" spans="1:31" ht="14.25" customHeight="1" x14ac:dyDescent="0.25">
      <c r="A183" s="221" t="s">
        <v>338</v>
      </c>
      <c r="B183" s="221"/>
      <c r="C183" s="221"/>
      <c r="D183" s="221"/>
      <c r="E183" s="221"/>
      <c r="F183" s="221"/>
      <c r="G183" s="221"/>
      <c r="H183" s="221"/>
      <c r="I183" s="221"/>
      <c r="J183" s="221"/>
      <c r="K183" s="221"/>
      <c r="Z183" s="34"/>
      <c r="AB183" s="77"/>
    </row>
    <row r="184" spans="1:31" ht="14.25" customHeight="1" x14ac:dyDescent="0.25">
      <c r="A184" s="275" t="s">
        <v>293</v>
      </c>
      <c r="B184" s="275"/>
      <c r="C184" s="275"/>
      <c r="D184" s="275"/>
      <c r="E184" s="275"/>
      <c r="F184" s="275"/>
      <c r="G184" s="275"/>
      <c r="H184" s="275"/>
      <c r="I184" s="275"/>
      <c r="J184" s="275"/>
      <c r="K184" s="275"/>
      <c r="V184" s="77"/>
      <c r="X184" s="77"/>
      <c r="Z184" s="34"/>
      <c r="AA184" s="34"/>
      <c r="AB184" s="77"/>
      <c r="AC184" s="77"/>
    </row>
    <row r="185" spans="1:31" ht="22.5" customHeight="1" x14ac:dyDescent="0.25">
      <c r="A185" s="94" t="s">
        <v>292</v>
      </c>
      <c r="B185" s="218" t="s">
        <v>294</v>
      </c>
      <c r="C185" s="218"/>
      <c r="D185" s="218" t="s">
        <v>295</v>
      </c>
      <c r="E185" s="218"/>
      <c r="F185" s="268" t="s">
        <v>296</v>
      </c>
      <c r="G185" s="270"/>
      <c r="H185" s="95" t="s">
        <v>15</v>
      </c>
      <c r="I185" s="95" t="s">
        <v>16</v>
      </c>
      <c r="J185" s="95" t="s">
        <v>7</v>
      </c>
      <c r="K185" s="95" t="s">
        <v>2</v>
      </c>
      <c r="Z185" s="77"/>
      <c r="AB185" s="77"/>
      <c r="AC185" s="77"/>
    </row>
    <row r="186" spans="1:31" ht="14.25" customHeight="1" x14ac:dyDescent="0.25">
      <c r="A186" s="95"/>
      <c r="B186" s="96" t="s">
        <v>290</v>
      </c>
      <c r="C186" s="95" t="s">
        <v>291</v>
      </c>
      <c r="D186" s="96" t="s">
        <v>290</v>
      </c>
      <c r="E186" s="95" t="s">
        <v>291</v>
      </c>
      <c r="F186" s="96" t="s">
        <v>290</v>
      </c>
      <c r="G186" s="95" t="s">
        <v>291</v>
      </c>
      <c r="H186" s="96" t="s">
        <v>299</v>
      </c>
      <c r="I186" s="96" t="s">
        <v>304</v>
      </c>
      <c r="J186" s="96" t="s">
        <v>306</v>
      </c>
      <c r="K186" s="96" t="s">
        <v>290</v>
      </c>
      <c r="Z186" s="77"/>
      <c r="AB186" s="77"/>
      <c r="AC186" s="108"/>
      <c r="AD186" s="108"/>
      <c r="AE186" s="108"/>
    </row>
    <row r="187" spans="1:31" ht="14.25" customHeight="1" x14ac:dyDescent="0.25">
      <c r="A187" s="95" t="s">
        <v>289</v>
      </c>
      <c r="B187" s="96">
        <v>0</v>
      </c>
      <c r="C187" s="95">
        <v>0</v>
      </c>
      <c r="D187" s="96">
        <v>0</v>
      </c>
      <c r="E187" s="95">
        <v>0</v>
      </c>
      <c r="F187" s="96">
        <v>0</v>
      </c>
      <c r="G187" s="95">
        <v>0</v>
      </c>
      <c r="H187" s="96">
        <v>0</v>
      </c>
      <c r="I187" s="164">
        <v>0</v>
      </c>
      <c r="J187" s="96">
        <v>0</v>
      </c>
      <c r="K187" s="96">
        <v>0</v>
      </c>
      <c r="Z187" s="77"/>
      <c r="AB187" s="77"/>
      <c r="AC187" s="108"/>
      <c r="AD187" s="108"/>
      <c r="AE187" s="108"/>
    </row>
    <row r="188" spans="1:31" ht="14.25" customHeight="1" x14ac:dyDescent="0.25">
      <c r="A188" s="218" t="s">
        <v>132</v>
      </c>
      <c r="B188" s="98">
        <v>1.6885279628087704</v>
      </c>
      <c r="C188" s="98">
        <v>2.809965769266352</v>
      </c>
      <c r="D188" s="98">
        <v>6.1553077862844106</v>
      </c>
      <c r="E188" s="98">
        <v>4.4681725036650919</v>
      </c>
      <c r="F188" s="97"/>
      <c r="G188" s="98"/>
      <c r="H188" s="97"/>
      <c r="I188" s="171">
        <v>0.47480159165168567</v>
      </c>
      <c r="J188" s="97"/>
      <c r="K188" s="97"/>
    </row>
    <row r="189" spans="1:31" ht="14.25" customHeight="1" x14ac:dyDescent="0.25">
      <c r="A189" s="218"/>
      <c r="B189" s="98">
        <v>1.9459802016837817</v>
      </c>
      <c r="C189" s="98">
        <v>3.1646287815709129</v>
      </c>
      <c r="D189" s="98">
        <v>8.114762094803714</v>
      </c>
      <c r="E189" s="98">
        <v>5.1924617201498613</v>
      </c>
      <c r="F189" s="97"/>
      <c r="G189" s="98"/>
      <c r="H189" s="97"/>
      <c r="I189" s="171">
        <v>0.52069798144500778</v>
      </c>
      <c r="J189" s="97"/>
      <c r="K189" s="97"/>
    </row>
    <row r="190" spans="1:31" ht="14.25" customHeight="1" x14ac:dyDescent="0.25">
      <c r="A190" s="218" t="s">
        <v>135</v>
      </c>
      <c r="B190" s="98">
        <v>0.43640785456563974</v>
      </c>
      <c r="C190" s="98">
        <v>1.0625112175039317</v>
      </c>
      <c r="D190" s="98">
        <v>8.2464744258022478</v>
      </c>
      <c r="E190" s="98">
        <v>4.1306558071347119</v>
      </c>
      <c r="F190" s="97"/>
      <c r="G190" s="98"/>
      <c r="H190" s="97"/>
      <c r="I190" s="171">
        <v>7.2425535773121455E-2</v>
      </c>
      <c r="J190" s="97"/>
      <c r="K190" s="97"/>
    </row>
    <row r="191" spans="1:31" ht="14.25" customHeight="1" x14ac:dyDescent="0.25">
      <c r="A191" s="218"/>
      <c r="B191" s="98">
        <v>0.42733139050791003</v>
      </c>
      <c r="C191" s="98">
        <v>1.1080417938754741</v>
      </c>
      <c r="D191" s="98">
        <v>8.2278207362762661</v>
      </c>
      <c r="E191" s="98">
        <v>4.210015393386545</v>
      </c>
      <c r="F191" s="97"/>
      <c r="G191" s="98"/>
      <c r="H191" s="97"/>
      <c r="I191" s="172">
        <v>0</v>
      </c>
      <c r="J191" s="97"/>
      <c r="K191" s="97"/>
    </row>
    <row r="192" spans="1:31" ht="14.25" customHeight="1" x14ac:dyDescent="0.25">
      <c r="A192" s="218" t="s">
        <v>136</v>
      </c>
      <c r="B192" s="98">
        <v>0.66690547229160879</v>
      </c>
      <c r="C192" s="98">
        <v>0.94048454991211017</v>
      </c>
      <c r="D192" s="98">
        <v>7.1666615083889891</v>
      </c>
      <c r="E192" s="98">
        <v>4.1720927675517183</v>
      </c>
      <c r="F192" s="97"/>
      <c r="G192" s="98"/>
      <c r="H192" s="165">
        <v>0</v>
      </c>
      <c r="I192" s="171">
        <v>0.13207201359195009</v>
      </c>
      <c r="J192" s="97"/>
      <c r="K192" s="97"/>
    </row>
    <row r="193" spans="1:32" ht="14.25" customHeight="1" x14ac:dyDescent="0.25">
      <c r="A193" s="218"/>
      <c r="B193" s="98">
        <v>0.55620536127301312</v>
      </c>
      <c r="C193" s="98">
        <v>0.87577238875011565</v>
      </c>
      <c r="D193" s="98">
        <v>8.4247695878807622</v>
      </c>
      <c r="E193" s="98">
        <v>4.4629562632350543</v>
      </c>
      <c r="F193" s="97"/>
      <c r="G193" s="98"/>
      <c r="H193" s="165">
        <v>0</v>
      </c>
      <c r="I193" s="172">
        <v>-3.1706915728774185E-5</v>
      </c>
      <c r="J193" s="97"/>
      <c r="K193" s="97"/>
    </row>
    <row r="194" spans="1:32" ht="14.25" customHeight="1" x14ac:dyDescent="0.25">
      <c r="A194" s="218" t="s">
        <v>134</v>
      </c>
      <c r="B194" s="98">
        <v>0.59806099084096576</v>
      </c>
      <c r="C194" s="98">
        <v>0.7923335877509482</v>
      </c>
      <c r="D194" s="98">
        <v>12.990016859423362</v>
      </c>
      <c r="E194" s="98">
        <v>3.5912583482651894</v>
      </c>
      <c r="F194" s="97"/>
      <c r="G194" s="98"/>
      <c r="H194" s="97"/>
      <c r="I194" s="173">
        <v>1.646209498837568</v>
      </c>
      <c r="J194" s="97"/>
      <c r="K194" s="97"/>
    </row>
    <row r="195" spans="1:32" ht="14.25" customHeight="1" x14ac:dyDescent="0.25">
      <c r="A195" s="218"/>
      <c r="B195" s="98">
        <v>0.68742113053936527</v>
      </c>
      <c r="C195" s="98">
        <v>0.842112707003423</v>
      </c>
      <c r="D195" s="98">
        <v>12.187651327577782</v>
      </c>
      <c r="E195" s="98">
        <v>3.6341469294673399</v>
      </c>
      <c r="F195" s="97"/>
      <c r="G195" s="98"/>
      <c r="H195" s="97"/>
      <c r="I195" s="171">
        <v>2.0923774297749822</v>
      </c>
      <c r="J195" s="97"/>
      <c r="K195" s="97"/>
      <c r="N195" s="109"/>
      <c r="O195" s="109"/>
      <c r="P195" s="109"/>
      <c r="Q195" s="109"/>
      <c r="R195" s="109"/>
      <c r="T195" s="109"/>
      <c r="U195" s="109"/>
      <c r="V195" s="109"/>
      <c r="W195" s="109"/>
      <c r="X195" s="109"/>
      <c r="Y195" s="109"/>
      <c r="Z195" s="111"/>
      <c r="AA195" s="111"/>
      <c r="AB195" s="111"/>
      <c r="AC195" s="111"/>
      <c r="AD195" s="111"/>
      <c r="AE195" s="111"/>
      <c r="AF195" s="71"/>
    </row>
    <row r="196" spans="1:32" ht="14.25" customHeight="1" x14ac:dyDescent="0.25">
      <c r="A196" s="218" t="s">
        <v>133</v>
      </c>
      <c r="B196" s="98">
        <v>2.1478083078915713</v>
      </c>
      <c r="C196" s="98">
        <v>0.23754683597002493</v>
      </c>
      <c r="D196" s="98">
        <v>5.7829267796057984</v>
      </c>
      <c r="E196" s="98">
        <v>2.2434789053591793</v>
      </c>
      <c r="F196" s="98">
        <v>2.199789868056687</v>
      </c>
      <c r="G196" s="165">
        <v>0</v>
      </c>
      <c r="H196" s="97"/>
      <c r="I196" s="172">
        <v>0</v>
      </c>
      <c r="J196" s="98">
        <v>2.5879768330402086</v>
      </c>
      <c r="K196" s="98">
        <v>0.96875302219015447</v>
      </c>
      <c r="N196" s="109"/>
      <c r="O196" s="109"/>
      <c r="Z196" s="111"/>
      <c r="AA196" s="111"/>
      <c r="AB196" s="111"/>
      <c r="AC196" s="111"/>
      <c r="AD196" s="111"/>
      <c r="AE196" s="111"/>
      <c r="AF196" s="71"/>
    </row>
    <row r="197" spans="1:32" ht="14.25" customHeight="1" x14ac:dyDescent="0.25">
      <c r="A197" s="218"/>
      <c r="B197" s="98">
        <v>2.2619757840688317</v>
      </c>
      <c r="C197" s="98">
        <v>0.24531351188824127</v>
      </c>
      <c r="D197" s="98">
        <v>4.6172052451539338</v>
      </c>
      <c r="E197" s="98">
        <v>2.2135649128522563</v>
      </c>
      <c r="F197" s="98">
        <v>2.349162159960906</v>
      </c>
      <c r="G197" s="165">
        <v>0</v>
      </c>
      <c r="H197" s="97"/>
      <c r="I197" s="171">
        <v>0.12196823308952186</v>
      </c>
      <c r="J197" s="98">
        <v>2.5683136939778035</v>
      </c>
      <c r="K197" s="98">
        <v>0.9008154533601691</v>
      </c>
      <c r="N197" s="112"/>
      <c r="T197" s="109"/>
      <c r="U197" s="109"/>
      <c r="V197" s="109"/>
      <c r="W197" s="109"/>
      <c r="X197" s="109"/>
      <c r="Y197" s="109"/>
      <c r="Z197" s="111"/>
      <c r="AA197" s="111"/>
      <c r="AB197" s="111"/>
      <c r="AC197" s="111"/>
      <c r="AD197" s="111"/>
      <c r="AE197" s="111"/>
      <c r="AF197" s="71"/>
    </row>
    <row r="198" spans="1:32" ht="14.25" customHeight="1" x14ac:dyDescent="0.25">
      <c r="A198" s="218" t="s">
        <v>131</v>
      </c>
      <c r="B198" s="97"/>
      <c r="C198" s="98"/>
      <c r="D198" s="97"/>
      <c r="E198" s="98"/>
      <c r="F198" s="98">
        <v>2.1967705652386385</v>
      </c>
      <c r="G198" s="98">
        <v>1.0545772927186819E-2</v>
      </c>
      <c r="H198" s="97"/>
      <c r="I198" s="174"/>
      <c r="J198" s="98">
        <v>2.8699695554612163</v>
      </c>
      <c r="K198" s="98">
        <v>1.0579225053481691</v>
      </c>
      <c r="N198" s="112"/>
      <c r="T198" s="109"/>
      <c r="U198" s="109"/>
      <c r="V198" s="109"/>
      <c r="W198" s="109"/>
      <c r="X198" s="109"/>
      <c r="Y198" s="109"/>
      <c r="Z198" s="111"/>
      <c r="AA198" s="111"/>
      <c r="AB198" s="111"/>
      <c r="AC198" s="111"/>
      <c r="AD198" s="111"/>
      <c r="AE198" s="111"/>
      <c r="AF198" s="71"/>
    </row>
    <row r="199" spans="1:32" ht="14.25" customHeight="1" x14ac:dyDescent="0.25">
      <c r="A199" s="218"/>
      <c r="B199" s="97"/>
      <c r="C199" s="98"/>
      <c r="D199" s="97"/>
      <c r="E199" s="98"/>
      <c r="F199" s="98">
        <v>2.3153366997882392</v>
      </c>
      <c r="G199" s="98">
        <v>4.9535429223000485E-2</v>
      </c>
      <c r="H199" s="97"/>
      <c r="I199" s="97"/>
      <c r="J199" s="98">
        <v>2.9996027048335252</v>
      </c>
      <c r="K199" s="98">
        <v>1.2535156141216979</v>
      </c>
      <c r="N199" s="112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11"/>
      <c r="AA199" s="111"/>
      <c r="AB199" s="111"/>
      <c r="AC199" s="111"/>
      <c r="AD199" s="111"/>
      <c r="AE199" s="111"/>
      <c r="AF199" s="71"/>
    </row>
    <row r="200" spans="1:32" ht="14.25" customHeight="1" x14ac:dyDescent="0.25">
      <c r="A200" s="218" t="s">
        <v>309</v>
      </c>
      <c r="B200" s="97"/>
      <c r="C200" s="98"/>
      <c r="D200" s="97"/>
      <c r="E200" s="98"/>
      <c r="F200" s="97"/>
      <c r="G200" s="98"/>
      <c r="H200" s="97"/>
      <c r="I200" s="97"/>
      <c r="J200" s="97"/>
      <c r="K200" s="97"/>
      <c r="N200" s="112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11"/>
      <c r="AA200" s="111"/>
      <c r="AB200" s="111"/>
      <c r="AC200" s="111"/>
      <c r="AD200" s="111"/>
      <c r="AE200" s="111"/>
      <c r="AF200" s="71"/>
    </row>
    <row r="201" spans="1:32" ht="14.25" customHeight="1" x14ac:dyDescent="0.25">
      <c r="A201" s="218"/>
      <c r="B201" s="97"/>
      <c r="C201" s="98"/>
      <c r="D201" s="97"/>
      <c r="E201" s="98"/>
      <c r="F201" s="97"/>
      <c r="G201" s="98"/>
      <c r="H201" s="97"/>
      <c r="I201" s="97"/>
      <c r="J201" s="97"/>
      <c r="K201" s="97"/>
      <c r="W201" s="109"/>
      <c r="X201" s="109"/>
      <c r="Y201" s="109"/>
      <c r="Z201" s="111"/>
      <c r="AA201" s="111"/>
      <c r="AB201" s="111"/>
      <c r="AC201" s="111"/>
      <c r="AD201" s="111"/>
      <c r="AE201" s="111"/>
      <c r="AF201" s="71"/>
    </row>
    <row r="202" spans="1:32" ht="14.25" customHeight="1" x14ac:dyDescent="0.25">
      <c r="W202" s="109"/>
      <c r="X202" s="109"/>
      <c r="Y202" s="109"/>
      <c r="Z202" s="111"/>
      <c r="AA202" s="111"/>
      <c r="AB202" s="111"/>
      <c r="AC202" s="111"/>
      <c r="AD202" s="111"/>
      <c r="AE202" s="111"/>
      <c r="AF202" s="71"/>
    </row>
    <row r="203" spans="1:32" ht="14.25" customHeight="1" x14ac:dyDescent="0.25">
      <c r="N203" s="112"/>
      <c r="AA203" s="111"/>
      <c r="AB203" s="111"/>
      <c r="AC203" s="111"/>
      <c r="AD203" s="111"/>
      <c r="AE203" s="111"/>
      <c r="AF203" s="71"/>
    </row>
    <row r="204" spans="1:32" ht="14.25" customHeight="1" x14ac:dyDescent="0.25">
      <c r="N204" s="112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11"/>
      <c r="AA204" s="111"/>
      <c r="AB204" s="111"/>
      <c r="AC204" s="111"/>
      <c r="AD204" s="111"/>
      <c r="AE204" s="111"/>
      <c r="AF204" s="71"/>
    </row>
    <row r="205" spans="1:32" ht="14.25" customHeight="1" x14ac:dyDescent="0.25">
      <c r="N205" s="112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11"/>
      <c r="AA205" s="111"/>
      <c r="AB205" s="111"/>
      <c r="AC205" s="111"/>
      <c r="AD205" s="111"/>
      <c r="AE205" s="111"/>
      <c r="AF205" s="71"/>
    </row>
    <row r="208" spans="1:32" ht="14.25" customHeight="1" x14ac:dyDescent="0.25">
      <c r="V208" s="41" t="s">
        <v>389</v>
      </c>
      <c r="W208" s="41"/>
      <c r="X208" s="41" t="s">
        <v>390</v>
      </c>
      <c r="Y208" s="41"/>
    </row>
    <row r="209" spans="1:27" s="114" customFormat="1" ht="128.25" x14ac:dyDescent="0.25">
      <c r="A209" s="113" t="s">
        <v>292</v>
      </c>
      <c r="B209" s="119" t="s">
        <v>367</v>
      </c>
      <c r="C209" s="119" t="s">
        <v>368</v>
      </c>
      <c r="D209" s="119" t="s">
        <v>369</v>
      </c>
      <c r="E209" s="119" t="s">
        <v>370</v>
      </c>
      <c r="F209" s="119" t="s">
        <v>371</v>
      </c>
      <c r="G209" s="119" t="s">
        <v>372</v>
      </c>
      <c r="H209" s="119" t="s">
        <v>373</v>
      </c>
      <c r="I209" s="119" t="s">
        <v>374</v>
      </c>
      <c r="J209" s="119" t="s">
        <v>375</v>
      </c>
      <c r="K209" s="119" t="s">
        <v>376</v>
      </c>
      <c r="L209" s="119" t="s">
        <v>377</v>
      </c>
      <c r="M209" s="119" t="s">
        <v>378</v>
      </c>
      <c r="N209" s="119" t="s">
        <v>379</v>
      </c>
      <c r="O209" s="119" t="s">
        <v>380</v>
      </c>
      <c r="P209" s="119" t="s">
        <v>381</v>
      </c>
      <c r="Q209" s="119" t="s">
        <v>382</v>
      </c>
      <c r="R209" s="119" t="s">
        <v>383</v>
      </c>
      <c r="S209" s="119" t="s">
        <v>384</v>
      </c>
      <c r="T209" s="119" t="s">
        <v>385</v>
      </c>
      <c r="U209" s="119" t="s">
        <v>386</v>
      </c>
      <c r="V209" s="119" t="s">
        <v>387</v>
      </c>
      <c r="W209" s="119" t="s">
        <v>388</v>
      </c>
      <c r="X209" s="119" t="s">
        <v>391</v>
      </c>
      <c r="Y209" s="119" t="s">
        <v>392</v>
      </c>
      <c r="Z209" s="119" t="s">
        <v>393</v>
      </c>
      <c r="AA209" s="119" t="s">
        <v>394</v>
      </c>
    </row>
    <row r="210" spans="1:27" s="41" customFormat="1" ht="12.75" x14ac:dyDescent="0.2">
      <c r="A210" s="120"/>
      <c r="B210" s="115" t="s">
        <v>347</v>
      </c>
      <c r="C210" s="115" t="s">
        <v>348</v>
      </c>
      <c r="D210" s="115" t="s">
        <v>349</v>
      </c>
      <c r="E210" s="115" t="s">
        <v>350</v>
      </c>
      <c r="F210" s="115" t="s">
        <v>351</v>
      </c>
      <c r="G210" s="115" t="s">
        <v>352</v>
      </c>
      <c r="H210" s="115" t="s">
        <v>353</v>
      </c>
      <c r="I210" s="115" t="s">
        <v>355</v>
      </c>
      <c r="J210" s="115" t="s">
        <v>356</v>
      </c>
      <c r="K210" s="115" t="s">
        <v>359</v>
      </c>
      <c r="L210" s="115" t="s">
        <v>360</v>
      </c>
      <c r="M210" s="42" t="s">
        <v>7</v>
      </c>
      <c r="N210" s="42" t="s">
        <v>17</v>
      </c>
      <c r="O210" s="42" t="s">
        <v>18</v>
      </c>
      <c r="P210" s="42" t="s">
        <v>361</v>
      </c>
      <c r="Q210" s="42" t="s">
        <v>362</v>
      </c>
      <c r="R210" s="42" t="s">
        <v>363</v>
      </c>
      <c r="S210" s="42" t="s">
        <v>2</v>
      </c>
      <c r="T210" s="42" t="s">
        <v>364</v>
      </c>
      <c r="U210" s="42" t="s">
        <v>15</v>
      </c>
      <c r="V210" s="42" t="s">
        <v>14</v>
      </c>
      <c r="W210" s="42" t="s">
        <v>13</v>
      </c>
      <c r="X210" s="42" t="s">
        <v>12</v>
      </c>
      <c r="Y210" s="42" t="s">
        <v>11</v>
      </c>
      <c r="Z210" s="42" t="s">
        <v>365</v>
      </c>
      <c r="AA210" s="42" t="s">
        <v>16</v>
      </c>
    </row>
    <row r="211" spans="1:27" s="114" customFormat="1" ht="12.75" x14ac:dyDescent="0.2">
      <c r="A211" s="115" t="s">
        <v>346</v>
      </c>
      <c r="B211" s="115">
        <v>187.09970000000001</v>
      </c>
      <c r="C211" s="115">
        <v>189.11539999999999</v>
      </c>
      <c r="D211" s="115">
        <v>201.11539999999999</v>
      </c>
      <c r="E211" s="115">
        <v>203.131</v>
      </c>
      <c r="F211" s="115">
        <v>201.11539999999999</v>
      </c>
      <c r="G211" s="115">
        <v>203.131</v>
      </c>
      <c r="H211" s="115">
        <v>201.11539999999999</v>
      </c>
      <c r="I211" s="115">
        <v>203.131</v>
      </c>
      <c r="J211" s="115">
        <v>215.131</v>
      </c>
      <c r="K211" s="115">
        <v>217.14670000000001</v>
      </c>
      <c r="L211" s="115">
        <v>215.131</v>
      </c>
      <c r="M211" s="115">
        <v>217.14670000000001</v>
      </c>
      <c r="N211" s="115">
        <v>175.09970000000001</v>
      </c>
      <c r="O211" s="115">
        <v>177.11539999999999</v>
      </c>
      <c r="P211" s="115">
        <v>189.11539999999999</v>
      </c>
      <c r="Q211" s="115">
        <v>191.131</v>
      </c>
      <c r="R211" s="115">
        <v>189.11539999999999</v>
      </c>
      <c r="S211" s="115">
        <v>191.131</v>
      </c>
      <c r="T211" s="115">
        <v>175.09970000000001</v>
      </c>
      <c r="U211" s="115">
        <v>177.11539999999999</v>
      </c>
      <c r="V211" s="115">
        <v>189.11539999999999</v>
      </c>
      <c r="W211" s="115">
        <v>191.131</v>
      </c>
      <c r="X211" s="115">
        <v>203.131</v>
      </c>
      <c r="Y211" s="115">
        <v>205.14670000000001</v>
      </c>
      <c r="Z211" s="115">
        <v>189.11539999999999</v>
      </c>
      <c r="AA211" s="115">
        <v>191.131</v>
      </c>
    </row>
    <row r="212" spans="1:27" ht="14.25" customHeight="1" x14ac:dyDescent="0.25">
      <c r="A212" s="218" t="s">
        <v>132</v>
      </c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117"/>
      <c r="M212" s="117"/>
      <c r="N212" s="117"/>
      <c r="O212" s="117"/>
      <c r="P212" s="42"/>
      <c r="Q212" s="42"/>
      <c r="R212" s="42"/>
      <c r="S212" s="117"/>
      <c r="T212" s="42"/>
      <c r="U212" s="117"/>
      <c r="V212" s="117">
        <f>AVERAGE(E164:E165)</f>
        <v>2.7887992831541215</v>
      </c>
      <c r="W212" s="117">
        <f>AVERAGE(D164:D165)</f>
        <v>1.4706989247311828</v>
      </c>
      <c r="X212" s="117">
        <f>AVERAGE(C164:C165)</f>
        <v>0.90435706695005313</v>
      </c>
      <c r="Y212" s="117">
        <f>AVERAGE(B164:B165)</f>
        <v>0.20090919825245013</v>
      </c>
      <c r="Z212" s="42"/>
      <c r="AA212" s="117">
        <f>AVERAGE(I164:I165)</f>
        <v>0.23638213261814484</v>
      </c>
    </row>
    <row r="213" spans="1:27" ht="14.25" customHeight="1" x14ac:dyDescent="0.2">
      <c r="A213" s="218"/>
      <c r="B213" s="42">
        <v>0</v>
      </c>
      <c r="C213" s="116">
        <f>AVERAGE(2.4,4.3)</f>
        <v>3.3499999999999996</v>
      </c>
      <c r="D213" s="42"/>
      <c r="E213" s="42"/>
      <c r="F213" s="42">
        <v>0</v>
      </c>
      <c r="G213" s="116">
        <v>1.6</v>
      </c>
      <c r="H213" s="42"/>
      <c r="I213" s="42"/>
      <c r="J213" s="42"/>
      <c r="K213" s="42"/>
      <c r="L213" s="117"/>
      <c r="M213" s="117"/>
      <c r="N213" s="117"/>
      <c r="O213" s="117"/>
      <c r="P213" s="42"/>
      <c r="Q213" s="42"/>
      <c r="R213" s="42"/>
      <c r="S213" s="117"/>
      <c r="T213" s="42"/>
      <c r="U213" s="117">
        <v>0</v>
      </c>
      <c r="V213" s="117">
        <f>AVERAGE(E188:E189)</f>
        <v>4.8303171119074761</v>
      </c>
      <c r="W213" s="117">
        <f>AVERAGE(D188:D189)</f>
        <v>7.1350349405440623</v>
      </c>
      <c r="X213" s="117">
        <f>AVERAGE(C188:C189)</f>
        <v>2.9872972754186327</v>
      </c>
      <c r="Y213" s="117">
        <f>AVERAGE(B188:B189)</f>
        <v>1.8172540822462762</v>
      </c>
      <c r="Z213" s="115" t="s">
        <v>366</v>
      </c>
      <c r="AA213" s="117">
        <f>AVERAGE(0.47,0.52,0.3,0.7)</f>
        <v>0.4975</v>
      </c>
    </row>
    <row r="214" spans="1:27" ht="14.25" customHeight="1" x14ac:dyDescent="0.25">
      <c r="A214" s="218" t="s">
        <v>135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117"/>
      <c r="M214" s="117"/>
      <c r="N214" s="117"/>
      <c r="O214" s="117"/>
      <c r="P214" s="42"/>
      <c r="Q214" s="42"/>
      <c r="R214" s="42"/>
      <c r="S214" s="117"/>
      <c r="T214" s="42"/>
      <c r="U214" s="117"/>
      <c r="V214" s="117">
        <f>AVERAGE(E166:E167)</f>
        <v>2.1407258064516128</v>
      </c>
      <c r="W214" s="117">
        <f>AVERAGE(D166:D167)</f>
        <v>1.5358870967741933</v>
      </c>
      <c r="X214" s="117">
        <f>AVERAGE(C166:C167)</f>
        <v>0.21478332742944861</v>
      </c>
      <c r="Y214" s="117">
        <f>AVERAGE(B166:B167)</f>
        <v>9.9185263903648624E-3</v>
      </c>
      <c r="Z214" s="42"/>
      <c r="AA214" s="117">
        <f>AVERAGE(I166:I167)</f>
        <v>0.13301119023397762</v>
      </c>
    </row>
    <row r="215" spans="1:27" ht="14.25" customHeight="1" x14ac:dyDescent="0.2">
      <c r="A215" s="218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117"/>
      <c r="M215" s="117"/>
      <c r="N215" s="117"/>
      <c r="O215" s="117"/>
      <c r="P215" s="42"/>
      <c r="Q215" s="42"/>
      <c r="R215" s="42"/>
      <c r="S215" s="117"/>
      <c r="T215" s="42"/>
      <c r="U215" s="117">
        <v>0</v>
      </c>
      <c r="V215" s="117">
        <f>AVERAGE(E190:E191)</f>
        <v>4.1703356002606284</v>
      </c>
      <c r="W215" s="117">
        <f>AVERAGE(D190:D191)</f>
        <v>8.237147581039256</v>
      </c>
      <c r="X215" s="117">
        <f>AVERAGE(C190:C191)</f>
        <v>1.0852765056897029</v>
      </c>
      <c r="Y215" s="117">
        <f>AVERAGE(B190:B191)</f>
        <v>0.43186962253677486</v>
      </c>
      <c r="Z215" s="115" t="s">
        <v>358</v>
      </c>
      <c r="AA215" s="116">
        <f>AVERAGE(0.07,0,0.1)</f>
        <v>5.6666666666666671E-2</v>
      </c>
    </row>
    <row r="216" spans="1:27" ht="14.25" customHeight="1" x14ac:dyDescent="0.25">
      <c r="A216" s="218" t="s">
        <v>136</v>
      </c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117"/>
      <c r="M216" s="117"/>
      <c r="N216" s="117"/>
      <c r="O216" s="117"/>
      <c r="P216" s="42"/>
      <c r="Q216" s="42"/>
      <c r="R216" s="42"/>
      <c r="S216" s="117"/>
      <c r="T216" s="42"/>
      <c r="U216" s="117">
        <f>AVERAGE(H168:H169)</f>
        <v>0</v>
      </c>
      <c r="V216" s="117">
        <f>AVERAGE(E168:E169)</f>
        <v>2.2643817204301078</v>
      </c>
      <c r="W216" s="117">
        <f>AVERAGE(D168:D169)</f>
        <v>1.4552419354838708</v>
      </c>
      <c r="X216" s="117">
        <f>AVERAGE(C168:C169)</f>
        <v>0.16194355886173101</v>
      </c>
      <c r="Y216" s="117">
        <f>AVERAGE(B168:B169)</f>
        <v>2.0840713189278548E-2</v>
      </c>
      <c r="Z216" s="42"/>
      <c r="AA216" s="117">
        <f>AVERAGE(I168:I169)</f>
        <v>0.13701100527143251</v>
      </c>
    </row>
    <row r="217" spans="1:27" ht="14.25" customHeight="1" x14ac:dyDescent="0.2">
      <c r="A217" s="218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117"/>
      <c r="M217" s="117"/>
      <c r="N217" s="117"/>
      <c r="O217" s="117"/>
      <c r="P217" s="42"/>
      <c r="Q217" s="42"/>
      <c r="R217" s="42"/>
      <c r="S217" s="117"/>
      <c r="T217" s="42"/>
      <c r="U217" s="117">
        <v>0</v>
      </c>
      <c r="V217" s="98">
        <f>AVERAGE(E192:E193)</f>
        <v>4.3175245153933863</v>
      </c>
      <c r="W217" s="117">
        <f>AVERAGE(D192:D193)</f>
        <v>7.7957155481348757</v>
      </c>
      <c r="X217" s="117">
        <f>AVERAGE(C192:C193)</f>
        <v>0.90812846933111291</v>
      </c>
      <c r="Y217" s="117">
        <f>AVERAGE(B192:B193)</f>
        <v>0.61155541678231096</v>
      </c>
      <c r="Z217" s="115">
        <v>0</v>
      </c>
      <c r="AA217" s="116">
        <v>0.1</v>
      </c>
    </row>
    <row r="218" spans="1:27" ht="14.25" customHeight="1" x14ac:dyDescent="0.25">
      <c r="A218" s="218" t="s">
        <v>134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117"/>
      <c r="M218" s="117"/>
      <c r="N218" s="117"/>
      <c r="O218" s="117"/>
      <c r="P218" s="42"/>
      <c r="Q218" s="42"/>
      <c r="R218" s="42"/>
      <c r="S218" s="117"/>
      <c r="T218" s="42"/>
      <c r="U218" s="117"/>
      <c r="V218" s="117">
        <f>AVERAGE(E170:E171)</f>
        <v>1.7271953405017921</v>
      </c>
      <c r="W218" s="117">
        <f>AVERAGE(D170:D171)</f>
        <v>2.4162634408602148</v>
      </c>
      <c r="X218" s="117">
        <f>AVERAGE(C170:C171)</f>
        <v>0.12415869642224583</v>
      </c>
      <c r="Y218" s="117">
        <f>AVERAGE(B170:B171)</f>
        <v>1.9659936238044632E-2</v>
      </c>
      <c r="Z218" s="42"/>
      <c r="AA218" s="117">
        <f>AVERAGE(I170:I171)</f>
        <v>0.40807361509294365</v>
      </c>
    </row>
    <row r="219" spans="1:27" ht="14.25" customHeight="1" x14ac:dyDescent="0.2">
      <c r="A219" s="218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117"/>
      <c r="M219" s="117"/>
      <c r="N219" s="117"/>
      <c r="O219" s="117"/>
      <c r="P219" s="42"/>
      <c r="Q219" s="42"/>
      <c r="R219" s="42"/>
      <c r="S219" s="117"/>
      <c r="T219" s="42"/>
      <c r="U219" s="117">
        <v>0</v>
      </c>
      <c r="V219" s="117">
        <f>AVERAGE(E194:E195)</f>
        <v>3.6127026388662644</v>
      </c>
      <c r="W219" s="117">
        <f>AVERAGE(D194:D195)</f>
        <v>12.588834093500573</v>
      </c>
      <c r="X219" s="117">
        <f>AVERAGE(C194:C195)</f>
        <v>0.8172231473771856</v>
      </c>
      <c r="Y219" s="117">
        <f>AVERAGE(B194:B195)</f>
        <v>0.64274106069016557</v>
      </c>
      <c r="Z219" s="115" t="s">
        <v>358</v>
      </c>
      <c r="AA219" s="117">
        <f>AVERAGE(1.65,2.09)</f>
        <v>1.8699999999999999</v>
      </c>
    </row>
    <row r="220" spans="1:27" ht="14.25" customHeight="1" x14ac:dyDescent="0.25">
      <c r="A220" s="218" t="s">
        <v>133</v>
      </c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117"/>
      <c r="M220" s="117">
        <f>AVERAGE(J172:J173)</f>
        <v>1.6172857102135056</v>
      </c>
      <c r="N220" s="117">
        <f>AVERAGE(G172:G173)</f>
        <v>0.33673835125448026</v>
      </c>
      <c r="O220" s="117">
        <f>AVERAGE(F172:F173)</f>
        <v>1.2896953405017921</v>
      </c>
      <c r="P220" s="42"/>
      <c r="Q220" s="42"/>
      <c r="R220" s="42"/>
      <c r="S220" s="117">
        <f>AVERAGE(K172:K173)</f>
        <v>0.6171330735624041</v>
      </c>
      <c r="T220" s="42"/>
      <c r="U220" s="117"/>
      <c r="V220" s="117">
        <f>AVERAGE(E172:E173)</f>
        <v>1.2146505376344088</v>
      </c>
      <c r="W220" s="117">
        <f>AVERAGE(D172:D173)</f>
        <v>0.99242831541218646</v>
      </c>
      <c r="X220" s="117">
        <f>AVERAGE(C172:C173)</f>
        <v>5.09505254457433E-2</v>
      </c>
      <c r="Y220" s="117">
        <f>AVERAGE(B172:B173)</f>
        <v>0.2133073562404062</v>
      </c>
      <c r="Z220" s="42"/>
      <c r="AA220" s="117">
        <f>AVERAGE(I172:I173)</f>
        <v>0.15504485341718299</v>
      </c>
    </row>
    <row r="221" spans="1:27" ht="14.25" customHeight="1" x14ac:dyDescent="0.2">
      <c r="A221" s="218"/>
      <c r="B221" s="42">
        <v>0</v>
      </c>
      <c r="C221" s="116">
        <v>4.05</v>
      </c>
      <c r="D221" s="42">
        <v>0</v>
      </c>
      <c r="E221" s="116">
        <v>0.5</v>
      </c>
      <c r="F221" s="42">
        <v>0</v>
      </c>
      <c r="G221" s="116">
        <v>0.65</v>
      </c>
      <c r="H221" s="115">
        <v>0</v>
      </c>
      <c r="I221" s="116">
        <v>3.5</v>
      </c>
      <c r="J221" s="115" t="s">
        <v>358</v>
      </c>
      <c r="K221" s="116">
        <v>1.2</v>
      </c>
      <c r="L221" s="115">
        <v>0</v>
      </c>
      <c r="M221" s="117">
        <f>AVERAGE(2.59,2.57,0.7,1.7)</f>
        <v>1.8900000000000001</v>
      </c>
      <c r="N221" s="171">
        <f>AVERAGE(G196:G197)</f>
        <v>0</v>
      </c>
      <c r="O221" s="117">
        <f>AVERAGE(F196:F197)</f>
        <v>2.2744760140087967</v>
      </c>
      <c r="P221" s="115" t="s">
        <v>358</v>
      </c>
      <c r="Q221" s="116">
        <v>0.1</v>
      </c>
      <c r="R221" s="115" t="s">
        <v>354</v>
      </c>
      <c r="S221" s="117">
        <f>AVERAGE(K196:K197)</f>
        <v>0.93478423777516184</v>
      </c>
      <c r="T221" s="42"/>
      <c r="U221" s="117"/>
      <c r="V221" s="117">
        <f>AVERAGE(E196:E197)</f>
        <v>2.2285219091057176</v>
      </c>
      <c r="W221" s="117">
        <f>AVERAGE(D196:D197)</f>
        <v>5.2000660123798657</v>
      </c>
      <c r="X221" s="117">
        <f>AVERAGE(C196:C197)</f>
        <v>0.2414301739291331</v>
      </c>
      <c r="Y221" s="117">
        <f>AVERAGE(B196:B197)</f>
        <v>2.2048920459802015</v>
      </c>
      <c r="Z221" s="42"/>
      <c r="AA221" s="117">
        <f>AVERAGE(I196:I197)</f>
        <v>6.0984116544760929E-2</v>
      </c>
    </row>
    <row r="222" spans="1:27" ht="14.25" customHeight="1" x14ac:dyDescent="0.25">
      <c r="A222" s="218" t="s">
        <v>131</v>
      </c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117"/>
      <c r="M222" s="117">
        <f>AVERAGE(J174:J175)</f>
        <v>1.7984379008580142</v>
      </c>
      <c r="N222" s="117">
        <f>AVERAGE(G174:G175)</f>
        <v>0.51953405017921139</v>
      </c>
      <c r="O222" s="117">
        <f>AVERAGE(F174:F175)</f>
        <v>1.4303763440860213</v>
      </c>
      <c r="P222" s="42"/>
      <c r="Q222" s="42"/>
      <c r="R222" s="42"/>
      <c r="S222" s="117">
        <f>AVERAGE(K174:K175)</f>
        <v>0.79631597591215031</v>
      </c>
      <c r="T222" s="42"/>
      <c r="U222" s="117"/>
      <c r="V222" s="117"/>
      <c r="W222" s="117"/>
      <c r="X222" s="117"/>
      <c r="Y222" s="117"/>
      <c r="Z222" s="42"/>
      <c r="AA222" s="117"/>
    </row>
    <row r="223" spans="1:27" ht="14.25" customHeight="1" x14ac:dyDescent="0.2">
      <c r="A223" s="218"/>
      <c r="B223" s="42"/>
      <c r="C223" s="42"/>
      <c r="D223" s="42">
        <v>0</v>
      </c>
      <c r="E223" s="116">
        <v>0.75</v>
      </c>
      <c r="F223" s="42"/>
      <c r="G223" s="42"/>
      <c r="H223" s="42"/>
      <c r="I223" s="42"/>
      <c r="J223" s="115" t="s">
        <v>357</v>
      </c>
      <c r="K223" s="116">
        <v>2.2000000000000002</v>
      </c>
      <c r="L223" s="115" t="s">
        <v>358</v>
      </c>
      <c r="M223" s="118">
        <f>AVERAGE(2.87,3,3.6,4.2)</f>
        <v>3.4175000000000004</v>
      </c>
      <c r="N223" s="171">
        <f>AVERAGE(G198:G199)</f>
        <v>3.0040601075093654E-2</v>
      </c>
      <c r="O223" s="117">
        <f>AVERAGE(F198:F199)</f>
        <v>2.2560536325134386</v>
      </c>
      <c r="P223" s="115" t="s">
        <v>357</v>
      </c>
      <c r="Q223" s="116">
        <v>1.2</v>
      </c>
      <c r="R223" s="42">
        <v>0</v>
      </c>
      <c r="S223" s="117">
        <f>AVERAGE(K198:K199)</f>
        <v>1.1557190597349334</v>
      </c>
      <c r="T223" s="42"/>
      <c r="U223" s="117"/>
      <c r="V223" s="117"/>
      <c r="W223" s="117"/>
      <c r="X223" s="117"/>
      <c r="Y223" s="117"/>
      <c r="Z223" s="42"/>
      <c r="AA223" s="117"/>
    </row>
    <row r="224" spans="1:27" ht="14.25" customHeight="1" x14ac:dyDescent="0.25">
      <c r="A224" s="218" t="s">
        <v>309</v>
      </c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117"/>
      <c r="M224" s="117">
        <f>AVERAGE(J176:J177)</f>
        <v>3.6551457062639172</v>
      </c>
      <c r="N224" s="117"/>
      <c r="O224" s="117"/>
      <c r="P224" s="42"/>
      <c r="Q224" s="42"/>
      <c r="R224" s="42"/>
      <c r="S224" s="117">
        <f>AVERAGE(K176:K177)</f>
        <v>0.41737009941849551</v>
      </c>
      <c r="T224" s="42"/>
      <c r="U224" s="117">
        <f>AVERAGE(H176:H177)</f>
        <v>0</v>
      </c>
      <c r="V224" s="117">
        <f>AVERAGE(E176:E177)</f>
        <v>0.56278609427192872</v>
      </c>
      <c r="W224" s="117">
        <f>AVERAGE(D176:D177)</f>
        <v>1.0496102932079674</v>
      </c>
      <c r="X224" s="117">
        <f>AVERAGE(C176:C177)</f>
        <v>1.1277621459388483</v>
      </c>
      <c r="Y224" s="117">
        <f>AVERAGE(B176:B177)</f>
        <v>0.7935284186831737</v>
      </c>
      <c r="Z224" s="42"/>
      <c r="AA224" s="117">
        <f>AVERAGE(I176:I177)</f>
        <v>0.62369628661657406</v>
      </c>
    </row>
    <row r="225" spans="1:27" ht="14.25" customHeight="1" x14ac:dyDescent="0.2">
      <c r="A225" s="218"/>
      <c r="B225" s="42">
        <v>0</v>
      </c>
      <c r="C225" s="116">
        <v>2.9</v>
      </c>
      <c r="D225" s="42">
        <v>0</v>
      </c>
      <c r="E225" s="116">
        <v>0.5</v>
      </c>
      <c r="F225" s="42">
        <v>0</v>
      </c>
      <c r="G225" s="116">
        <v>2.4</v>
      </c>
      <c r="H225" s="115" t="s">
        <v>354</v>
      </c>
      <c r="I225" s="116">
        <v>4.3</v>
      </c>
      <c r="J225" s="115" t="s">
        <v>357</v>
      </c>
      <c r="K225" s="116">
        <v>3.7</v>
      </c>
      <c r="L225" s="115" t="s">
        <v>357</v>
      </c>
      <c r="M225" s="117">
        <v>4.5</v>
      </c>
      <c r="N225" s="117"/>
      <c r="O225" s="117"/>
      <c r="P225" s="115" t="s">
        <v>357</v>
      </c>
      <c r="Q225" s="116">
        <v>1.5</v>
      </c>
      <c r="R225" s="115" t="s">
        <v>358</v>
      </c>
      <c r="S225" s="117"/>
      <c r="T225" s="42"/>
      <c r="U225" s="117">
        <v>0</v>
      </c>
      <c r="V225" s="117"/>
      <c r="W225" s="117"/>
      <c r="X225" s="117"/>
      <c r="Y225" s="117"/>
      <c r="Z225" s="115" t="s">
        <v>358</v>
      </c>
      <c r="AA225" s="117">
        <v>0.9</v>
      </c>
    </row>
    <row r="226" spans="1:27" ht="14.25" customHeight="1" x14ac:dyDescent="0.25">
      <c r="A226" s="32" t="s">
        <v>345</v>
      </c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</row>
    <row r="227" spans="1:27" ht="14.25" customHeight="1" x14ac:dyDescent="0.25">
      <c r="A227" s="32" t="s">
        <v>410</v>
      </c>
    </row>
    <row r="229" spans="1:27" ht="14.25" customHeight="1" x14ac:dyDescent="0.25">
      <c r="A229" s="109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</row>
    <row r="230" spans="1:27" ht="126.75" x14ac:dyDescent="0.25">
      <c r="A230" s="109"/>
      <c r="B230" s="109"/>
      <c r="C230" s="109"/>
      <c r="D230" s="119" t="s">
        <v>369</v>
      </c>
      <c r="E230" s="119" t="s">
        <v>370</v>
      </c>
      <c r="F230" s="119" t="s">
        <v>371</v>
      </c>
      <c r="G230" s="119" t="s">
        <v>372</v>
      </c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</row>
    <row r="231" spans="1:27" ht="14.25" customHeight="1" x14ac:dyDescent="0.25">
      <c r="A231" s="109"/>
      <c r="B231" s="109"/>
      <c r="C231" s="109"/>
      <c r="D231" s="179" t="s">
        <v>349</v>
      </c>
      <c r="E231" s="179" t="s">
        <v>350</v>
      </c>
      <c r="F231" s="179" t="s">
        <v>351</v>
      </c>
      <c r="G231" s="179" t="s">
        <v>352</v>
      </c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</row>
    <row r="232" spans="1:27" ht="14.25" customHeight="1" x14ac:dyDescent="0.25">
      <c r="A232" s="243" t="s">
        <v>474</v>
      </c>
      <c r="B232" s="243"/>
      <c r="C232" s="244"/>
      <c r="D232" s="180">
        <v>0</v>
      </c>
      <c r="E232" s="180">
        <v>0.5</v>
      </c>
      <c r="F232" s="180">
        <v>0</v>
      </c>
      <c r="G232" s="180">
        <v>2.4</v>
      </c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</row>
    <row r="233" spans="1:27" ht="14.25" customHeight="1" x14ac:dyDescent="0.25">
      <c r="A233" s="245" t="s">
        <v>475</v>
      </c>
      <c r="B233" s="245"/>
      <c r="C233" s="246"/>
      <c r="D233" s="181">
        <v>0.3</v>
      </c>
      <c r="E233" s="181">
        <v>1.7</v>
      </c>
      <c r="F233" s="54">
        <v>0.5</v>
      </c>
      <c r="G233" s="54">
        <v>5.8</v>
      </c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</row>
    <row r="234" spans="1:27" ht="14.25" customHeight="1" x14ac:dyDescent="0.25">
      <c r="A234" s="109"/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</row>
    <row r="235" spans="1:27" ht="14.25" customHeight="1" x14ac:dyDescent="0.25">
      <c r="A235" s="109"/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</row>
    <row r="236" spans="1:27" ht="14.25" customHeight="1" x14ac:dyDescent="0.25">
      <c r="A236" s="109"/>
      <c r="B236" s="109"/>
      <c r="C236" s="109"/>
      <c r="D236" s="247" t="s">
        <v>492</v>
      </c>
      <c r="E236" s="247"/>
      <c r="F236" s="247"/>
      <c r="G236" s="247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</row>
    <row r="237" spans="1:27" ht="14.25" customHeight="1" x14ac:dyDescent="0.25">
      <c r="A237" s="109"/>
      <c r="B237" s="109"/>
      <c r="C237" s="109"/>
      <c r="D237" s="179" t="s">
        <v>349</v>
      </c>
      <c r="E237" s="179" t="s">
        <v>350</v>
      </c>
      <c r="F237" s="179" t="s">
        <v>351</v>
      </c>
      <c r="G237" s="179" t="s">
        <v>352</v>
      </c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</row>
    <row r="238" spans="1:27" ht="14.25" customHeight="1" x14ac:dyDescent="0.25">
      <c r="A238" s="243" t="s">
        <v>474</v>
      </c>
      <c r="B238" s="243"/>
      <c r="C238" s="244"/>
      <c r="D238" s="180">
        <v>0</v>
      </c>
      <c r="E238" s="180">
        <v>0.5</v>
      </c>
      <c r="F238" s="180">
        <v>0</v>
      </c>
      <c r="G238" s="180">
        <v>2.4</v>
      </c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</row>
    <row r="239" spans="1:27" ht="14.25" customHeight="1" x14ac:dyDescent="0.25">
      <c r="A239" s="245" t="s">
        <v>475</v>
      </c>
      <c r="B239" s="245"/>
      <c r="C239" s="246"/>
      <c r="D239" s="181">
        <v>0.3</v>
      </c>
      <c r="E239" s="181">
        <v>1.7</v>
      </c>
      <c r="F239" s="54">
        <v>0.5</v>
      </c>
      <c r="G239" s="54">
        <v>5.8</v>
      </c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</row>
    <row r="240" spans="1:27" ht="14.25" customHeight="1" x14ac:dyDescent="0.25">
      <c r="A240" s="109"/>
      <c r="B240" s="109"/>
      <c r="C240" s="109"/>
      <c r="D240" s="109"/>
      <c r="E240" s="110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</row>
    <row r="241" spans="1:18" ht="14.25" customHeight="1" x14ac:dyDescent="0.25">
      <c r="A241" s="109"/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</row>
    <row r="242" spans="1:18" ht="14.25" customHeight="1" x14ac:dyDescent="0.25">
      <c r="A242" s="1"/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</row>
    <row r="243" spans="1:18" ht="14.25" customHeight="1" x14ac:dyDescent="0.25">
      <c r="A243" s="1"/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</row>
    <row r="244" spans="1:18" ht="14.25" customHeight="1" x14ac:dyDescent="0.25">
      <c r="A244" s="1"/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</row>
    <row r="245" spans="1:18" ht="14.25" customHeight="1" x14ac:dyDescent="0.25">
      <c r="A245" s="1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</row>
    <row r="246" spans="1:18" ht="14.25" customHeight="1" x14ac:dyDescent="0.25">
      <c r="A246" s="1"/>
      <c r="B246" s="109"/>
      <c r="C246" s="109"/>
      <c r="D246" s="109"/>
      <c r="E246" s="109"/>
      <c r="F246" s="109"/>
      <c r="G246" s="109"/>
      <c r="H246" s="109"/>
      <c r="I246" s="109"/>
      <c r="J246" s="111"/>
      <c r="K246" s="109"/>
      <c r="L246" s="109"/>
      <c r="M246" s="109"/>
      <c r="N246" s="109"/>
      <c r="O246" s="109"/>
      <c r="P246" s="109"/>
      <c r="Q246" s="109"/>
      <c r="R246" s="109"/>
    </row>
    <row r="247" spans="1:18" ht="14.25" customHeight="1" x14ac:dyDescent="0.25">
      <c r="A247" s="1"/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</row>
    <row r="248" spans="1:18" ht="14.25" customHeight="1" x14ac:dyDescent="0.25">
      <c r="A248" s="1"/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</row>
    <row r="249" spans="1:18" ht="14.25" customHeight="1" x14ac:dyDescent="0.25">
      <c r="A249" s="1"/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</row>
    <row r="250" spans="1:18" ht="14.25" customHeight="1" x14ac:dyDescent="0.25">
      <c r="A250" s="1"/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</row>
    <row r="251" spans="1:18" ht="14.25" customHeight="1" x14ac:dyDescent="0.25">
      <c r="A251" s="1"/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</row>
    <row r="252" spans="1:18" ht="14.25" customHeight="1" x14ac:dyDescent="0.25">
      <c r="A252" s="1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</row>
    <row r="253" spans="1:18" ht="14.25" customHeight="1" x14ac:dyDescent="0.25">
      <c r="A253" s="1"/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</row>
    <row r="254" spans="1:18" ht="14.25" customHeight="1" x14ac:dyDescent="0.25">
      <c r="A254" s="1"/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</row>
    <row r="255" spans="1:18" ht="14.25" customHeight="1" x14ac:dyDescent="0.25">
      <c r="A255" s="1"/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</row>
    <row r="256" spans="1:18" ht="14.25" customHeight="1" x14ac:dyDescent="0.25">
      <c r="A256" s="1"/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</row>
    <row r="257" spans="1:18" ht="14.25" customHeight="1" x14ac:dyDescent="0.25">
      <c r="A257" s="109"/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</row>
    <row r="258" spans="1:18" ht="14.25" customHeight="1" x14ac:dyDescent="0.25">
      <c r="A258" s="109"/>
      <c r="B258" s="109"/>
      <c r="C258" s="109"/>
      <c r="D258" s="109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109"/>
      <c r="Q258" s="109"/>
      <c r="R258" s="109"/>
    </row>
  </sheetData>
  <mergeCells count="77">
    <mergeCell ref="A232:C232"/>
    <mergeCell ref="A233:C233"/>
    <mergeCell ref="A159:K159"/>
    <mergeCell ref="A160:K160"/>
    <mergeCell ref="A184:K184"/>
    <mergeCell ref="A183:K183"/>
    <mergeCell ref="A214:A215"/>
    <mergeCell ref="A212:A213"/>
    <mergeCell ref="A192:A193"/>
    <mergeCell ref="A194:A195"/>
    <mergeCell ref="A196:A197"/>
    <mergeCell ref="A198:A199"/>
    <mergeCell ref="A200:A201"/>
    <mergeCell ref="B185:C185"/>
    <mergeCell ref="D185:E185"/>
    <mergeCell ref="F185:G185"/>
    <mergeCell ref="A188:A189"/>
    <mergeCell ref="A190:A191"/>
    <mergeCell ref="A224:A225"/>
    <mergeCell ref="A222:A223"/>
    <mergeCell ref="A220:A221"/>
    <mergeCell ref="A218:A219"/>
    <mergeCell ref="A216:A217"/>
    <mergeCell ref="AJ79:AR81"/>
    <mergeCell ref="Y114:AE114"/>
    <mergeCell ref="T57:U59"/>
    <mergeCell ref="S57:S59"/>
    <mergeCell ref="S134:AE135"/>
    <mergeCell ref="R95:AC95"/>
    <mergeCell ref="R119:AC119"/>
    <mergeCell ref="Y121:Y122"/>
    <mergeCell ref="X121:X122"/>
    <mergeCell ref="V121:W121"/>
    <mergeCell ref="AH60:AH61"/>
    <mergeCell ref="R57:R60"/>
    <mergeCell ref="AC60:AC65"/>
    <mergeCell ref="AE60:AE61"/>
    <mergeCell ref="X57:AA57"/>
    <mergeCell ref="A179:K179"/>
    <mergeCell ref="A178:K178"/>
    <mergeCell ref="F161:G161"/>
    <mergeCell ref="B161:C161"/>
    <mergeCell ref="D161:E161"/>
    <mergeCell ref="A166:A167"/>
    <mergeCell ref="A164:A165"/>
    <mergeCell ref="A176:A177"/>
    <mergeCell ref="A174:A175"/>
    <mergeCell ref="A172:A173"/>
    <mergeCell ref="A170:A171"/>
    <mergeCell ref="A168:A169"/>
    <mergeCell ref="A1:Q1"/>
    <mergeCell ref="R1:AI1"/>
    <mergeCell ref="R3:AC3"/>
    <mergeCell ref="R4:AC4"/>
    <mergeCell ref="R5:AC5"/>
    <mergeCell ref="A3:F3"/>
    <mergeCell ref="A12:L12"/>
    <mergeCell ref="A39:L39"/>
    <mergeCell ref="A55:L55"/>
    <mergeCell ref="G56:G58"/>
    <mergeCell ref="F56:F58"/>
    <mergeCell ref="A238:C238"/>
    <mergeCell ref="A239:C239"/>
    <mergeCell ref="D236:G236"/>
    <mergeCell ref="R39:AC39"/>
    <mergeCell ref="R55:AC55"/>
    <mergeCell ref="R152:AD154"/>
    <mergeCell ref="E40:F41"/>
    <mergeCell ref="V40:W41"/>
    <mergeCell ref="A136:M136"/>
    <mergeCell ref="A79:J79"/>
    <mergeCell ref="A95:L95"/>
    <mergeCell ref="H96:H97"/>
    <mergeCell ref="AD60:AD61"/>
    <mergeCell ref="A123:L123"/>
    <mergeCell ref="R137:AC137"/>
    <mergeCell ref="A180:K180"/>
  </mergeCells>
  <conditionalFormatting sqref="C221 C213 C225 E221 E223 E225 G213 G221 G225 I221 I225 K221 K223 K225 M220:M225 O220:O223 Q221 Q223 Q225 S220:S224 U213 U215:U217 U219 U224:U225 W212:W221 W224 Y212:Y221 Y224 AA212:AA221 AA224:AA2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0 Y17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61:V63 V65:V68">
    <cfRule type="dataBar" priority="65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{FC12D14D-8248-4D07-8012-74AE25AA4C0D}</x14:id>
        </ext>
      </extLst>
    </cfRule>
  </conditionalFormatting>
  <conditionalFormatting sqref="V18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84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8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73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73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7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73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86:AB187 AB173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86:AB187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7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86:AC187 AC17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7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86:AD187 AD173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73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86:AE187 AE17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3622047244094491" right="0.23622047244094491" top="0.35433070866141736" bottom="0.35433070866141736" header="0" footer="0"/>
  <pageSetup paperSize="9" scale="16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12D14D-8248-4D07-8012-74AE25AA4C0D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V61:V63 V65:V68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84"/>
  <sheetViews>
    <sheetView topLeftCell="B70" workbookViewId="0">
      <selection activeCell="B78" sqref="B78:H84"/>
    </sheetView>
  </sheetViews>
  <sheetFormatPr defaultColWidth="11.42578125" defaultRowHeight="12.75" x14ac:dyDescent="0.25"/>
  <cols>
    <col min="1" max="1" width="5.5703125" style="32" customWidth="1"/>
    <col min="2" max="2" width="12" style="32" customWidth="1"/>
    <col min="3" max="3" width="8.7109375" style="32" customWidth="1"/>
    <col min="4" max="4" width="11.85546875" style="71" customWidth="1"/>
    <col min="5" max="5" width="11.28515625" style="41" customWidth="1"/>
    <col min="6" max="6" width="11.85546875" style="32" customWidth="1"/>
    <col min="7" max="7" width="10" style="32" customWidth="1"/>
    <col min="8" max="13" width="11.42578125" style="32"/>
    <col min="14" max="23" width="4.85546875" style="32" customWidth="1"/>
    <col min="24" max="28" width="5.42578125" style="32" customWidth="1"/>
    <col min="29" max="16384" width="11.42578125" style="32"/>
  </cols>
  <sheetData>
    <row r="1" spans="1:29" ht="24.75" customHeight="1" thickBot="1" x14ac:dyDescent="0.3">
      <c r="B1" s="288">
        <v>43760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90"/>
    </row>
    <row r="2" spans="1:29" ht="15" customHeight="1" x14ac:dyDescent="0.25">
      <c r="A2" s="239" t="s">
        <v>207</v>
      </c>
      <c r="B2" s="263" t="s">
        <v>208</v>
      </c>
      <c r="C2" s="239" t="s">
        <v>427</v>
      </c>
      <c r="D2" s="71" t="s">
        <v>211</v>
      </c>
      <c r="E2" s="239" t="s">
        <v>428</v>
      </c>
      <c r="F2" s="239" t="s">
        <v>456</v>
      </c>
      <c r="G2" s="239" t="s">
        <v>428</v>
      </c>
    </row>
    <row r="3" spans="1:29" ht="15" customHeight="1" x14ac:dyDescent="0.25">
      <c r="A3" s="239"/>
      <c r="B3" s="263"/>
      <c r="C3" s="239"/>
      <c r="D3" s="71" t="s">
        <v>430</v>
      </c>
      <c r="E3" s="239"/>
      <c r="F3" s="239"/>
      <c r="G3" s="239"/>
    </row>
    <row r="4" spans="1:29" ht="15.75" customHeight="1" thickBot="1" x14ac:dyDescent="0.3">
      <c r="A4" s="284"/>
      <c r="B4" s="276"/>
      <c r="C4" s="284"/>
      <c r="D4" s="168" t="s">
        <v>411</v>
      </c>
      <c r="E4" s="166" t="s">
        <v>429</v>
      </c>
      <c r="F4" s="284"/>
      <c r="G4" s="166" t="s">
        <v>457</v>
      </c>
    </row>
    <row r="5" spans="1:29" ht="15" customHeight="1" x14ac:dyDescent="0.25">
      <c r="A5" s="41">
        <v>12</v>
      </c>
      <c r="B5" s="32" t="s">
        <v>412</v>
      </c>
      <c r="C5" s="41">
        <v>1</v>
      </c>
      <c r="D5" s="71">
        <v>20066.827000000001</v>
      </c>
      <c r="E5" s="100">
        <f>(D5-556.36)/18528</f>
        <v>1.0530260686528499</v>
      </c>
      <c r="F5" s="32">
        <v>0.67</v>
      </c>
      <c r="G5" s="32">
        <f>(E5-8634.6)/20537</f>
        <v>-0.42038988040762265</v>
      </c>
      <c r="M5" s="239"/>
      <c r="N5" s="279" t="s">
        <v>435</v>
      </c>
      <c r="O5" s="282" t="s">
        <v>438</v>
      </c>
      <c r="P5" s="282" t="s">
        <v>436</v>
      </c>
      <c r="Q5" s="282" t="s">
        <v>439</v>
      </c>
      <c r="R5" s="282" t="s">
        <v>437</v>
      </c>
      <c r="S5" s="282" t="s">
        <v>440</v>
      </c>
      <c r="T5" s="282" t="s">
        <v>441</v>
      </c>
      <c r="U5" s="282" t="s">
        <v>442</v>
      </c>
      <c r="V5" s="282" t="s">
        <v>443</v>
      </c>
      <c r="W5" s="282" t="s">
        <v>444</v>
      </c>
      <c r="X5" s="294" t="s">
        <v>451</v>
      </c>
      <c r="Y5" s="291" t="s">
        <v>452</v>
      </c>
      <c r="Z5" s="291" t="s">
        <v>453</v>
      </c>
      <c r="AA5" s="291" t="s">
        <v>454</v>
      </c>
      <c r="AB5" s="291" t="s">
        <v>455</v>
      </c>
    </row>
    <row r="6" spans="1:29" ht="15" customHeight="1" x14ac:dyDescent="0.25">
      <c r="A6" s="41">
        <v>13</v>
      </c>
      <c r="B6" s="32" t="s">
        <v>421</v>
      </c>
      <c r="C6" s="41">
        <v>0</v>
      </c>
      <c r="D6" s="71" t="s">
        <v>146</v>
      </c>
      <c r="E6" s="100">
        <v>0</v>
      </c>
      <c r="F6" s="32">
        <v>0</v>
      </c>
      <c r="G6" s="32">
        <f t="shared" ref="G6:G19" si="0">(E6-8634.6)/20537</f>
        <v>-0.42044115498855728</v>
      </c>
      <c r="M6" s="239"/>
      <c r="N6" s="279"/>
      <c r="O6" s="282"/>
      <c r="P6" s="282"/>
      <c r="Q6" s="282"/>
      <c r="R6" s="282"/>
      <c r="S6" s="282"/>
      <c r="T6" s="282"/>
      <c r="U6" s="282"/>
      <c r="V6" s="282"/>
      <c r="W6" s="282"/>
      <c r="X6" s="294"/>
      <c r="Y6" s="291"/>
      <c r="Z6" s="291"/>
      <c r="AA6" s="291"/>
      <c r="AB6" s="291"/>
    </row>
    <row r="7" spans="1:29" x14ac:dyDescent="0.25">
      <c r="A7" s="41">
        <v>14</v>
      </c>
      <c r="B7" s="32" t="s">
        <v>413</v>
      </c>
      <c r="C7" s="41">
        <v>2.5</v>
      </c>
      <c r="D7" s="71">
        <v>46416.752999999997</v>
      </c>
      <c r="E7" s="100">
        <f t="shared" ref="E7:E19" si="1">(D7-556.36)/18528</f>
        <v>2.4751939227115716</v>
      </c>
      <c r="F7" s="32">
        <v>1.67</v>
      </c>
      <c r="G7" s="32">
        <f t="shared" si="0"/>
        <v>-0.4203206313520616</v>
      </c>
      <c r="M7" s="239"/>
      <c r="N7" s="279"/>
      <c r="O7" s="282"/>
      <c r="P7" s="282"/>
      <c r="Q7" s="282"/>
      <c r="R7" s="282"/>
      <c r="S7" s="282"/>
      <c r="T7" s="282"/>
      <c r="U7" s="282"/>
      <c r="V7" s="282"/>
      <c r="W7" s="282"/>
      <c r="X7" s="294"/>
      <c r="Y7" s="291"/>
      <c r="Z7" s="291"/>
      <c r="AA7" s="291"/>
      <c r="AB7" s="291"/>
    </row>
    <row r="8" spans="1:29" ht="14.25" customHeight="1" x14ac:dyDescent="0.25">
      <c r="A8" s="41">
        <v>15</v>
      </c>
      <c r="B8" s="32" t="s">
        <v>414</v>
      </c>
      <c r="C8" s="41">
        <v>5</v>
      </c>
      <c r="D8" s="71">
        <v>93229.1</v>
      </c>
      <c r="E8" s="100">
        <f t="shared" si="1"/>
        <v>5.0017670552677034</v>
      </c>
      <c r="F8" s="32">
        <v>3.33</v>
      </c>
      <c r="G8" s="32">
        <f t="shared" si="0"/>
        <v>-0.42019760592806799</v>
      </c>
      <c r="M8" s="293"/>
      <c r="N8" s="280"/>
      <c r="O8" s="283"/>
      <c r="P8" s="283"/>
      <c r="Q8" s="283"/>
      <c r="R8" s="283"/>
      <c r="S8" s="283"/>
      <c r="T8" s="283"/>
      <c r="U8" s="283"/>
      <c r="V8" s="283"/>
      <c r="W8" s="283"/>
      <c r="X8" s="295"/>
      <c r="Y8" s="292"/>
      <c r="Z8" s="292"/>
      <c r="AA8" s="292"/>
      <c r="AB8" s="292"/>
    </row>
    <row r="9" spans="1:29" ht="13.5" thickBot="1" x14ac:dyDescent="0.3">
      <c r="A9" s="166">
        <v>16</v>
      </c>
      <c r="B9" s="167" t="s">
        <v>415</v>
      </c>
      <c r="C9" s="166">
        <v>10</v>
      </c>
      <c r="D9" s="168">
        <v>136885.41399999999</v>
      </c>
      <c r="E9" s="169">
        <f t="shared" si="1"/>
        <v>7.3580016191709845</v>
      </c>
      <c r="F9" s="32">
        <v>6.67</v>
      </c>
      <c r="G9" s="32">
        <f t="shared" si="0"/>
        <v>-0.42008287473247446</v>
      </c>
      <c r="M9" s="32" t="s">
        <v>431</v>
      </c>
      <c r="N9" s="121">
        <v>10</v>
      </c>
      <c r="O9" s="41"/>
      <c r="P9" s="41">
        <v>10</v>
      </c>
      <c r="Q9" s="41"/>
      <c r="R9" s="41">
        <v>10</v>
      </c>
      <c r="S9" s="41"/>
      <c r="T9" s="41"/>
      <c r="U9" s="41"/>
      <c r="V9" s="41"/>
      <c r="W9" s="41"/>
      <c r="X9" s="121"/>
    </row>
    <row r="10" spans="1:29" x14ac:dyDescent="0.25">
      <c r="A10" s="41">
        <v>22</v>
      </c>
      <c r="B10" s="32" t="s">
        <v>422</v>
      </c>
      <c r="C10" s="41"/>
      <c r="D10" s="71" t="s">
        <v>146</v>
      </c>
      <c r="E10" s="100">
        <v>0</v>
      </c>
      <c r="G10" s="32">
        <f t="shared" si="0"/>
        <v>-0.42044115498855728</v>
      </c>
      <c r="M10" s="32" t="s">
        <v>432</v>
      </c>
      <c r="N10" s="121"/>
      <c r="O10" s="41">
        <v>10</v>
      </c>
      <c r="P10" s="41"/>
      <c r="Q10" s="41">
        <v>10</v>
      </c>
      <c r="R10" s="41"/>
      <c r="S10" s="41">
        <v>10</v>
      </c>
      <c r="T10" s="41"/>
      <c r="U10" s="41"/>
      <c r="V10" s="41"/>
      <c r="W10" s="41"/>
      <c r="X10" s="121"/>
      <c r="Y10" s="41"/>
      <c r="Z10" s="41"/>
      <c r="AA10" s="41"/>
      <c r="AB10" s="41"/>
      <c r="AC10" s="41"/>
    </row>
    <row r="11" spans="1:29" x14ac:dyDescent="0.25">
      <c r="A11" s="41">
        <v>23</v>
      </c>
      <c r="B11" s="32" t="s">
        <v>423</v>
      </c>
      <c r="C11" s="41"/>
      <c r="D11" s="71" t="s">
        <v>146</v>
      </c>
      <c r="E11" s="100">
        <v>0</v>
      </c>
      <c r="G11" s="32">
        <f t="shared" si="0"/>
        <v>-0.42044115498855728</v>
      </c>
      <c r="M11" s="32" t="s">
        <v>433</v>
      </c>
      <c r="N11" s="121"/>
      <c r="O11" s="41"/>
      <c r="P11" s="41"/>
      <c r="Q11" s="41"/>
      <c r="R11" s="41"/>
      <c r="S11" s="41"/>
      <c r="T11" s="41">
        <v>10</v>
      </c>
      <c r="U11" s="41"/>
      <c r="V11" s="41">
        <v>10</v>
      </c>
      <c r="W11" s="41"/>
      <c r="X11" s="121"/>
      <c r="Y11" s="41"/>
      <c r="Z11" s="41"/>
      <c r="AA11" s="41"/>
      <c r="AB11" s="41"/>
      <c r="AC11" s="41"/>
    </row>
    <row r="12" spans="1:29" x14ac:dyDescent="0.25">
      <c r="A12" s="83">
        <v>24</v>
      </c>
      <c r="B12" s="36" t="s">
        <v>424</v>
      </c>
      <c r="C12" s="83"/>
      <c r="D12" s="84">
        <v>165.834</v>
      </c>
      <c r="E12" s="170">
        <f>(D12-556.36)/18528</f>
        <v>-2.107761226252159E-2</v>
      </c>
      <c r="G12" s="32">
        <f t="shared" si="0"/>
        <v>-0.42044218131237582</v>
      </c>
      <c r="H12" s="74" t="s">
        <v>458</v>
      </c>
      <c r="M12" s="36" t="s">
        <v>434</v>
      </c>
      <c r="N12" s="122"/>
      <c r="O12" s="83"/>
      <c r="P12" s="83"/>
      <c r="Q12" s="83"/>
      <c r="R12" s="83"/>
      <c r="S12" s="83"/>
      <c r="T12" s="83"/>
      <c r="U12" s="83">
        <v>10</v>
      </c>
      <c r="V12" s="83"/>
      <c r="W12" s="83">
        <v>10</v>
      </c>
      <c r="X12" s="122"/>
      <c r="Y12" s="83"/>
      <c r="Z12" s="83"/>
      <c r="AA12" s="83"/>
      <c r="AB12" s="83"/>
      <c r="AC12" s="41"/>
    </row>
    <row r="13" spans="1:29" x14ac:dyDescent="0.25">
      <c r="A13" s="41">
        <v>17</v>
      </c>
      <c r="B13" s="32" t="s">
        <v>416</v>
      </c>
      <c r="C13" s="41"/>
      <c r="D13" s="71" t="s">
        <v>146</v>
      </c>
      <c r="E13" s="100">
        <v>0</v>
      </c>
      <c r="G13" s="32">
        <f t="shared" si="0"/>
        <v>-0.42044115498855728</v>
      </c>
      <c r="M13" s="36" t="s">
        <v>71</v>
      </c>
      <c r="N13" s="122">
        <v>18</v>
      </c>
      <c r="O13" s="83">
        <v>18</v>
      </c>
      <c r="P13" s="83">
        <v>22.6</v>
      </c>
      <c r="Q13" s="83">
        <v>22.6</v>
      </c>
      <c r="R13" s="83">
        <v>12</v>
      </c>
      <c r="S13" s="83">
        <v>12</v>
      </c>
      <c r="T13" s="83">
        <v>12</v>
      </c>
      <c r="U13" s="83">
        <v>12</v>
      </c>
      <c r="V13" s="83">
        <v>18</v>
      </c>
      <c r="W13" s="83">
        <v>18</v>
      </c>
      <c r="X13" s="122">
        <v>80</v>
      </c>
      <c r="Y13" s="83">
        <v>75</v>
      </c>
      <c r="Z13" s="83">
        <v>67.5</v>
      </c>
      <c r="AA13" s="83">
        <v>55</v>
      </c>
      <c r="AB13" s="83">
        <v>30</v>
      </c>
      <c r="AC13" s="41"/>
    </row>
    <row r="14" spans="1:29" x14ac:dyDescent="0.25">
      <c r="A14" s="41">
        <v>18</v>
      </c>
      <c r="B14" s="32" t="s">
        <v>417</v>
      </c>
      <c r="C14" s="41"/>
      <c r="D14" s="71" t="s">
        <v>146</v>
      </c>
      <c r="E14" s="100">
        <v>0</v>
      </c>
      <c r="G14" s="32">
        <f t="shared" si="0"/>
        <v>-0.42044115498855728</v>
      </c>
      <c r="M14" s="32" t="s">
        <v>445</v>
      </c>
      <c r="N14" s="121">
        <v>10</v>
      </c>
      <c r="O14" s="41">
        <v>10</v>
      </c>
      <c r="P14" s="41">
        <v>10</v>
      </c>
      <c r="Q14" s="41">
        <v>10</v>
      </c>
      <c r="R14" s="41">
        <v>10</v>
      </c>
      <c r="S14" s="41">
        <v>10</v>
      </c>
      <c r="T14" s="41">
        <v>10</v>
      </c>
      <c r="U14" s="41">
        <v>10</v>
      </c>
      <c r="V14" s="41">
        <v>10</v>
      </c>
      <c r="W14" s="41">
        <v>10</v>
      </c>
      <c r="X14" s="121">
        <v>10</v>
      </c>
      <c r="Y14" s="41">
        <v>10</v>
      </c>
      <c r="Z14" s="41">
        <v>10</v>
      </c>
      <c r="AA14" s="41">
        <v>10</v>
      </c>
      <c r="AB14" s="41">
        <v>10</v>
      </c>
      <c r="AC14" s="41"/>
    </row>
    <row r="15" spans="1:29" ht="13.5" thickBot="1" x14ac:dyDescent="0.3">
      <c r="A15" s="166">
        <v>19</v>
      </c>
      <c r="B15" s="167" t="s">
        <v>418</v>
      </c>
      <c r="C15" s="166"/>
      <c r="D15" s="168" t="s">
        <v>146</v>
      </c>
      <c r="E15" s="169">
        <v>0</v>
      </c>
      <c r="G15" s="32">
        <f t="shared" si="0"/>
        <v>-0.42044115498855728</v>
      </c>
      <c r="M15" s="32" t="s">
        <v>65</v>
      </c>
      <c r="N15" s="121">
        <v>10</v>
      </c>
      <c r="O15" s="41">
        <v>10</v>
      </c>
      <c r="P15" s="41">
        <v>10</v>
      </c>
      <c r="Q15" s="41">
        <v>10</v>
      </c>
      <c r="R15" s="41">
        <v>10</v>
      </c>
      <c r="S15" s="41">
        <v>10</v>
      </c>
      <c r="T15" s="41">
        <v>10</v>
      </c>
      <c r="U15" s="41">
        <v>10</v>
      </c>
      <c r="V15" s="41">
        <v>10</v>
      </c>
      <c r="W15" s="41">
        <v>10</v>
      </c>
      <c r="X15" s="121">
        <v>10</v>
      </c>
      <c r="Y15" s="41">
        <v>10</v>
      </c>
      <c r="Z15" s="41">
        <v>10</v>
      </c>
      <c r="AA15" s="41">
        <v>10</v>
      </c>
      <c r="AB15" s="41">
        <v>10</v>
      </c>
      <c r="AC15" s="41"/>
    </row>
    <row r="16" spans="1:29" x14ac:dyDescent="0.25">
      <c r="A16" s="41">
        <v>20</v>
      </c>
      <c r="B16" s="32" t="s">
        <v>419</v>
      </c>
      <c r="C16" s="41"/>
      <c r="D16" s="71">
        <v>350.73099999999999</v>
      </c>
      <c r="E16" s="100">
        <f>(D16-556.36)/18528</f>
        <v>-1.1098283678756479E-2</v>
      </c>
      <c r="G16" s="32">
        <f t="shared" si="0"/>
        <v>-0.42044169539288501</v>
      </c>
      <c r="M16" s="32" t="s">
        <v>66</v>
      </c>
      <c r="N16" s="121">
        <v>20</v>
      </c>
      <c r="O16" s="41">
        <v>20</v>
      </c>
      <c r="P16" s="41">
        <v>20</v>
      </c>
      <c r="Q16" s="41">
        <v>20</v>
      </c>
      <c r="R16" s="41">
        <v>20</v>
      </c>
      <c r="S16" s="41">
        <v>20</v>
      </c>
      <c r="T16" s="41">
        <v>20</v>
      </c>
      <c r="U16" s="41">
        <v>20</v>
      </c>
      <c r="V16" s="41">
        <v>20</v>
      </c>
      <c r="W16" s="41">
        <v>20</v>
      </c>
      <c r="X16" s="121">
        <v>20</v>
      </c>
      <c r="Y16" s="41">
        <v>20</v>
      </c>
      <c r="Z16" s="41">
        <v>20</v>
      </c>
      <c r="AA16" s="41">
        <v>20</v>
      </c>
      <c r="AB16" s="41">
        <v>20</v>
      </c>
      <c r="AC16" s="41"/>
    </row>
    <row r="17" spans="1:29" x14ac:dyDescent="0.25">
      <c r="A17" s="83">
        <v>21</v>
      </c>
      <c r="B17" s="36" t="s">
        <v>420</v>
      </c>
      <c r="C17" s="83"/>
      <c r="D17" s="84">
        <v>641.745</v>
      </c>
      <c r="E17" s="170">
        <f t="shared" si="1"/>
        <v>4.6084304835923998E-3</v>
      </c>
      <c r="G17" s="32">
        <f t="shared" si="0"/>
        <v>-0.42044093059207854</v>
      </c>
      <c r="M17" s="32" t="s">
        <v>80</v>
      </c>
      <c r="N17" s="121">
        <v>10</v>
      </c>
      <c r="O17" s="41">
        <v>10</v>
      </c>
      <c r="P17" s="41">
        <v>10</v>
      </c>
      <c r="Q17" s="41">
        <v>10</v>
      </c>
      <c r="R17" s="41">
        <v>10</v>
      </c>
      <c r="S17" s="41">
        <v>10</v>
      </c>
      <c r="T17" s="41">
        <v>10</v>
      </c>
      <c r="U17" s="41">
        <v>10</v>
      </c>
      <c r="V17" s="41">
        <v>10</v>
      </c>
      <c r="W17" s="41">
        <v>10</v>
      </c>
      <c r="X17" s="121">
        <v>10</v>
      </c>
      <c r="Y17" s="41">
        <v>10</v>
      </c>
      <c r="Z17" s="41">
        <v>10</v>
      </c>
      <c r="AA17" s="41">
        <v>10</v>
      </c>
      <c r="AB17" s="41">
        <v>10</v>
      </c>
      <c r="AC17" s="41"/>
    </row>
    <row r="18" spans="1:29" x14ac:dyDescent="0.25">
      <c r="A18" s="41">
        <v>25</v>
      </c>
      <c r="B18" s="32" t="s">
        <v>425</v>
      </c>
      <c r="C18" s="41"/>
      <c r="D18" s="71">
        <v>382.75799999999998</v>
      </c>
      <c r="E18" s="100">
        <f t="shared" si="1"/>
        <v>-9.3697107081174465E-3</v>
      </c>
      <c r="G18" s="32">
        <f t="shared" si="0"/>
        <v>-0.42044161122416651</v>
      </c>
      <c r="M18" s="36" t="s">
        <v>67</v>
      </c>
      <c r="N18" s="122">
        <v>10</v>
      </c>
      <c r="O18" s="83">
        <v>10</v>
      </c>
      <c r="P18" s="83">
        <v>10</v>
      </c>
      <c r="Q18" s="83">
        <v>10</v>
      </c>
      <c r="R18" s="83">
        <v>10</v>
      </c>
      <c r="S18" s="83">
        <v>10</v>
      </c>
      <c r="T18" s="83">
        <v>10</v>
      </c>
      <c r="U18" s="83">
        <v>10</v>
      </c>
      <c r="V18" s="83">
        <v>10</v>
      </c>
      <c r="W18" s="83">
        <v>10</v>
      </c>
      <c r="X18" s="122">
        <v>10</v>
      </c>
      <c r="Y18" s="83">
        <v>10</v>
      </c>
      <c r="Z18" s="83">
        <v>10</v>
      </c>
      <c r="AA18" s="83">
        <v>10</v>
      </c>
      <c r="AB18" s="83">
        <v>10</v>
      </c>
      <c r="AC18" s="41"/>
    </row>
    <row r="19" spans="1:29" x14ac:dyDescent="0.25">
      <c r="A19" s="41">
        <v>26</v>
      </c>
      <c r="B19" s="32" t="s">
        <v>426</v>
      </c>
      <c r="C19" s="41"/>
      <c r="D19" s="71">
        <v>212.93299999999999</v>
      </c>
      <c r="E19" s="100">
        <f t="shared" si="1"/>
        <v>-1.8535567789291885E-2</v>
      </c>
      <c r="G19" s="32">
        <f t="shared" si="0"/>
        <v>-0.42044205753361202</v>
      </c>
      <c r="M19" s="32" t="s">
        <v>446</v>
      </c>
      <c r="N19" s="121">
        <v>12</v>
      </c>
      <c r="O19" s="41">
        <v>12</v>
      </c>
      <c r="P19" s="41"/>
      <c r="Q19" s="41"/>
      <c r="R19" s="41"/>
      <c r="S19" s="41"/>
      <c r="T19" s="41"/>
      <c r="U19" s="41"/>
      <c r="V19" s="41"/>
      <c r="W19" s="41"/>
      <c r="X19" s="121"/>
      <c r="Y19" s="41"/>
      <c r="Z19" s="41"/>
      <c r="AA19" s="41"/>
      <c r="AB19" s="41"/>
      <c r="AC19" s="41"/>
    </row>
    <row r="20" spans="1:29" x14ac:dyDescent="0.25">
      <c r="C20" s="41"/>
      <c r="M20" s="32" t="s">
        <v>447</v>
      </c>
      <c r="N20" s="121"/>
      <c r="O20" s="41"/>
      <c r="P20" s="41">
        <v>7.4</v>
      </c>
      <c r="Q20" s="41">
        <v>7.4</v>
      </c>
      <c r="R20" s="41"/>
      <c r="S20" s="41"/>
      <c r="T20" s="41"/>
      <c r="U20" s="41"/>
      <c r="V20" s="41"/>
      <c r="W20" s="41"/>
      <c r="X20" s="121"/>
      <c r="Y20" s="41"/>
      <c r="Z20" s="41"/>
      <c r="AA20" s="41"/>
      <c r="AB20" s="41"/>
      <c r="AC20" s="41"/>
    </row>
    <row r="21" spans="1:29" x14ac:dyDescent="0.25">
      <c r="C21" s="41"/>
      <c r="M21" s="32" t="s">
        <v>448</v>
      </c>
      <c r="N21" s="121"/>
      <c r="O21" s="41"/>
      <c r="P21" s="41"/>
      <c r="Q21" s="41"/>
      <c r="R21" s="41"/>
      <c r="S21" s="41"/>
      <c r="T21" s="41"/>
      <c r="U21" s="41"/>
      <c r="V21" s="41">
        <v>12</v>
      </c>
      <c r="W21" s="41">
        <v>12</v>
      </c>
      <c r="X21" s="121"/>
      <c r="Y21" s="41"/>
      <c r="Z21" s="41"/>
      <c r="AA21" s="41"/>
      <c r="AB21" s="41"/>
      <c r="AC21" s="41"/>
    </row>
    <row r="22" spans="1:29" x14ac:dyDescent="0.25">
      <c r="M22" s="36" t="s">
        <v>449</v>
      </c>
      <c r="N22" s="122"/>
      <c r="O22" s="83"/>
      <c r="P22" s="83"/>
      <c r="Q22" s="83"/>
      <c r="R22" s="83">
        <v>18</v>
      </c>
      <c r="S22" s="83">
        <v>18</v>
      </c>
      <c r="T22" s="83">
        <v>18</v>
      </c>
      <c r="U22" s="83">
        <v>18</v>
      </c>
      <c r="V22" s="83"/>
      <c r="W22" s="83"/>
      <c r="X22" s="122"/>
      <c r="Y22" s="83"/>
      <c r="Z22" s="83"/>
      <c r="AA22" s="83"/>
      <c r="AB22" s="83"/>
      <c r="AC22" s="41"/>
    </row>
    <row r="23" spans="1:29" x14ac:dyDescent="0.25">
      <c r="M23" s="32" t="s">
        <v>137</v>
      </c>
      <c r="N23" s="121"/>
      <c r="O23" s="41"/>
      <c r="P23" s="41"/>
      <c r="Q23" s="41"/>
      <c r="R23" s="41"/>
      <c r="S23" s="41"/>
      <c r="T23" s="41"/>
      <c r="U23" s="41"/>
      <c r="V23" s="41"/>
      <c r="W23" s="41"/>
      <c r="X23" s="121">
        <v>10</v>
      </c>
      <c r="Y23" s="41">
        <v>10</v>
      </c>
      <c r="Z23" s="41">
        <v>10</v>
      </c>
      <c r="AA23" s="41">
        <v>10</v>
      </c>
      <c r="AB23" s="41">
        <v>10</v>
      </c>
      <c r="AC23" s="41"/>
    </row>
    <row r="24" spans="1:29" x14ac:dyDescent="0.25">
      <c r="M24" s="32" t="s">
        <v>450</v>
      </c>
      <c r="N24" s="121"/>
      <c r="O24" s="41"/>
      <c r="P24" s="41"/>
      <c r="Q24" s="41"/>
      <c r="R24" s="41"/>
      <c r="S24" s="41"/>
      <c r="T24" s="41"/>
      <c r="U24" s="41"/>
      <c r="V24" s="41"/>
      <c r="W24" s="41"/>
      <c r="X24" s="121">
        <v>0</v>
      </c>
      <c r="Y24" s="41">
        <v>5</v>
      </c>
      <c r="Z24" s="41">
        <v>12.5</v>
      </c>
      <c r="AA24" s="41">
        <v>25</v>
      </c>
      <c r="AB24" s="41">
        <v>50</v>
      </c>
      <c r="AC24" s="41"/>
    </row>
    <row r="25" spans="1:29" x14ac:dyDescent="0.25"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x14ac:dyDescent="0.25"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>
        <f>Y24*20/SUM(Y13:Y24)</f>
        <v>0.66666666666666663</v>
      </c>
      <c r="Z26" s="41">
        <f>Z24*20/SUM(Z13:Z24)</f>
        <v>1.6666666666666667</v>
      </c>
      <c r="AA26" s="41">
        <f>AA24*20/SUM(AA13:AA24)</f>
        <v>3.3333333333333335</v>
      </c>
      <c r="AB26" s="41">
        <f>AB24*20/SUM(AB13:AB24)</f>
        <v>6.666666666666667</v>
      </c>
      <c r="AC26" s="41"/>
    </row>
    <row r="27" spans="1:29" x14ac:dyDescent="0.25"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13.5" thickBot="1" x14ac:dyDescent="0.3"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1:29" ht="22.5" customHeight="1" thickBot="1" x14ac:dyDescent="0.3">
      <c r="B29" s="288">
        <v>43773</v>
      </c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90"/>
    </row>
    <row r="31" spans="1:29" ht="12.75" customHeight="1" x14ac:dyDescent="0.25"/>
    <row r="33" spans="2:22" x14ac:dyDescent="0.25">
      <c r="B33" s="263" t="s">
        <v>208</v>
      </c>
      <c r="C33" s="239" t="s">
        <v>469</v>
      </c>
      <c r="D33" s="41" t="s">
        <v>460</v>
      </c>
      <c r="E33" s="71" t="s">
        <v>211</v>
      </c>
      <c r="F33" s="277" t="s">
        <v>480</v>
      </c>
      <c r="G33" s="41" t="s">
        <v>460</v>
      </c>
      <c r="H33" s="32" t="s">
        <v>210</v>
      </c>
      <c r="I33" s="277" t="s">
        <v>491</v>
      </c>
      <c r="M33" s="285"/>
      <c r="N33" s="302" t="s">
        <v>437</v>
      </c>
      <c r="O33" s="301" t="s">
        <v>440</v>
      </c>
      <c r="P33" s="301" t="s">
        <v>441</v>
      </c>
      <c r="Q33" s="301" t="s">
        <v>442</v>
      </c>
      <c r="R33" s="296" t="s">
        <v>451</v>
      </c>
      <c r="S33" s="297" t="s">
        <v>452</v>
      </c>
      <c r="T33" s="297" t="s">
        <v>453</v>
      </c>
      <c r="U33" s="297" t="s">
        <v>454</v>
      </c>
      <c r="V33" s="298" t="s">
        <v>455</v>
      </c>
    </row>
    <row r="34" spans="2:22" ht="15" customHeight="1" x14ac:dyDescent="0.25">
      <c r="B34" s="263"/>
      <c r="C34" s="239"/>
      <c r="D34" s="41" t="s">
        <v>461</v>
      </c>
      <c r="E34" s="32" t="s">
        <v>461</v>
      </c>
      <c r="F34" s="277"/>
      <c r="G34" s="32" t="s">
        <v>461</v>
      </c>
      <c r="H34" s="32" t="s">
        <v>461</v>
      </c>
      <c r="I34" s="277"/>
      <c r="M34" s="286"/>
      <c r="N34" s="279"/>
      <c r="O34" s="282"/>
      <c r="P34" s="282"/>
      <c r="Q34" s="282"/>
      <c r="R34" s="294"/>
      <c r="S34" s="291"/>
      <c r="T34" s="291"/>
      <c r="U34" s="291"/>
      <c r="V34" s="299"/>
    </row>
    <row r="35" spans="2:22" ht="15.75" customHeight="1" thickBot="1" x14ac:dyDescent="0.3">
      <c r="B35" s="276"/>
      <c r="C35" s="284"/>
      <c r="D35" s="166" t="s">
        <v>462</v>
      </c>
      <c r="E35" s="167" t="s">
        <v>462</v>
      </c>
      <c r="F35" s="278"/>
      <c r="G35" s="167" t="s">
        <v>463</v>
      </c>
      <c r="H35" s="167" t="s">
        <v>463</v>
      </c>
      <c r="I35" s="278"/>
      <c r="M35" s="286"/>
      <c r="N35" s="279"/>
      <c r="O35" s="282"/>
      <c r="P35" s="282"/>
      <c r="Q35" s="282"/>
      <c r="R35" s="294"/>
      <c r="S35" s="291"/>
      <c r="T35" s="291"/>
      <c r="U35" s="291"/>
      <c r="V35" s="299"/>
    </row>
    <row r="36" spans="2:22" x14ac:dyDescent="0.25">
      <c r="B36" s="32" t="s">
        <v>476</v>
      </c>
      <c r="D36" s="41">
        <v>0</v>
      </c>
      <c r="E36" s="78">
        <v>0</v>
      </c>
      <c r="F36" s="182">
        <f t="shared" ref="F36:F44" si="2">E36/8707.2</f>
        <v>0</v>
      </c>
      <c r="G36" s="41">
        <v>3.81</v>
      </c>
      <c r="H36" s="78">
        <v>267.267</v>
      </c>
      <c r="I36" s="182">
        <f>H36/8707.2</f>
        <v>3.0694942116868795E-2</v>
      </c>
      <c r="M36" s="287"/>
      <c r="N36" s="280"/>
      <c r="O36" s="283"/>
      <c r="P36" s="283"/>
      <c r="Q36" s="283"/>
      <c r="R36" s="295"/>
      <c r="S36" s="292"/>
      <c r="T36" s="292"/>
      <c r="U36" s="292"/>
      <c r="V36" s="300"/>
    </row>
    <row r="37" spans="2:22" x14ac:dyDescent="0.25">
      <c r="B37" s="32" t="s">
        <v>478</v>
      </c>
      <c r="D37" s="41">
        <v>3.6560000000000001</v>
      </c>
      <c r="E37" s="78">
        <v>581.40300000000002</v>
      </c>
      <c r="F37" s="182">
        <f t="shared" si="2"/>
        <v>6.6772670893054026E-2</v>
      </c>
      <c r="G37" s="41">
        <v>3.81</v>
      </c>
      <c r="H37" s="78">
        <v>14377.592000000001</v>
      </c>
      <c r="I37" s="182">
        <f t="shared" ref="I37:I44" si="3">H37/8707.2</f>
        <v>1.6512302462330024</v>
      </c>
      <c r="M37" s="75" t="s">
        <v>470</v>
      </c>
      <c r="N37" s="121">
        <v>10</v>
      </c>
      <c r="O37" s="41"/>
      <c r="P37" s="41"/>
      <c r="Q37" s="41"/>
      <c r="R37" s="121"/>
      <c r="V37" s="76"/>
    </row>
    <row r="38" spans="2:22" x14ac:dyDescent="0.25">
      <c r="B38" s="32" t="s">
        <v>477</v>
      </c>
      <c r="D38" s="41">
        <v>3.6030000000000002</v>
      </c>
      <c r="E38" s="78">
        <v>953.46</v>
      </c>
      <c r="F38" s="182">
        <f t="shared" si="2"/>
        <v>0.10950248070562293</v>
      </c>
      <c r="G38" s="41">
        <v>3.92</v>
      </c>
      <c r="H38" s="78">
        <v>393.99099999999999</v>
      </c>
      <c r="I38" s="182">
        <f t="shared" si="3"/>
        <v>4.5248874494671069E-2</v>
      </c>
      <c r="M38" s="75" t="s">
        <v>472</v>
      </c>
      <c r="N38" s="121"/>
      <c r="O38" s="41">
        <v>10</v>
      </c>
      <c r="P38" s="41"/>
      <c r="Q38" s="41"/>
      <c r="R38" s="121"/>
      <c r="S38" s="41"/>
      <c r="T38" s="41"/>
      <c r="U38" s="41"/>
      <c r="V38" s="176"/>
    </row>
    <row r="39" spans="2:22" ht="13.5" thickBot="1" x14ac:dyDescent="0.3">
      <c r="B39" s="167" t="s">
        <v>479</v>
      </c>
      <c r="C39" s="167"/>
      <c r="D39" s="166">
        <v>0</v>
      </c>
      <c r="E39" s="178">
        <v>0</v>
      </c>
      <c r="F39" s="183">
        <f t="shared" si="2"/>
        <v>0</v>
      </c>
      <c r="G39" s="166">
        <v>3.92</v>
      </c>
      <c r="H39" s="178">
        <v>50634.519</v>
      </c>
      <c r="I39" s="183">
        <f t="shared" si="3"/>
        <v>5.8152470369349496</v>
      </c>
      <c r="M39" s="75" t="s">
        <v>471</v>
      </c>
      <c r="N39" s="121"/>
      <c r="O39" s="41"/>
      <c r="P39" s="41">
        <v>10</v>
      </c>
      <c r="Q39" s="41"/>
      <c r="R39" s="121"/>
      <c r="S39" s="41"/>
      <c r="T39" s="41"/>
      <c r="U39" s="41"/>
      <c r="V39" s="176"/>
    </row>
    <row r="40" spans="2:22" x14ac:dyDescent="0.25">
      <c r="B40" s="32" t="s">
        <v>464</v>
      </c>
      <c r="C40" s="32">
        <v>0</v>
      </c>
      <c r="D40" s="41">
        <v>3.5859999999999999</v>
      </c>
      <c r="E40" s="78">
        <v>103.13500000000001</v>
      </c>
      <c r="F40" s="182">
        <f t="shared" si="2"/>
        <v>1.1844795112091142E-2</v>
      </c>
      <c r="G40" s="41">
        <v>0</v>
      </c>
      <c r="H40" s="78">
        <v>0</v>
      </c>
      <c r="I40" s="182">
        <f t="shared" si="3"/>
        <v>0</v>
      </c>
      <c r="M40" s="79" t="s">
        <v>473</v>
      </c>
      <c r="N40" s="122"/>
      <c r="O40" s="83"/>
      <c r="P40" s="83"/>
      <c r="Q40" s="83">
        <v>10</v>
      </c>
      <c r="R40" s="122"/>
      <c r="S40" s="83"/>
      <c r="T40" s="83"/>
      <c r="U40" s="83"/>
      <c r="V40" s="177"/>
    </row>
    <row r="41" spans="2:22" x14ac:dyDescent="0.25">
      <c r="B41" s="32" t="s">
        <v>465</v>
      </c>
      <c r="C41" s="32">
        <v>1</v>
      </c>
      <c r="D41" s="41">
        <v>0</v>
      </c>
      <c r="E41" s="78">
        <v>0</v>
      </c>
      <c r="F41" s="182">
        <f t="shared" si="2"/>
        <v>0</v>
      </c>
      <c r="G41" s="41">
        <v>3.83</v>
      </c>
      <c r="H41" s="78">
        <v>13584.43</v>
      </c>
      <c r="I41" s="182">
        <f t="shared" si="3"/>
        <v>1.5601375872840866</v>
      </c>
      <c r="M41" s="79" t="s">
        <v>71</v>
      </c>
      <c r="N41" s="122">
        <f>90-SUM(N42:N49)</f>
        <v>12</v>
      </c>
      <c r="O41" s="83">
        <f>90-SUM(O42:O49)</f>
        <v>12</v>
      </c>
      <c r="P41" s="83">
        <f>90-SUM(P42:P49)</f>
        <v>12</v>
      </c>
      <c r="Q41" s="83">
        <f>90-SUM(Q42:Q49)</f>
        <v>12</v>
      </c>
      <c r="R41" s="175">
        <f>100-SUM(R42:R49)</f>
        <v>30</v>
      </c>
      <c r="S41" s="83">
        <f>100-SUM(S42:S49)</f>
        <v>25</v>
      </c>
      <c r="T41" s="83">
        <f>100-SUM(T42:T49)</f>
        <v>17.5</v>
      </c>
      <c r="U41" s="83">
        <f>100-SUM(U42:U49)</f>
        <v>5</v>
      </c>
      <c r="V41" s="177">
        <f>100-SUM(V42:V50)</f>
        <v>20</v>
      </c>
    </row>
    <row r="42" spans="2:22" x14ac:dyDescent="0.25">
      <c r="B42" s="32" t="s">
        <v>466</v>
      </c>
      <c r="C42" s="32">
        <v>2.5</v>
      </c>
      <c r="D42" s="41">
        <v>3.55</v>
      </c>
      <c r="E42" s="78">
        <v>182.452</v>
      </c>
      <c r="F42" s="182">
        <f t="shared" si="2"/>
        <v>2.0954152884968758E-2</v>
      </c>
      <c r="G42" s="41">
        <v>3.83</v>
      </c>
      <c r="H42" s="78">
        <v>27219.9</v>
      </c>
      <c r="I42" s="182">
        <f t="shared" si="3"/>
        <v>3.1261369900771774</v>
      </c>
      <c r="M42" s="75" t="s">
        <v>445</v>
      </c>
      <c r="N42" s="121">
        <v>10</v>
      </c>
      <c r="O42" s="41">
        <v>10</v>
      </c>
      <c r="P42" s="41">
        <v>10</v>
      </c>
      <c r="Q42" s="41">
        <v>10</v>
      </c>
      <c r="R42" s="121">
        <v>10</v>
      </c>
      <c r="S42" s="41">
        <v>10</v>
      </c>
      <c r="T42" s="41">
        <v>10</v>
      </c>
      <c r="U42" s="41">
        <v>10</v>
      </c>
      <c r="V42" s="176">
        <v>10</v>
      </c>
    </row>
    <row r="43" spans="2:22" x14ac:dyDescent="0.25">
      <c r="B43" s="32" t="s">
        <v>467</v>
      </c>
      <c r="C43" s="32">
        <v>5</v>
      </c>
      <c r="D43" s="41">
        <v>3.673</v>
      </c>
      <c r="E43" s="78">
        <v>260.96699999999998</v>
      </c>
      <c r="F43" s="182">
        <f t="shared" si="2"/>
        <v>2.9971402976846744E-2</v>
      </c>
      <c r="G43" s="41">
        <v>3.83</v>
      </c>
      <c r="H43" s="78">
        <v>53676.722000000002</v>
      </c>
      <c r="I43" s="182">
        <f t="shared" si="3"/>
        <v>6.1646363928702677</v>
      </c>
      <c r="M43" s="75" t="s">
        <v>65</v>
      </c>
      <c r="N43" s="121">
        <v>10</v>
      </c>
      <c r="O43" s="41">
        <v>10</v>
      </c>
      <c r="P43" s="41">
        <v>10</v>
      </c>
      <c r="Q43" s="41">
        <v>10</v>
      </c>
      <c r="R43" s="121">
        <v>10</v>
      </c>
      <c r="S43" s="41">
        <v>10</v>
      </c>
      <c r="T43" s="41">
        <v>10</v>
      </c>
      <c r="U43" s="41">
        <v>10</v>
      </c>
      <c r="V43" s="176">
        <v>10</v>
      </c>
    </row>
    <row r="44" spans="2:22" x14ac:dyDescent="0.25">
      <c r="B44" s="32" t="s">
        <v>468</v>
      </c>
      <c r="C44" s="32">
        <v>10</v>
      </c>
      <c r="D44" s="41">
        <v>3.673</v>
      </c>
      <c r="E44" s="78">
        <v>151.12200000000001</v>
      </c>
      <c r="F44" s="182">
        <f t="shared" si="2"/>
        <v>1.7355981256890848E-2</v>
      </c>
      <c r="G44" s="41">
        <v>3.83</v>
      </c>
      <c r="H44" s="78">
        <v>80151.241999999998</v>
      </c>
      <c r="I44" s="182">
        <f t="shared" si="3"/>
        <v>9.2051683664094082</v>
      </c>
      <c r="M44" s="75" t="s">
        <v>66</v>
      </c>
      <c r="N44" s="121">
        <v>20</v>
      </c>
      <c r="O44" s="41">
        <v>20</v>
      </c>
      <c r="P44" s="41">
        <v>20</v>
      </c>
      <c r="Q44" s="41">
        <v>20</v>
      </c>
      <c r="R44" s="121">
        <v>20</v>
      </c>
      <c r="S44" s="41">
        <v>20</v>
      </c>
      <c r="T44" s="41">
        <v>20</v>
      </c>
      <c r="U44" s="41">
        <v>20</v>
      </c>
      <c r="V44" s="176">
        <v>20</v>
      </c>
    </row>
    <row r="45" spans="2:22" x14ac:dyDescent="0.25">
      <c r="M45" s="75" t="s">
        <v>80</v>
      </c>
      <c r="N45" s="121">
        <v>10</v>
      </c>
      <c r="O45" s="41">
        <v>10</v>
      </c>
      <c r="P45" s="41">
        <v>10</v>
      </c>
      <c r="Q45" s="41">
        <v>10</v>
      </c>
      <c r="R45" s="121">
        <v>10</v>
      </c>
      <c r="S45" s="41">
        <v>10</v>
      </c>
      <c r="T45" s="41">
        <v>10</v>
      </c>
      <c r="U45" s="41">
        <v>10</v>
      </c>
      <c r="V45" s="176">
        <v>10</v>
      </c>
    </row>
    <row r="46" spans="2:22" x14ac:dyDescent="0.25">
      <c r="M46" s="79" t="s">
        <v>67</v>
      </c>
      <c r="N46" s="122">
        <v>10</v>
      </c>
      <c r="O46" s="83">
        <v>10</v>
      </c>
      <c r="P46" s="83">
        <v>10</v>
      </c>
      <c r="Q46" s="83">
        <v>10</v>
      </c>
      <c r="R46" s="122">
        <v>10</v>
      </c>
      <c r="S46" s="83">
        <v>10</v>
      </c>
      <c r="T46" s="83">
        <v>10</v>
      </c>
      <c r="U46" s="83">
        <v>10</v>
      </c>
      <c r="V46" s="177">
        <v>10</v>
      </c>
    </row>
    <row r="47" spans="2:22" x14ac:dyDescent="0.25">
      <c r="M47" s="79" t="s">
        <v>449</v>
      </c>
      <c r="N47" s="122">
        <v>18</v>
      </c>
      <c r="O47" s="83">
        <v>18</v>
      </c>
      <c r="P47" s="83">
        <v>18</v>
      </c>
      <c r="Q47" s="83">
        <v>18</v>
      </c>
      <c r="R47" s="122"/>
      <c r="S47" s="83"/>
      <c r="T47" s="83"/>
      <c r="U47" s="83"/>
      <c r="V47" s="177"/>
    </row>
    <row r="48" spans="2:22" x14ac:dyDescent="0.25">
      <c r="M48" s="75" t="s">
        <v>137</v>
      </c>
      <c r="N48" s="121"/>
      <c r="O48" s="41"/>
      <c r="P48" s="41"/>
      <c r="Q48" s="41"/>
      <c r="R48" s="121">
        <v>10</v>
      </c>
      <c r="S48" s="41">
        <v>10</v>
      </c>
      <c r="T48" s="41">
        <v>10</v>
      </c>
      <c r="U48" s="41">
        <v>10</v>
      </c>
      <c r="V48" s="176">
        <v>10</v>
      </c>
    </row>
    <row r="49" spans="3:22" x14ac:dyDescent="0.25">
      <c r="M49" s="75" t="s">
        <v>450</v>
      </c>
      <c r="N49" s="121"/>
      <c r="O49" s="41"/>
      <c r="P49" s="41"/>
      <c r="Q49" s="41"/>
      <c r="R49" s="121">
        <v>0</v>
      </c>
      <c r="S49" s="41">
        <v>5</v>
      </c>
      <c r="T49" s="41">
        <v>12.5</v>
      </c>
      <c r="U49" s="41">
        <v>25</v>
      </c>
      <c r="V49" s="176"/>
    </row>
    <row r="50" spans="3:22" x14ac:dyDescent="0.25">
      <c r="M50" s="79" t="s">
        <v>459</v>
      </c>
      <c r="N50" s="79"/>
      <c r="O50" s="36"/>
      <c r="P50" s="36"/>
      <c r="Q50" s="36"/>
      <c r="R50" s="79"/>
      <c r="S50" s="36"/>
      <c r="T50" s="36"/>
      <c r="U50" s="36"/>
      <c r="V50" s="81">
        <v>10</v>
      </c>
    </row>
    <row r="54" spans="3:22" x14ac:dyDescent="0.25">
      <c r="C54" s="71"/>
      <c r="D54" s="41"/>
      <c r="E54" s="32"/>
    </row>
    <row r="55" spans="3:22" x14ac:dyDescent="0.25">
      <c r="C55" s="71"/>
      <c r="D55" s="41"/>
      <c r="E55" s="32"/>
    </row>
    <row r="56" spans="3:22" x14ac:dyDescent="0.25">
      <c r="C56" s="71"/>
      <c r="D56" s="41"/>
      <c r="E56" s="32"/>
    </row>
    <row r="57" spans="3:22" x14ac:dyDescent="0.25">
      <c r="C57" s="71"/>
      <c r="D57" s="41"/>
      <c r="E57" s="32"/>
      <c r="I57" s="41"/>
      <c r="K57" s="41"/>
    </row>
    <row r="58" spans="3:22" x14ac:dyDescent="0.25">
      <c r="C58" s="71"/>
      <c r="D58" s="41"/>
      <c r="E58" s="32"/>
    </row>
    <row r="59" spans="3:22" x14ac:dyDescent="0.25">
      <c r="C59" s="71"/>
      <c r="D59" s="41"/>
      <c r="E59" s="32"/>
    </row>
    <row r="60" spans="3:22" x14ac:dyDescent="0.25">
      <c r="C60" s="71"/>
      <c r="D60" s="41"/>
      <c r="E60" s="32"/>
    </row>
    <row r="61" spans="3:22" x14ac:dyDescent="0.25">
      <c r="C61" s="71"/>
      <c r="D61" s="41"/>
      <c r="E61" s="32"/>
    </row>
    <row r="62" spans="3:22" x14ac:dyDescent="0.25">
      <c r="C62" s="71"/>
      <c r="D62" s="41"/>
      <c r="E62" s="32"/>
    </row>
    <row r="63" spans="3:22" x14ac:dyDescent="0.25">
      <c r="C63" s="71"/>
      <c r="D63" s="41"/>
      <c r="E63" s="32"/>
    </row>
    <row r="64" spans="3:22" x14ac:dyDescent="0.25">
      <c r="C64" s="71"/>
      <c r="D64" s="41"/>
      <c r="E64" s="32"/>
    </row>
    <row r="65" spans="2:9" x14ac:dyDescent="0.25">
      <c r="C65" s="71"/>
      <c r="D65" s="41"/>
      <c r="E65" s="32"/>
    </row>
    <row r="66" spans="2:9" x14ac:dyDescent="0.25">
      <c r="B66" s="32" t="s">
        <v>481</v>
      </c>
      <c r="C66" s="71"/>
      <c r="D66" s="41"/>
      <c r="E66" s="32"/>
    </row>
    <row r="67" spans="2:9" ht="12.75" customHeight="1" x14ac:dyDescent="0.25">
      <c r="B67" s="263" t="s">
        <v>482</v>
      </c>
      <c r="C67" s="71" t="s">
        <v>211</v>
      </c>
      <c r="D67" s="277" t="s">
        <v>490</v>
      </c>
      <c r="E67" s="32" t="s">
        <v>210</v>
      </c>
      <c r="F67" s="277" t="s">
        <v>490</v>
      </c>
      <c r="G67" s="263" t="s">
        <v>493</v>
      </c>
      <c r="H67" s="281" t="s">
        <v>494</v>
      </c>
    </row>
    <row r="68" spans="2:9" x14ac:dyDescent="0.25">
      <c r="B68" s="263"/>
      <c r="C68" s="32" t="s">
        <v>487</v>
      </c>
      <c r="D68" s="277"/>
      <c r="E68" s="32" t="s">
        <v>487</v>
      </c>
      <c r="F68" s="277"/>
      <c r="G68" s="263"/>
      <c r="H68" s="281"/>
    </row>
    <row r="69" spans="2:9" ht="13.5" thickBot="1" x14ac:dyDescent="0.3">
      <c r="B69" s="276"/>
      <c r="C69" s="167" t="s">
        <v>488</v>
      </c>
      <c r="D69" s="278"/>
      <c r="E69" s="167" t="s">
        <v>489</v>
      </c>
      <c r="F69" s="278"/>
      <c r="G69" s="263"/>
      <c r="H69" s="281"/>
    </row>
    <row r="70" spans="2:9" x14ac:dyDescent="0.25">
      <c r="B70" s="32" t="s">
        <v>483</v>
      </c>
      <c r="C70" s="78">
        <v>0</v>
      </c>
      <c r="D70" s="182">
        <f>C70/8707.2</f>
        <v>0</v>
      </c>
      <c r="E70" s="78">
        <v>267.267</v>
      </c>
      <c r="F70" s="182">
        <f>E70/8707.2</f>
        <v>3.0694942116868795E-2</v>
      </c>
      <c r="G70" s="85">
        <f>D70+F70</f>
        <v>3.0694942116868795E-2</v>
      </c>
      <c r="H70" s="41">
        <v>0</v>
      </c>
    </row>
    <row r="71" spans="2:9" x14ac:dyDescent="0.25">
      <c r="B71" s="32" t="s">
        <v>484</v>
      </c>
      <c r="C71" s="78">
        <v>581.40300000000002</v>
      </c>
      <c r="D71" s="182">
        <f>C71/8707.2</f>
        <v>6.6772670893054026E-2</v>
      </c>
      <c r="E71" s="78">
        <v>14377.592000000001</v>
      </c>
      <c r="F71" s="182">
        <f>E71/8707.2</f>
        <v>1.6512302462330024</v>
      </c>
      <c r="G71" s="85">
        <f t="shared" ref="G71:G73" si="4">D71+F71</f>
        <v>1.7180029171260565</v>
      </c>
      <c r="H71" s="41">
        <v>0.5</v>
      </c>
    </row>
    <row r="72" spans="2:9" x14ac:dyDescent="0.25">
      <c r="B72" s="32" t="s">
        <v>485</v>
      </c>
      <c r="C72" s="78">
        <v>953.46</v>
      </c>
      <c r="D72" s="182">
        <f>C72/8707.2</f>
        <v>0.10950248070562293</v>
      </c>
      <c r="E72" s="78">
        <v>393.99099999999999</v>
      </c>
      <c r="F72" s="182">
        <f>E72/8707.2</f>
        <v>4.5248874494671069E-2</v>
      </c>
      <c r="G72" s="85">
        <f t="shared" si="4"/>
        <v>0.15475135520029401</v>
      </c>
      <c r="H72" s="41">
        <v>0</v>
      </c>
    </row>
    <row r="73" spans="2:9" ht="13.5" thickBot="1" x14ac:dyDescent="0.3">
      <c r="B73" s="167" t="s">
        <v>486</v>
      </c>
      <c r="C73" s="178">
        <v>0</v>
      </c>
      <c r="D73" s="183">
        <f>C73/8707.2</f>
        <v>0</v>
      </c>
      <c r="E73" s="178">
        <v>50634.519</v>
      </c>
      <c r="F73" s="183">
        <f>E73/8707.2</f>
        <v>5.8152470369349496</v>
      </c>
      <c r="G73" s="85">
        <f t="shared" si="4"/>
        <v>5.8152470369349496</v>
      </c>
      <c r="H73" s="41">
        <v>2.4</v>
      </c>
    </row>
    <row r="74" spans="2:9" x14ac:dyDescent="0.25">
      <c r="D74" s="41"/>
      <c r="E74" s="78"/>
      <c r="F74" s="85"/>
      <c r="G74" s="41"/>
      <c r="H74" s="78"/>
      <c r="I74" s="100"/>
    </row>
    <row r="75" spans="2:9" ht="12.75" customHeight="1" x14ac:dyDescent="0.25">
      <c r="D75" s="41"/>
      <c r="G75" s="41"/>
    </row>
    <row r="76" spans="2:9" x14ac:dyDescent="0.25">
      <c r="D76" s="41"/>
    </row>
    <row r="77" spans="2:9" ht="13.5" thickBot="1" x14ac:dyDescent="0.3">
      <c r="B77" s="167"/>
      <c r="C77" s="167"/>
      <c r="D77" s="166"/>
      <c r="E77" s="166"/>
      <c r="F77" s="167"/>
      <c r="G77" s="167"/>
      <c r="H77" s="167"/>
    </row>
    <row r="78" spans="2:9" ht="12.75" customHeight="1" x14ac:dyDescent="0.25">
      <c r="B78" s="263" t="s">
        <v>482</v>
      </c>
      <c r="C78" s="71" t="s">
        <v>211</v>
      </c>
      <c r="D78" s="277" t="s">
        <v>495</v>
      </c>
      <c r="E78" s="32" t="s">
        <v>210</v>
      </c>
      <c r="F78" s="277" t="s">
        <v>496</v>
      </c>
      <c r="G78" s="277" t="s">
        <v>493</v>
      </c>
      <c r="H78" s="277" t="s">
        <v>494</v>
      </c>
    </row>
    <row r="79" spans="2:9" x14ac:dyDescent="0.25">
      <c r="B79" s="263"/>
      <c r="C79" s="32" t="s">
        <v>487</v>
      </c>
      <c r="D79" s="277"/>
      <c r="E79" s="32" t="s">
        <v>487</v>
      </c>
      <c r="F79" s="277"/>
      <c r="G79" s="277"/>
      <c r="H79" s="277"/>
    </row>
    <row r="80" spans="2:9" ht="13.5" thickBot="1" x14ac:dyDescent="0.3">
      <c r="B80" s="276"/>
      <c r="C80" s="167" t="s">
        <v>488</v>
      </c>
      <c r="D80" s="278"/>
      <c r="E80" s="167" t="s">
        <v>489</v>
      </c>
      <c r="F80" s="278"/>
      <c r="G80" s="278"/>
      <c r="H80" s="278"/>
    </row>
    <row r="81" spans="2:8" x14ac:dyDescent="0.25">
      <c r="B81" s="32" t="s">
        <v>483</v>
      </c>
      <c r="C81" s="78">
        <v>0</v>
      </c>
      <c r="D81" s="182">
        <f>C81/8707.2</f>
        <v>0</v>
      </c>
      <c r="E81" s="78">
        <v>267.267</v>
      </c>
      <c r="F81" s="182">
        <f>E81/8707.2</f>
        <v>3.0694942116868795E-2</v>
      </c>
      <c r="G81" s="182">
        <f>D81+F81</f>
        <v>3.0694942116868795E-2</v>
      </c>
      <c r="H81" s="182">
        <v>0</v>
      </c>
    </row>
    <row r="82" spans="2:8" x14ac:dyDescent="0.25">
      <c r="B82" s="32" t="s">
        <v>484</v>
      </c>
      <c r="C82" s="78">
        <v>581.40300000000002</v>
      </c>
      <c r="D82" s="182">
        <f>C82/8707.2</f>
        <v>6.6772670893054026E-2</v>
      </c>
      <c r="E82" s="78">
        <v>14377.592000000001</v>
      </c>
      <c r="F82" s="182">
        <f>E82/8707.2</f>
        <v>1.6512302462330024</v>
      </c>
      <c r="G82" s="182">
        <f t="shared" ref="G82:G84" si="5">D82+F82</f>
        <v>1.7180029171260565</v>
      </c>
      <c r="H82" s="182">
        <v>0.5</v>
      </c>
    </row>
    <row r="83" spans="2:8" x14ac:dyDescent="0.25">
      <c r="B83" s="32" t="s">
        <v>485</v>
      </c>
      <c r="C83" s="78">
        <v>953.46</v>
      </c>
      <c r="D83" s="182">
        <f>C83/8707.2</f>
        <v>0.10950248070562293</v>
      </c>
      <c r="E83" s="78">
        <v>393.99099999999999</v>
      </c>
      <c r="F83" s="182">
        <f>E83/8707.2</f>
        <v>4.5248874494671069E-2</v>
      </c>
      <c r="G83" s="182">
        <f t="shared" si="5"/>
        <v>0.15475135520029401</v>
      </c>
      <c r="H83" s="182">
        <v>0</v>
      </c>
    </row>
    <row r="84" spans="2:8" ht="13.5" thickBot="1" x14ac:dyDescent="0.3">
      <c r="B84" s="167" t="s">
        <v>486</v>
      </c>
      <c r="C84" s="178">
        <v>0</v>
      </c>
      <c r="D84" s="183">
        <f>C84/8707.2</f>
        <v>0</v>
      </c>
      <c r="E84" s="178">
        <v>50634.519</v>
      </c>
      <c r="F84" s="183">
        <f>E84/8707.2</f>
        <v>5.8152470369349496</v>
      </c>
      <c r="G84" s="183">
        <f t="shared" si="5"/>
        <v>5.8152470369349496</v>
      </c>
      <c r="H84" s="183">
        <v>2.4</v>
      </c>
    </row>
  </sheetData>
  <mergeCells count="48">
    <mergeCell ref="G78:G80"/>
    <mergeCell ref="H78:H80"/>
    <mergeCell ref="B78:B80"/>
    <mergeCell ref="D78:D80"/>
    <mergeCell ref="F78:F80"/>
    <mergeCell ref="W5:W8"/>
    <mergeCell ref="B1:AA1"/>
    <mergeCell ref="I33:I35"/>
    <mergeCell ref="R33:R36"/>
    <mergeCell ref="S33:S36"/>
    <mergeCell ref="T33:T36"/>
    <mergeCell ref="U33:U36"/>
    <mergeCell ref="V33:V36"/>
    <mergeCell ref="O33:O36"/>
    <mergeCell ref="P33:P36"/>
    <mergeCell ref="Q33:Q36"/>
    <mergeCell ref="N33:N36"/>
    <mergeCell ref="E2:E3"/>
    <mergeCell ref="C2:C4"/>
    <mergeCell ref="B2:B4"/>
    <mergeCell ref="O5:O8"/>
    <mergeCell ref="A2:A4"/>
    <mergeCell ref="M33:M36"/>
    <mergeCell ref="F2:F4"/>
    <mergeCell ref="G2:G3"/>
    <mergeCell ref="B33:B35"/>
    <mergeCell ref="C33:C35"/>
    <mergeCell ref="B29:AB29"/>
    <mergeCell ref="V5:V8"/>
    <mergeCell ref="U5:U8"/>
    <mergeCell ref="AB5:AB8"/>
    <mergeCell ref="M5:M8"/>
    <mergeCell ref="AA5:AA8"/>
    <mergeCell ref="Z5:Z8"/>
    <mergeCell ref="Y5:Y8"/>
    <mergeCell ref="X5:X8"/>
    <mergeCell ref="T5:T8"/>
    <mergeCell ref="S5:S8"/>
    <mergeCell ref="R5:R8"/>
    <mergeCell ref="Q5:Q8"/>
    <mergeCell ref="P5:P8"/>
    <mergeCell ref="F33:F35"/>
    <mergeCell ref="B67:B69"/>
    <mergeCell ref="D67:D69"/>
    <mergeCell ref="F67:F69"/>
    <mergeCell ref="N5:N8"/>
    <mergeCell ref="H67:H69"/>
    <mergeCell ref="G67:G69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R269"/>
  <sheetViews>
    <sheetView topLeftCell="A141" zoomScale="25" zoomScaleNormal="25" workbookViewId="0">
      <selection activeCell="A254" sqref="A254:N263"/>
    </sheetView>
  </sheetViews>
  <sheetFormatPr defaultColWidth="11.42578125" defaultRowHeight="14.25" customHeight="1" x14ac:dyDescent="0.25"/>
  <cols>
    <col min="1" max="1" width="10.5703125" style="32" customWidth="1"/>
    <col min="2" max="27" width="6.5703125" style="32" customWidth="1"/>
    <col min="28" max="36" width="10.28515625" style="32" customWidth="1"/>
    <col min="37" max="37" width="7.140625" style="32" customWidth="1"/>
    <col min="38" max="38" width="7.140625" style="32" bestFit="1" customWidth="1"/>
    <col min="39" max="16384" width="11.42578125" style="32"/>
  </cols>
  <sheetData>
    <row r="1" spans="1:35" s="77" customFormat="1" ht="14.25" customHeight="1" x14ac:dyDescent="0.25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5"/>
      <c r="R1" s="266" t="s">
        <v>315</v>
      </c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</row>
    <row r="2" spans="1:35" ht="14.25" customHeight="1" x14ac:dyDescent="0.25">
      <c r="Q2" s="76"/>
    </row>
    <row r="3" spans="1:35" ht="14.25" customHeight="1" x14ac:dyDescent="0.25">
      <c r="A3" s="268" t="s">
        <v>308</v>
      </c>
      <c r="B3" s="269"/>
      <c r="C3" s="269"/>
      <c r="D3" s="269"/>
      <c r="E3" s="269"/>
      <c r="F3" s="270"/>
      <c r="Q3" s="76"/>
      <c r="R3" s="248" t="s">
        <v>316</v>
      </c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50"/>
    </row>
    <row r="4" spans="1:35" ht="14.25" customHeight="1" x14ac:dyDescent="0.25">
      <c r="A4" s="75" t="s">
        <v>396</v>
      </c>
      <c r="B4" s="32" t="s">
        <v>213</v>
      </c>
      <c r="C4" s="32" t="s">
        <v>145</v>
      </c>
      <c r="D4" s="32" t="s">
        <v>214</v>
      </c>
      <c r="E4" s="32" t="s">
        <v>215</v>
      </c>
      <c r="F4" s="76" t="s">
        <v>218</v>
      </c>
      <c r="Q4" s="76"/>
      <c r="R4" s="248" t="s">
        <v>318</v>
      </c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50"/>
    </row>
    <row r="5" spans="1:35" ht="14.25" customHeight="1" x14ac:dyDescent="0.25">
      <c r="A5" s="121">
        <v>0</v>
      </c>
      <c r="B5" s="32">
        <v>0</v>
      </c>
      <c r="C5" s="32">
        <v>0</v>
      </c>
      <c r="D5" s="78">
        <v>0</v>
      </c>
      <c r="E5" s="32">
        <v>0</v>
      </c>
      <c r="F5" s="76">
        <v>0</v>
      </c>
      <c r="Q5" s="76"/>
      <c r="R5" s="248" t="s">
        <v>319</v>
      </c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50"/>
    </row>
    <row r="6" spans="1:35" ht="14.25" customHeight="1" x14ac:dyDescent="0.25">
      <c r="A6" s="121">
        <v>1</v>
      </c>
      <c r="B6" s="32">
        <v>1.8240000000000001</v>
      </c>
      <c r="C6" s="32">
        <v>3.2749999999999999</v>
      </c>
      <c r="D6" s="78">
        <v>21.626000000000001</v>
      </c>
      <c r="E6" s="32">
        <v>3.7709999999999999</v>
      </c>
      <c r="F6" s="76">
        <v>2.0710000000000002</v>
      </c>
      <c r="Q6" s="76"/>
      <c r="R6" s="32" t="s">
        <v>207</v>
      </c>
      <c r="S6" s="32" t="s">
        <v>208</v>
      </c>
      <c r="U6" s="32" t="s">
        <v>210</v>
      </c>
      <c r="W6" s="32" t="s">
        <v>210</v>
      </c>
      <c r="Y6" s="32" t="s">
        <v>210</v>
      </c>
    </row>
    <row r="7" spans="1:35" ht="14.25" customHeight="1" x14ac:dyDescent="0.25">
      <c r="A7" s="121">
        <v>5</v>
      </c>
      <c r="B7" s="32">
        <v>8.6630000000000003</v>
      </c>
      <c r="C7" s="32">
        <v>17.463000000000001</v>
      </c>
      <c r="D7" s="78">
        <v>59.988999999999997</v>
      </c>
      <c r="E7" s="32">
        <v>18.878</v>
      </c>
      <c r="F7" s="76">
        <v>10.122</v>
      </c>
      <c r="Q7" s="76"/>
      <c r="T7" s="32" t="s">
        <v>173</v>
      </c>
      <c r="U7" s="32" t="s">
        <v>213</v>
      </c>
      <c r="V7" s="32" t="s">
        <v>280</v>
      </c>
      <c r="W7" s="32" t="s">
        <v>287</v>
      </c>
      <c r="X7" s="32" t="s">
        <v>280</v>
      </c>
      <c r="Y7" s="32" t="s">
        <v>288</v>
      </c>
      <c r="Z7" s="32" t="s">
        <v>339</v>
      </c>
    </row>
    <row r="8" spans="1:35" ht="14.25" customHeight="1" x14ac:dyDescent="0.25">
      <c r="A8" s="122">
        <v>10</v>
      </c>
      <c r="B8" s="36">
        <v>16.971</v>
      </c>
      <c r="C8" s="36">
        <v>12.154</v>
      </c>
      <c r="D8" s="80">
        <v>44.116</v>
      </c>
      <c r="E8" s="36">
        <v>37.722000000000001</v>
      </c>
      <c r="F8" s="81">
        <v>22.411999999999999</v>
      </c>
      <c r="Q8" s="76"/>
      <c r="R8" s="32">
        <v>16</v>
      </c>
      <c r="S8" s="32" t="s">
        <v>33</v>
      </c>
      <c r="T8" s="32">
        <v>0</v>
      </c>
      <c r="U8" s="32">
        <v>0</v>
      </c>
    </row>
    <row r="9" spans="1:35" ht="14.25" customHeight="1" x14ac:dyDescent="0.25">
      <c r="Q9" s="76"/>
      <c r="R9" s="32">
        <v>17</v>
      </c>
      <c r="S9" s="32" t="s">
        <v>34</v>
      </c>
      <c r="T9" s="32">
        <v>1</v>
      </c>
      <c r="U9" s="32">
        <v>16150.058000000001</v>
      </c>
    </row>
    <row r="10" spans="1:35" ht="14.25" customHeight="1" x14ac:dyDescent="0.25">
      <c r="Q10" s="76"/>
      <c r="R10" s="32">
        <v>18</v>
      </c>
      <c r="S10" s="32" t="s">
        <v>35</v>
      </c>
      <c r="T10" s="32">
        <v>5</v>
      </c>
      <c r="U10" s="32">
        <v>52898.195</v>
      </c>
    </row>
    <row r="11" spans="1:35" ht="14.25" customHeight="1" x14ac:dyDescent="0.25">
      <c r="Q11" s="76"/>
      <c r="R11" s="36">
        <v>19</v>
      </c>
      <c r="S11" s="36" t="s">
        <v>36</v>
      </c>
      <c r="T11" s="36">
        <v>10</v>
      </c>
      <c r="U11" s="36">
        <v>80890.448999999993</v>
      </c>
      <c r="V11" s="36"/>
    </row>
    <row r="12" spans="1:35" ht="14.25" customHeight="1" x14ac:dyDescent="0.25">
      <c r="A12" s="259" t="s">
        <v>281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1"/>
      <c r="Q12" s="76"/>
      <c r="R12" s="32">
        <v>20</v>
      </c>
      <c r="S12" s="32" t="s">
        <v>103</v>
      </c>
      <c r="U12" s="32">
        <v>0</v>
      </c>
      <c r="V12" s="35">
        <v>0</v>
      </c>
    </row>
    <row r="13" spans="1:35" ht="14.25" customHeight="1" x14ac:dyDescent="0.25">
      <c r="A13" s="32" t="s">
        <v>207</v>
      </c>
      <c r="B13" s="32" t="s">
        <v>208</v>
      </c>
      <c r="D13" s="32" t="s">
        <v>210</v>
      </c>
      <c r="F13" s="32" t="s">
        <v>210</v>
      </c>
      <c r="H13" s="32" t="s">
        <v>210</v>
      </c>
      <c r="Q13" s="76"/>
      <c r="R13" s="32">
        <v>21</v>
      </c>
      <c r="S13" s="32" t="s">
        <v>228</v>
      </c>
      <c r="U13" s="32">
        <v>14242.781999999999</v>
      </c>
      <c r="V13" s="82">
        <f>(U13-5885.3)/7899.9</f>
        <v>1.0579225053481691</v>
      </c>
    </row>
    <row r="14" spans="1:35" ht="14.25" customHeight="1" x14ac:dyDescent="0.25">
      <c r="D14" s="32" t="s">
        <v>212</v>
      </c>
      <c r="F14" s="32" t="s">
        <v>212</v>
      </c>
      <c r="H14" s="32" t="s">
        <v>212</v>
      </c>
      <c r="Q14" s="76"/>
      <c r="R14" s="32">
        <v>22</v>
      </c>
      <c r="S14" s="32" t="s">
        <v>229</v>
      </c>
      <c r="U14" s="32">
        <v>15787.948</v>
      </c>
      <c r="V14" s="82">
        <f>(U14-5885.3)/7899.9</f>
        <v>1.2535156141216979</v>
      </c>
    </row>
    <row r="15" spans="1:35" ht="14.25" customHeight="1" x14ac:dyDescent="0.25">
      <c r="C15" s="32" t="s">
        <v>173</v>
      </c>
      <c r="D15" s="32" t="s">
        <v>213</v>
      </c>
      <c r="E15" s="32" t="s">
        <v>280</v>
      </c>
      <c r="F15" s="32" t="s">
        <v>287</v>
      </c>
      <c r="G15" s="32" t="s">
        <v>280</v>
      </c>
      <c r="H15" s="32" t="s">
        <v>288</v>
      </c>
      <c r="I15" s="32" t="s">
        <v>280</v>
      </c>
      <c r="Q15" s="76"/>
      <c r="R15" s="32">
        <v>23</v>
      </c>
      <c r="S15" s="32" t="s">
        <v>230</v>
      </c>
      <c r="U15" s="32">
        <v>13538.352000000001</v>
      </c>
      <c r="V15" s="82">
        <f>(U15-5885.3)/7899.9</f>
        <v>0.96875302219015447</v>
      </c>
    </row>
    <row r="16" spans="1:35" ht="14.25" customHeight="1" x14ac:dyDescent="0.25">
      <c r="A16" s="32">
        <v>16</v>
      </c>
      <c r="B16" s="32" t="s">
        <v>33</v>
      </c>
      <c r="C16" s="32">
        <v>0</v>
      </c>
      <c r="D16" s="32">
        <v>0</v>
      </c>
      <c r="Q16" s="76"/>
      <c r="R16" s="79">
        <v>24</v>
      </c>
      <c r="S16" s="36" t="s">
        <v>231</v>
      </c>
      <c r="T16" s="36"/>
      <c r="U16" s="36">
        <v>13001.652</v>
      </c>
      <c r="V16" s="124">
        <f>(U16-5885.3)/7899.9</f>
        <v>0.9008154533601691</v>
      </c>
      <c r="W16" s="36"/>
      <c r="X16" s="36"/>
      <c r="Y16" s="36"/>
      <c r="Z16" s="36"/>
    </row>
    <row r="17" spans="1:26" ht="14.25" customHeight="1" x14ac:dyDescent="0.25">
      <c r="A17" s="32">
        <v>17</v>
      </c>
      <c r="B17" s="32" t="s">
        <v>34</v>
      </c>
      <c r="C17" s="32">
        <v>1</v>
      </c>
      <c r="D17" s="32">
        <v>1.8240000000000001</v>
      </c>
      <c r="Q17" s="76"/>
      <c r="R17" s="32">
        <v>47</v>
      </c>
      <c r="S17" s="32" t="s">
        <v>105</v>
      </c>
      <c r="W17" s="32">
        <v>0</v>
      </c>
      <c r="X17" s="35">
        <v>0</v>
      </c>
      <c r="Y17" s="32">
        <v>0</v>
      </c>
      <c r="Z17" s="35">
        <v>0</v>
      </c>
    </row>
    <row r="18" spans="1:26" ht="14.25" customHeight="1" x14ac:dyDescent="0.25">
      <c r="A18" s="32">
        <v>18</v>
      </c>
      <c r="B18" s="32" t="s">
        <v>35</v>
      </c>
      <c r="C18" s="32">
        <v>5</v>
      </c>
      <c r="D18" s="32">
        <v>8.6630000000000003</v>
      </c>
      <c r="Q18" s="76"/>
      <c r="R18" s="32">
        <v>48</v>
      </c>
      <c r="S18" s="32" t="s">
        <v>240</v>
      </c>
      <c r="W18" s="32">
        <v>14601.039000000001</v>
      </c>
      <c r="X18" s="82">
        <f>W18/8647.2</f>
        <v>1.6885279628087704</v>
      </c>
      <c r="Y18" s="32">
        <v>24298.335999999999</v>
      </c>
      <c r="Z18" s="82">
        <f>Y18/8647.2</f>
        <v>2.809965769266352</v>
      </c>
    </row>
    <row r="19" spans="1:26" ht="14.25" customHeight="1" x14ac:dyDescent="0.25">
      <c r="A19" s="36">
        <v>19</v>
      </c>
      <c r="B19" s="36" t="s">
        <v>36</v>
      </c>
      <c r="C19" s="36">
        <v>10</v>
      </c>
      <c r="D19" s="36">
        <v>16.971</v>
      </c>
      <c r="E19" s="36"/>
      <c r="Q19" s="76"/>
      <c r="R19" s="32">
        <v>49</v>
      </c>
      <c r="S19" s="32" t="s">
        <v>241</v>
      </c>
      <c r="W19" s="32">
        <v>16827.28</v>
      </c>
      <c r="X19" s="82">
        <f t="shared" ref="X19:X26" si="0">W19/8647.2</f>
        <v>1.9459802016837817</v>
      </c>
      <c r="Y19" s="32">
        <v>27365.178</v>
      </c>
      <c r="Z19" s="82">
        <f t="shared" ref="Z19:Z27" si="1">Y19/8647.2</f>
        <v>3.1646287815709129</v>
      </c>
    </row>
    <row r="20" spans="1:26" ht="14.25" customHeight="1" x14ac:dyDescent="0.25">
      <c r="A20" s="32">
        <v>20</v>
      </c>
      <c r="B20" s="32" t="s">
        <v>103</v>
      </c>
      <c r="D20" s="32">
        <v>0</v>
      </c>
      <c r="E20" s="32">
        <v>0</v>
      </c>
      <c r="Q20" s="76"/>
      <c r="R20" s="32">
        <v>50</v>
      </c>
      <c r="S20" s="32" t="s">
        <v>242</v>
      </c>
      <c r="W20" s="32">
        <v>18572.527999999998</v>
      </c>
      <c r="X20" s="82">
        <f t="shared" si="0"/>
        <v>2.1478083078915713</v>
      </c>
      <c r="Y20" s="32">
        <v>2054.1149999999998</v>
      </c>
      <c r="Z20" s="82">
        <f t="shared" si="1"/>
        <v>0.23754683597002493</v>
      </c>
    </row>
    <row r="21" spans="1:26" ht="14.25" customHeight="1" x14ac:dyDescent="0.25">
      <c r="A21" s="32">
        <v>21</v>
      </c>
      <c r="B21" s="32" t="s">
        <v>228</v>
      </c>
      <c r="D21" s="32">
        <v>1.349</v>
      </c>
      <c r="E21" s="34">
        <f>(D21-0.0892)/1.6938</f>
        <v>0.7437714015822412</v>
      </c>
      <c r="Q21" s="76"/>
      <c r="R21" s="32">
        <v>51</v>
      </c>
      <c r="S21" s="32" t="s">
        <v>243</v>
      </c>
      <c r="W21" s="32">
        <v>19559.757000000001</v>
      </c>
      <c r="X21" s="82">
        <f t="shared" si="0"/>
        <v>2.2619757840688317</v>
      </c>
      <c r="Y21" s="32">
        <v>2121.2750000000001</v>
      </c>
      <c r="Z21" s="82">
        <f t="shared" si="1"/>
        <v>0.24531351188824127</v>
      </c>
    </row>
    <row r="22" spans="1:26" ht="14.25" customHeight="1" x14ac:dyDescent="0.25">
      <c r="A22" s="32">
        <v>22</v>
      </c>
      <c r="B22" s="32" t="s">
        <v>229</v>
      </c>
      <c r="D22" s="32">
        <v>1.5269999999999999</v>
      </c>
      <c r="E22" s="34">
        <f>(D22-0.0892)/1.6938</f>
        <v>0.84886055024205931</v>
      </c>
      <c r="Q22" s="76"/>
      <c r="R22" s="32">
        <v>52</v>
      </c>
      <c r="S22" s="32" t="s">
        <v>244</v>
      </c>
      <c r="W22" s="32">
        <v>3773.7060000000001</v>
      </c>
      <c r="X22" s="82">
        <f t="shared" si="0"/>
        <v>0.43640785456563974</v>
      </c>
      <c r="Y22" s="32">
        <v>9187.7469999999994</v>
      </c>
      <c r="Z22" s="82">
        <f t="shared" si="1"/>
        <v>1.0625112175039317</v>
      </c>
    </row>
    <row r="23" spans="1:26" ht="14.25" customHeight="1" x14ac:dyDescent="0.25">
      <c r="A23" s="32">
        <v>23</v>
      </c>
      <c r="B23" s="32" t="s">
        <v>230</v>
      </c>
      <c r="D23" s="32">
        <v>1.2070000000000001</v>
      </c>
      <c r="E23" s="34">
        <f>(D23-0.0892)/1.6938</f>
        <v>0.65993623804463342</v>
      </c>
      <c r="Q23" s="76"/>
      <c r="R23" s="32">
        <v>53</v>
      </c>
      <c r="S23" s="32" t="s">
        <v>245</v>
      </c>
      <c r="W23" s="32">
        <v>3695.22</v>
      </c>
      <c r="X23" s="82">
        <f t="shared" si="0"/>
        <v>0.42733139050791003</v>
      </c>
      <c r="Y23" s="32">
        <v>9581.4590000000007</v>
      </c>
      <c r="Z23" s="82">
        <f t="shared" si="1"/>
        <v>1.1080417938754741</v>
      </c>
    </row>
    <row r="24" spans="1:26" ht="14.25" customHeight="1" x14ac:dyDescent="0.25">
      <c r="A24" s="32">
        <v>24</v>
      </c>
      <c r="B24" s="32" t="s">
        <v>231</v>
      </c>
      <c r="D24" s="32">
        <v>1.0620000000000001</v>
      </c>
      <c r="E24" s="34">
        <f>(D24-0.0892)/1.6938</f>
        <v>0.57432990908017478</v>
      </c>
      <c r="Q24" s="76"/>
      <c r="R24" s="32">
        <v>54</v>
      </c>
      <c r="S24" s="32" t="s">
        <v>246</v>
      </c>
      <c r="W24" s="32">
        <v>5766.8649999999998</v>
      </c>
      <c r="X24" s="82">
        <f t="shared" si="0"/>
        <v>0.66690547229160879</v>
      </c>
      <c r="Y24" s="32">
        <v>8132.558</v>
      </c>
      <c r="Z24" s="82">
        <f t="shared" si="1"/>
        <v>0.94048454991211017</v>
      </c>
    </row>
    <row r="25" spans="1:26" ht="14.25" customHeight="1" x14ac:dyDescent="0.25">
      <c r="A25" s="32">
        <v>47</v>
      </c>
      <c r="B25" s="32" t="s">
        <v>105</v>
      </c>
      <c r="F25" s="78">
        <v>0.03</v>
      </c>
      <c r="G25" s="34">
        <f>(F25-0.0892)/1.6938</f>
        <v>-3.4950997756523793E-2</v>
      </c>
      <c r="H25" s="78">
        <v>0.11</v>
      </c>
      <c r="I25" s="34">
        <f>(H25-0.0892)/1.6938</f>
        <v>1.2280080292832684E-2</v>
      </c>
      <c r="Q25" s="76"/>
      <c r="R25" s="32">
        <v>55</v>
      </c>
      <c r="S25" s="32" t="s">
        <v>247</v>
      </c>
      <c r="W25" s="32">
        <v>4809.6189999999997</v>
      </c>
      <c r="X25" s="82">
        <f t="shared" si="0"/>
        <v>0.55620536127301312</v>
      </c>
      <c r="Y25" s="32">
        <v>7572.9790000000003</v>
      </c>
      <c r="Z25" s="82">
        <f t="shared" si="1"/>
        <v>0.87577238875011565</v>
      </c>
    </row>
    <row r="26" spans="1:26" ht="14.25" customHeight="1" x14ac:dyDescent="0.25">
      <c r="A26" s="32">
        <v>48</v>
      </c>
      <c r="B26" s="32" t="s">
        <v>240</v>
      </c>
      <c r="F26" s="78">
        <v>0.42799999999999999</v>
      </c>
      <c r="G26" s="34">
        <f t="shared" ref="G26:G35" si="2">(F26-0.0892)/1.6938</f>
        <v>0.20002361553902467</v>
      </c>
      <c r="H26" s="78">
        <v>1.6120000000000001</v>
      </c>
      <c r="I26" s="34">
        <f t="shared" ref="I26:I35" si="3">(H26-0.0892)/1.6938</f>
        <v>0.89904357066950069</v>
      </c>
      <c r="Q26" s="76"/>
      <c r="R26" s="32">
        <v>56</v>
      </c>
      <c r="S26" s="32" t="s">
        <v>248</v>
      </c>
      <c r="W26" s="32">
        <v>5171.5529999999999</v>
      </c>
      <c r="X26" s="82">
        <f t="shared" si="0"/>
        <v>0.59806099084096576</v>
      </c>
      <c r="Y26" s="32">
        <v>6851.4669999999996</v>
      </c>
      <c r="Z26" s="82">
        <f t="shared" si="1"/>
        <v>0.7923335877509482</v>
      </c>
    </row>
    <row r="27" spans="1:26" ht="14.25" customHeight="1" x14ac:dyDescent="0.25">
      <c r="A27" s="32">
        <v>49</v>
      </c>
      <c r="B27" s="32" t="s">
        <v>241</v>
      </c>
      <c r="F27" s="78">
        <v>0.43099999999999999</v>
      </c>
      <c r="G27" s="34">
        <f t="shared" si="2"/>
        <v>0.20179478096587555</v>
      </c>
      <c r="H27" s="78">
        <v>1.63</v>
      </c>
      <c r="I27" s="34">
        <f t="shared" si="3"/>
        <v>0.90967056323060569</v>
      </c>
      <c r="Q27" s="76"/>
      <c r="R27" s="32">
        <v>57</v>
      </c>
      <c r="S27" s="32" t="s">
        <v>249</v>
      </c>
      <c r="W27" s="32">
        <v>5944.268</v>
      </c>
      <c r="X27" s="82">
        <f>W27/8647.2</f>
        <v>0.68742113053936527</v>
      </c>
      <c r="Y27" s="32">
        <v>7281.9170000000004</v>
      </c>
      <c r="Z27" s="82">
        <f t="shared" si="1"/>
        <v>0.842112707003423</v>
      </c>
    </row>
    <row r="28" spans="1:26" ht="14.25" customHeight="1" x14ac:dyDescent="0.25">
      <c r="A28" s="32">
        <v>50</v>
      </c>
      <c r="B28" s="32" t="s">
        <v>242</v>
      </c>
      <c r="F28" s="78">
        <v>0.44</v>
      </c>
      <c r="G28" s="34">
        <f t="shared" si="2"/>
        <v>0.20710827724642816</v>
      </c>
      <c r="H28" s="78">
        <v>0.16400000000000001</v>
      </c>
      <c r="I28" s="34">
        <f t="shared" si="3"/>
        <v>4.4161057976148312E-2</v>
      </c>
      <c r="Q28" s="76"/>
    </row>
    <row r="29" spans="1:26" ht="14.25" customHeight="1" x14ac:dyDescent="0.25">
      <c r="A29" s="32">
        <v>51</v>
      </c>
      <c r="B29" s="32" t="s">
        <v>243</v>
      </c>
      <c r="F29" s="78">
        <v>0.46100000000000002</v>
      </c>
      <c r="G29" s="34">
        <f t="shared" si="2"/>
        <v>0.21950643523438423</v>
      </c>
      <c r="H29" s="78">
        <v>0.187</v>
      </c>
      <c r="I29" s="34">
        <f t="shared" si="3"/>
        <v>5.7739992915338295E-2</v>
      </c>
      <c r="Q29" s="76"/>
      <c r="R29" s="32" t="s">
        <v>321</v>
      </c>
    </row>
    <row r="30" spans="1:26" ht="14.25" customHeight="1" x14ac:dyDescent="0.25">
      <c r="A30" s="32">
        <v>52</v>
      </c>
      <c r="B30" s="32" t="s">
        <v>244</v>
      </c>
      <c r="F30" s="78">
        <v>0.113</v>
      </c>
      <c r="G30" s="34">
        <f t="shared" si="2"/>
        <v>1.4051245719683553E-2</v>
      </c>
      <c r="H30" s="78">
        <v>0.44</v>
      </c>
      <c r="I30" s="34">
        <f t="shared" si="3"/>
        <v>0.20710827724642816</v>
      </c>
      <c r="Q30" s="76"/>
      <c r="R30" s="32" t="s">
        <v>322</v>
      </c>
    </row>
    <row r="31" spans="1:26" ht="14.25" customHeight="1" x14ac:dyDescent="0.25">
      <c r="A31" s="32">
        <v>53</v>
      </c>
      <c r="B31" s="32" t="s">
        <v>245</v>
      </c>
      <c r="F31" s="78">
        <v>9.9000000000000005E-2</v>
      </c>
      <c r="G31" s="34">
        <f t="shared" si="2"/>
        <v>5.7858070610461703E-3</v>
      </c>
      <c r="H31" s="78">
        <v>0.46600000000000003</v>
      </c>
      <c r="I31" s="34">
        <f t="shared" si="3"/>
        <v>0.22245837761246903</v>
      </c>
      <c r="Q31" s="76"/>
    </row>
    <row r="32" spans="1:26" ht="14.25" customHeight="1" x14ac:dyDescent="0.25">
      <c r="A32" s="32">
        <v>54</v>
      </c>
      <c r="B32" s="32" t="s">
        <v>246</v>
      </c>
      <c r="F32" s="78">
        <v>0.13500000000000001</v>
      </c>
      <c r="G32" s="34">
        <f t="shared" si="2"/>
        <v>2.7039792183256587E-2</v>
      </c>
      <c r="H32" s="78">
        <v>0.377</v>
      </c>
      <c r="I32" s="34">
        <f t="shared" si="3"/>
        <v>0.16991380328255992</v>
      </c>
      <c r="Q32" s="76"/>
    </row>
    <row r="33" spans="1:38" ht="14.25" customHeight="1" x14ac:dyDescent="0.25">
      <c r="A33" s="32">
        <v>55</v>
      </c>
      <c r="B33" s="32" t="s">
        <v>247</v>
      </c>
      <c r="F33" s="78">
        <v>0.114</v>
      </c>
      <c r="G33" s="34">
        <f t="shared" si="2"/>
        <v>1.4641634195300509E-2</v>
      </c>
      <c r="H33" s="78">
        <v>0.35</v>
      </c>
      <c r="I33" s="34">
        <f t="shared" si="3"/>
        <v>0.15397331444090209</v>
      </c>
      <c r="Q33" s="76"/>
    </row>
    <row r="34" spans="1:38" ht="14.25" customHeight="1" x14ac:dyDescent="0.25">
      <c r="A34" s="32">
        <v>56</v>
      </c>
      <c r="B34" s="32" t="s">
        <v>248</v>
      </c>
      <c r="F34" s="78">
        <v>0.12</v>
      </c>
      <c r="G34" s="34">
        <f t="shared" si="2"/>
        <v>1.818396504900224E-2</v>
      </c>
      <c r="H34" s="78">
        <v>0.28999999999999998</v>
      </c>
      <c r="I34" s="34">
        <f t="shared" si="3"/>
        <v>0.11855000590388474</v>
      </c>
      <c r="Q34" s="76"/>
    </row>
    <row r="35" spans="1:38" ht="14.25" customHeight="1" x14ac:dyDescent="0.25">
      <c r="A35" s="32">
        <v>57</v>
      </c>
      <c r="B35" s="32" t="s">
        <v>249</v>
      </c>
      <c r="F35" s="78">
        <v>0.125</v>
      </c>
      <c r="G35" s="34">
        <f t="shared" si="2"/>
        <v>2.1135907427087024E-2</v>
      </c>
      <c r="H35" s="78">
        <v>0.309</v>
      </c>
      <c r="I35" s="34">
        <f t="shared" si="3"/>
        <v>0.12976738694060691</v>
      </c>
      <c r="Q35" s="76"/>
    </row>
    <row r="36" spans="1:38" ht="14.25" customHeight="1" x14ac:dyDescent="0.25">
      <c r="Q36" s="76"/>
    </row>
    <row r="37" spans="1:38" ht="14.25" customHeight="1" x14ac:dyDescent="0.25">
      <c r="Q37" s="76"/>
    </row>
    <row r="38" spans="1:38" ht="14.25" customHeight="1" x14ac:dyDescent="0.25">
      <c r="Q38" s="76"/>
    </row>
    <row r="39" spans="1:38" ht="14.25" customHeight="1" x14ac:dyDescent="0.25">
      <c r="A39" s="259" t="s">
        <v>282</v>
      </c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1"/>
      <c r="Q39" s="76"/>
      <c r="R39" s="248" t="s">
        <v>317</v>
      </c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50"/>
    </row>
    <row r="40" spans="1:38" ht="14.25" customHeight="1" x14ac:dyDescent="0.25">
      <c r="A40" s="41" t="s">
        <v>207</v>
      </c>
      <c r="B40" s="71" t="s">
        <v>208</v>
      </c>
      <c r="C40" s="71"/>
      <c r="D40" s="41" t="s">
        <v>210</v>
      </c>
      <c r="E40" s="253" t="s">
        <v>400</v>
      </c>
      <c r="F40" s="253"/>
      <c r="G40" s="41"/>
      <c r="Q40" s="76"/>
      <c r="V40" s="253" t="s">
        <v>401</v>
      </c>
      <c r="W40" s="253"/>
    </row>
    <row r="41" spans="1:38" ht="14.25" customHeight="1" thickBot="1" x14ac:dyDescent="0.3">
      <c r="A41" s="41"/>
      <c r="B41" s="41"/>
      <c r="C41" s="41"/>
      <c r="D41" s="41" t="s">
        <v>212</v>
      </c>
      <c r="E41" s="254"/>
      <c r="F41" s="254"/>
      <c r="Q41" s="76"/>
      <c r="R41" s="32" t="s">
        <v>207</v>
      </c>
      <c r="S41" s="32" t="s">
        <v>208</v>
      </c>
      <c r="U41" s="32" t="s">
        <v>210</v>
      </c>
      <c r="V41" s="254"/>
      <c r="W41" s="254"/>
    </row>
    <row r="42" spans="1:38" ht="14.25" customHeight="1" x14ac:dyDescent="0.25">
      <c r="A42" s="41"/>
      <c r="B42" s="41"/>
      <c r="C42" s="41" t="s">
        <v>173</v>
      </c>
      <c r="D42" s="41" t="s">
        <v>145</v>
      </c>
      <c r="E42" s="142" t="s">
        <v>342</v>
      </c>
      <c r="F42" s="146" t="s">
        <v>343</v>
      </c>
      <c r="Q42" s="76"/>
      <c r="T42" s="32" t="s">
        <v>173</v>
      </c>
      <c r="U42" s="32" t="s">
        <v>145</v>
      </c>
      <c r="V42" s="142" t="s">
        <v>342</v>
      </c>
      <c r="W42" s="146" t="s">
        <v>343</v>
      </c>
      <c r="AH42" s="91"/>
    </row>
    <row r="43" spans="1:38" ht="14.25" customHeight="1" x14ac:dyDescent="0.25">
      <c r="A43" s="41">
        <v>25</v>
      </c>
      <c r="B43" s="71" t="s">
        <v>40</v>
      </c>
      <c r="C43" s="41">
        <v>0</v>
      </c>
      <c r="D43" s="41">
        <v>0</v>
      </c>
      <c r="E43" s="137"/>
      <c r="F43" s="147"/>
      <c r="Q43" s="76"/>
      <c r="R43" s="32">
        <v>25</v>
      </c>
      <c r="S43" s="32" t="s">
        <v>40</v>
      </c>
      <c r="T43" s="32">
        <v>0</v>
      </c>
      <c r="U43" s="32">
        <v>0</v>
      </c>
      <c r="V43" s="139"/>
      <c r="W43" s="151"/>
      <c r="AH43" s="91"/>
      <c r="AI43" s="41"/>
      <c r="AJ43" s="41"/>
      <c r="AK43" s="41"/>
      <c r="AL43" s="41"/>
    </row>
    <row r="44" spans="1:38" ht="14.25" customHeight="1" x14ac:dyDescent="0.25">
      <c r="A44" s="41">
        <v>26</v>
      </c>
      <c r="B44" s="71" t="s">
        <v>41</v>
      </c>
      <c r="C44" s="41">
        <v>1</v>
      </c>
      <c r="D44" s="41">
        <v>3.2749999999999999</v>
      </c>
      <c r="E44" s="137"/>
      <c r="F44" s="147"/>
      <c r="Q44" s="76"/>
      <c r="R44" s="32">
        <v>26</v>
      </c>
      <c r="S44" s="32" t="s">
        <v>41</v>
      </c>
      <c r="T44" s="32">
        <v>1</v>
      </c>
      <c r="U44" s="32">
        <v>55465.383000000002</v>
      </c>
      <c r="V44" s="139"/>
      <c r="W44" s="151"/>
      <c r="AH44" s="41"/>
      <c r="AI44" s="41"/>
      <c r="AJ44" s="41"/>
      <c r="AK44" s="41"/>
      <c r="AL44" s="41"/>
    </row>
    <row r="45" spans="1:38" ht="14.25" customHeight="1" x14ac:dyDescent="0.25">
      <c r="A45" s="41">
        <v>27</v>
      </c>
      <c r="B45" s="71" t="s">
        <v>42</v>
      </c>
      <c r="C45" s="41">
        <v>5</v>
      </c>
      <c r="D45" s="41">
        <v>17.463000000000001</v>
      </c>
      <c r="E45" s="137"/>
      <c r="F45" s="147"/>
      <c r="Q45" s="76"/>
      <c r="R45" s="32">
        <v>27</v>
      </c>
      <c r="S45" s="32" t="s">
        <v>42</v>
      </c>
      <c r="T45" s="32">
        <v>5</v>
      </c>
      <c r="U45" s="32">
        <v>172385.038</v>
      </c>
      <c r="V45" s="139"/>
      <c r="W45" s="151"/>
      <c r="AH45" s="41"/>
      <c r="AI45" s="41"/>
      <c r="AJ45" s="41"/>
      <c r="AK45" s="99"/>
      <c r="AL45" s="41"/>
    </row>
    <row r="46" spans="1:38" ht="14.25" customHeight="1" x14ac:dyDescent="0.25">
      <c r="A46" s="83">
        <v>28</v>
      </c>
      <c r="B46" s="84" t="s">
        <v>43</v>
      </c>
      <c r="C46" s="83">
        <v>10</v>
      </c>
      <c r="D46" s="83">
        <v>12.154</v>
      </c>
      <c r="E46" s="138"/>
      <c r="F46" s="148"/>
      <c r="Q46" s="76"/>
      <c r="R46" s="36">
        <v>28</v>
      </c>
      <c r="S46" s="36" t="s">
        <v>43</v>
      </c>
      <c r="T46" s="36">
        <v>10</v>
      </c>
      <c r="U46" s="36">
        <v>135610.59</v>
      </c>
      <c r="V46" s="140"/>
      <c r="W46" s="152"/>
      <c r="AH46" s="41"/>
      <c r="AI46" s="41"/>
      <c r="AJ46" s="41"/>
      <c r="AK46" s="99"/>
      <c r="AL46" s="41"/>
    </row>
    <row r="47" spans="1:38" ht="14.25" customHeight="1" x14ac:dyDescent="0.25">
      <c r="A47" s="41">
        <v>29</v>
      </c>
      <c r="B47" s="71" t="s">
        <v>104</v>
      </c>
      <c r="C47" s="41"/>
      <c r="D47" s="41">
        <v>0</v>
      </c>
      <c r="E47" s="137">
        <v>0</v>
      </c>
      <c r="F47" s="149">
        <f>(D47+0.1036)/3.5081</f>
        <v>2.9531655311992245E-2</v>
      </c>
      <c r="G47" s="41"/>
      <c r="Q47" s="76"/>
      <c r="R47" s="32">
        <v>29</v>
      </c>
      <c r="S47" s="32" t="s">
        <v>104</v>
      </c>
      <c r="U47" s="32">
        <v>3139.4549999999999</v>
      </c>
      <c r="V47" s="137">
        <v>0</v>
      </c>
      <c r="W47" s="147">
        <v>0</v>
      </c>
      <c r="AH47" s="41"/>
      <c r="AI47" s="41"/>
      <c r="AJ47" s="41"/>
      <c r="AK47" s="99"/>
      <c r="AL47" s="41"/>
    </row>
    <row r="48" spans="1:38" ht="14.25" customHeight="1" x14ac:dyDescent="0.25">
      <c r="A48" s="41">
        <v>30</v>
      </c>
      <c r="B48" s="71" t="s">
        <v>232</v>
      </c>
      <c r="C48" s="41"/>
      <c r="D48" s="41">
        <v>6.1609999999999996</v>
      </c>
      <c r="E48" s="141">
        <f>(D48-0.706)/1.0423</f>
        <v>5.2336179602801494</v>
      </c>
      <c r="F48" s="149">
        <f>(D48+0.1036)/3.5081</f>
        <v>1.7857529716940792</v>
      </c>
      <c r="G48" s="41"/>
      <c r="Q48" s="76"/>
      <c r="R48" s="32">
        <v>30</v>
      </c>
      <c r="S48" s="32" t="s">
        <v>232</v>
      </c>
      <c r="U48" s="32">
        <v>104640.356</v>
      </c>
      <c r="V48" s="141">
        <f>(U48-20722)/11719</f>
        <v>7.1608802798873628</v>
      </c>
      <c r="W48" s="149">
        <f>(U48-9994.5)/32978</f>
        <v>2.8699695554612163</v>
      </c>
      <c r="AH48" s="41"/>
      <c r="AI48" s="41"/>
      <c r="AJ48" s="100"/>
      <c r="AK48" s="99"/>
      <c r="AL48" s="100"/>
    </row>
    <row r="49" spans="1:38" ht="14.25" customHeight="1" x14ac:dyDescent="0.25">
      <c r="A49" s="41">
        <v>31</v>
      </c>
      <c r="B49" s="71" t="s">
        <v>233</v>
      </c>
      <c r="C49" s="41"/>
      <c r="D49" s="41">
        <v>6.25</v>
      </c>
      <c r="E49" s="141">
        <f>(D49-0.706)/1.0423</f>
        <v>5.3190060443250511</v>
      </c>
      <c r="F49" s="149">
        <f>(D49+0.1036)/3.5081</f>
        <v>1.8111228300219491</v>
      </c>
      <c r="G49" s="41"/>
      <c r="Q49" s="76"/>
      <c r="R49" s="32">
        <v>31</v>
      </c>
      <c r="S49" s="32" t="s">
        <v>233</v>
      </c>
      <c r="U49" s="32">
        <v>108915.398</v>
      </c>
      <c r="V49" s="141">
        <f>(U49-20722)/11719</f>
        <v>7.5256760815769264</v>
      </c>
      <c r="W49" s="149">
        <f>(U49-9994.5)/32978</f>
        <v>2.9996027048335252</v>
      </c>
      <c r="AH49" s="41"/>
      <c r="AI49" s="41"/>
      <c r="AJ49" s="100"/>
      <c r="AK49" s="99"/>
      <c r="AL49" s="100"/>
    </row>
    <row r="50" spans="1:38" ht="14.25" customHeight="1" x14ac:dyDescent="0.25">
      <c r="A50" s="41">
        <v>32</v>
      </c>
      <c r="B50" s="71" t="s">
        <v>234</v>
      </c>
      <c r="C50" s="41"/>
      <c r="D50" s="41">
        <v>5.774</v>
      </c>
      <c r="E50" s="141">
        <f>(D50-0.706)/1.0423</f>
        <v>4.8623237071860306</v>
      </c>
      <c r="F50" s="149">
        <f>(D50+0.1036)/3.5081</f>
        <v>1.6754368461560387</v>
      </c>
      <c r="G50" s="41"/>
      <c r="Q50" s="76"/>
      <c r="R50" s="32">
        <v>32</v>
      </c>
      <c r="S50" s="32" t="s">
        <v>234</v>
      </c>
      <c r="U50" s="32">
        <v>95340.800000000003</v>
      </c>
      <c r="V50" s="141">
        <f>(U50-20722)/11719</f>
        <v>6.3673350968512672</v>
      </c>
      <c r="W50" s="149">
        <f>(U50-9994.5)/32978</f>
        <v>2.5879768330402086</v>
      </c>
      <c r="AH50" s="41"/>
      <c r="AI50" s="41"/>
      <c r="AJ50" s="100"/>
      <c r="AK50" s="99"/>
      <c r="AL50" s="100"/>
    </row>
    <row r="51" spans="1:38" ht="14.25" customHeight="1" thickBot="1" x14ac:dyDescent="0.3">
      <c r="A51" s="41">
        <v>33</v>
      </c>
      <c r="B51" s="71" t="s">
        <v>235</v>
      </c>
      <c r="C51" s="41"/>
      <c r="D51" s="41">
        <v>5.3659999999999997</v>
      </c>
      <c r="E51" s="141">
        <f>(D51-0.706)/1.0423</f>
        <v>4.4708817039240145</v>
      </c>
      <c r="F51" s="150">
        <f>(D51+0.1036)/3.5081</f>
        <v>1.5591345742709728</v>
      </c>
      <c r="G51" s="41"/>
      <c r="Q51" s="76"/>
      <c r="R51" s="32">
        <v>33</v>
      </c>
      <c r="S51" s="32" t="s">
        <v>235</v>
      </c>
      <c r="U51" s="32">
        <v>94692.349000000002</v>
      </c>
      <c r="V51" s="141">
        <f>(U51-20722)/11719</f>
        <v>6.3120017919617712</v>
      </c>
      <c r="W51" s="150">
        <f>(U51-9994.5)/32978</f>
        <v>2.5683136939778035</v>
      </c>
      <c r="AH51" s="41"/>
      <c r="AI51" s="41"/>
      <c r="AJ51" s="100"/>
      <c r="AK51" s="99"/>
      <c r="AL51" s="100"/>
    </row>
    <row r="52" spans="1:38" ht="14.25" customHeight="1" x14ac:dyDescent="0.25">
      <c r="A52" s="41"/>
      <c r="B52" s="41"/>
      <c r="C52" s="41"/>
      <c r="D52" s="41"/>
      <c r="E52" s="41"/>
      <c r="F52" s="85"/>
      <c r="G52" s="41"/>
      <c r="Q52" s="76"/>
    </row>
    <row r="53" spans="1:38" ht="14.25" customHeight="1" x14ac:dyDescent="0.25">
      <c r="A53" s="32" t="s">
        <v>344</v>
      </c>
      <c r="Q53" s="76"/>
      <c r="R53" s="32" t="s">
        <v>320</v>
      </c>
    </row>
    <row r="54" spans="1:38" ht="14.25" customHeight="1" x14ac:dyDescent="0.25">
      <c r="Q54" s="76"/>
    </row>
    <row r="55" spans="1:38" ht="14.25" customHeight="1" x14ac:dyDescent="0.25">
      <c r="A55" s="259" t="s">
        <v>283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1"/>
      <c r="Q55" s="76"/>
      <c r="R55" s="248" t="s">
        <v>323</v>
      </c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50"/>
    </row>
    <row r="56" spans="1:38" ht="24.75" customHeight="1" x14ac:dyDescent="0.25">
      <c r="A56" s="32" t="s">
        <v>207</v>
      </c>
      <c r="B56" s="32" t="s">
        <v>208</v>
      </c>
      <c r="D56" s="32" t="s">
        <v>209</v>
      </c>
      <c r="E56" s="32" t="s">
        <v>211</v>
      </c>
      <c r="F56" s="263" t="s">
        <v>302</v>
      </c>
      <c r="G56" s="263" t="s">
        <v>305</v>
      </c>
      <c r="Q56" s="76"/>
      <c r="X56" s="132"/>
      <c r="Y56" s="132"/>
      <c r="Z56" s="132"/>
      <c r="AA56" s="132"/>
    </row>
    <row r="57" spans="1:38" ht="24.75" customHeight="1" x14ac:dyDescent="0.25">
      <c r="E57" s="32" t="s">
        <v>212</v>
      </c>
      <c r="F57" s="263"/>
      <c r="G57" s="263"/>
      <c r="Q57" s="76"/>
      <c r="R57" s="274" t="s">
        <v>397</v>
      </c>
      <c r="S57" s="239" t="s">
        <v>207</v>
      </c>
      <c r="T57" s="239" t="s">
        <v>208</v>
      </c>
      <c r="U57" s="239"/>
      <c r="V57" s="32" t="s">
        <v>211</v>
      </c>
      <c r="X57" s="252" t="s">
        <v>330</v>
      </c>
      <c r="Y57" s="252"/>
      <c r="Z57" s="252"/>
      <c r="AA57" s="252"/>
    </row>
    <row r="58" spans="1:38" ht="14.25" customHeight="1" x14ac:dyDescent="0.25">
      <c r="C58" s="32" t="s">
        <v>173</v>
      </c>
      <c r="E58" s="32" t="s">
        <v>214</v>
      </c>
      <c r="F58" s="263"/>
      <c r="G58" s="263"/>
      <c r="Q58" s="76"/>
      <c r="R58" s="274"/>
      <c r="S58" s="239"/>
      <c r="T58" s="239"/>
      <c r="U58" s="239"/>
      <c r="V58" s="32" t="s">
        <v>324</v>
      </c>
      <c r="X58" t="s">
        <v>399</v>
      </c>
      <c r="Y58" s="101"/>
      <c r="AB58" s="101"/>
    </row>
    <row r="59" spans="1:38" ht="14.25" customHeight="1" x14ac:dyDescent="0.25">
      <c r="A59" s="32">
        <v>43</v>
      </c>
      <c r="B59" s="32" t="s">
        <v>44</v>
      </c>
      <c r="C59" s="32">
        <v>0</v>
      </c>
      <c r="D59" s="32" t="s">
        <v>219</v>
      </c>
      <c r="E59" s="78">
        <v>0</v>
      </c>
      <c r="I59" s="78"/>
      <c r="K59" s="78"/>
      <c r="Q59" s="76"/>
      <c r="R59" s="274"/>
      <c r="S59" s="239"/>
      <c r="T59" s="239"/>
      <c r="U59" s="239"/>
      <c r="V59" s="32" t="s">
        <v>214</v>
      </c>
      <c r="X59" s="135" t="s">
        <v>331</v>
      </c>
      <c r="Y59" s="135" t="s">
        <v>332</v>
      </c>
      <c r="Z59" s="136" t="s">
        <v>331</v>
      </c>
      <c r="AA59" s="135" t="s">
        <v>332</v>
      </c>
      <c r="AB59" s="101"/>
    </row>
    <row r="60" spans="1:38" ht="14.25" customHeight="1" x14ac:dyDescent="0.25">
      <c r="A60" s="32">
        <v>44</v>
      </c>
      <c r="B60" s="32" t="s">
        <v>45</v>
      </c>
      <c r="C60" s="32">
        <v>1</v>
      </c>
      <c r="D60" s="32" t="s">
        <v>219</v>
      </c>
      <c r="E60" s="78">
        <v>21.626000000000001</v>
      </c>
      <c r="I60" s="78"/>
      <c r="K60" s="78"/>
      <c r="Q60" s="76"/>
      <c r="R60" s="274"/>
      <c r="S60" s="32" t="s">
        <v>325</v>
      </c>
      <c r="T60" s="32" t="s">
        <v>326</v>
      </c>
      <c r="X60" s="1">
        <v>1</v>
      </c>
      <c r="Y60" s="133">
        <f>159944*EXP(-0.127*X60)</f>
        <v>140868.06652987967</v>
      </c>
      <c r="Z60" s="121">
        <v>14</v>
      </c>
      <c r="AA60" s="133">
        <f>159944*EXP(-0.127*Z60)</f>
        <v>27026.659127682888</v>
      </c>
      <c r="AC60" s="263" t="s">
        <v>397</v>
      </c>
      <c r="AD60" s="239" t="s">
        <v>398</v>
      </c>
      <c r="AE60" s="263" t="s">
        <v>208</v>
      </c>
      <c r="AG60" s="41" t="s">
        <v>210</v>
      </c>
      <c r="AH60" s="263" t="s">
        <v>333</v>
      </c>
    </row>
    <row r="61" spans="1:38" ht="14.25" customHeight="1" x14ac:dyDescent="0.25">
      <c r="A61" s="32">
        <v>45</v>
      </c>
      <c r="B61" s="32" t="s">
        <v>46</v>
      </c>
      <c r="C61" s="32">
        <v>5</v>
      </c>
      <c r="D61" s="32" t="s">
        <v>219</v>
      </c>
      <c r="E61" s="78">
        <v>59.988999999999997</v>
      </c>
      <c r="I61" s="78"/>
      <c r="K61" s="78"/>
      <c r="Q61" s="76"/>
      <c r="R61" s="32">
        <v>5</v>
      </c>
      <c r="S61" s="32">
        <v>20</v>
      </c>
      <c r="T61" s="32" t="s">
        <v>103</v>
      </c>
      <c r="V61" s="32">
        <v>79368.277000000002</v>
      </c>
      <c r="X61" s="1">
        <v>2</v>
      </c>
      <c r="Y61" s="133">
        <f t="shared" ref="Y61:Y72" si="4">159944*EXP(-0.127*X61)</f>
        <v>124067.24958652156</v>
      </c>
      <c r="Z61" s="121">
        <v>15</v>
      </c>
      <c r="AA61" s="133">
        <f>159944*EXP(-0.127*Z61)</f>
        <v>23803.288751555621</v>
      </c>
      <c r="AC61" s="263"/>
      <c r="AD61" s="239"/>
      <c r="AE61" s="263"/>
      <c r="AF61" s="41" t="s">
        <v>173</v>
      </c>
      <c r="AG61" s="41" t="s">
        <v>214</v>
      </c>
      <c r="AH61" s="263"/>
      <c r="AI61" s="32" t="s">
        <v>280</v>
      </c>
    </row>
    <row r="62" spans="1:38" ht="14.25" customHeight="1" x14ac:dyDescent="0.25">
      <c r="A62" s="36">
        <v>46</v>
      </c>
      <c r="B62" s="36" t="s">
        <v>47</v>
      </c>
      <c r="C62" s="87">
        <v>10</v>
      </c>
      <c r="D62" s="87" t="s">
        <v>219</v>
      </c>
      <c r="E62" s="80">
        <v>44.116</v>
      </c>
      <c r="F62" s="36"/>
      <c r="G62" s="36"/>
      <c r="I62" s="78"/>
      <c r="K62" s="78"/>
      <c r="Q62" s="76"/>
      <c r="R62" s="32">
        <v>14</v>
      </c>
      <c r="S62" s="32">
        <v>29</v>
      </c>
      <c r="T62" s="32" t="s">
        <v>104</v>
      </c>
      <c r="V62" s="32">
        <v>26844.707999999999</v>
      </c>
      <c r="X62" s="1">
        <v>3</v>
      </c>
      <c r="Y62" s="133">
        <f t="shared" si="4"/>
        <v>109270.20437736523</v>
      </c>
      <c r="Z62" s="134">
        <v>16</v>
      </c>
      <c r="AA62" s="133">
        <f>159944*EXP(-0.127*Z62)</f>
        <v>20964.357922048177</v>
      </c>
      <c r="AC62" s="263"/>
      <c r="AD62" s="41">
        <v>43</v>
      </c>
      <c r="AE62" s="32" t="s">
        <v>44</v>
      </c>
      <c r="AF62" s="41">
        <v>0</v>
      </c>
      <c r="AG62" s="35">
        <v>2017.557</v>
      </c>
      <c r="AI62" s="34">
        <f>(AG62-82517)/74572</f>
        <v>-1.0794861744354449</v>
      </c>
    </row>
    <row r="63" spans="1:38" ht="14.25" customHeight="1" x14ac:dyDescent="0.25">
      <c r="A63" s="32">
        <v>58</v>
      </c>
      <c r="B63" s="32" t="s">
        <v>108</v>
      </c>
      <c r="D63" s="32" t="s">
        <v>219</v>
      </c>
      <c r="E63" s="78">
        <v>0.76100000000000001</v>
      </c>
      <c r="F63" s="88">
        <f t="shared" ref="F63:F73" si="5">(E63-4.5849)/11.31</f>
        <v>-0.33809902740937225</v>
      </c>
      <c r="G63" s="153">
        <f t="shared" ref="G63:G73" si="6">E63*$C$60/$E$60</f>
        <v>3.5189124202349022E-2</v>
      </c>
      <c r="I63" s="78"/>
      <c r="J63" s="34"/>
      <c r="K63" s="78"/>
      <c r="L63" s="34"/>
      <c r="Q63" s="76"/>
      <c r="R63" s="32">
        <v>23</v>
      </c>
      <c r="S63" s="32">
        <v>38</v>
      </c>
      <c r="T63" s="32" t="s">
        <v>109</v>
      </c>
      <c r="V63" s="32">
        <v>8926.2350000000006</v>
      </c>
      <c r="X63" s="1">
        <v>4</v>
      </c>
      <c r="Y63" s="133">
        <f t="shared" si="4"/>
        <v>96237.948406718817</v>
      </c>
      <c r="Z63" s="121">
        <v>17</v>
      </c>
      <c r="AA63" s="133">
        <f t="shared" ref="AA63:AA71" si="7">159944*EXP(-0.127*Z63)</f>
        <v>18464.015946326796</v>
      </c>
      <c r="AC63" s="263"/>
      <c r="AD63" s="41">
        <v>44</v>
      </c>
      <c r="AE63" s="32" t="s">
        <v>45</v>
      </c>
      <c r="AF63" s="30">
        <v>1</v>
      </c>
      <c r="AG63" s="35">
        <v>257713.69</v>
      </c>
      <c r="AI63" s="126">
        <f>(AG63-82517)/74572</f>
        <v>2.3493628976023171</v>
      </c>
    </row>
    <row r="64" spans="1:38" ht="14.25" customHeight="1" x14ac:dyDescent="0.25">
      <c r="A64" s="32">
        <v>59</v>
      </c>
      <c r="B64" s="102" t="s">
        <v>250</v>
      </c>
      <c r="C64" s="102"/>
      <c r="D64" s="102" t="s">
        <v>219</v>
      </c>
      <c r="E64" s="105">
        <v>4.9790000000000001</v>
      </c>
      <c r="F64" s="104">
        <f t="shared" si="5"/>
        <v>3.4845269672855866E-2</v>
      </c>
      <c r="G64" s="154">
        <f t="shared" si="6"/>
        <v>0.23023212799408119</v>
      </c>
      <c r="I64" s="78"/>
      <c r="J64" s="34"/>
      <c r="K64" s="78"/>
      <c r="L64" s="34"/>
      <c r="Q64" s="76"/>
      <c r="S64" s="32" t="s">
        <v>327</v>
      </c>
      <c r="T64" s="32" t="s">
        <v>326</v>
      </c>
      <c r="X64" s="1">
        <v>5</v>
      </c>
      <c r="Y64" s="133">
        <f t="shared" si="4"/>
        <v>84760.001743465182</v>
      </c>
      <c r="Z64" s="121">
        <v>18</v>
      </c>
      <c r="AA64" s="133">
        <f t="shared" si="7"/>
        <v>16261.880575300866</v>
      </c>
      <c r="AC64" s="263"/>
      <c r="AD64" s="41">
        <v>45</v>
      </c>
      <c r="AE64" s="32" t="s">
        <v>46</v>
      </c>
      <c r="AF64" s="41">
        <v>5</v>
      </c>
      <c r="AG64" s="35">
        <v>435252.7</v>
      </c>
      <c r="AI64" s="34">
        <f>(AG64-82517)/74572</f>
        <v>4.7301359759695334</v>
      </c>
    </row>
    <row r="65" spans="1:44" ht="14.25" customHeight="1" x14ac:dyDescent="0.25">
      <c r="A65" s="32">
        <v>60</v>
      </c>
      <c r="B65" s="102" t="s">
        <v>251</v>
      </c>
      <c r="C65" s="102"/>
      <c r="D65" s="102" t="s">
        <v>219</v>
      </c>
      <c r="E65" s="105">
        <v>5.2450000000000001</v>
      </c>
      <c r="F65" s="104">
        <f t="shared" si="5"/>
        <v>5.8364279398762146E-2</v>
      </c>
      <c r="G65" s="154">
        <f t="shared" si="6"/>
        <v>0.24253213724220846</v>
      </c>
      <c r="I65" s="78"/>
      <c r="J65" s="34"/>
      <c r="K65" s="78"/>
      <c r="L65" s="34"/>
      <c r="Q65" s="76"/>
      <c r="R65" s="32">
        <v>1</v>
      </c>
      <c r="S65" s="32">
        <v>47</v>
      </c>
      <c r="T65" s="32" t="s">
        <v>105</v>
      </c>
      <c r="V65" s="32">
        <v>151436.93400000001</v>
      </c>
      <c r="X65" s="1">
        <v>6</v>
      </c>
      <c r="Y65" s="133">
        <f t="shared" si="4"/>
        <v>74650.987624863512</v>
      </c>
      <c r="Z65" s="134">
        <v>19</v>
      </c>
      <c r="AA65" s="133">
        <f t="shared" si="7"/>
        <v>14322.385802421097</v>
      </c>
      <c r="AC65" s="263"/>
      <c r="AD65" s="83">
        <v>46</v>
      </c>
      <c r="AE65" s="36" t="s">
        <v>47</v>
      </c>
      <c r="AF65" s="123">
        <v>10</v>
      </c>
      <c r="AG65" s="125">
        <v>403066.21899999998</v>
      </c>
      <c r="AH65" s="36"/>
      <c r="AI65" s="127">
        <f>(AG65-82517)/74572</f>
        <v>4.2985198063616368</v>
      </c>
    </row>
    <row r="66" spans="1:44" ht="14.25" customHeight="1" x14ac:dyDescent="0.25">
      <c r="A66" s="32">
        <v>61</v>
      </c>
      <c r="B66" s="32" t="s">
        <v>252</v>
      </c>
      <c r="D66" s="32" t="s">
        <v>219</v>
      </c>
      <c r="E66" s="78">
        <v>3.0760000000000001</v>
      </c>
      <c r="F66" s="88">
        <f t="shared" si="5"/>
        <v>-0.13341290893015031</v>
      </c>
      <c r="G66" s="155">
        <f t="shared" si="6"/>
        <v>0.14223619717007305</v>
      </c>
      <c r="I66" s="78"/>
      <c r="J66" s="34"/>
      <c r="K66" s="78"/>
      <c r="L66" s="34"/>
      <c r="Q66" s="76"/>
      <c r="R66" s="32">
        <v>12</v>
      </c>
      <c r="S66" s="32">
        <v>58</v>
      </c>
      <c r="T66" s="32" t="s">
        <v>108</v>
      </c>
      <c r="V66" s="32">
        <v>33939.599999999999</v>
      </c>
      <c r="X66" s="1">
        <v>7</v>
      </c>
      <c r="Y66" s="133">
        <f t="shared" si="4"/>
        <v>65747.638493850958</v>
      </c>
      <c r="Z66" s="121">
        <v>20</v>
      </c>
      <c r="AA66" s="133">
        <f t="shared" si="7"/>
        <v>12614.207448119714</v>
      </c>
      <c r="AC66" s="1">
        <v>12</v>
      </c>
      <c r="AD66" s="99">
        <v>58</v>
      </c>
      <c r="AE66" s="32" t="s">
        <v>108</v>
      </c>
      <c r="AG66" s="35">
        <v>33939.599999999999</v>
      </c>
      <c r="AH66" s="32">
        <v>0</v>
      </c>
      <c r="AI66" s="34">
        <f>(AG66-82517)/74572</f>
        <v>-0.65141608110282678</v>
      </c>
    </row>
    <row r="67" spans="1:44" ht="14.25" customHeight="1" x14ac:dyDescent="0.25">
      <c r="A67" s="32">
        <v>62</v>
      </c>
      <c r="B67" s="32" t="s">
        <v>253</v>
      </c>
      <c r="D67" s="32" t="s">
        <v>219</v>
      </c>
      <c r="E67" s="78">
        <v>3.63</v>
      </c>
      <c r="F67" s="88">
        <f t="shared" si="5"/>
        <v>-8.4429708222811692E-2</v>
      </c>
      <c r="G67" s="155">
        <f t="shared" si="6"/>
        <v>0.16785350966429297</v>
      </c>
      <c r="I67" s="78"/>
      <c r="J67" s="34"/>
      <c r="K67" s="78"/>
      <c r="L67" s="34"/>
      <c r="Q67" s="76"/>
      <c r="R67" s="89">
        <v>22</v>
      </c>
      <c r="S67" s="89">
        <v>69</v>
      </c>
      <c r="T67" s="89" t="s">
        <v>106</v>
      </c>
      <c r="U67" s="89"/>
      <c r="V67" s="89">
        <v>0</v>
      </c>
      <c r="X67" s="1">
        <v>8</v>
      </c>
      <c r="Y67" s="133">
        <f t="shared" si="4"/>
        <v>57906.159115279559</v>
      </c>
      <c r="Z67" s="121">
        <v>21</v>
      </c>
      <c r="AA67" s="133">
        <f t="shared" si="7"/>
        <v>11109.757252684887</v>
      </c>
      <c r="AC67" s="128">
        <v>13</v>
      </c>
      <c r="AD67" s="130">
        <v>59</v>
      </c>
      <c r="AE67" s="102" t="s">
        <v>250</v>
      </c>
      <c r="AF67" s="102"/>
      <c r="AG67" s="103">
        <v>148610.43299999999</v>
      </c>
      <c r="AH67" s="103">
        <f>AG67-Y72</f>
        <v>117923.9042926495</v>
      </c>
      <c r="AI67" s="104">
        <f t="shared" ref="AI67:AI76" si="8">(AH67-82517)/74572</f>
        <v>0.47480159165168567</v>
      </c>
    </row>
    <row r="68" spans="1:44" ht="14.25" customHeight="1" x14ac:dyDescent="0.25">
      <c r="A68" s="32">
        <v>63</v>
      </c>
      <c r="B68" s="32" t="s">
        <v>254</v>
      </c>
      <c r="D68" s="32" t="s">
        <v>219</v>
      </c>
      <c r="E68" s="78">
        <v>2.99</v>
      </c>
      <c r="F68" s="88">
        <f t="shared" si="5"/>
        <v>-0.14101679929266137</v>
      </c>
      <c r="G68" s="155">
        <f t="shared" si="6"/>
        <v>0.13825950245075372</v>
      </c>
      <c r="I68" s="78"/>
      <c r="J68" s="34"/>
      <c r="K68" s="78"/>
      <c r="L68" s="34"/>
      <c r="Q68" s="76"/>
      <c r="S68" s="32">
        <v>84</v>
      </c>
      <c r="T68" s="32" t="s">
        <v>107</v>
      </c>
      <c r="V68" s="32">
        <v>0</v>
      </c>
      <c r="X68" s="1">
        <v>9</v>
      </c>
      <c r="Y68" s="133">
        <f t="shared" si="4"/>
        <v>50999.904183595499</v>
      </c>
      <c r="Z68" s="134">
        <v>22</v>
      </c>
      <c r="AA68" s="133">
        <f t="shared" si="7"/>
        <v>9784.7373068200595</v>
      </c>
      <c r="AC68" s="128">
        <v>14</v>
      </c>
      <c r="AD68" s="130">
        <v>60</v>
      </c>
      <c r="AE68" s="102" t="s">
        <v>251</v>
      </c>
      <c r="AF68" s="102"/>
      <c r="AG68" s="103">
        <v>148373.149</v>
      </c>
      <c r="AH68" s="103">
        <f t="shared" ref="AH68:AH76" si="9">AG68-AA60</f>
        <v>121346.48987231712</v>
      </c>
      <c r="AI68" s="104">
        <f t="shared" si="8"/>
        <v>0.52069798144500778</v>
      </c>
    </row>
    <row r="69" spans="1:44" ht="14.25" customHeight="1" x14ac:dyDescent="0.25">
      <c r="A69" s="32">
        <v>64</v>
      </c>
      <c r="B69" s="32" t="s">
        <v>255</v>
      </c>
      <c r="D69" s="32" t="s">
        <v>219</v>
      </c>
      <c r="E69" s="78">
        <v>2.7629999999999999</v>
      </c>
      <c r="F69" s="88">
        <f t="shared" si="5"/>
        <v>-0.16108753315649868</v>
      </c>
      <c r="G69" s="155">
        <f t="shared" si="6"/>
        <v>0.12776287801720151</v>
      </c>
      <c r="I69" s="78"/>
      <c r="J69" s="34"/>
      <c r="K69" s="78"/>
      <c r="L69" s="34"/>
      <c r="Q69" s="76"/>
      <c r="X69" s="1">
        <v>10</v>
      </c>
      <c r="Y69" s="133">
        <f t="shared" si="4"/>
        <v>44917.332913721177</v>
      </c>
      <c r="Z69" s="121">
        <v>23</v>
      </c>
      <c r="AA69" s="133">
        <f t="shared" si="7"/>
        <v>8617.7476236340444</v>
      </c>
      <c r="AC69" s="1">
        <v>15</v>
      </c>
      <c r="AD69" s="99">
        <v>61</v>
      </c>
      <c r="AE69" s="32" t="s">
        <v>252</v>
      </c>
      <c r="AG69" s="35">
        <v>102371.758</v>
      </c>
      <c r="AH69" s="35">
        <f t="shared" si="9"/>
        <v>78568.46924844438</v>
      </c>
      <c r="AI69" s="34">
        <f t="shared" si="8"/>
        <v>-5.294924035235235E-2</v>
      </c>
    </row>
    <row r="70" spans="1:44" ht="14.25" customHeight="1" x14ac:dyDescent="0.25">
      <c r="A70" s="32">
        <v>65</v>
      </c>
      <c r="B70" s="32" t="s">
        <v>256</v>
      </c>
      <c r="D70" s="32" t="s">
        <v>219</v>
      </c>
      <c r="E70" s="78">
        <v>3.1549999999999998</v>
      </c>
      <c r="F70" s="88">
        <f t="shared" si="5"/>
        <v>-0.12642793987621576</v>
      </c>
      <c r="G70" s="155">
        <f t="shared" si="6"/>
        <v>0.1458892074354943</v>
      </c>
      <c r="I70" s="78"/>
      <c r="J70" s="34"/>
      <c r="K70" s="78"/>
      <c r="L70" s="34"/>
      <c r="Q70" s="76"/>
      <c r="X70" s="1">
        <v>11</v>
      </c>
      <c r="Y70" s="133">
        <f t="shared" si="4"/>
        <v>39560.207580370799</v>
      </c>
      <c r="Z70" s="121">
        <v>24</v>
      </c>
      <c r="AA70" s="133">
        <f t="shared" si="7"/>
        <v>7589.9405140786348</v>
      </c>
      <c r="AC70" s="1">
        <v>16</v>
      </c>
      <c r="AD70" s="99">
        <v>62</v>
      </c>
      <c r="AE70" s="32" t="s">
        <v>253</v>
      </c>
      <c r="AG70" s="35">
        <v>112576.773</v>
      </c>
      <c r="AH70" s="35">
        <f t="shared" si="9"/>
        <v>91612.415077951824</v>
      </c>
      <c r="AI70" s="34">
        <f t="shared" si="8"/>
        <v>0.12196823308952186</v>
      </c>
    </row>
    <row r="71" spans="1:44" ht="14.25" customHeight="1" x14ac:dyDescent="0.25">
      <c r="A71" s="32">
        <v>66</v>
      </c>
      <c r="B71" s="32" t="s">
        <v>257</v>
      </c>
      <c r="D71" s="32" t="s">
        <v>219</v>
      </c>
      <c r="E71" s="78">
        <v>2.7709999999999999</v>
      </c>
      <c r="F71" s="88">
        <f t="shared" si="5"/>
        <v>-0.16038019451812557</v>
      </c>
      <c r="G71" s="155">
        <f t="shared" si="6"/>
        <v>0.12813280310737074</v>
      </c>
      <c r="I71" s="78"/>
      <c r="J71" s="34"/>
      <c r="K71" s="78"/>
      <c r="L71" s="34"/>
      <c r="Q71" s="76"/>
      <c r="X71" s="1">
        <v>12</v>
      </c>
      <c r="Y71" s="133">
        <f t="shared" si="4"/>
        <v>34842.006910965865</v>
      </c>
      <c r="Z71" s="134">
        <v>25</v>
      </c>
      <c r="AA71" s="133">
        <f t="shared" si="7"/>
        <v>6684.7161837584308</v>
      </c>
      <c r="AC71" s="1">
        <v>17</v>
      </c>
      <c r="AD71" s="99">
        <v>63</v>
      </c>
      <c r="AE71" s="32" t="s">
        <v>254</v>
      </c>
      <c r="AG71" s="35">
        <v>106381.933</v>
      </c>
      <c r="AH71" s="35">
        <f t="shared" si="9"/>
        <v>87917.917053673213</v>
      </c>
      <c r="AI71" s="34">
        <f t="shared" si="8"/>
        <v>7.2425535773121455E-2</v>
      </c>
    </row>
    <row r="72" spans="1:44" ht="14.25" customHeight="1" x14ac:dyDescent="0.25">
      <c r="A72" s="32">
        <v>67</v>
      </c>
      <c r="B72" s="102" t="s">
        <v>258</v>
      </c>
      <c r="C72" s="102"/>
      <c r="D72" s="102" t="s">
        <v>219</v>
      </c>
      <c r="E72" s="105">
        <v>8.5449999999999999</v>
      </c>
      <c r="F72" s="104">
        <f t="shared" si="5"/>
        <v>0.35014146772767457</v>
      </c>
      <c r="G72" s="154">
        <f t="shared" si="6"/>
        <v>0.3951262369370202</v>
      </c>
      <c r="I72" s="78"/>
      <c r="J72" s="34"/>
      <c r="K72" s="78"/>
      <c r="L72" s="34"/>
      <c r="Q72" s="76"/>
      <c r="X72" s="1">
        <v>13</v>
      </c>
      <c r="Y72" s="133">
        <f t="shared" si="4"/>
        <v>30686.528707350491</v>
      </c>
      <c r="Z72" s="121"/>
      <c r="AA72" s="41"/>
      <c r="AC72" s="1">
        <v>18</v>
      </c>
      <c r="AD72" s="99">
        <v>64</v>
      </c>
      <c r="AE72" s="32" t="s">
        <v>255</v>
      </c>
      <c r="AG72" s="35">
        <v>97132.627999999997</v>
      </c>
      <c r="AH72" s="35">
        <f t="shared" si="9"/>
        <v>80870.747424699133</v>
      </c>
      <c r="AI72" s="34">
        <f t="shared" si="8"/>
        <v>-2.207601479510898E-2</v>
      </c>
    </row>
    <row r="73" spans="1:44" ht="14.25" customHeight="1" x14ac:dyDescent="0.25">
      <c r="A73" s="32">
        <v>68</v>
      </c>
      <c r="B73" s="102" t="s">
        <v>259</v>
      </c>
      <c r="C73" s="102"/>
      <c r="D73" s="102" t="s">
        <v>219</v>
      </c>
      <c r="E73" s="105">
        <v>9.1050000000000004</v>
      </c>
      <c r="F73" s="104">
        <f t="shared" si="5"/>
        <v>0.39965517241379311</v>
      </c>
      <c r="G73" s="154">
        <f t="shared" si="6"/>
        <v>0.4210209932488671</v>
      </c>
      <c r="I73" s="78"/>
      <c r="J73" s="34"/>
      <c r="K73" s="78"/>
      <c r="L73" s="34"/>
      <c r="Q73" s="76"/>
      <c r="X73" s="1"/>
      <c r="Y73" s="133"/>
      <c r="Z73" s="41"/>
      <c r="AA73" s="41"/>
      <c r="AC73" s="1">
        <v>19</v>
      </c>
      <c r="AD73" s="99">
        <v>65</v>
      </c>
      <c r="AE73" s="32" t="s">
        <v>256</v>
      </c>
      <c r="AG73" s="35">
        <v>106688.26</v>
      </c>
      <c r="AH73" s="35">
        <f t="shared" si="9"/>
        <v>92365.874197578902</v>
      </c>
      <c r="AI73" s="34">
        <f t="shared" si="8"/>
        <v>0.13207201359195009</v>
      </c>
    </row>
    <row r="74" spans="1:44" ht="14.25" customHeight="1" x14ac:dyDescent="0.25">
      <c r="I74" s="78"/>
      <c r="J74" s="34"/>
      <c r="K74" s="78"/>
      <c r="L74" s="34"/>
      <c r="Q74" s="76"/>
      <c r="X74" s="1"/>
      <c r="Y74" s="133"/>
      <c r="Z74" s="41"/>
      <c r="AA74" s="41"/>
      <c r="AC74" s="1">
        <v>20</v>
      </c>
      <c r="AD74" s="41">
        <v>66</v>
      </c>
      <c r="AE74" s="32" t="s">
        <v>257</v>
      </c>
      <c r="AG74" s="35">
        <v>95128.842999999993</v>
      </c>
      <c r="AH74" s="35">
        <f t="shared" si="9"/>
        <v>82514.635551880274</v>
      </c>
      <c r="AI74" s="34">
        <f t="shared" si="8"/>
        <v>-3.1706915728774185E-5</v>
      </c>
    </row>
    <row r="75" spans="1:44" ht="14.25" customHeight="1" x14ac:dyDescent="0.25">
      <c r="I75" s="78"/>
      <c r="J75" s="34"/>
      <c r="K75" s="78"/>
      <c r="L75" s="34"/>
      <c r="Q75" s="76"/>
      <c r="AC75" s="128">
        <v>21</v>
      </c>
      <c r="AD75" s="129">
        <v>67</v>
      </c>
      <c r="AE75" s="102" t="s">
        <v>258</v>
      </c>
      <c r="AF75" s="102"/>
      <c r="AG75" s="103">
        <v>216387.89199999999</v>
      </c>
      <c r="AH75" s="103">
        <f t="shared" si="9"/>
        <v>205278.13474731511</v>
      </c>
      <c r="AI75" s="104">
        <f t="shared" si="8"/>
        <v>1.646209498837568</v>
      </c>
    </row>
    <row r="76" spans="1:44" ht="14.25" customHeight="1" x14ac:dyDescent="0.25">
      <c r="I76" s="78"/>
      <c r="J76" s="34"/>
      <c r="K76" s="78"/>
      <c r="Q76" s="76"/>
      <c r="AC76" s="128">
        <v>22</v>
      </c>
      <c r="AD76" s="129">
        <v>68</v>
      </c>
      <c r="AE76" s="102" t="s">
        <v>259</v>
      </c>
      <c r="AF76" s="102"/>
      <c r="AG76" s="103">
        <v>248334.50700000001</v>
      </c>
      <c r="AH76" s="103">
        <f t="shared" si="9"/>
        <v>238549.76969317996</v>
      </c>
      <c r="AI76" s="104">
        <f t="shared" si="8"/>
        <v>2.0923774297749822</v>
      </c>
    </row>
    <row r="77" spans="1:44" ht="14.25" customHeight="1" x14ac:dyDescent="0.25">
      <c r="I77" s="78"/>
      <c r="J77" s="34"/>
      <c r="K77" s="78"/>
      <c r="Q77" s="76"/>
    </row>
    <row r="78" spans="1:44" ht="14.25" customHeight="1" x14ac:dyDescent="0.25">
      <c r="I78" s="78"/>
      <c r="J78" s="34"/>
      <c r="K78" s="78"/>
      <c r="Q78" s="76"/>
    </row>
    <row r="79" spans="1:44" ht="14.25" customHeight="1" x14ac:dyDescent="0.25">
      <c r="A79" s="258" t="s">
        <v>407</v>
      </c>
      <c r="B79" s="258"/>
      <c r="C79" s="258"/>
      <c r="D79" s="258"/>
      <c r="E79" s="258"/>
      <c r="F79" s="258"/>
      <c r="G79" s="258"/>
      <c r="H79" s="258"/>
      <c r="I79" s="258"/>
      <c r="J79" s="258"/>
      <c r="K79" s="106"/>
      <c r="L79" s="106"/>
      <c r="Q79" s="76"/>
      <c r="AJ79" s="271" t="s">
        <v>335</v>
      </c>
      <c r="AK79" s="271"/>
      <c r="AL79" s="271"/>
      <c r="AM79" s="271"/>
      <c r="AN79" s="271"/>
      <c r="AO79" s="271"/>
      <c r="AP79" s="271"/>
      <c r="AQ79" s="271"/>
      <c r="AR79" s="271"/>
    </row>
    <row r="80" spans="1:44" ht="14.25" customHeight="1" x14ac:dyDescent="0.25">
      <c r="A80" s="131" t="s">
        <v>207</v>
      </c>
      <c r="B80" s="131" t="s">
        <v>208</v>
      </c>
      <c r="C80" s="131"/>
      <c r="D80" s="131"/>
      <c r="E80" s="131" t="s">
        <v>211</v>
      </c>
      <c r="F80" s="131"/>
      <c r="G80" s="156" t="s">
        <v>210</v>
      </c>
      <c r="H80" s="156"/>
      <c r="I80" s="156" t="s">
        <v>210</v>
      </c>
      <c r="J80" s="156"/>
      <c r="K80" s="41"/>
      <c r="Q80" s="76"/>
      <c r="AJ80" s="271"/>
      <c r="AK80" s="271"/>
      <c r="AL80" s="271"/>
      <c r="AM80" s="271"/>
      <c r="AN80" s="271"/>
      <c r="AO80" s="271"/>
      <c r="AP80" s="271"/>
      <c r="AQ80" s="271"/>
      <c r="AR80" s="271"/>
    </row>
    <row r="81" spans="1:44" ht="14.25" customHeight="1" x14ac:dyDescent="0.25">
      <c r="A81" s="131"/>
      <c r="B81" s="131"/>
      <c r="C81" s="131"/>
      <c r="D81" s="131"/>
      <c r="E81" s="131" t="s">
        <v>212</v>
      </c>
      <c r="F81" s="131"/>
      <c r="G81" s="156" t="s">
        <v>212</v>
      </c>
      <c r="H81" s="156"/>
      <c r="I81" s="156" t="s">
        <v>212</v>
      </c>
      <c r="J81" s="156"/>
      <c r="K81" s="41"/>
      <c r="Q81" s="76"/>
      <c r="AJ81" s="271"/>
      <c r="AK81" s="271"/>
      <c r="AL81" s="271"/>
      <c r="AM81" s="271"/>
      <c r="AN81" s="271"/>
      <c r="AO81" s="271"/>
      <c r="AP81" s="271"/>
      <c r="AQ81" s="271"/>
      <c r="AR81" s="271"/>
    </row>
    <row r="82" spans="1:44" ht="14.25" customHeight="1" x14ac:dyDescent="0.25">
      <c r="A82" s="131"/>
      <c r="B82" s="131"/>
      <c r="C82" s="131"/>
      <c r="D82" s="131"/>
      <c r="E82" s="131" t="s">
        <v>214</v>
      </c>
      <c r="F82" s="131" t="s">
        <v>280</v>
      </c>
      <c r="G82" s="156" t="s">
        <v>216</v>
      </c>
      <c r="H82" s="157" t="s">
        <v>280</v>
      </c>
      <c r="I82" s="156" t="s">
        <v>217</v>
      </c>
      <c r="J82" s="157" t="s">
        <v>280</v>
      </c>
      <c r="K82" s="41"/>
      <c r="Q82" s="76"/>
    </row>
    <row r="83" spans="1:44" ht="14.25" customHeight="1" x14ac:dyDescent="0.25">
      <c r="A83" s="131">
        <v>13</v>
      </c>
      <c r="B83" s="131" t="s">
        <v>225</v>
      </c>
      <c r="C83" s="131">
        <v>1</v>
      </c>
      <c r="D83" s="131"/>
      <c r="E83" s="156">
        <v>21.792999999999999</v>
      </c>
      <c r="F83" s="131"/>
      <c r="G83" s="156"/>
      <c r="H83" s="156"/>
      <c r="I83" s="156"/>
      <c r="J83" s="156"/>
      <c r="K83" s="41"/>
      <c r="Q83" s="76"/>
    </row>
    <row r="84" spans="1:44" ht="14.25" customHeight="1" x14ac:dyDescent="0.25">
      <c r="A84" s="131">
        <v>14</v>
      </c>
      <c r="B84" s="131" t="s">
        <v>226</v>
      </c>
      <c r="C84" s="131">
        <v>5</v>
      </c>
      <c r="D84" s="131"/>
      <c r="E84" s="156">
        <v>65.222999999999999</v>
      </c>
      <c r="F84" s="131"/>
      <c r="G84" s="156"/>
      <c r="H84" s="156"/>
      <c r="I84" s="156"/>
      <c r="J84" s="156"/>
      <c r="K84" s="41"/>
      <c r="Q84" s="76"/>
    </row>
    <row r="85" spans="1:44" ht="14.25" customHeight="1" x14ac:dyDescent="0.25">
      <c r="A85" s="131">
        <v>15</v>
      </c>
      <c r="B85" s="131" t="s">
        <v>227</v>
      </c>
      <c r="C85" s="131">
        <v>10</v>
      </c>
      <c r="D85" s="131"/>
      <c r="E85" s="156">
        <v>92.091999999999999</v>
      </c>
      <c r="F85" s="131"/>
      <c r="G85" s="156"/>
      <c r="H85" s="156"/>
      <c r="I85" s="156"/>
      <c r="J85" s="156"/>
      <c r="K85" s="41"/>
      <c r="Q85" s="76"/>
    </row>
    <row r="86" spans="1:44" ht="14.25" customHeight="1" x14ac:dyDescent="0.25">
      <c r="A86" s="158"/>
      <c r="B86" s="158"/>
      <c r="C86" s="158">
        <v>0</v>
      </c>
      <c r="D86" s="158"/>
      <c r="E86" s="158">
        <v>0</v>
      </c>
      <c r="F86" s="158"/>
      <c r="G86" s="159"/>
      <c r="H86" s="159"/>
      <c r="I86" s="159"/>
      <c r="J86" s="159"/>
      <c r="K86" s="41"/>
      <c r="Q86" s="76"/>
    </row>
    <row r="87" spans="1:44" ht="14.25" customHeight="1" x14ac:dyDescent="0.25">
      <c r="A87" s="131">
        <v>9</v>
      </c>
      <c r="B87" s="131" t="s">
        <v>221</v>
      </c>
      <c r="C87" s="131"/>
      <c r="D87" s="131"/>
      <c r="E87" s="156" t="s">
        <v>146</v>
      </c>
      <c r="F87" s="131"/>
      <c r="G87" s="156" t="s">
        <v>146</v>
      </c>
      <c r="H87" s="156"/>
      <c r="I87" s="156" t="s">
        <v>146</v>
      </c>
      <c r="J87" s="156"/>
      <c r="K87" s="41"/>
      <c r="Q87" s="76"/>
    </row>
    <row r="88" spans="1:44" ht="14.25" customHeight="1" x14ac:dyDescent="0.25">
      <c r="A88" s="131">
        <v>10</v>
      </c>
      <c r="B88" s="131" t="s">
        <v>222</v>
      </c>
      <c r="C88" s="131"/>
      <c r="D88" s="131"/>
      <c r="E88" s="156" t="s">
        <v>146</v>
      </c>
      <c r="F88" s="131"/>
      <c r="G88" s="156">
        <v>7.4589999999999996</v>
      </c>
      <c r="H88" s="156"/>
      <c r="I88" s="156" t="s">
        <v>146</v>
      </c>
      <c r="J88" s="156"/>
      <c r="K88" s="41"/>
      <c r="Q88" s="76"/>
    </row>
    <row r="89" spans="1:44" ht="14.25" customHeight="1" x14ac:dyDescent="0.25">
      <c r="A89" s="131">
        <v>11</v>
      </c>
      <c r="B89" s="131" t="s">
        <v>223</v>
      </c>
      <c r="C89" s="131"/>
      <c r="D89" s="131"/>
      <c r="E89" s="156" t="s">
        <v>146</v>
      </c>
      <c r="F89" s="131"/>
      <c r="G89" s="156">
        <v>1.88</v>
      </c>
      <c r="H89" s="156"/>
      <c r="I89" s="156">
        <v>0.57399999999999995</v>
      </c>
      <c r="J89" s="156"/>
      <c r="K89" s="41"/>
      <c r="Q89" s="76"/>
    </row>
    <row r="90" spans="1:44" ht="14.25" customHeight="1" x14ac:dyDescent="0.25">
      <c r="A90" s="131">
        <v>12</v>
      </c>
      <c r="B90" s="131" t="s">
        <v>224</v>
      </c>
      <c r="C90" s="131"/>
      <c r="D90" s="131"/>
      <c r="E90" s="156" t="s">
        <v>146</v>
      </c>
      <c r="F90" s="131"/>
      <c r="G90" s="156">
        <v>1.1439999999999999</v>
      </c>
      <c r="H90" s="156"/>
      <c r="I90" s="156">
        <v>1.1200000000000001</v>
      </c>
      <c r="J90" s="156"/>
      <c r="K90" s="41"/>
      <c r="Q90" s="76"/>
    </row>
    <row r="91" spans="1:44" ht="14.25" customHeight="1" x14ac:dyDescent="0.25">
      <c r="G91" s="41"/>
      <c r="H91" s="41"/>
      <c r="I91" s="41"/>
      <c r="J91" s="41"/>
      <c r="K91" s="41"/>
      <c r="Q91" s="76"/>
    </row>
    <row r="92" spans="1:44" ht="14.25" customHeight="1" x14ac:dyDescent="0.25">
      <c r="Q92" s="76"/>
    </row>
    <row r="93" spans="1:44" ht="14.25" customHeight="1" x14ac:dyDescent="0.25">
      <c r="Q93" s="76"/>
    </row>
    <row r="94" spans="1:44" ht="14.25" customHeight="1" x14ac:dyDescent="0.25">
      <c r="Q94" s="76"/>
    </row>
    <row r="95" spans="1:44" ht="14.25" customHeight="1" x14ac:dyDescent="0.25">
      <c r="A95" s="259" t="s">
        <v>284</v>
      </c>
      <c r="B95" s="260"/>
      <c r="C95" s="260"/>
      <c r="D95" s="260"/>
      <c r="E95" s="260"/>
      <c r="F95" s="260"/>
      <c r="G95" s="260"/>
      <c r="H95" s="260"/>
      <c r="I95" s="260"/>
      <c r="J95" s="260"/>
      <c r="K95" s="260"/>
      <c r="L95" s="261"/>
      <c r="Q95" s="76"/>
      <c r="R95" s="248" t="s">
        <v>19</v>
      </c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50"/>
    </row>
    <row r="96" spans="1:44" ht="19.5" customHeight="1" x14ac:dyDescent="0.25">
      <c r="A96" s="32" t="s">
        <v>207</v>
      </c>
      <c r="B96" s="32" t="s">
        <v>208</v>
      </c>
      <c r="D96" s="32" t="s">
        <v>209</v>
      </c>
      <c r="E96" s="32" t="s">
        <v>210</v>
      </c>
      <c r="G96" s="86" t="s">
        <v>211</v>
      </c>
      <c r="H96" s="262" t="s">
        <v>301</v>
      </c>
      <c r="Q96" s="76"/>
    </row>
    <row r="97" spans="1:23" ht="19.5" customHeight="1" x14ac:dyDescent="0.25">
      <c r="E97" s="32" t="s">
        <v>212</v>
      </c>
      <c r="G97" s="75" t="s">
        <v>298</v>
      </c>
      <c r="H97" s="242"/>
      <c r="Q97" s="76"/>
    </row>
    <row r="98" spans="1:23" ht="14.25" customHeight="1" x14ac:dyDescent="0.25">
      <c r="C98" s="32" t="s">
        <v>173</v>
      </c>
      <c r="E98" s="32" t="s">
        <v>215</v>
      </c>
      <c r="F98" s="32" t="s">
        <v>280</v>
      </c>
      <c r="G98" s="75" t="s">
        <v>215</v>
      </c>
      <c r="H98" s="107"/>
      <c r="Q98" s="76"/>
      <c r="S98" s="32" t="s">
        <v>207</v>
      </c>
      <c r="T98" s="32" t="s">
        <v>208</v>
      </c>
      <c r="V98" s="32" t="s">
        <v>210</v>
      </c>
    </row>
    <row r="99" spans="1:23" ht="14.25" customHeight="1" x14ac:dyDescent="0.25">
      <c r="A99" s="32">
        <v>2</v>
      </c>
      <c r="B99" s="32" t="s">
        <v>53</v>
      </c>
      <c r="C99" s="89">
        <v>10</v>
      </c>
      <c r="D99" s="89" t="s">
        <v>220</v>
      </c>
      <c r="E99" s="89">
        <v>28.481999999999999</v>
      </c>
      <c r="F99" s="34">
        <f>(E99-0.0026)/3.7725</f>
        <v>7.5492113982770039</v>
      </c>
      <c r="G99" s="75"/>
      <c r="Q99" s="76"/>
      <c r="U99" s="32" t="s">
        <v>173</v>
      </c>
      <c r="V99" s="32" t="s">
        <v>215</v>
      </c>
      <c r="W99" s="32" t="s">
        <v>280</v>
      </c>
    </row>
    <row r="100" spans="1:23" ht="14.25" customHeight="1" x14ac:dyDescent="0.25">
      <c r="A100" s="32">
        <v>80</v>
      </c>
      <c r="B100" s="32" t="s">
        <v>50</v>
      </c>
      <c r="C100" s="32">
        <v>0</v>
      </c>
      <c r="D100" s="32" t="s">
        <v>219</v>
      </c>
      <c r="E100" s="32">
        <v>0</v>
      </c>
      <c r="F100" s="34">
        <f>(E100-0.0026)/3.7725</f>
        <v>-6.8919814446653414E-4</v>
      </c>
      <c r="G100" s="75"/>
      <c r="Q100" s="76"/>
      <c r="S100" s="32">
        <v>80</v>
      </c>
      <c r="T100" s="32" t="s">
        <v>50</v>
      </c>
      <c r="U100" s="32">
        <v>0</v>
      </c>
      <c r="V100" s="32">
        <v>239.304</v>
      </c>
    </row>
    <row r="101" spans="1:23" ht="14.25" customHeight="1" x14ac:dyDescent="0.25">
      <c r="A101" s="32">
        <v>81</v>
      </c>
      <c r="B101" s="32" t="s">
        <v>51</v>
      </c>
      <c r="C101" s="32">
        <v>1</v>
      </c>
      <c r="D101" s="32" t="s">
        <v>219</v>
      </c>
      <c r="E101" s="32">
        <v>3.7709999999999999</v>
      </c>
      <c r="F101" s="34">
        <f>(E101-0.0026)/3.7725</f>
        <v>0.99891318754141811</v>
      </c>
      <c r="G101" s="75">
        <v>78069</v>
      </c>
      <c r="Q101" s="76"/>
      <c r="S101" s="32">
        <v>81</v>
      </c>
      <c r="T101" s="32" t="s">
        <v>51</v>
      </c>
      <c r="U101" s="32">
        <v>1</v>
      </c>
      <c r="V101" s="32">
        <v>78069.356</v>
      </c>
    </row>
    <row r="102" spans="1:23" ht="14.25" customHeight="1" x14ac:dyDescent="0.25">
      <c r="A102" s="32">
        <v>82</v>
      </c>
      <c r="B102" s="32" t="s">
        <v>52</v>
      </c>
      <c r="C102" s="32">
        <v>5</v>
      </c>
      <c r="D102" s="32" t="s">
        <v>219</v>
      </c>
      <c r="E102" s="32">
        <v>18.878</v>
      </c>
      <c r="F102" s="34">
        <f>(E102-0.0026)/3.7725</f>
        <v>5.0034194831013918</v>
      </c>
      <c r="G102" s="75"/>
      <c r="Q102" s="76"/>
      <c r="S102" s="32">
        <v>82</v>
      </c>
      <c r="T102" s="32" t="s">
        <v>52</v>
      </c>
      <c r="U102" s="32">
        <v>5</v>
      </c>
      <c r="V102" s="32">
        <v>239515.391</v>
      </c>
    </row>
    <row r="103" spans="1:23" ht="14.25" customHeight="1" x14ac:dyDescent="0.25">
      <c r="A103" s="36">
        <v>83</v>
      </c>
      <c r="B103" s="36" t="s">
        <v>53</v>
      </c>
      <c r="C103" s="36">
        <v>10</v>
      </c>
      <c r="D103" s="36" t="s">
        <v>219</v>
      </c>
      <c r="E103" s="36">
        <v>37.722000000000001</v>
      </c>
      <c r="F103" s="37">
        <f>(E103-0.0026)/3.7725</f>
        <v>9.9985155732273032</v>
      </c>
      <c r="G103" s="79"/>
      <c r="H103" s="36"/>
      <c r="Q103" s="76"/>
      <c r="S103" s="36">
        <v>83</v>
      </c>
      <c r="T103" s="36" t="s">
        <v>53</v>
      </c>
      <c r="U103" s="36">
        <v>10</v>
      </c>
      <c r="V103" s="36">
        <v>376206.86099999998</v>
      </c>
      <c r="W103" s="36"/>
    </row>
    <row r="104" spans="1:23" ht="14.25" customHeight="1" x14ac:dyDescent="0.25">
      <c r="A104" s="32">
        <v>84</v>
      </c>
      <c r="B104" s="32" t="s">
        <v>107</v>
      </c>
      <c r="D104" s="32" t="s">
        <v>219</v>
      </c>
      <c r="E104" s="32" t="s">
        <v>146</v>
      </c>
      <c r="F104" s="34"/>
      <c r="G104" s="75"/>
      <c r="Q104" s="76"/>
      <c r="S104" s="32">
        <v>84</v>
      </c>
      <c r="T104" s="32" t="s">
        <v>107</v>
      </c>
      <c r="V104" s="32" t="s">
        <v>146</v>
      </c>
      <c r="W104" s="32">
        <v>0</v>
      </c>
    </row>
    <row r="105" spans="1:23" ht="14.25" customHeight="1" x14ac:dyDescent="0.25">
      <c r="A105" s="32">
        <v>85</v>
      </c>
      <c r="B105" s="32" t="s">
        <v>270</v>
      </c>
      <c r="D105" s="32" t="s">
        <v>219</v>
      </c>
      <c r="E105" s="32" t="s">
        <v>146</v>
      </c>
      <c r="F105" s="34"/>
      <c r="G105" s="75"/>
      <c r="Q105" s="76"/>
      <c r="S105" s="32">
        <v>85</v>
      </c>
      <c r="T105" s="32" t="s">
        <v>270</v>
      </c>
      <c r="V105" s="32">
        <v>397.30099999999999</v>
      </c>
      <c r="W105" s="82">
        <f t="shared" ref="W105:W113" si="10">(V105-27599)/36477</f>
        <v>-0.74572193436960277</v>
      </c>
    </row>
    <row r="106" spans="1:23" ht="14.25" customHeight="1" x14ac:dyDescent="0.25">
      <c r="A106" s="32">
        <v>86</v>
      </c>
      <c r="B106" s="32" t="s">
        <v>271</v>
      </c>
      <c r="D106" s="32" t="s">
        <v>219</v>
      </c>
      <c r="E106" s="32" t="s">
        <v>146</v>
      </c>
      <c r="F106" s="34"/>
      <c r="G106" s="75"/>
      <c r="Q106" s="76"/>
      <c r="S106" s="32">
        <v>86</v>
      </c>
      <c r="T106" s="32" t="s">
        <v>271</v>
      </c>
      <c r="V106" s="32">
        <v>592.12599999999998</v>
      </c>
      <c r="W106" s="82">
        <f t="shared" si="10"/>
        <v>-0.74038089755188197</v>
      </c>
    </row>
    <row r="107" spans="1:23" ht="14.25" customHeight="1" x14ac:dyDescent="0.25">
      <c r="A107" s="32">
        <v>87</v>
      </c>
      <c r="B107" s="32" t="s">
        <v>272</v>
      </c>
      <c r="D107" s="32" t="s">
        <v>219</v>
      </c>
      <c r="E107" s="32" t="s">
        <v>146</v>
      </c>
      <c r="F107" s="34"/>
      <c r="G107" s="75"/>
      <c r="Q107" s="76"/>
      <c r="S107" s="32">
        <v>87</v>
      </c>
      <c r="T107" s="32" t="s">
        <v>272</v>
      </c>
      <c r="V107" s="32" t="s">
        <v>146</v>
      </c>
      <c r="W107" s="32">
        <v>0</v>
      </c>
    </row>
    <row r="108" spans="1:23" ht="14.25" customHeight="1" x14ac:dyDescent="0.25">
      <c r="A108" s="32">
        <v>88</v>
      </c>
      <c r="B108" s="32" t="s">
        <v>273</v>
      </c>
      <c r="D108" s="32" t="s">
        <v>219</v>
      </c>
      <c r="E108" s="32" t="s">
        <v>146</v>
      </c>
      <c r="F108" s="34"/>
      <c r="G108" s="75"/>
      <c r="Q108" s="76"/>
      <c r="S108" s="32">
        <v>88</v>
      </c>
      <c r="T108" s="32" t="s">
        <v>273</v>
      </c>
      <c r="V108" s="32">
        <v>446.36099999999999</v>
      </c>
      <c r="W108" s="82">
        <f t="shared" si="10"/>
        <v>-0.74437697727335028</v>
      </c>
    </row>
    <row r="109" spans="1:23" ht="14.25" customHeight="1" x14ac:dyDescent="0.25">
      <c r="A109" s="32">
        <v>89</v>
      </c>
      <c r="B109" s="32" t="s">
        <v>274</v>
      </c>
      <c r="D109" s="32" t="s">
        <v>219</v>
      </c>
      <c r="E109" s="32" t="s">
        <v>146</v>
      </c>
      <c r="F109" s="34"/>
      <c r="G109" s="75"/>
      <c r="Q109" s="76"/>
      <c r="S109" s="32">
        <v>89</v>
      </c>
      <c r="T109" s="32" t="s">
        <v>274</v>
      </c>
      <c r="V109" s="32" t="s">
        <v>146</v>
      </c>
      <c r="W109" s="32">
        <v>0</v>
      </c>
    </row>
    <row r="110" spans="1:23" ht="14.25" customHeight="1" x14ac:dyDescent="0.25">
      <c r="A110" s="32">
        <v>90</v>
      </c>
      <c r="B110" s="32" t="s">
        <v>275</v>
      </c>
      <c r="D110" s="32" t="s">
        <v>219</v>
      </c>
      <c r="E110" s="32">
        <v>0.81399999999999995</v>
      </c>
      <c r="F110" s="34">
        <f>(E110-0.0026)/3.7725</f>
        <v>0.21508283631544067</v>
      </c>
      <c r="G110" s="75"/>
      <c r="Q110" s="76"/>
      <c r="S110" s="32">
        <v>90</v>
      </c>
      <c r="T110" s="32" t="s">
        <v>275</v>
      </c>
      <c r="V110" s="32">
        <v>210.16800000000001</v>
      </c>
      <c r="W110" s="82">
        <f t="shared" si="10"/>
        <v>-0.75085209858266844</v>
      </c>
    </row>
    <row r="111" spans="1:23" ht="14.25" customHeight="1" x14ac:dyDescent="0.25">
      <c r="A111" s="32">
        <v>91</v>
      </c>
      <c r="B111" s="32" t="s">
        <v>276</v>
      </c>
      <c r="D111" s="32" t="s">
        <v>219</v>
      </c>
      <c r="E111" s="32" t="s">
        <v>146</v>
      </c>
      <c r="G111" s="75">
        <v>491</v>
      </c>
      <c r="H111" s="32">
        <v>6.8000000000000005E-2</v>
      </c>
      <c r="Q111" s="76"/>
      <c r="S111" s="32">
        <v>91</v>
      </c>
      <c r="T111" s="32" t="s">
        <v>276</v>
      </c>
      <c r="V111" s="32">
        <v>450.661</v>
      </c>
      <c r="W111" s="82">
        <f t="shared" si="10"/>
        <v>-0.7442590947720481</v>
      </c>
    </row>
    <row r="112" spans="1:23" ht="14.25" customHeight="1" x14ac:dyDescent="0.25">
      <c r="A112" s="32">
        <v>92</v>
      </c>
      <c r="B112" s="32" t="s">
        <v>277</v>
      </c>
      <c r="D112" s="32" t="s">
        <v>219</v>
      </c>
      <c r="E112" s="32" t="s">
        <v>146</v>
      </c>
      <c r="G112" s="75">
        <v>451</v>
      </c>
      <c r="H112" s="32">
        <v>5.7000000000000002E-2</v>
      </c>
      <c r="Q112" s="76"/>
      <c r="S112" s="32">
        <v>92</v>
      </c>
      <c r="T112" s="32" t="s">
        <v>277</v>
      </c>
      <c r="V112" s="32">
        <v>490.50099999999998</v>
      </c>
      <c r="W112" s="82">
        <f t="shared" si="10"/>
        <v>-0.74316689969021577</v>
      </c>
    </row>
    <row r="113" spans="1:31" ht="14.25" customHeight="1" x14ac:dyDescent="0.25">
      <c r="A113" s="32">
        <v>93</v>
      </c>
      <c r="B113" s="32" t="s">
        <v>278</v>
      </c>
      <c r="D113" s="32" t="s">
        <v>219</v>
      </c>
      <c r="E113" s="32" t="s">
        <v>146</v>
      </c>
      <c r="G113" s="75"/>
      <c r="Q113" s="76"/>
      <c r="S113" s="32">
        <v>93</v>
      </c>
      <c r="T113" s="32" t="s">
        <v>278</v>
      </c>
      <c r="V113" s="32">
        <v>212.29900000000001</v>
      </c>
      <c r="W113" s="82">
        <f t="shared" si="10"/>
        <v>-0.75079367820818599</v>
      </c>
    </row>
    <row r="114" spans="1:31" ht="14.25" customHeight="1" x14ac:dyDescent="0.25">
      <c r="A114" s="32">
        <v>94</v>
      </c>
      <c r="B114" s="32" t="s">
        <v>279</v>
      </c>
      <c r="D114" s="32" t="s">
        <v>219</v>
      </c>
      <c r="E114" s="32" t="s">
        <v>146</v>
      </c>
      <c r="G114" s="75"/>
      <c r="Q114" s="76"/>
      <c r="S114" s="32">
        <v>94</v>
      </c>
      <c r="T114" s="32" t="s">
        <v>279</v>
      </c>
      <c r="V114" s="32" t="s">
        <v>146</v>
      </c>
      <c r="W114" s="32">
        <v>0</v>
      </c>
      <c r="Y114" s="272" t="s">
        <v>336</v>
      </c>
      <c r="Z114" s="272"/>
      <c r="AA114" s="272"/>
      <c r="AB114" s="272"/>
      <c r="AC114" s="272"/>
      <c r="AD114" s="272"/>
      <c r="AE114" s="272"/>
    </row>
    <row r="115" spans="1:31" ht="14.25" customHeight="1" x14ac:dyDescent="0.25">
      <c r="Q115" s="76"/>
    </row>
    <row r="116" spans="1:31" ht="14.25" customHeight="1" x14ac:dyDescent="0.25">
      <c r="Q116" s="76"/>
    </row>
    <row r="117" spans="1:31" ht="14.25" customHeight="1" x14ac:dyDescent="0.25">
      <c r="A117" s="32" t="s">
        <v>408</v>
      </c>
      <c r="Q117" s="76"/>
    </row>
    <row r="118" spans="1:31" ht="14.25" customHeight="1" x14ac:dyDescent="0.25">
      <c r="Q118" s="76"/>
    </row>
    <row r="119" spans="1:31" ht="14.25" customHeight="1" x14ac:dyDescent="0.25">
      <c r="Q119" s="76"/>
      <c r="R119" s="248" t="s">
        <v>20</v>
      </c>
      <c r="S119" s="249"/>
      <c r="T119" s="249"/>
      <c r="U119" s="249"/>
      <c r="V119" s="249"/>
      <c r="W119" s="249"/>
      <c r="X119" s="249"/>
      <c r="Y119" s="249"/>
      <c r="Z119" s="249"/>
      <c r="AA119" s="249"/>
      <c r="AB119" s="249"/>
      <c r="AC119" s="250"/>
    </row>
    <row r="120" spans="1:31" ht="14.25" customHeight="1" x14ac:dyDescent="0.25">
      <c r="Q120" s="76"/>
      <c r="S120" s="32" t="s">
        <v>207</v>
      </c>
    </row>
    <row r="121" spans="1:31" ht="14.25" customHeight="1" x14ac:dyDescent="0.25">
      <c r="Q121" s="76"/>
      <c r="T121" s="32" t="s">
        <v>208</v>
      </c>
      <c r="V121" s="239" t="s">
        <v>210</v>
      </c>
      <c r="W121" s="239"/>
      <c r="X121" s="263" t="s">
        <v>329</v>
      </c>
      <c r="Y121" s="263" t="s">
        <v>334</v>
      </c>
    </row>
    <row r="122" spans="1:31" ht="14.25" customHeight="1" x14ac:dyDescent="0.25">
      <c r="Q122" s="76"/>
      <c r="U122" s="32" t="s">
        <v>173</v>
      </c>
      <c r="V122" s="32" t="s">
        <v>20</v>
      </c>
      <c r="W122" s="32" t="s">
        <v>328</v>
      </c>
      <c r="X122" s="263"/>
      <c r="Y122" s="263"/>
    </row>
    <row r="123" spans="1:31" ht="14.25" customHeight="1" x14ac:dyDescent="0.25">
      <c r="A123" s="259" t="s">
        <v>285</v>
      </c>
      <c r="B123" s="260"/>
      <c r="C123" s="260"/>
      <c r="D123" s="260"/>
      <c r="E123" s="260"/>
      <c r="F123" s="260"/>
      <c r="G123" s="260"/>
      <c r="H123" s="260"/>
      <c r="I123" s="260"/>
      <c r="J123" s="260"/>
      <c r="K123" s="260"/>
      <c r="L123" s="261"/>
      <c r="Q123" s="76"/>
      <c r="S123" s="32">
        <v>34</v>
      </c>
      <c r="T123" s="32" t="s">
        <v>58</v>
      </c>
      <c r="U123" s="32">
        <v>0</v>
      </c>
      <c r="V123" s="32" t="s">
        <v>146</v>
      </c>
      <c r="W123" s="32" t="s">
        <v>146</v>
      </c>
    </row>
    <row r="124" spans="1:31" ht="14.25" customHeight="1" x14ac:dyDescent="0.25">
      <c r="A124" s="32" t="s">
        <v>207</v>
      </c>
      <c r="B124" s="32" t="s">
        <v>208</v>
      </c>
      <c r="D124" s="32" t="s">
        <v>209</v>
      </c>
      <c r="E124" s="32" t="s">
        <v>210</v>
      </c>
      <c r="G124" s="32" t="s">
        <v>210</v>
      </c>
      <c r="Q124" s="76"/>
      <c r="S124" s="32">
        <v>35</v>
      </c>
      <c r="T124" s="32" t="s">
        <v>59</v>
      </c>
      <c r="U124" s="32">
        <v>1</v>
      </c>
      <c r="V124" s="32">
        <v>19157.714</v>
      </c>
      <c r="W124" s="32">
        <v>0</v>
      </c>
    </row>
    <row r="125" spans="1:31" ht="14.25" customHeight="1" x14ac:dyDescent="0.25">
      <c r="E125" s="32" t="s">
        <v>212</v>
      </c>
      <c r="G125" s="32" t="s">
        <v>212</v>
      </c>
      <c r="Q125" s="76"/>
      <c r="S125" s="32">
        <v>36</v>
      </c>
      <c r="T125" s="32" t="s">
        <v>60</v>
      </c>
      <c r="U125" s="32">
        <v>5</v>
      </c>
      <c r="V125" s="32">
        <v>70195.278999999995</v>
      </c>
      <c r="W125" s="32">
        <v>0</v>
      </c>
    </row>
    <row r="126" spans="1:31" ht="24" customHeight="1" x14ac:dyDescent="0.25">
      <c r="C126" s="32" t="s">
        <v>173</v>
      </c>
      <c r="E126" s="90" t="s">
        <v>218</v>
      </c>
      <c r="F126" s="91" t="s">
        <v>280</v>
      </c>
      <c r="G126" s="90" t="s">
        <v>297</v>
      </c>
      <c r="H126" s="91" t="s">
        <v>280</v>
      </c>
      <c r="I126" s="90"/>
      <c r="J126" s="91"/>
      <c r="L126" s="90"/>
      <c r="M126" s="91"/>
      <c r="Q126" s="76"/>
      <c r="S126" s="36">
        <v>37</v>
      </c>
      <c r="T126" s="36" t="s">
        <v>61</v>
      </c>
      <c r="U126" s="36">
        <v>10</v>
      </c>
      <c r="V126" s="36">
        <v>124752.48299999999</v>
      </c>
      <c r="W126" s="36">
        <v>0</v>
      </c>
      <c r="X126" s="36"/>
      <c r="Y126" s="36"/>
    </row>
    <row r="127" spans="1:31" ht="14.25" customHeight="1" x14ac:dyDescent="0.2">
      <c r="A127" s="32">
        <v>34</v>
      </c>
      <c r="B127" s="32" t="s">
        <v>58</v>
      </c>
      <c r="C127" s="32">
        <v>0</v>
      </c>
      <c r="D127" s="32" t="s">
        <v>219</v>
      </c>
      <c r="E127" s="32">
        <v>0</v>
      </c>
      <c r="F127" s="34">
        <f>(E127+0.2766)/2.232</f>
        <v>0.12392473118279569</v>
      </c>
      <c r="G127" s="92" t="s">
        <v>146</v>
      </c>
      <c r="Q127" s="76"/>
      <c r="S127" s="32">
        <v>38</v>
      </c>
      <c r="T127" s="32" t="s">
        <v>109</v>
      </c>
      <c r="V127" s="32">
        <v>0</v>
      </c>
      <c r="W127" s="32" t="s">
        <v>146</v>
      </c>
      <c r="X127" s="34">
        <f>(V127-4414.3)/12278</f>
        <v>-0.35952923928978664</v>
      </c>
      <c r="Y127" s="34">
        <v>0</v>
      </c>
    </row>
    <row r="128" spans="1:31" ht="14.25" customHeight="1" x14ac:dyDescent="0.2">
      <c r="A128" s="32">
        <v>35</v>
      </c>
      <c r="B128" s="32" t="s">
        <v>59</v>
      </c>
      <c r="C128" s="32">
        <v>1</v>
      </c>
      <c r="D128" s="32" t="s">
        <v>219</v>
      </c>
      <c r="E128" s="32">
        <v>2.0710000000000002</v>
      </c>
      <c r="F128" s="34">
        <f t="shared" ref="F128:F135" si="11">(E128+0.2766)/2.232</f>
        <v>1.0517921146953406</v>
      </c>
      <c r="G128" s="92" t="s">
        <v>146</v>
      </c>
      <c r="Q128" s="76"/>
      <c r="S128" s="32">
        <v>39</v>
      </c>
      <c r="T128" s="32" t="s">
        <v>236</v>
      </c>
      <c r="V128" s="32">
        <v>31386.249</v>
      </c>
      <c r="W128" s="32">
        <v>4543.7809999999999</v>
      </c>
      <c r="X128" s="34">
        <f>(V128-4414.3)/12278</f>
        <v>2.1967705652386385</v>
      </c>
      <c r="Y128" s="34">
        <f>(W128-4414.3)/12278</f>
        <v>1.0545772927186819E-2</v>
      </c>
    </row>
    <row r="129" spans="1:31" ht="14.25" customHeight="1" x14ac:dyDescent="0.2">
      <c r="A129" s="32">
        <v>36</v>
      </c>
      <c r="B129" s="32" t="s">
        <v>60</v>
      </c>
      <c r="C129" s="32">
        <v>5</v>
      </c>
      <c r="D129" s="32" t="s">
        <v>219</v>
      </c>
      <c r="E129" s="32">
        <v>10.122</v>
      </c>
      <c r="F129" s="34">
        <f t="shared" si="11"/>
        <v>4.6588709677419349</v>
      </c>
      <c r="G129" s="92" t="s">
        <v>146</v>
      </c>
      <c r="Q129" s="76"/>
      <c r="S129" s="32">
        <v>40</v>
      </c>
      <c r="T129" s="32" t="s">
        <v>237</v>
      </c>
      <c r="V129" s="32">
        <v>32842.004000000001</v>
      </c>
      <c r="W129" s="32">
        <v>5022.4960000000001</v>
      </c>
      <c r="X129" s="34">
        <f>(V129-4414.3)/12278</f>
        <v>2.3153366997882392</v>
      </c>
      <c r="Y129" s="34">
        <f>(W129-4414.3)/12278</f>
        <v>4.9535429223000485E-2</v>
      </c>
    </row>
    <row r="130" spans="1:31" ht="14.25" customHeight="1" x14ac:dyDescent="0.2">
      <c r="A130" s="36">
        <v>37</v>
      </c>
      <c r="B130" s="36" t="s">
        <v>61</v>
      </c>
      <c r="C130" s="36">
        <v>10</v>
      </c>
      <c r="D130" s="36" t="s">
        <v>219</v>
      </c>
      <c r="E130" s="36">
        <v>22.411999999999999</v>
      </c>
      <c r="F130" s="37">
        <f t="shared" si="11"/>
        <v>10.165143369175626</v>
      </c>
      <c r="G130" s="93" t="s">
        <v>146</v>
      </c>
      <c r="H130" s="36"/>
      <c r="Q130" s="76"/>
      <c r="S130" s="32">
        <v>41</v>
      </c>
      <c r="T130" s="32" t="s">
        <v>238</v>
      </c>
      <c r="V130" s="32">
        <v>31423.32</v>
      </c>
      <c r="W130" s="32">
        <v>2985.8809999999999</v>
      </c>
      <c r="X130" s="34">
        <f>(V130-4414.3)/12278</f>
        <v>2.199789868056687</v>
      </c>
      <c r="Y130" s="34">
        <f>(W130-4414.3)/12278</f>
        <v>-0.11633971330835643</v>
      </c>
    </row>
    <row r="131" spans="1:31" ht="14.25" customHeight="1" x14ac:dyDescent="0.2">
      <c r="A131" s="32">
        <v>38</v>
      </c>
      <c r="B131" s="32" t="s">
        <v>109</v>
      </c>
      <c r="D131" s="32" t="s">
        <v>219</v>
      </c>
      <c r="E131" s="32" t="s">
        <v>146</v>
      </c>
      <c r="F131" s="35">
        <v>0</v>
      </c>
      <c r="G131" s="92" t="s">
        <v>146</v>
      </c>
      <c r="H131" s="35">
        <v>0</v>
      </c>
      <c r="Q131" s="76"/>
      <c r="S131" s="32">
        <v>42</v>
      </c>
      <c r="T131" s="32" t="s">
        <v>239</v>
      </c>
      <c r="V131" s="32">
        <v>33257.313000000002</v>
      </c>
      <c r="W131" s="32">
        <v>2686.3960000000002</v>
      </c>
      <c r="X131" s="34">
        <f>(V131-4414.3)/12278</f>
        <v>2.349162159960906</v>
      </c>
      <c r="Y131" s="34">
        <f>(W131-4414.3)/12278</f>
        <v>-0.14073171526307215</v>
      </c>
    </row>
    <row r="132" spans="1:31" ht="14.25" customHeight="1" x14ac:dyDescent="0.2">
      <c r="A132" s="32">
        <v>39</v>
      </c>
      <c r="B132" s="32" t="s">
        <v>236</v>
      </c>
      <c r="D132" s="32" t="s">
        <v>219</v>
      </c>
      <c r="E132" s="32">
        <v>2.9009999999999998</v>
      </c>
      <c r="F132" s="34">
        <f t="shared" si="11"/>
        <v>1.4236559139784946</v>
      </c>
      <c r="G132" s="92">
        <v>0.79</v>
      </c>
      <c r="H132" s="34">
        <f>(G132+0.2766)/2.232</f>
        <v>0.47786738351254476</v>
      </c>
      <c r="Q132" s="76"/>
    </row>
    <row r="133" spans="1:31" ht="14.25" customHeight="1" x14ac:dyDescent="0.2">
      <c r="A133" s="32">
        <v>40</v>
      </c>
      <c r="B133" s="32" t="s">
        <v>237</v>
      </c>
      <c r="D133" s="32" t="s">
        <v>219</v>
      </c>
      <c r="E133" s="32">
        <v>2.931</v>
      </c>
      <c r="F133" s="34">
        <f t="shared" si="11"/>
        <v>1.4370967741935483</v>
      </c>
      <c r="G133" s="92">
        <v>0.97599999999999998</v>
      </c>
      <c r="H133" s="34">
        <f>(G133+0.2766)/2.232</f>
        <v>0.56120071684587802</v>
      </c>
      <c r="Q133" s="76"/>
    </row>
    <row r="134" spans="1:31" ht="14.25" customHeight="1" x14ac:dyDescent="0.2">
      <c r="A134" s="32">
        <v>41</v>
      </c>
      <c r="B134" s="32" t="s">
        <v>238</v>
      </c>
      <c r="D134" s="32" t="s">
        <v>219</v>
      </c>
      <c r="E134" s="32">
        <v>2.6779999999999999</v>
      </c>
      <c r="F134" s="34">
        <f t="shared" si="11"/>
        <v>1.3237455197132615</v>
      </c>
      <c r="G134" s="92">
        <v>0.54800000000000004</v>
      </c>
      <c r="H134" s="34">
        <f>(G134+0.2766)/2.232</f>
        <v>0.36944444444444441</v>
      </c>
      <c r="Q134" s="76"/>
      <c r="S134" s="273" t="s">
        <v>395</v>
      </c>
      <c r="T134" s="273"/>
      <c r="U134" s="273"/>
      <c r="V134" s="273"/>
      <c r="W134" s="273"/>
      <c r="X134" s="273"/>
      <c r="Y134" s="273"/>
      <c r="Z134" s="273"/>
      <c r="AA134" s="273"/>
      <c r="AB134" s="273"/>
      <c r="AC134" s="273"/>
      <c r="AD134" s="273"/>
      <c r="AE134" s="273"/>
    </row>
    <row r="135" spans="1:31" ht="14.25" customHeight="1" x14ac:dyDescent="0.2">
      <c r="A135" s="32">
        <v>42</v>
      </c>
      <c r="B135" s="32" t="s">
        <v>239</v>
      </c>
      <c r="D135" s="32" t="s">
        <v>219</v>
      </c>
      <c r="E135" s="32">
        <v>2.5259999999999998</v>
      </c>
      <c r="F135" s="34">
        <f t="shared" si="11"/>
        <v>1.2556451612903226</v>
      </c>
      <c r="G135" s="92">
        <v>0.40200000000000002</v>
      </c>
      <c r="H135" s="34">
        <f>(G135+0.2766)/2.232</f>
        <v>0.30403225806451617</v>
      </c>
      <c r="Q135" s="76"/>
      <c r="S135" s="273"/>
      <c r="T135" s="273"/>
      <c r="U135" s="273"/>
      <c r="V135" s="273"/>
      <c r="W135" s="273"/>
      <c r="X135" s="273"/>
      <c r="Y135" s="273"/>
      <c r="Z135" s="273"/>
      <c r="AA135" s="273"/>
      <c r="AB135" s="273"/>
      <c r="AC135" s="273"/>
      <c r="AD135" s="273"/>
      <c r="AE135" s="273"/>
    </row>
    <row r="136" spans="1:31" ht="14.25" customHeight="1" x14ac:dyDescent="0.25">
      <c r="A136" s="255" t="s">
        <v>404</v>
      </c>
      <c r="B136" s="256"/>
      <c r="C136" s="256"/>
      <c r="D136" s="256"/>
      <c r="E136" s="256"/>
      <c r="F136" s="256"/>
      <c r="G136" s="256"/>
      <c r="H136" s="256"/>
      <c r="I136" s="256"/>
      <c r="J136" s="256"/>
      <c r="K136" s="256"/>
      <c r="L136" s="256"/>
      <c r="M136" s="257"/>
      <c r="Q136" s="76"/>
    </row>
    <row r="137" spans="1:31" ht="14.25" customHeight="1" x14ac:dyDescent="0.25">
      <c r="D137" s="32" t="s">
        <v>314</v>
      </c>
      <c r="E137" s="160" t="s">
        <v>402</v>
      </c>
      <c r="F137" s="143" t="s">
        <v>403</v>
      </c>
      <c r="G137" s="32" t="s">
        <v>212</v>
      </c>
      <c r="H137" s="160" t="s">
        <v>402</v>
      </c>
      <c r="I137" s="143" t="s">
        <v>403</v>
      </c>
      <c r="Q137" s="76"/>
      <c r="R137" s="255" t="s">
        <v>405</v>
      </c>
      <c r="S137" s="256"/>
      <c r="T137" s="256"/>
      <c r="U137" s="256"/>
      <c r="V137" s="256"/>
      <c r="W137" s="256"/>
      <c r="X137" s="256"/>
      <c r="Y137" s="256"/>
      <c r="Z137" s="256"/>
      <c r="AA137" s="256"/>
      <c r="AB137" s="256"/>
      <c r="AC137" s="257"/>
    </row>
    <row r="138" spans="1:31" ht="14.25" customHeight="1" x14ac:dyDescent="0.25">
      <c r="A138" s="32" t="s">
        <v>207</v>
      </c>
      <c r="B138" s="32" t="s">
        <v>208</v>
      </c>
      <c r="D138" s="32" t="s">
        <v>340</v>
      </c>
      <c r="E138" s="161" t="s">
        <v>280</v>
      </c>
      <c r="F138" s="143"/>
      <c r="G138" s="32" t="s">
        <v>341</v>
      </c>
      <c r="H138" s="161" t="s">
        <v>339</v>
      </c>
      <c r="I138" s="143"/>
      <c r="Q138" s="76"/>
      <c r="V138" s="32" t="s">
        <v>315</v>
      </c>
      <c r="W138" s="160" t="s">
        <v>402</v>
      </c>
      <c r="X138" s="143" t="s">
        <v>403</v>
      </c>
      <c r="Y138" s="32" t="s">
        <v>315</v>
      </c>
      <c r="Z138" s="160" t="s">
        <v>402</v>
      </c>
      <c r="AA138" s="143" t="s">
        <v>403</v>
      </c>
    </row>
    <row r="139" spans="1:31" ht="14.25" customHeight="1" x14ac:dyDescent="0.25">
      <c r="A139" s="32">
        <v>69</v>
      </c>
      <c r="B139" s="32" t="s">
        <v>106</v>
      </c>
      <c r="D139" s="32">
        <v>0</v>
      </c>
      <c r="E139" s="161">
        <v>0</v>
      </c>
      <c r="F139" s="145">
        <f t="shared" ref="F139:F149" si="12">(D139-0.0026)/3.7725</f>
        <v>-6.8919814446653414E-4</v>
      </c>
      <c r="G139" s="32">
        <v>0</v>
      </c>
      <c r="H139" s="161">
        <v>0</v>
      </c>
      <c r="I139" s="145">
        <f>(G139-0.0026)/3.7725</f>
        <v>-6.8919814446653414E-4</v>
      </c>
      <c r="Q139" s="76"/>
      <c r="S139" s="32" t="s">
        <v>207</v>
      </c>
      <c r="T139" s="32" t="s">
        <v>208</v>
      </c>
      <c r="V139" s="32" t="s">
        <v>340</v>
      </c>
      <c r="W139" s="161" t="s">
        <v>280</v>
      </c>
      <c r="X139" s="143"/>
      <c r="Y139" s="32" t="s">
        <v>341</v>
      </c>
      <c r="Z139" s="161" t="s">
        <v>339</v>
      </c>
      <c r="AA139" s="143"/>
    </row>
    <row r="140" spans="1:31" ht="14.25" customHeight="1" x14ac:dyDescent="0.25">
      <c r="A140" s="32">
        <v>70</v>
      </c>
      <c r="B140" s="32" t="s">
        <v>260</v>
      </c>
      <c r="D140" s="32">
        <v>2.5030000000000001</v>
      </c>
      <c r="E140" s="162">
        <f t="shared" ref="E140:E149" si="13">(D140+0.2766)/2.232</f>
        <v>1.2453405017921146</v>
      </c>
      <c r="F140" s="144">
        <f t="shared" si="12"/>
        <v>0.66279655400927762</v>
      </c>
      <c r="G140" s="32">
        <v>5.3570000000000002</v>
      </c>
      <c r="H140" s="162">
        <f t="shared" ref="H140:H149" si="14">(G140+0.2766)/2.232</f>
        <v>2.5240143369175625</v>
      </c>
      <c r="I140" s="144">
        <f t="shared" ref="I140:I149" si="15">(G140-0.0026)/3.7725</f>
        <v>1.4193240556660041</v>
      </c>
      <c r="Q140" s="76"/>
      <c r="S140" s="32">
        <v>69</v>
      </c>
      <c r="T140" s="32" t="s">
        <v>106</v>
      </c>
      <c r="V140" s="32">
        <v>1177.702</v>
      </c>
      <c r="W140" s="162">
        <v>0</v>
      </c>
      <c r="X140" s="144">
        <v>0</v>
      </c>
      <c r="Y140" s="32">
        <v>307.86099999999999</v>
      </c>
      <c r="Z140" s="162">
        <v>0</v>
      </c>
      <c r="AA140" s="144">
        <v>0</v>
      </c>
    </row>
    <row r="141" spans="1:31" ht="14.25" customHeight="1" x14ac:dyDescent="0.25">
      <c r="A141" s="32">
        <v>71</v>
      </c>
      <c r="B141" s="32" t="s">
        <v>261</v>
      </c>
      <c r="D141" s="32">
        <v>3.5089999999999999</v>
      </c>
      <c r="E141" s="162">
        <f t="shared" si="13"/>
        <v>1.6960573476702507</v>
      </c>
      <c r="F141" s="144">
        <f t="shared" si="12"/>
        <v>0.92946322067594422</v>
      </c>
      <c r="G141" s="32">
        <v>6.5389999999999997</v>
      </c>
      <c r="H141" s="162">
        <f t="shared" si="14"/>
        <v>3.0535842293906805</v>
      </c>
      <c r="I141" s="144">
        <f t="shared" si="15"/>
        <v>1.7326441351888666</v>
      </c>
      <c r="Q141" s="76"/>
      <c r="S141" s="32">
        <v>70</v>
      </c>
      <c r="T141" s="32" t="s">
        <v>260</v>
      </c>
      <c r="V141" s="32">
        <v>79989.168999999994</v>
      </c>
      <c r="W141" s="162">
        <f t="shared" ref="W141:W150" si="16">(V141-4414.3)/12278</f>
        <v>6.1553077862844106</v>
      </c>
      <c r="X141" s="144">
        <f t="shared" ref="X141:X150" si="17">(V141-27599)/36477</f>
        <v>1.4362521314801107</v>
      </c>
      <c r="Y141" s="32">
        <v>59274.521999999997</v>
      </c>
      <c r="Z141" s="162">
        <f>(Y141-4414.3)/12278</f>
        <v>4.4681725036650919</v>
      </c>
      <c r="AA141" s="144">
        <f t="shared" ref="AA141:AA150" si="18">(Y141-27599)/36477</f>
        <v>0.86836971242152583</v>
      </c>
    </row>
    <row r="142" spans="1:31" ht="14.25" customHeight="1" x14ac:dyDescent="0.25">
      <c r="A142" s="32">
        <v>72</v>
      </c>
      <c r="B142" s="32" t="s">
        <v>262</v>
      </c>
      <c r="D142" s="32">
        <v>2.2240000000000002</v>
      </c>
      <c r="E142" s="162">
        <f t="shared" si="13"/>
        <v>1.1203405017921149</v>
      </c>
      <c r="F142" s="144">
        <f t="shared" si="12"/>
        <v>0.58884029158383033</v>
      </c>
      <c r="G142" s="32">
        <v>2.4460000000000002</v>
      </c>
      <c r="H142" s="162">
        <f t="shared" si="14"/>
        <v>1.2198028673835126</v>
      </c>
      <c r="I142" s="144">
        <f t="shared" si="15"/>
        <v>0.64768721007289598</v>
      </c>
      <c r="Q142" s="76"/>
      <c r="S142" s="32">
        <v>71</v>
      </c>
      <c r="T142" s="32" t="s">
        <v>261</v>
      </c>
      <c r="V142" s="32">
        <v>104047.349</v>
      </c>
      <c r="W142" s="162">
        <f t="shared" si="16"/>
        <v>8.114762094803714</v>
      </c>
      <c r="X142" s="144">
        <f t="shared" si="17"/>
        <v>2.0957959536146067</v>
      </c>
      <c r="Y142" s="32">
        <v>68167.345000000001</v>
      </c>
      <c r="Z142" s="162">
        <f t="shared" ref="Z142:Z150" si="19">(Y142-4414.3)/12278</f>
        <v>5.1924617201498613</v>
      </c>
      <c r="AA142" s="144">
        <f t="shared" si="18"/>
        <v>1.1121623214628396</v>
      </c>
    </row>
    <row r="143" spans="1:31" ht="14.25" customHeight="1" x14ac:dyDescent="0.25">
      <c r="A143" s="32">
        <v>73</v>
      </c>
      <c r="B143" s="32" t="s">
        <v>263</v>
      </c>
      <c r="D143" s="32">
        <v>1.653</v>
      </c>
      <c r="E143" s="162">
        <f t="shared" si="13"/>
        <v>0.86451612903225794</v>
      </c>
      <c r="F143" s="144">
        <f t="shared" si="12"/>
        <v>0.43748177601060306</v>
      </c>
      <c r="G143" s="32">
        <v>2.423</v>
      </c>
      <c r="H143" s="162">
        <f t="shared" si="14"/>
        <v>1.2094982078853047</v>
      </c>
      <c r="I143" s="144">
        <f t="shared" si="15"/>
        <v>0.64159045725646124</v>
      </c>
      <c r="Q143" s="76"/>
      <c r="S143" s="32">
        <v>72</v>
      </c>
      <c r="T143" s="32" t="s">
        <v>262</v>
      </c>
      <c r="V143" s="32">
        <v>75417.074999999997</v>
      </c>
      <c r="W143" s="162">
        <f t="shared" si="16"/>
        <v>5.7829267796057984</v>
      </c>
      <c r="X143" s="144">
        <f t="shared" si="17"/>
        <v>1.3109102996408695</v>
      </c>
      <c r="Y143" s="32">
        <v>31959.734</v>
      </c>
      <c r="Z143" s="162">
        <f t="shared" si="19"/>
        <v>2.2434789053591793</v>
      </c>
      <c r="AA143" s="144">
        <f t="shared" si="18"/>
        <v>0.11954749568221072</v>
      </c>
    </row>
    <row r="144" spans="1:31" ht="14.25" customHeight="1" x14ac:dyDescent="0.25">
      <c r="A144" s="32">
        <v>74</v>
      </c>
      <c r="B144" s="32" t="s">
        <v>264</v>
      </c>
      <c r="D144" s="32">
        <v>3.1469999999999998</v>
      </c>
      <c r="E144" s="162">
        <f t="shared" si="13"/>
        <v>1.5338709677419353</v>
      </c>
      <c r="F144" s="144">
        <f t="shared" si="12"/>
        <v>0.8335056328694499</v>
      </c>
      <c r="G144" s="32">
        <v>4.3410000000000002</v>
      </c>
      <c r="H144" s="162">
        <f t="shared" si="14"/>
        <v>2.0688172043010753</v>
      </c>
      <c r="I144" s="144">
        <f t="shared" si="15"/>
        <v>1.1500066269052354</v>
      </c>
      <c r="Q144" s="76"/>
      <c r="S144" s="32">
        <v>73</v>
      </c>
      <c r="T144" s="32" t="s">
        <v>263</v>
      </c>
      <c r="V144" s="32">
        <v>61104.345999999998</v>
      </c>
      <c r="W144" s="162">
        <f t="shared" si="16"/>
        <v>4.6172052451539338</v>
      </c>
      <c r="X144" s="144">
        <f t="shared" si="17"/>
        <v>0.91853348685473035</v>
      </c>
      <c r="Y144" s="32">
        <v>31592.45</v>
      </c>
      <c r="Z144" s="162">
        <f t="shared" si="19"/>
        <v>2.2135649128522563</v>
      </c>
      <c r="AA144" s="144">
        <f t="shared" si="18"/>
        <v>0.10947857554075173</v>
      </c>
    </row>
    <row r="145" spans="1:32" ht="14.25" customHeight="1" x14ac:dyDescent="0.25">
      <c r="A145" s="32">
        <v>75</v>
      </c>
      <c r="B145" s="32" t="s">
        <v>265</v>
      </c>
      <c r="D145" s="32">
        <v>3.1560000000000001</v>
      </c>
      <c r="E145" s="162">
        <f t="shared" si="13"/>
        <v>1.5379032258064516</v>
      </c>
      <c r="F145" s="144">
        <f t="shared" si="12"/>
        <v>0.8358913187541418</v>
      </c>
      <c r="G145" s="32">
        <v>4.6619999999999999</v>
      </c>
      <c r="H145" s="162">
        <f t="shared" si="14"/>
        <v>2.2126344086021503</v>
      </c>
      <c r="I145" s="144">
        <f t="shared" si="15"/>
        <v>1.2350960901259112</v>
      </c>
      <c r="Q145" s="76"/>
      <c r="S145" s="32">
        <v>74</v>
      </c>
      <c r="T145" s="32" t="s">
        <v>264</v>
      </c>
      <c r="V145" s="32">
        <v>105664.51300000001</v>
      </c>
      <c r="W145" s="162">
        <f t="shared" si="16"/>
        <v>8.2464744258022478</v>
      </c>
      <c r="X145" s="144">
        <f t="shared" si="17"/>
        <v>2.1401297529950383</v>
      </c>
      <c r="Y145" s="32">
        <v>55130.491999999998</v>
      </c>
      <c r="Z145" s="162">
        <f t="shared" si="19"/>
        <v>4.1306558071347119</v>
      </c>
      <c r="AA145" s="144">
        <f t="shared" si="18"/>
        <v>0.7547630561723826</v>
      </c>
    </row>
    <row r="146" spans="1:32" ht="14.25" customHeight="1" x14ac:dyDescent="0.25">
      <c r="A146" s="32">
        <v>76</v>
      </c>
      <c r="B146" s="32" t="s">
        <v>266</v>
      </c>
      <c r="D146" s="32">
        <v>2.7519999999999998</v>
      </c>
      <c r="E146" s="162">
        <f t="shared" si="13"/>
        <v>1.3568996415770609</v>
      </c>
      <c r="F146" s="144">
        <f t="shared" si="12"/>
        <v>0.72880053015241875</v>
      </c>
      <c r="G146" s="32">
        <v>4.4820000000000002</v>
      </c>
      <c r="H146" s="162">
        <f t="shared" si="14"/>
        <v>2.1319892473118278</v>
      </c>
      <c r="I146" s="144">
        <f t="shared" si="15"/>
        <v>1.1873823724320742</v>
      </c>
      <c r="Q146" s="76"/>
      <c r="S146" s="32">
        <v>75</v>
      </c>
      <c r="T146" s="32" t="s">
        <v>265</v>
      </c>
      <c r="V146" s="32">
        <v>105435.48299999999</v>
      </c>
      <c r="W146" s="162">
        <f t="shared" si="16"/>
        <v>8.2278207362762661</v>
      </c>
      <c r="X146" s="144">
        <f t="shared" si="17"/>
        <v>2.1338510020012609</v>
      </c>
      <c r="Y146" s="32">
        <v>56104.868999999999</v>
      </c>
      <c r="Z146" s="162">
        <f t="shared" si="19"/>
        <v>4.210015393386545</v>
      </c>
      <c r="AA146" s="144">
        <f t="shared" si="18"/>
        <v>0.78147514872385337</v>
      </c>
    </row>
    <row r="147" spans="1:32" ht="14.25" customHeight="1" x14ac:dyDescent="0.25">
      <c r="A147" s="32">
        <v>77</v>
      </c>
      <c r="B147" s="32" t="s">
        <v>267</v>
      </c>
      <c r="D147" s="32">
        <v>3.1909999999999998</v>
      </c>
      <c r="E147" s="162">
        <f t="shared" si="13"/>
        <v>1.553584229390681</v>
      </c>
      <c r="F147" s="144">
        <f t="shared" si="12"/>
        <v>0.84516898608349889</v>
      </c>
      <c r="G147" s="32">
        <v>5.0730000000000004</v>
      </c>
      <c r="H147" s="162">
        <f t="shared" si="14"/>
        <v>2.3967741935483873</v>
      </c>
      <c r="I147" s="144">
        <f t="shared" si="15"/>
        <v>1.3440424121935057</v>
      </c>
      <c r="Q147" s="76"/>
      <c r="S147" s="32">
        <v>76</v>
      </c>
      <c r="T147" s="32" t="s">
        <v>266</v>
      </c>
      <c r="V147" s="32">
        <v>92406.57</v>
      </c>
      <c r="W147" s="162">
        <f t="shared" si="16"/>
        <v>7.1666615083889891</v>
      </c>
      <c r="X147" s="144">
        <f t="shared" si="17"/>
        <v>1.7766694081201855</v>
      </c>
      <c r="Y147" s="32">
        <v>55639.254999999997</v>
      </c>
      <c r="Z147" s="162">
        <f t="shared" si="19"/>
        <v>4.1720927675517183</v>
      </c>
      <c r="AA147" s="144">
        <f t="shared" si="18"/>
        <v>0.76871055733750027</v>
      </c>
    </row>
    <row r="148" spans="1:32" ht="14.25" customHeight="1" x14ac:dyDescent="0.25">
      <c r="A148" s="32">
        <v>78</v>
      </c>
      <c r="B148" s="32" t="s">
        <v>268</v>
      </c>
      <c r="D148" s="32">
        <v>5.3010000000000002</v>
      </c>
      <c r="E148" s="162">
        <f t="shared" si="13"/>
        <v>2.4989247311827958</v>
      </c>
      <c r="F148" s="144">
        <f t="shared" si="12"/>
        <v>1.4044797879390325</v>
      </c>
      <c r="G148" s="32">
        <v>3.7240000000000002</v>
      </c>
      <c r="H148" s="162">
        <f t="shared" si="14"/>
        <v>1.7923835125448029</v>
      </c>
      <c r="I148" s="144">
        <f t="shared" si="15"/>
        <v>0.98645460569913856</v>
      </c>
      <c r="Q148" s="76"/>
      <c r="S148" s="32">
        <v>77</v>
      </c>
      <c r="T148" s="32" t="s">
        <v>267</v>
      </c>
      <c r="V148" s="32">
        <v>107853.621</v>
      </c>
      <c r="W148" s="162">
        <f t="shared" si="16"/>
        <v>8.4247695878807622</v>
      </c>
      <c r="X148" s="144">
        <f t="shared" si="17"/>
        <v>2.2001431312882089</v>
      </c>
      <c r="Y148" s="32">
        <v>59210.476999999999</v>
      </c>
      <c r="Z148" s="162">
        <f t="shared" si="19"/>
        <v>4.4629562632350543</v>
      </c>
      <c r="AA148" s="144">
        <f t="shared" si="18"/>
        <v>0.86661394851550289</v>
      </c>
      <c r="AF148" s="34"/>
    </row>
    <row r="149" spans="1:32" ht="14.25" customHeight="1" x14ac:dyDescent="0.25">
      <c r="A149" s="32">
        <v>79</v>
      </c>
      <c r="B149" s="32" t="s">
        <v>269</v>
      </c>
      <c r="D149" s="32">
        <v>4.9320000000000004</v>
      </c>
      <c r="E149" s="163">
        <f t="shared" si="13"/>
        <v>2.3336021505376343</v>
      </c>
      <c r="F149" s="144">
        <f t="shared" si="12"/>
        <v>1.3066666666666666</v>
      </c>
      <c r="G149" s="32">
        <v>3.4329999999999998</v>
      </c>
      <c r="H149" s="163">
        <f t="shared" si="14"/>
        <v>1.6620071684587812</v>
      </c>
      <c r="I149" s="144">
        <f t="shared" si="15"/>
        <v>0.9093174287607686</v>
      </c>
      <c r="Q149" s="76"/>
      <c r="S149" s="32">
        <v>78</v>
      </c>
      <c r="T149" s="32" t="s">
        <v>268</v>
      </c>
      <c r="V149" s="32">
        <v>163905.72700000001</v>
      </c>
      <c r="W149" s="162">
        <f t="shared" si="16"/>
        <v>12.990016859423362</v>
      </c>
      <c r="X149" s="144">
        <f t="shared" si="17"/>
        <v>3.7367855635057712</v>
      </c>
      <c r="Y149" s="32">
        <v>48507.77</v>
      </c>
      <c r="Z149" s="162">
        <f t="shared" si="19"/>
        <v>3.5912583482651894</v>
      </c>
      <c r="AA149" s="144">
        <f t="shared" si="18"/>
        <v>0.57320421087260454</v>
      </c>
      <c r="AF149" s="34"/>
    </row>
    <row r="150" spans="1:32" ht="14.25" customHeight="1" x14ac:dyDescent="0.25">
      <c r="E150" s="34"/>
      <c r="H150" s="34"/>
      <c r="Q150" s="76"/>
      <c r="S150" s="32">
        <v>79</v>
      </c>
      <c r="T150" s="32" t="s">
        <v>269</v>
      </c>
      <c r="V150" s="32">
        <v>154054.283</v>
      </c>
      <c r="W150" s="163">
        <f t="shared" si="16"/>
        <v>12.187651327577782</v>
      </c>
      <c r="X150" s="144">
        <f t="shared" si="17"/>
        <v>3.4667128053293856</v>
      </c>
      <c r="Y150" s="32">
        <v>49034.356</v>
      </c>
      <c r="Z150" s="163">
        <f t="shared" si="19"/>
        <v>3.6341469294673399</v>
      </c>
      <c r="AA150" s="144">
        <f t="shared" si="18"/>
        <v>0.58764032129835242</v>
      </c>
      <c r="AF150" s="34"/>
    </row>
    <row r="151" spans="1:32" ht="14.25" customHeight="1" x14ac:dyDescent="0.25">
      <c r="E151" s="34"/>
      <c r="H151" s="34"/>
      <c r="Q151" s="76"/>
      <c r="AF151" s="34"/>
    </row>
    <row r="152" spans="1:32" ht="14.25" customHeight="1" x14ac:dyDescent="0.25">
      <c r="E152" s="34"/>
      <c r="H152" s="34"/>
      <c r="Q152" s="76"/>
      <c r="R152" s="251" t="s">
        <v>409</v>
      </c>
      <c r="S152" s="252"/>
      <c r="T152" s="252"/>
      <c r="U152" s="252"/>
      <c r="V152" s="252"/>
      <c r="W152" s="252"/>
      <c r="X152" s="252"/>
      <c r="Y152" s="252"/>
      <c r="Z152" s="252"/>
      <c r="AA152" s="252"/>
      <c r="AB152" s="252"/>
      <c r="AC152" s="252"/>
      <c r="AD152" s="252"/>
    </row>
    <row r="153" spans="1:32" ht="14.25" customHeight="1" x14ac:dyDescent="0.25">
      <c r="E153" s="34"/>
      <c r="H153" s="34"/>
      <c r="Q153" s="76"/>
      <c r="R153" s="251"/>
      <c r="S153" s="252"/>
      <c r="T153" s="252"/>
      <c r="U153" s="252"/>
      <c r="V153" s="252"/>
      <c r="W153" s="252"/>
      <c r="X153" s="252"/>
      <c r="Y153" s="252"/>
      <c r="Z153" s="252"/>
      <c r="AA153" s="252"/>
      <c r="AB153" s="252"/>
      <c r="AC153" s="252"/>
      <c r="AD153" s="252"/>
    </row>
    <row r="154" spans="1:32" ht="14.25" customHeight="1" x14ac:dyDescent="0.25">
      <c r="Q154" s="76"/>
      <c r="R154" s="251"/>
      <c r="S154" s="252"/>
      <c r="T154" s="252"/>
      <c r="U154" s="252"/>
      <c r="V154" s="252"/>
      <c r="W154" s="252"/>
      <c r="X154" s="252"/>
      <c r="Y154" s="252"/>
      <c r="Z154" s="252"/>
      <c r="AA154" s="252"/>
      <c r="AB154" s="252"/>
      <c r="AC154" s="252"/>
      <c r="AD154" s="252"/>
    </row>
    <row r="155" spans="1:32" ht="14.25" customHeight="1" x14ac:dyDescent="0.25">
      <c r="Q155" s="76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</row>
    <row r="156" spans="1:32" ht="14.25" customHeight="1" x14ac:dyDescent="0.25">
      <c r="Q156" s="76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</row>
    <row r="157" spans="1:32" ht="14.25" customHeight="1" x14ac:dyDescent="0.25">
      <c r="Q157" s="76"/>
    </row>
    <row r="158" spans="1:32" ht="14.25" customHeight="1" x14ac:dyDescent="0.25">
      <c r="A158" s="32">
        <v>100</v>
      </c>
      <c r="B158" s="32">
        <v>10</v>
      </c>
      <c r="Q158" s="76"/>
    </row>
    <row r="159" spans="1:32" ht="14.25" customHeight="1" x14ac:dyDescent="0.25">
      <c r="A159" s="221" t="s">
        <v>337</v>
      </c>
      <c r="B159" s="221"/>
      <c r="C159" s="221"/>
      <c r="D159" s="221"/>
      <c r="E159" s="221"/>
      <c r="F159" s="221"/>
      <c r="G159" s="221"/>
      <c r="H159" s="221"/>
      <c r="I159" s="221"/>
      <c r="J159" s="221"/>
      <c r="K159" s="221"/>
      <c r="Q159" s="76"/>
    </row>
    <row r="160" spans="1:32" ht="14.25" customHeight="1" x14ac:dyDescent="0.25">
      <c r="A160" s="275" t="s">
        <v>293</v>
      </c>
      <c r="B160" s="275"/>
      <c r="C160" s="275"/>
      <c r="D160" s="275"/>
      <c r="E160" s="275"/>
      <c r="F160" s="275"/>
      <c r="G160" s="275"/>
      <c r="H160" s="275"/>
      <c r="I160" s="275"/>
      <c r="J160" s="275"/>
      <c r="K160" s="275"/>
      <c r="Q160" s="76"/>
    </row>
    <row r="161" spans="1:31" ht="23.25" customHeight="1" x14ac:dyDescent="0.25">
      <c r="A161" s="94" t="s">
        <v>292</v>
      </c>
      <c r="B161" s="218" t="s">
        <v>294</v>
      </c>
      <c r="C161" s="218"/>
      <c r="D161" s="218" t="s">
        <v>295</v>
      </c>
      <c r="E161" s="218"/>
      <c r="F161" s="268" t="s">
        <v>296</v>
      </c>
      <c r="G161" s="270"/>
      <c r="H161" s="95" t="s">
        <v>15</v>
      </c>
      <c r="I161" s="95" t="s">
        <v>16</v>
      </c>
      <c r="J161" s="95" t="s">
        <v>7</v>
      </c>
      <c r="K161" s="95" t="s">
        <v>2</v>
      </c>
      <c r="Q161" s="76"/>
    </row>
    <row r="162" spans="1:31" ht="14.25" customHeight="1" x14ac:dyDescent="0.25">
      <c r="A162" s="95"/>
      <c r="B162" s="96" t="s">
        <v>290</v>
      </c>
      <c r="C162" s="95" t="s">
        <v>291</v>
      </c>
      <c r="D162" s="96" t="s">
        <v>290</v>
      </c>
      <c r="E162" s="95" t="s">
        <v>291</v>
      </c>
      <c r="F162" s="96" t="s">
        <v>290</v>
      </c>
      <c r="G162" s="95" t="s">
        <v>291</v>
      </c>
      <c r="H162" s="96" t="s">
        <v>299</v>
      </c>
      <c r="I162" s="96" t="s">
        <v>304</v>
      </c>
      <c r="J162" s="96" t="s">
        <v>306</v>
      </c>
      <c r="K162" s="96" t="s">
        <v>290</v>
      </c>
      <c r="Q162" s="76"/>
    </row>
    <row r="163" spans="1:31" ht="14.25" customHeight="1" x14ac:dyDescent="0.25">
      <c r="A163" s="95" t="s">
        <v>289</v>
      </c>
      <c r="B163" s="95">
        <v>0</v>
      </c>
      <c r="C163" s="95">
        <v>0</v>
      </c>
      <c r="D163" s="95">
        <v>0</v>
      </c>
      <c r="E163" s="95">
        <v>0</v>
      </c>
      <c r="F163" s="95">
        <v>0</v>
      </c>
      <c r="G163" s="95">
        <v>0</v>
      </c>
      <c r="H163" s="95">
        <v>0</v>
      </c>
      <c r="I163" s="165">
        <v>0</v>
      </c>
      <c r="J163" s="95">
        <v>0</v>
      </c>
      <c r="K163" s="95">
        <v>0</v>
      </c>
      <c r="Q163" s="76"/>
    </row>
    <row r="164" spans="1:31" ht="14.25" customHeight="1" x14ac:dyDescent="0.25">
      <c r="A164" s="218" t="s">
        <v>132</v>
      </c>
      <c r="B164" s="98">
        <v>0.20002361553902467</v>
      </c>
      <c r="C164" s="98">
        <v>0.89904357066950069</v>
      </c>
      <c r="D164" s="98">
        <v>1.2453405017921146</v>
      </c>
      <c r="E164" s="98">
        <v>2.5240143369175625</v>
      </c>
      <c r="F164" s="98"/>
      <c r="G164" s="98"/>
      <c r="H164" s="98"/>
      <c r="I164" s="98">
        <v>0.23023212799408119</v>
      </c>
      <c r="J164" s="98"/>
      <c r="K164" s="98"/>
      <c r="Q164" s="76"/>
    </row>
    <row r="165" spans="1:31" ht="14.25" customHeight="1" x14ac:dyDescent="0.25">
      <c r="A165" s="218"/>
      <c r="B165" s="98">
        <v>0.20179478096587555</v>
      </c>
      <c r="C165" s="98">
        <v>0.90967056323060569</v>
      </c>
      <c r="D165" s="98">
        <v>1.6960573476702507</v>
      </c>
      <c r="E165" s="98">
        <v>3.0535842293906805</v>
      </c>
      <c r="F165" s="98"/>
      <c r="G165" s="98"/>
      <c r="H165" s="98"/>
      <c r="I165" s="98">
        <v>0.24253213724220846</v>
      </c>
      <c r="J165" s="98"/>
      <c r="K165" s="98"/>
      <c r="Q165" s="76"/>
    </row>
    <row r="166" spans="1:31" ht="14.25" customHeight="1" x14ac:dyDescent="0.25">
      <c r="A166" s="218" t="s">
        <v>135</v>
      </c>
      <c r="B166" s="98">
        <v>1.4051245719683553E-2</v>
      </c>
      <c r="C166" s="98">
        <v>0.20710827724642816</v>
      </c>
      <c r="D166" s="98">
        <v>1.5338709677419353</v>
      </c>
      <c r="E166" s="98">
        <v>2.0688172043010753</v>
      </c>
      <c r="F166" s="98"/>
      <c r="G166" s="98"/>
      <c r="H166" s="98"/>
      <c r="I166" s="98">
        <v>0.13825950245075372</v>
      </c>
      <c r="J166" s="98"/>
      <c r="K166" s="98"/>
      <c r="Q166" s="76"/>
    </row>
    <row r="167" spans="1:31" ht="14.25" customHeight="1" x14ac:dyDescent="0.25">
      <c r="A167" s="218"/>
      <c r="B167" s="98">
        <v>5.7858070610461703E-3</v>
      </c>
      <c r="C167" s="98">
        <v>0.22245837761246903</v>
      </c>
      <c r="D167" s="98">
        <v>1.5379032258064516</v>
      </c>
      <c r="E167" s="98">
        <v>2.2126344086021503</v>
      </c>
      <c r="F167" s="98"/>
      <c r="G167" s="98"/>
      <c r="H167" s="98"/>
      <c r="I167" s="98">
        <v>0.12776287801720151</v>
      </c>
      <c r="J167" s="98"/>
      <c r="K167" s="98"/>
      <c r="Q167" s="76"/>
    </row>
    <row r="168" spans="1:31" ht="14.25" customHeight="1" x14ac:dyDescent="0.25">
      <c r="A168" s="218" t="s">
        <v>136</v>
      </c>
      <c r="B168" s="98">
        <v>2.7039792183256587E-2</v>
      </c>
      <c r="C168" s="98">
        <v>0.16991380328255992</v>
      </c>
      <c r="D168" s="98">
        <v>1.3568996415770609</v>
      </c>
      <c r="E168" s="98">
        <v>2.1319892473118278</v>
      </c>
      <c r="F168" s="98"/>
      <c r="G168" s="98"/>
      <c r="H168" s="165">
        <v>0</v>
      </c>
      <c r="I168" s="98">
        <v>0.1458892074354943</v>
      </c>
      <c r="J168" s="98"/>
      <c r="K168" s="98"/>
      <c r="Q168" s="76"/>
    </row>
    <row r="169" spans="1:31" ht="14.25" customHeight="1" x14ac:dyDescent="0.25">
      <c r="A169" s="218"/>
      <c r="B169" s="98">
        <v>1.4641634195300509E-2</v>
      </c>
      <c r="C169" s="98">
        <v>0.15397331444090209</v>
      </c>
      <c r="D169" s="98">
        <v>1.553584229390681</v>
      </c>
      <c r="E169" s="98">
        <v>2.3967741935483873</v>
      </c>
      <c r="F169" s="98"/>
      <c r="G169" s="98"/>
      <c r="H169" s="165">
        <v>0</v>
      </c>
      <c r="I169" s="98">
        <v>0.12813280310737074</v>
      </c>
      <c r="J169" s="98"/>
      <c r="K169" s="98"/>
      <c r="Q169" s="76"/>
      <c r="U169" s="91"/>
    </row>
    <row r="170" spans="1:31" ht="14.25" customHeight="1" x14ac:dyDescent="0.25">
      <c r="A170" s="218" t="s">
        <v>134</v>
      </c>
      <c r="B170" s="98">
        <v>1.818396504900224E-2</v>
      </c>
      <c r="C170" s="98">
        <v>0.11855000590388474</v>
      </c>
      <c r="D170" s="98">
        <v>2.4989247311827958</v>
      </c>
      <c r="E170" s="98">
        <v>1.7923835125448029</v>
      </c>
      <c r="F170" s="98"/>
      <c r="G170" s="98"/>
      <c r="H170" s="98"/>
      <c r="I170" s="98">
        <v>0.3951262369370202</v>
      </c>
      <c r="J170" s="98"/>
      <c r="K170" s="98"/>
      <c r="Q170" s="76"/>
      <c r="V170" s="77"/>
      <c r="X170" s="77"/>
    </row>
    <row r="171" spans="1:31" ht="14.25" customHeight="1" x14ac:dyDescent="0.25">
      <c r="A171" s="218"/>
      <c r="B171" s="98">
        <v>2.1135907427087024E-2</v>
      </c>
      <c r="C171" s="98">
        <v>0.12976738694060691</v>
      </c>
      <c r="D171" s="98">
        <v>2.3336021505376343</v>
      </c>
      <c r="E171" s="98">
        <v>1.6620071684587812</v>
      </c>
      <c r="F171" s="98"/>
      <c r="G171" s="98"/>
      <c r="H171" s="98"/>
      <c r="I171" s="98">
        <v>0.4210209932488671</v>
      </c>
      <c r="J171" s="98"/>
      <c r="K171" s="98"/>
      <c r="Q171" s="76"/>
    </row>
    <row r="172" spans="1:31" ht="14.25" customHeight="1" x14ac:dyDescent="0.25">
      <c r="A172" s="218" t="s">
        <v>133</v>
      </c>
      <c r="B172" s="98">
        <v>0.20710827724642816</v>
      </c>
      <c r="C172" s="98">
        <v>4.4161057976148312E-2</v>
      </c>
      <c r="D172" s="98">
        <v>1.1203405017921149</v>
      </c>
      <c r="E172" s="98">
        <v>1.2198028673835126</v>
      </c>
      <c r="F172" s="98">
        <v>1.3237455197132615</v>
      </c>
      <c r="G172" s="98">
        <v>0.36944444444444441</v>
      </c>
      <c r="H172" s="98"/>
      <c r="I172" s="98">
        <v>0.14223619717007305</v>
      </c>
      <c r="J172" s="98">
        <v>1.6754368461560387</v>
      </c>
      <c r="K172" s="98">
        <v>0.65993623804463342</v>
      </c>
      <c r="Q172" s="76"/>
      <c r="Z172" s="77"/>
      <c r="AB172" s="77"/>
      <c r="AC172" s="77"/>
      <c r="AD172" s="77"/>
      <c r="AE172" s="77"/>
    </row>
    <row r="173" spans="1:31" ht="14.25" customHeight="1" x14ac:dyDescent="0.25">
      <c r="A173" s="218"/>
      <c r="B173" s="98">
        <v>0.21950643523438423</v>
      </c>
      <c r="C173" s="98">
        <v>5.7739992915338295E-2</v>
      </c>
      <c r="D173" s="98">
        <v>0.86451612903225794</v>
      </c>
      <c r="E173" s="98">
        <v>1.2094982078853047</v>
      </c>
      <c r="F173" s="98">
        <v>1.2556451612903226</v>
      </c>
      <c r="G173" s="98">
        <v>0.30403225806451617</v>
      </c>
      <c r="H173" s="98"/>
      <c r="I173" s="98">
        <v>0.16785350966429297</v>
      </c>
      <c r="J173" s="98">
        <v>1.5591345742709728</v>
      </c>
      <c r="K173" s="98">
        <v>0.57432990908017478</v>
      </c>
      <c r="Q173" s="76"/>
      <c r="Z173" s="77"/>
      <c r="AB173" s="77"/>
      <c r="AC173" s="108"/>
      <c r="AD173" s="77"/>
      <c r="AE173" s="77"/>
    </row>
    <row r="174" spans="1:31" ht="14.25" customHeight="1" x14ac:dyDescent="0.25">
      <c r="A174" s="218" t="s">
        <v>131</v>
      </c>
      <c r="B174" s="98"/>
      <c r="C174" s="98"/>
      <c r="D174" s="98"/>
      <c r="E174" s="98"/>
      <c r="F174" s="98">
        <v>1.4236559139784946</v>
      </c>
      <c r="G174" s="98">
        <v>0.47786738351254476</v>
      </c>
      <c r="H174" s="98"/>
      <c r="I174" s="98"/>
      <c r="J174" s="98">
        <v>1.7857529716940792</v>
      </c>
      <c r="K174" s="98">
        <v>0.7437714015822412</v>
      </c>
      <c r="Q174" s="76"/>
      <c r="Z174" s="77"/>
      <c r="AB174" s="77"/>
      <c r="AD174" s="77"/>
      <c r="AE174" s="77"/>
    </row>
    <row r="175" spans="1:31" ht="27.75" customHeight="1" x14ac:dyDescent="0.25">
      <c r="A175" s="218"/>
      <c r="B175" s="98"/>
      <c r="C175" s="98"/>
      <c r="D175" s="98"/>
      <c r="E175" s="98"/>
      <c r="F175" s="98">
        <v>1.4370967741935483</v>
      </c>
      <c r="G175" s="98">
        <v>0.56120071684587802</v>
      </c>
      <c r="H175" s="98"/>
      <c r="I175" s="98"/>
      <c r="J175" s="98">
        <v>1.8111228300219491</v>
      </c>
      <c r="K175" s="98">
        <v>0.84886055024205931</v>
      </c>
      <c r="Z175" s="77"/>
      <c r="AB175" s="77"/>
      <c r="AD175" s="77"/>
      <c r="AE175" s="77"/>
    </row>
    <row r="176" spans="1:31" ht="14.25" customHeight="1" x14ac:dyDescent="0.25">
      <c r="A176" s="218" t="s">
        <v>309</v>
      </c>
      <c r="B176" s="98">
        <v>0.81676983680360149</v>
      </c>
      <c r="C176" s="98">
        <v>1.319227161883324</v>
      </c>
      <c r="D176" s="98">
        <v>1.066621303971298</v>
      </c>
      <c r="E176" s="98">
        <v>0.53464060373623645</v>
      </c>
      <c r="F176" s="98"/>
      <c r="G176" s="98"/>
      <c r="H176" s="98">
        <v>0</v>
      </c>
      <c r="I176" s="98">
        <v>0.56415572253076329</v>
      </c>
      <c r="J176" s="98">
        <v>3.5050827766482722</v>
      </c>
      <c r="K176" s="98">
        <v>0.40705308572500459</v>
      </c>
      <c r="Z176" s="77"/>
      <c r="AB176" s="77"/>
      <c r="AD176" s="77"/>
      <c r="AE176" s="77"/>
    </row>
    <row r="177" spans="1:31" ht="14.25" customHeight="1" x14ac:dyDescent="0.25">
      <c r="A177" s="218"/>
      <c r="B177" s="98">
        <v>0.77028700056274602</v>
      </c>
      <c r="C177" s="98">
        <v>0.93629712999437265</v>
      </c>
      <c r="D177" s="98">
        <v>1.0325992824446368</v>
      </c>
      <c r="E177" s="98">
        <v>0.59093158480762087</v>
      </c>
      <c r="F177" s="98"/>
      <c r="G177" s="98"/>
      <c r="H177" s="98">
        <v>0</v>
      </c>
      <c r="I177" s="98">
        <v>0.68323685070238482</v>
      </c>
      <c r="J177" s="98">
        <v>3.8052086358795623</v>
      </c>
      <c r="K177" s="98">
        <v>0.42768711311198643</v>
      </c>
      <c r="AB177" s="77"/>
      <c r="AD177" s="77"/>
      <c r="AE177" s="77"/>
    </row>
    <row r="178" spans="1:31" ht="14.25" customHeight="1" x14ac:dyDescent="0.25">
      <c r="A178" s="221" t="s">
        <v>300</v>
      </c>
      <c r="B178" s="221"/>
      <c r="C178" s="221"/>
      <c r="D178" s="221"/>
      <c r="E178" s="221"/>
      <c r="F178" s="221"/>
      <c r="G178" s="221"/>
      <c r="H178" s="221"/>
      <c r="I178" s="221"/>
      <c r="J178" s="221"/>
      <c r="K178" s="221"/>
      <c r="AD178" s="77"/>
      <c r="AE178" s="77"/>
    </row>
    <row r="179" spans="1:31" ht="14.25" customHeight="1" x14ac:dyDescent="0.25">
      <c r="A179" s="221" t="s">
        <v>406</v>
      </c>
      <c r="B179" s="221"/>
      <c r="C179" s="221"/>
      <c r="D179" s="221"/>
      <c r="E179" s="221"/>
      <c r="F179" s="221"/>
      <c r="G179" s="221"/>
      <c r="H179" s="221"/>
      <c r="I179" s="221"/>
      <c r="J179" s="221"/>
      <c r="K179" s="221"/>
      <c r="Z179" s="77"/>
      <c r="AD179" s="77"/>
      <c r="AE179" s="77"/>
    </row>
    <row r="180" spans="1:31" ht="14.25" customHeight="1" x14ac:dyDescent="0.25">
      <c r="A180" s="221" t="s">
        <v>307</v>
      </c>
      <c r="B180" s="221"/>
      <c r="C180" s="221"/>
      <c r="D180" s="221"/>
      <c r="E180" s="221"/>
      <c r="F180" s="221"/>
      <c r="G180" s="221"/>
      <c r="H180" s="221"/>
      <c r="I180" s="221"/>
      <c r="J180" s="221"/>
      <c r="K180" s="221"/>
      <c r="Z180" s="77"/>
      <c r="AB180" s="77"/>
      <c r="AD180" s="77"/>
      <c r="AE180" s="77"/>
    </row>
    <row r="181" spans="1:31" ht="14.25" customHeight="1" x14ac:dyDescent="0.25">
      <c r="H181" s="32">
        <v>50</v>
      </c>
      <c r="Z181" s="77"/>
      <c r="AB181" s="77"/>
      <c r="AD181" s="77"/>
      <c r="AE181" s="77"/>
    </row>
    <row r="182" spans="1:31" ht="14.25" customHeight="1" x14ac:dyDescent="0.25">
      <c r="Z182" s="34"/>
      <c r="AB182" s="77"/>
    </row>
    <row r="183" spans="1:31" ht="14.25" customHeight="1" x14ac:dyDescent="0.25">
      <c r="A183" s="221" t="s">
        <v>338</v>
      </c>
      <c r="B183" s="221"/>
      <c r="C183" s="221"/>
      <c r="D183" s="221"/>
      <c r="E183" s="221"/>
      <c r="F183" s="221"/>
      <c r="G183" s="221"/>
      <c r="H183" s="221"/>
      <c r="I183" s="221"/>
      <c r="J183" s="221"/>
      <c r="K183" s="221"/>
      <c r="Z183" s="34"/>
      <c r="AB183" s="77"/>
    </row>
    <row r="184" spans="1:31" ht="14.25" customHeight="1" x14ac:dyDescent="0.25">
      <c r="A184" s="275" t="s">
        <v>293</v>
      </c>
      <c r="B184" s="275"/>
      <c r="C184" s="275"/>
      <c r="D184" s="275"/>
      <c r="E184" s="275"/>
      <c r="F184" s="275"/>
      <c r="G184" s="275"/>
      <c r="H184" s="275"/>
      <c r="I184" s="275"/>
      <c r="J184" s="275"/>
      <c r="K184" s="275"/>
      <c r="V184" s="77"/>
      <c r="X184" s="77"/>
      <c r="Z184" s="34"/>
      <c r="AA184" s="34"/>
      <c r="AB184" s="77"/>
      <c r="AC184" s="77"/>
    </row>
    <row r="185" spans="1:31" ht="22.5" customHeight="1" x14ac:dyDescent="0.25">
      <c r="A185" s="94" t="s">
        <v>292</v>
      </c>
      <c r="B185" s="218" t="s">
        <v>294</v>
      </c>
      <c r="C185" s="218"/>
      <c r="D185" s="218" t="s">
        <v>295</v>
      </c>
      <c r="E185" s="218"/>
      <c r="F185" s="268" t="s">
        <v>296</v>
      </c>
      <c r="G185" s="270"/>
      <c r="H185" s="95" t="s">
        <v>15</v>
      </c>
      <c r="I185" s="95" t="s">
        <v>16</v>
      </c>
      <c r="J185" s="95" t="s">
        <v>7</v>
      </c>
      <c r="K185" s="95" t="s">
        <v>2</v>
      </c>
      <c r="Z185" s="77"/>
      <c r="AB185" s="77"/>
      <c r="AC185" s="77"/>
    </row>
    <row r="186" spans="1:31" ht="14.25" customHeight="1" x14ac:dyDescent="0.25">
      <c r="A186" s="95"/>
      <c r="B186" s="96" t="s">
        <v>290</v>
      </c>
      <c r="C186" s="95" t="s">
        <v>291</v>
      </c>
      <c r="D186" s="96" t="s">
        <v>290</v>
      </c>
      <c r="E186" s="95" t="s">
        <v>291</v>
      </c>
      <c r="F186" s="96" t="s">
        <v>290</v>
      </c>
      <c r="G186" s="95" t="s">
        <v>291</v>
      </c>
      <c r="H186" s="96" t="s">
        <v>299</v>
      </c>
      <c r="I186" s="96" t="s">
        <v>304</v>
      </c>
      <c r="J186" s="96" t="s">
        <v>306</v>
      </c>
      <c r="K186" s="96" t="s">
        <v>290</v>
      </c>
      <c r="Z186" s="77"/>
      <c r="AB186" s="77"/>
      <c r="AC186" s="108"/>
      <c r="AD186" s="108"/>
      <c r="AE186" s="108"/>
    </row>
    <row r="187" spans="1:31" ht="14.25" customHeight="1" x14ac:dyDescent="0.25">
      <c r="A187" s="95" t="s">
        <v>289</v>
      </c>
      <c r="B187" s="96">
        <v>0</v>
      </c>
      <c r="C187" s="95">
        <v>0</v>
      </c>
      <c r="D187" s="96">
        <v>0</v>
      </c>
      <c r="E187" s="95">
        <v>0</v>
      </c>
      <c r="F187" s="96">
        <v>0</v>
      </c>
      <c r="G187" s="95">
        <v>0</v>
      </c>
      <c r="H187" s="96">
        <v>0</v>
      </c>
      <c r="I187" s="164">
        <v>0</v>
      </c>
      <c r="J187" s="96">
        <v>0</v>
      </c>
      <c r="K187" s="96">
        <v>0</v>
      </c>
      <c r="Z187" s="77"/>
      <c r="AB187" s="77"/>
      <c r="AC187" s="108"/>
      <c r="AD187" s="108"/>
      <c r="AE187" s="108"/>
    </row>
    <row r="188" spans="1:31" ht="14.25" customHeight="1" x14ac:dyDescent="0.25">
      <c r="A188" s="218" t="s">
        <v>132</v>
      </c>
      <c r="B188" s="98">
        <v>1.6885279628087704</v>
      </c>
      <c r="C188" s="98">
        <v>2.809965769266352</v>
      </c>
      <c r="D188" s="98">
        <v>6.1553077862844106</v>
      </c>
      <c r="E188" s="98">
        <v>4.4681725036650919</v>
      </c>
      <c r="F188" s="97"/>
      <c r="G188" s="98"/>
      <c r="H188" s="97"/>
      <c r="I188" s="171">
        <v>0.47480159165168567</v>
      </c>
      <c r="J188" s="97"/>
      <c r="K188" s="97"/>
    </row>
    <row r="189" spans="1:31" ht="14.25" customHeight="1" x14ac:dyDescent="0.25">
      <c r="A189" s="218"/>
      <c r="B189" s="98">
        <v>1.9459802016837817</v>
      </c>
      <c r="C189" s="98">
        <v>3.1646287815709129</v>
      </c>
      <c r="D189" s="98">
        <v>8.114762094803714</v>
      </c>
      <c r="E189" s="98">
        <v>5.1924617201498613</v>
      </c>
      <c r="F189" s="97"/>
      <c r="G189" s="98"/>
      <c r="H189" s="97"/>
      <c r="I189" s="171">
        <v>0.52069798144500778</v>
      </c>
      <c r="J189" s="97"/>
      <c r="K189" s="97"/>
    </row>
    <row r="190" spans="1:31" ht="14.25" customHeight="1" x14ac:dyDescent="0.25">
      <c r="A190" s="218" t="s">
        <v>135</v>
      </c>
      <c r="B190" s="98">
        <v>0.43640785456563974</v>
      </c>
      <c r="C190" s="98">
        <v>1.0625112175039317</v>
      </c>
      <c r="D190" s="98">
        <v>8.2464744258022478</v>
      </c>
      <c r="E190" s="98">
        <v>4.1306558071347119</v>
      </c>
      <c r="F190" s="97"/>
      <c r="G190" s="98"/>
      <c r="H190" s="97"/>
      <c r="I190" s="171">
        <v>7.2425535773121455E-2</v>
      </c>
      <c r="J190" s="97"/>
      <c r="K190" s="97"/>
    </row>
    <row r="191" spans="1:31" ht="14.25" customHeight="1" x14ac:dyDescent="0.25">
      <c r="A191" s="218"/>
      <c r="B191" s="98">
        <v>0.42733139050791003</v>
      </c>
      <c r="C191" s="98">
        <v>1.1080417938754741</v>
      </c>
      <c r="D191" s="98">
        <v>8.2278207362762661</v>
      </c>
      <c r="E191" s="98">
        <v>4.210015393386545</v>
      </c>
      <c r="F191" s="97"/>
      <c r="G191" s="98"/>
      <c r="H191" s="97"/>
      <c r="I191" s="172">
        <v>0</v>
      </c>
      <c r="J191" s="97"/>
      <c r="K191" s="97"/>
    </row>
    <row r="192" spans="1:31" ht="14.25" customHeight="1" x14ac:dyDescent="0.25">
      <c r="A192" s="218" t="s">
        <v>136</v>
      </c>
      <c r="B192" s="98">
        <v>0.66690547229160879</v>
      </c>
      <c r="C192" s="98">
        <v>0.94048454991211017</v>
      </c>
      <c r="D192" s="98">
        <v>7.1666615083889891</v>
      </c>
      <c r="E192" s="98">
        <v>4.1720927675517183</v>
      </c>
      <c r="F192" s="97"/>
      <c r="G192" s="98"/>
      <c r="H192" s="165">
        <v>0</v>
      </c>
      <c r="I192" s="171">
        <v>0.13207201359195009</v>
      </c>
      <c r="J192" s="97"/>
      <c r="K192" s="97"/>
    </row>
    <row r="193" spans="1:32" ht="14.25" customHeight="1" x14ac:dyDescent="0.25">
      <c r="A193" s="218"/>
      <c r="B193" s="98">
        <v>0.55620536127301312</v>
      </c>
      <c r="C193" s="98">
        <v>0.87577238875011565</v>
      </c>
      <c r="D193" s="98">
        <v>8.4247695878807622</v>
      </c>
      <c r="E193" s="98">
        <v>4.4629562632350543</v>
      </c>
      <c r="F193" s="97"/>
      <c r="G193" s="98"/>
      <c r="H193" s="165">
        <v>0</v>
      </c>
      <c r="I193" s="172">
        <v>-3.1706915728774185E-5</v>
      </c>
      <c r="J193" s="97"/>
      <c r="K193" s="97"/>
    </row>
    <row r="194" spans="1:32" ht="14.25" customHeight="1" x14ac:dyDescent="0.25">
      <c r="A194" s="218" t="s">
        <v>134</v>
      </c>
      <c r="B194" s="98">
        <v>0.59806099084096576</v>
      </c>
      <c r="C194" s="98">
        <v>0.7923335877509482</v>
      </c>
      <c r="D194" s="98">
        <v>12.990016859423362</v>
      </c>
      <c r="E194" s="98">
        <v>3.5912583482651894</v>
      </c>
      <c r="F194" s="97"/>
      <c r="G194" s="98"/>
      <c r="H194" s="97"/>
      <c r="I194" s="173">
        <v>1.646209498837568</v>
      </c>
      <c r="J194" s="97"/>
      <c r="K194" s="97"/>
    </row>
    <row r="195" spans="1:32" ht="14.25" customHeight="1" x14ac:dyDescent="0.25">
      <c r="A195" s="218"/>
      <c r="B195" s="98">
        <v>0.68742113053936527</v>
      </c>
      <c r="C195" s="98">
        <v>0.842112707003423</v>
      </c>
      <c r="D195" s="98">
        <v>12.187651327577782</v>
      </c>
      <c r="E195" s="98">
        <v>3.6341469294673399</v>
      </c>
      <c r="F195" s="97"/>
      <c r="G195" s="98"/>
      <c r="H195" s="97"/>
      <c r="I195" s="171">
        <v>2.0923774297749822</v>
      </c>
      <c r="J195" s="97"/>
      <c r="K195" s="97"/>
      <c r="N195" s="109"/>
      <c r="O195" s="109"/>
      <c r="P195" s="109"/>
      <c r="Q195" s="109"/>
      <c r="R195" s="109"/>
      <c r="T195" s="109"/>
      <c r="U195" s="109"/>
      <c r="V195" s="109"/>
      <c r="W195" s="109"/>
      <c r="X195" s="109"/>
      <c r="Y195" s="109"/>
      <c r="Z195" s="111"/>
      <c r="AA195" s="111"/>
      <c r="AB195" s="111"/>
      <c r="AC195" s="111"/>
      <c r="AD195" s="111"/>
      <c r="AE195" s="111"/>
      <c r="AF195" s="71"/>
    </row>
    <row r="196" spans="1:32" ht="14.25" customHeight="1" x14ac:dyDescent="0.25">
      <c r="A196" s="218" t="s">
        <v>133</v>
      </c>
      <c r="B196" s="98">
        <v>2.1478083078915713</v>
      </c>
      <c r="C196" s="98">
        <v>0.23754683597002493</v>
      </c>
      <c r="D196" s="98">
        <v>5.7829267796057984</v>
      </c>
      <c r="E196" s="98">
        <v>2.2434789053591793</v>
      </c>
      <c r="F196" s="98">
        <v>2.199789868056687</v>
      </c>
      <c r="G196" s="165">
        <v>0</v>
      </c>
      <c r="H196" s="97"/>
      <c r="I196" s="172">
        <v>0</v>
      </c>
      <c r="J196" s="98">
        <v>2.5879768330402086</v>
      </c>
      <c r="K196" s="98">
        <v>0.96875302219015447</v>
      </c>
      <c r="N196" s="109"/>
      <c r="O196" s="109"/>
      <c r="Z196" s="111"/>
      <c r="AA196" s="111"/>
      <c r="AB196" s="111"/>
      <c r="AC196" s="111"/>
      <c r="AD196" s="111"/>
      <c r="AE196" s="111"/>
      <c r="AF196" s="71"/>
    </row>
    <row r="197" spans="1:32" ht="14.25" customHeight="1" x14ac:dyDescent="0.25">
      <c r="A197" s="218"/>
      <c r="B197" s="98">
        <v>2.2619757840688317</v>
      </c>
      <c r="C197" s="98">
        <v>0.24531351188824127</v>
      </c>
      <c r="D197" s="98">
        <v>4.6172052451539338</v>
      </c>
      <c r="E197" s="98">
        <v>2.2135649128522563</v>
      </c>
      <c r="F197" s="98">
        <v>2.349162159960906</v>
      </c>
      <c r="G197" s="165">
        <v>0</v>
      </c>
      <c r="H197" s="97"/>
      <c r="I197" s="171">
        <v>0.12196823308952186</v>
      </c>
      <c r="J197" s="98">
        <v>2.5683136939778035</v>
      </c>
      <c r="K197" s="98">
        <v>0.9008154533601691</v>
      </c>
      <c r="N197" s="112"/>
      <c r="T197" s="109"/>
      <c r="U197" s="109"/>
      <c r="V197" s="109"/>
      <c r="W197" s="109"/>
      <c r="X197" s="109"/>
      <c r="Y197" s="109"/>
      <c r="Z197" s="111"/>
      <c r="AA197" s="111"/>
      <c r="AB197" s="111"/>
      <c r="AC197" s="111"/>
      <c r="AD197" s="111"/>
      <c r="AE197" s="111"/>
      <c r="AF197" s="71"/>
    </row>
    <row r="198" spans="1:32" ht="14.25" customHeight="1" x14ac:dyDescent="0.25">
      <c r="A198" s="218" t="s">
        <v>131</v>
      </c>
      <c r="B198" s="97"/>
      <c r="C198" s="98"/>
      <c r="D198" s="97"/>
      <c r="E198" s="98"/>
      <c r="F198" s="98">
        <v>2.1967705652386385</v>
      </c>
      <c r="G198" s="98">
        <v>1.0545772927186819E-2</v>
      </c>
      <c r="H198" s="97"/>
      <c r="I198" s="174"/>
      <c r="J198" s="98">
        <v>2.8699695554612163</v>
      </c>
      <c r="K198" s="98">
        <v>1.0579225053481691</v>
      </c>
      <c r="N198" s="112"/>
      <c r="T198" s="109"/>
      <c r="U198" s="109"/>
      <c r="V198" s="109"/>
      <c r="W198" s="109"/>
      <c r="X198" s="109"/>
      <c r="Y198" s="109"/>
      <c r="Z198" s="111"/>
      <c r="AA198" s="111"/>
      <c r="AB198" s="111"/>
      <c r="AC198" s="111"/>
      <c r="AD198" s="111"/>
      <c r="AE198" s="111"/>
      <c r="AF198" s="71"/>
    </row>
    <row r="199" spans="1:32" ht="14.25" customHeight="1" x14ac:dyDescent="0.25">
      <c r="A199" s="218"/>
      <c r="B199" s="97"/>
      <c r="C199" s="98"/>
      <c r="D199" s="97"/>
      <c r="E199" s="98"/>
      <c r="F199" s="98">
        <v>2.3153366997882392</v>
      </c>
      <c r="G199" s="98">
        <v>4.9535429223000485E-2</v>
      </c>
      <c r="H199" s="97"/>
      <c r="I199" s="97"/>
      <c r="J199" s="98">
        <v>2.9996027048335252</v>
      </c>
      <c r="K199" s="98">
        <v>1.2535156141216979</v>
      </c>
      <c r="N199" s="112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11"/>
      <c r="AA199" s="111"/>
      <c r="AB199" s="111"/>
      <c r="AC199" s="111"/>
      <c r="AD199" s="111"/>
      <c r="AE199" s="111"/>
      <c r="AF199" s="71"/>
    </row>
    <row r="200" spans="1:32" ht="14.25" customHeight="1" x14ac:dyDescent="0.25">
      <c r="A200" s="218" t="s">
        <v>309</v>
      </c>
      <c r="B200" s="97"/>
      <c r="C200" s="98"/>
      <c r="D200" s="97"/>
      <c r="E200" s="98"/>
      <c r="F200" s="97"/>
      <c r="G200" s="98"/>
      <c r="H200" s="97"/>
      <c r="I200" s="97"/>
      <c r="J200" s="97"/>
      <c r="K200" s="97"/>
      <c r="N200" s="112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11"/>
      <c r="AA200" s="111"/>
      <c r="AB200" s="111"/>
      <c r="AC200" s="111"/>
      <c r="AD200" s="111"/>
      <c r="AE200" s="111"/>
      <c r="AF200" s="71"/>
    </row>
    <row r="201" spans="1:32" ht="14.25" customHeight="1" x14ac:dyDescent="0.25">
      <c r="A201" s="218"/>
      <c r="B201" s="97"/>
      <c r="C201" s="98"/>
      <c r="D201" s="97"/>
      <c r="E201" s="98"/>
      <c r="F201" s="97"/>
      <c r="G201" s="98"/>
      <c r="H201" s="97"/>
      <c r="I201" s="97"/>
      <c r="J201" s="97"/>
      <c r="K201" s="97"/>
      <c r="W201" s="109"/>
      <c r="X201" s="109"/>
      <c r="Y201" s="109"/>
      <c r="Z201" s="111"/>
      <c r="AA201" s="111"/>
      <c r="AB201" s="111"/>
      <c r="AC201" s="111"/>
      <c r="AD201" s="111"/>
      <c r="AE201" s="111"/>
      <c r="AF201" s="71"/>
    </row>
    <row r="202" spans="1:32" ht="14.25" customHeight="1" x14ac:dyDescent="0.25">
      <c r="W202" s="109"/>
      <c r="X202" s="109"/>
      <c r="Y202" s="109"/>
      <c r="Z202" s="111"/>
      <c r="AA202" s="111"/>
      <c r="AB202" s="111"/>
      <c r="AC202" s="111"/>
      <c r="AD202" s="111"/>
      <c r="AE202" s="111"/>
      <c r="AF202" s="71"/>
    </row>
    <row r="203" spans="1:32" ht="14.25" customHeight="1" x14ac:dyDescent="0.25">
      <c r="N203" s="112"/>
      <c r="AA203" s="111"/>
      <c r="AB203" s="111"/>
      <c r="AC203" s="111"/>
      <c r="AD203" s="111"/>
      <c r="AE203" s="111"/>
      <c r="AF203" s="71"/>
    </row>
    <row r="204" spans="1:32" ht="14.25" customHeight="1" x14ac:dyDescent="0.25">
      <c r="N204" s="112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11"/>
      <c r="AA204" s="111"/>
      <c r="AB204" s="111"/>
      <c r="AC204" s="111"/>
      <c r="AD204" s="111"/>
      <c r="AE204" s="111"/>
      <c r="AF204" s="71"/>
    </row>
    <row r="205" spans="1:32" ht="14.25" customHeight="1" x14ac:dyDescent="0.25">
      <c r="N205" s="112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11"/>
      <c r="AA205" s="111"/>
      <c r="AB205" s="111"/>
      <c r="AC205" s="111"/>
      <c r="AD205" s="111"/>
      <c r="AE205" s="111"/>
      <c r="AF205" s="71"/>
    </row>
    <row r="208" spans="1:32" ht="14.25" customHeight="1" x14ac:dyDescent="0.25">
      <c r="V208" s="41" t="s">
        <v>389</v>
      </c>
      <c r="W208" s="41"/>
      <c r="X208" s="41" t="s">
        <v>390</v>
      </c>
      <c r="Y208" s="41"/>
    </row>
    <row r="209" spans="1:29" s="114" customFormat="1" ht="129.75" x14ac:dyDescent="0.25">
      <c r="A209" s="113" t="s">
        <v>292</v>
      </c>
      <c r="B209" s="119" t="s">
        <v>367</v>
      </c>
      <c r="C209" s="119" t="s">
        <v>368</v>
      </c>
      <c r="D209" s="119" t="s">
        <v>369</v>
      </c>
      <c r="E209" s="119" t="s">
        <v>370</v>
      </c>
      <c r="F209" s="119" t="s">
        <v>371</v>
      </c>
      <c r="G209" s="119" t="s">
        <v>372</v>
      </c>
      <c r="H209" s="119" t="s">
        <v>373</v>
      </c>
      <c r="I209" s="119" t="s">
        <v>374</v>
      </c>
      <c r="J209" s="119" t="s">
        <v>375</v>
      </c>
      <c r="K209" s="119" t="s">
        <v>376</v>
      </c>
      <c r="L209" s="119" t="s">
        <v>377</v>
      </c>
      <c r="M209" s="119" t="s">
        <v>378</v>
      </c>
      <c r="N209" s="119" t="s">
        <v>379</v>
      </c>
      <c r="O209" s="119" t="s">
        <v>380</v>
      </c>
      <c r="P209" s="119" t="s">
        <v>381</v>
      </c>
      <c r="Q209" s="119" t="s">
        <v>382</v>
      </c>
      <c r="R209" s="119" t="s">
        <v>383</v>
      </c>
      <c r="S209" s="119" t="s">
        <v>384</v>
      </c>
      <c r="T209" s="119" t="s">
        <v>385</v>
      </c>
      <c r="U209" s="119" t="s">
        <v>386</v>
      </c>
      <c r="V209" s="119" t="s">
        <v>387</v>
      </c>
      <c r="W209" s="119" t="s">
        <v>388</v>
      </c>
      <c r="X209" s="119" t="s">
        <v>391</v>
      </c>
      <c r="Y209" s="119" t="s">
        <v>392</v>
      </c>
      <c r="Z209" s="119" t="s">
        <v>393</v>
      </c>
      <c r="AA209" s="119" t="s">
        <v>394</v>
      </c>
    </row>
    <row r="210" spans="1:29" s="41" customFormat="1" ht="12.75" x14ac:dyDescent="0.2">
      <c r="A210" s="120"/>
      <c r="B210" s="115" t="s">
        <v>347</v>
      </c>
      <c r="C210" s="115" t="s">
        <v>348</v>
      </c>
      <c r="D210" s="115" t="s">
        <v>349</v>
      </c>
      <c r="E210" s="115" t="s">
        <v>350</v>
      </c>
      <c r="F210" s="115" t="s">
        <v>351</v>
      </c>
      <c r="G210" s="115" t="s">
        <v>352</v>
      </c>
      <c r="H210" s="115" t="s">
        <v>353</v>
      </c>
      <c r="I210" s="115" t="s">
        <v>355</v>
      </c>
      <c r="J210" s="115" t="s">
        <v>356</v>
      </c>
      <c r="K210" s="115" t="s">
        <v>359</v>
      </c>
      <c r="L210" s="115" t="s">
        <v>360</v>
      </c>
      <c r="M210" s="42" t="s">
        <v>7</v>
      </c>
      <c r="N210" s="42" t="s">
        <v>17</v>
      </c>
      <c r="O210" s="42" t="s">
        <v>18</v>
      </c>
      <c r="P210" s="42" t="s">
        <v>361</v>
      </c>
      <c r="Q210" s="42" t="s">
        <v>362</v>
      </c>
      <c r="R210" s="42" t="s">
        <v>363</v>
      </c>
      <c r="S210" s="42" t="s">
        <v>2</v>
      </c>
      <c r="T210" s="42" t="s">
        <v>364</v>
      </c>
      <c r="U210" s="42" t="s">
        <v>15</v>
      </c>
      <c r="V210" s="42" t="s">
        <v>14</v>
      </c>
      <c r="W210" s="42" t="s">
        <v>13</v>
      </c>
      <c r="X210" s="42" t="s">
        <v>12</v>
      </c>
      <c r="Y210" s="42" t="s">
        <v>11</v>
      </c>
      <c r="Z210" s="42" t="s">
        <v>365</v>
      </c>
      <c r="AA210" s="42" t="s">
        <v>16</v>
      </c>
    </row>
    <row r="211" spans="1:29" s="114" customFormat="1" ht="12.75" x14ac:dyDescent="0.2">
      <c r="A211" s="115" t="s">
        <v>346</v>
      </c>
      <c r="B211" s="115">
        <v>187.09970000000001</v>
      </c>
      <c r="C211" s="115">
        <v>189.11539999999999</v>
      </c>
      <c r="D211" s="115">
        <v>201.11539999999999</v>
      </c>
      <c r="E211" s="115">
        <v>203.131</v>
      </c>
      <c r="F211" s="115">
        <v>201.11539999999999</v>
      </c>
      <c r="G211" s="115">
        <v>203.131</v>
      </c>
      <c r="H211" s="115">
        <v>201.11539999999999</v>
      </c>
      <c r="I211" s="115">
        <v>203.131</v>
      </c>
      <c r="J211" s="115">
        <v>215.131</v>
      </c>
      <c r="K211" s="115">
        <v>217.14670000000001</v>
      </c>
      <c r="L211" s="115">
        <v>215.131</v>
      </c>
      <c r="M211" s="115">
        <v>217.14670000000001</v>
      </c>
      <c r="N211" s="115">
        <v>175.09970000000001</v>
      </c>
      <c r="O211" s="115">
        <v>177.11539999999999</v>
      </c>
      <c r="P211" s="115">
        <v>189.11539999999999</v>
      </c>
      <c r="Q211" s="115">
        <v>191.131</v>
      </c>
      <c r="R211" s="115">
        <v>189.11539999999999</v>
      </c>
      <c r="S211" s="115">
        <v>191.131</v>
      </c>
      <c r="T211" s="115">
        <v>175.09970000000001</v>
      </c>
      <c r="U211" s="115">
        <v>177.11539999999999</v>
      </c>
      <c r="V211" s="115">
        <v>189.11539999999999</v>
      </c>
      <c r="W211" s="115">
        <v>191.131</v>
      </c>
      <c r="X211" s="115">
        <v>203.131</v>
      </c>
      <c r="Y211" s="115">
        <v>205.14670000000001</v>
      </c>
      <c r="Z211" s="115">
        <v>189.11539999999999</v>
      </c>
      <c r="AA211" s="115">
        <v>191.131</v>
      </c>
    </row>
    <row r="212" spans="1:29" ht="14.25" customHeight="1" x14ac:dyDescent="0.25">
      <c r="A212" s="218" t="s">
        <v>132</v>
      </c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117"/>
      <c r="M212" s="117"/>
      <c r="N212" s="117"/>
      <c r="O212" s="117"/>
      <c r="P212" s="42"/>
      <c r="Q212" s="42"/>
      <c r="R212" s="42"/>
      <c r="S212" s="117"/>
      <c r="T212" s="42"/>
      <c r="U212" s="117"/>
      <c r="V212" s="117">
        <f>AVERAGE(E164:E165)</f>
        <v>2.7887992831541215</v>
      </c>
      <c r="W212" s="117">
        <f>AVERAGE(D164:D165)</f>
        <v>1.4706989247311828</v>
      </c>
      <c r="X212" s="117">
        <f>AVERAGE(C164:C165)</f>
        <v>0.90435706695005313</v>
      </c>
      <c r="Y212" s="117">
        <f>AVERAGE(B164:B165)</f>
        <v>0.20090919825245013</v>
      </c>
      <c r="Z212" s="42"/>
      <c r="AA212" s="117">
        <f>AVERAGE(I164:I165)</f>
        <v>0.23638213261814484</v>
      </c>
      <c r="AC212" s="32" t="s">
        <v>497</v>
      </c>
    </row>
    <row r="213" spans="1:29" ht="14.25" customHeight="1" x14ac:dyDescent="0.2">
      <c r="A213" s="218"/>
      <c r="B213" s="42">
        <v>0</v>
      </c>
      <c r="C213" s="116">
        <f>AVERAGE(2.4,4.3)</f>
        <v>3.3499999999999996</v>
      </c>
      <c r="D213" s="42"/>
      <c r="E213" s="42"/>
      <c r="F213" s="42">
        <v>0</v>
      </c>
      <c r="G213" s="116">
        <v>1.6</v>
      </c>
      <c r="H213" s="42"/>
      <c r="I213" s="42"/>
      <c r="J213" s="42"/>
      <c r="K213" s="42"/>
      <c r="L213" s="117"/>
      <c r="M213" s="117"/>
      <c r="N213" s="117"/>
      <c r="O213" s="117"/>
      <c r="P213" s="42"/>
      <c r="Q213" s="42"/>
      <c r="R213" s="42"/>
      <c r="S213" s="117"/>
      <c r="T213" s="42"/>
      <c r="U213" s="117">
        <v>0</v>
      </c>
      <c r="V213" s="117">
        <f>AVERAGE(E188:E189)</f>
        <v>4.8303171119074761</v>
      </c>
      <c r="W213" s="117">
        <f>AVERAGE(D188:D189)</f>
        <v>7.1350349405440623</v>
      </c>
      <c r="X213" s="117">
        <f>AVERAGE(C188:C189)</f>
        <v>2.9872972754186327</v>
      </c>
      <c r="Y213" s="117">
        <f>AVERAGE(B188:B189)</f>
        <v>1.8172540822462762</v>
      </c>
      <c r="Z213" s="115" t="s">
        <v>366</v>
      </c>
      <c r="AA213" s="117">
        <f>AVERAGE(0.47,0.52,0.3,0.7)</f>
        <v>0.4975</v>
      </c>
      <c r="AC213" s="32" t="s">
        <v>498</v>
      </c>
    </row>
    <row r="214" spans="1:29" ht="14.25" customHeight="1" x14ac:dyDescent="0.25">
      <c r="A214" s="218" t="s">
        <v>135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117"/>
      <c r="M214" s="117"/>
      <c r="N214" s="117"/>
      <c r="O214" s="117"/>
      <c r="P214" s="42"/>
      <c r="Q214" s="42"/>
      <c r="R214" s="42"/>
      <c r="S214" s="117"/>
      <c r="T214" s="42"/>
      <c r="U214" s="117"/>
      <c r="V214" s="117">
        <f>AVERAGE(E166:E167)</f>
        <v>2.1407258064516128</v>
      </c>
      <c r="W214" s="117">
        <f>AVERAGE(D166:D167)</f>
        <v>1.5358870967741933</v>
      </c>
      <c r="X214" s="117">
        <f>AVERAGE(C166:C167)</f>
        <v>0.21478332742944861</v>
      </c>
      <c r="Y214" s="117">
        <f>AVERAGE(B166:B167)</f>
        <v>9.9185263903648624E-3</v>
      </c>
      <c r="Z214" s="42"/>
      <c r="AA214" s="117">
        <f>AVERAGE(I166:I167)</f>
        <v>0.13301119023397762</v>
      </c>
      <c r="AC214" s="32" t="s">
        <v>499</v>
      </c>
    </row>
    <row r="215" spans="1:29" ht="14.25" customHeight="1" x14ac:dyDescent="0.2">
      <c r="A215" s="218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117"/>
      <c r="M215" s="117"/>
      <c r="N215" s="117"/>
      <c r="O215" s="117"/>
      <c r="P215" s="42"/>
      <c r="Q215" s="42"/>
      <c r="R215" s="42"/>
      <c r="S215" s="117"/>
      <c r="T215" s="42"/>
      <c r="U215" s="117">
        <v>0</v>
      </c>
      <c r="V215" s="117">
        <f>AVERAGE(E190:E191)</f>
        <v>4.1703356002606284</v>
      </c>
      <c r="W215" s="117">
        <f>AVERAGE(D190:D191)</f>
        <v>8.237147581039256</v>
      </c>
      <c r="X215" s="117">
        <f>AVERAGE(C190:C191)</f>
        <v>1.0852765056897029</v>
      </c>
      <c r="Y215" s="117">
        <f>AVERAGE(B190:B191)</f>
        <v>0.43186962253677486</v>
      </c>
      <c r="Z215" s="115" t="s">
        <v>358</v>
      </c>
      <c r="AA215" s="116">
        <f>AVERAGE(0.07,0,0.1)</f>
        <v>5.6666666666666671E-2</v>
      </c>
      <c r="AC215" s="32" t="s">
        <v>500</v>
      </c>
    </row>
    <row r="216" spans="1:29" ht="14.25" customHeight="1" x14ac:dyDescent="0.25">
      <c r="A216" s="218" t="s">
        <v>136</v>
      </c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117"/>
      <c r="M216" s="117"/>
      <c r="N216" s="117"/>
      <c r="O216" s="117"/>
      <c r="P216" s="42"/>
      <c r="Q216" s="42"/>
      <c r="R216" s="42"/>
      <c r="S216" s="117"/>
      <c r="T216" s="42"/>
      <c r="U216" s="117">
        <f>AVERAGE(H168:H169)</f>
        <v>0</v>
      </c>
      <c r="V216" s="117">
        <f>AVERAGE(E168:E169)</f>
        <v>2.2643817204301078</v>
      </c>
      <c r="W216" s="117">
        <f>AVERAGE(D168:D169)</f>
        <v>1.4552419354838708</v>
      </c>
      <c r="X216" s="117">
        <f>AVERAGE(C168:C169)</f>
        <v>0.16194355886173101</v>
      </c>
      <c r="Y216" s="117">
        <f>AVERAGE(B168:B169)</f>
        <v>2.0840713189278548E-2</v>
      </c>
      <c r="Z216" s="42"/>
      <c r="AA216" s="117">
        <f>AVERAGE(I168:I169)</f>
        <v>0.13701100527143251</v>
      </c>
    </row>
    <row r="217" spans="1:29" ht="14.25" customHeight="1" x14ac:dyDescent="0.2">
      <c r="A217" s="218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117"/>
      <c r="M217" s="117"/>
      <c r="N217" s="117"/>
      <c r="O217" s="117"/>
      <c r="P217" s="42"/>
      <c r="Q217" s="42"/>
      <c r="R217" s="42"/>
      <c r="S217" s="117"/>
      <c r="T217" s="42"/>
      <c r="U217" s="117">
        <v>0</v>
      </c>
      <c r="V217" s="98">
        <f>AVERAGE(E192:E193)</f>
        <v>4.3175245153933863</v>
      </c>
      <c r="W217" s="117">
        <f>AVERAGE(D192:D193)</f>
        <v>7.7957155481348757</v>
      </c>
      <c r="X217" s="117">
        <f>AVERAGE(C192:C193)</f>
        <v>0.90812846933111291</v>
      </c>
      <c r="Y217" s="117">
        <f>AVERAGE(B192:B193)</f>
        <v>0.61155541678231096</v>
      </c>
      <c r="Z217" s="115">
        <v>0</v>
      </c>
      <c r="AA217" s="116">
        <v>0.1</v>
      </c>
    </row>
    <row r="218" spans="1:29" ht="14.25" customHeight="1" x14ac:dyDescent="0.25">
      <c r="A218" s="218" t="s">
        <v>134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117"/>
      <c r="M218" s="117"/>
      <c r="N218" s="117"/>
      <c r="O218" s="117"/>
      <c r="P218" s="42"/>
      <c r="Q218" s="42"/>
      <c r="R218" s="42"/>
      <c r="S218" s="117"/>
      <c r="T218" s="42"/>
      <c r="U218" s="117"/>
      <c r="V218" s="117">
        <f>AVERAGE(E170:E171)</f>
        <v>1.7271953405017921</v>
      </c>
      <c r="W218" s="117">
        <f>AVERAGE(D170:D171)</f>
        <v>2.4162634408602148</v>
      </c>
      <c r="X218" s="117">
        <f>AVERAGE(C170:C171)</f>
        <v>0.12415869642224583</v>
      </c>
      <c r="Y218" s="117">
        <f>AVERAGE(B170:B171)</f>
        <v>1.9659936238044632E-2</v>
      </c>
      <c r="Z218" s="42"/>
      <c r="AA218" s="117">
        <f>AVERAGE(I170:I171)</f>
        <v>0.40807361509294365</v>
      </c>
      <c r="AC218" s="32" t="s">
        <v>501</v>
      </c>
    </row>
    <row r="219" spans="1:29" ht="14.25" customHeight="1" x14ac:dyDescent="0.2">
      <c r="A219" s="218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117"/>
      <c r="M219" s="117"/>
      <c r="N219" s="117"/>
      <c r="O219" s="117"/>
      <c r="P219" s="42"/>
      <c r="Q219" s="42"/>
      <c r="R219" s="42"/>
      <c r="S219" s="117"/>
      <c r="T219" s="42"/>
      <c r="U219" s="117">
        <v>0</v>
      </c>
      <c r="V219" s="117">
        <f>AVERAGE(E194:E195)</f>
        <v>3.6127026388662644</v>
      </c>
      <c r="W219" s="117">
        <f>AVERAGE(D194:D195)</f>
        <v>12.588834093500573</v>
      </c>
      <c r="X219" s="117">
        <f>AVERAGE(C194:C195)</f>
        <v>0.8172231473771856</v>
      </c>
      <c r="Y219" s="117">
        <f>AVERAGE(B194:B195)</f>
        <v>0.64274106069016557</v>
      </c>
      <c r="Z219" s="115" t="s">
        <v>358</v>
      </c>
      <c r="AA219" s="117">
        <f>AVERAGE(1.65,2.09)</f>
        <v>1.8699999999999999</v>
      </c>
      <c r="AC219" s="32" t="s">
        <v>502</v>
      </c>
    </row>
    <row r="220" spans="1:29" ht="14.25" customHeight="1" x14ac:dyDescent="0.25">
      <c r="A220" s="218" t="s">
        <v>133</v>
      </c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117"/>
      <c r="M220" s="117">
        <f>AVERAGE(J172:J173)</f>
        <v>1.6172857102135056</v>
      </c>
      <c r="N220" s="117">
        <f>AVERAGE(G172:G173)</f>
        <v>0.33673835125448026</v>
      </c>
      <c r="O220" s="117">
        <f>AVERAGE(F172:F173)</f>
        <v>1.2896953405017921</v>
      </c>
      <c r="P220" s="42"/>
      <c r="Q220" s="42"/>
      <c r="R220" s="42"/>
      <c r="S220" s="117">
        <f>AVERAGE(K172:K173)</f>
        <v>0.6171330735624041</v>
      </c>
      <c r="T220" s="42"/>
      <c r="U220" s="117"/>
      <c r="V220" s="117">
        <f>AVERAGE(E172:E173)</f>
        <v>1.2146505376344088</v>
      </c>
      <c r="W220" s="117">
        <f>AVERAGE(D172:D173)</f>
        <v>0.99242831541218646</v>
      </c>
      <c r="X220" s="117">
        <f>AVERAGE(C172:C173)</f>
        <v>5.09505254457433E-2</v>
      </c>
      <c r="Y220" s="117">
        <f>AVERAGE(B172:B173)</f>
        <v>0.2133073562404062</v>
      </c>
      <c r="Z220" s="42"/>
      <c r="AA220" s="117">
        <f>AVERAGE(I172:I173)</f>
        <v>0.15504485341718299</v>
      </c>
    </row>
    <row r="221" spans="1:29" ht="14.25" customHeight="1" x14ac:dyDescent="0.2">
      <c r="A221" s="218"/>
      <c r="B221" s="42">
        <v>0</v>
      </c>
      <c r="C221" s="116">
        <v>4.05</v>
      </c>
      <c r="D221" s="42">
        <v>0</v>
      </c>
      <c r="E221" s="116">
        <v>0.5</v>
      </c>
      <c r="F221" s="42">
        <v>0</v>
      </c>
      <c r="G221" s="116">
        <v>0.65</v>
      </c>
      <c r="H221" s="115">
        <v>0</v>
      </c>
      <c r="I221" s="116">
        <v>3.5</v>
      </c>
      <c r="J221" s="115" t="s">
        <v>358</v>
      </c>
      <c r="K221" s="116">
        <v>1.2</v>
      </c>
      <c r="L221" s="115">
        <v>0</v>
      </c>
      <c r="M221" s="117">
        <f>AVERAGE(2.59,2.57,0.7,1.7)</f>
        <v>1.8900000000000001</v>
      </c>
      <c r="N221" s="171">
        <f>AVERAGE(G196:G197)</f>
        <v>0</v>
      </c>
      <c r="O221" s="117">
        <f>AVERAGE(F196:F197)</f>
        <v>2.2744760140087967</v>
      </c>
      <c r="P221" s="115" t="s">
        <v>358</v>
      </c>
      <c r="Q221" s="116">
        <v>0.1</v>
      </c>
      <c r="R221" s="115" t="s">
        <v>354</v>
      </c>
      <c r="S221" s="117">
        <f>AVERAGE(K196:K197)</f>
        <v>0.93478423777516184</v>
      </c>
      <c r="T221" s="42"/>
      <c r="U221" s="117"/>
      <c r="V221" s="117">
        <f>AVERAGE(E196:E197)</f>
        <v>2.2285219091057176</v>
      </c>
      <c r="W221" s="117">
        <f>AVERAGE(D196:D197)</f>
        <v>5.2000660123798657</v>
      </c>
      <c r="X221" s="117">
        <f>AVERAGE(C196:C197)</f>
        <v>0.2414301739291331</v>
      </c>
      <c r="Y221" s="117">
        <f>AVERAGE(B196:B197)</f>
        <v>2.2048920459802015</v>
      </c>
      <c r="Z221" s="42"/>
      <c r="AA221" s="117">
        <f>AVERAGE(I196:I197)</f>
        <v>6.0984116544760929E-2</v>
      </c>
      <c r="AC221" s="32" t="s">
        <v>503</v>
      </c>
    </row>
    <row r="222" spans="1:29" ht="14.25" customHeight="1" x14ac:dyDescent="0.25">
      <c r="A222" s="218" t="s">
        <v>131</v>
      </c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117"/>
      <c r="M222" s="117">
        <f>AVERAGE(J174:J175)</f>
        <v>1.7984379008580142</v>
      </c>
      <c r="N222" s="117">
        <f>AVERAGE(G174:G175)</f>
        <v>0.51953405017921139</v>
      </c>
      <c r="O222" s="117">
        <f>AVERAGE(F174:F175)</f>
        <v>1.4303763440860213</v>
      </c>
      <c r="P222" s="42"/>
      <c r="Q222" s="42"/>
      <c r="R222" s="42"/>
      <c r="S222" s="117">
        <f>AVERAGE(K174:K175)</f>
        <v>0.79631597591215031</v>
      </c>
      <c r="T222" s="42"/>
      <c r="U222" s="117"/>
      <c r="V222" s="117"/>
      <c r="W222" s="117"/>
      <c r="X222" s="117"/>
      <c r="Y222" s="117"/>
      <c r="Z222" s="42"/>
      <c r="AA222" s="117"/>
      <c r="AC222" s="32" t="s">
        <v>504</v>
      </c>
    </row>
    <row r="223" spans="1:29" ht="14.25" customHeight="1" x14ac:dyDescent="0.2">
      <c r="A223" s="218"/>
      <c r="B223" s="42"/>
      <c r="C223" s="42"/>
      <c r="D223" s="42">
        <v>0</v>
      </c>
      <c r="E223" s="116">
        <v>0.75</v>
      </c>
      <c r="F223" s="42"/>
      <c r="G223" s="42"/>
      <c r="H223" s="42"/>
      <c r="I223" s="42"/>
      <c r="J223" s="115" t="s">
        <v>357</v>
      </c>
      <c r="K223" s="116">
        <v>2.2000000000000002</v>
      </c>
      <c r="L223" s="115" t="s">
        <v>358</v>
      </c>
      <c r="M223" s="118">
        <f>AVERAGE(2.87,3,3.6,4.2)</f>
        <v>3.4175000000000004</v>
      </c>
      <c r="N223" s="171">
        <f>AVERAGE(G198:G199)</f>
        <v>3.0040601075093654E-2</v>
      </c>
      <c r="O223" s="117">
        <f>AVERAGE(F198:F199)</f>
        <v>2.2560536325134386</v>
      </c>
      <c r="P223" s="115" t="s">
        <v>357</v>
      </c>
      <c r="Q223" s="116">
        <v>1.2</v>
      </c>
      <c r="R223" s="42">
        <v>0</v>
      </c>
      <c r="S223" s="117">
        <f>AVERAGE(K198:K199)</f>
        <v>1.1557190597349334</v>
      </c>
      <c r="T223" s="42"/>
      <c r="U223" s="117"/>
      <c r="V223" s="117"/>
      <c r="W223" s="117"/>
      <c r="X223" s="117"/>
      <c r="Y223" s="117"/>
      <c r="Z223" s="42"/>
      <c r="AA223" s="117"/>
    </row>
    <row r="224" spans="1:29" ht="14.25" customHeight="1" x14ac:dyDescent="0.25">
      <c r="A224" s="218" t="s">
        <v>309</v>
      </c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117"/>
      <c r="M224" s="117">
        <f>AVERAGE(J176:J177)</f>
        <v>3.6551457062639172</v>
      </c>
      <c r="N224" s="117"/>
      <c r="O224" s="117"/>
      <c r="P224" s="42"/>
      <c r="Q224" s="42"/>
      <c r="R224" s="42"/>
      <c r="S224" s="117">
        <f>AVERAGE(K176:K177)</f>
        <v>0.41737009941849551</v>
      </c>
      <c r="T224" s="42"/>
      <c r="U224" s="117">
        <f>AVERAGE(H176:H177)</f>
        <v>0</v>
      </c>
      <c r="V224" s="117">
        <f>AVERAGE(E176:E177)</f>
        <v>0.56278609427192872</v>
      </c>
      <c r="W224" s="117">
        <f>AVERAGE(D176:D177)</f>
        <v>1.0496102932079674</v>
      </c>
      <c r="X224" s="117">
        <f>AVERAGE(C176:C177)</f>
        <v>1.1277621459388483</v>
      </c>
      <c r="Y224" s="117">
        <f>AVERAGE(B176:B177)</f>
        <v>0.7935284186831737</v>
      </c>
      <c r="Z224" s="42"/>
      <c r="AA224" s="117">
        <f>AVERAGE(I176:I177)</f>
        <v>0.62369628661657406</v>
      </c>
      <c r="AC224" s="32" t="s">
        <v>505</v>
      </c>
    </row>
    <row r="225" spans="1:27" ht="14.25" customHeight="1" x14ac:dyDescent="0.2">
      <c r="A225" s="218"/>
      <c r="B225" s="42">
        <v>0</v>
      </c>
      <c r="C225" s="116">
        <v>2.9</v>
      </c>
      <c r="D225" s="42">
        <v>0</v>
      </c>
      <c r="E225" s="116">
        <v>0.5</v>
      </c>
      <c r="F225" s="42">
        <v>0</v>
      </c>
      <c r="G225" s="116">
        <v>2.4</v>
      </c>
      <c r="H225" s="115" t="s">
        <v>354</v>
      </c>
      <c r="I225" s="116">
        <v>4.3</v>
      </c>
      <c r="J225" s="115" t="s">
        <v>357</v>
      </c>
      <c r="K225" s="116">
        <v>3.7</v>
      </c>
      <c r="L225" s="115" t="s">
        <v>357</v>
      </c>
      <c r="M225" s="117">
        <v>4.5</v>
      </c>
      <c r="N225" s="117"/>
      <c r="O225" s="117"/>
      <c r="P225" s="115" t="s">
        <v>357</v>
      </c>
      <c r="Q225" s="116">
        <v>1.5</v>
      </c>
      <c r="R225" s="115" t="s">
        <v>358</v>
      </c>
      <c r="S225" s="117"/>
      <c r="T225" s="42"/>
      <c r="U225" s="117">
        <v>0</v>
      </c>
      <c r="V225" s="117"/>
      <c r="W225" s="117"/>
      <c r="X225" s="117"/>
      <c r="Y225" s="117"/>
      <c r="Z225" s="115" t="s">
        <v>358</v>
      </c>
      <c r="AA225" s="117">
        <v>0.9</v>
      </c>
    </row>
    <row r="226" spans="1:27" ht="14.25" customHeight="1" x14ac:dyDescent="0.25">
      <c r="A226" s="32" t="s">
        <v>345</v>
      </c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</row>
    <row r="227" spans="1:27" ht="14.25" customHeight="1" x14ac:dyDescent="0.25">
      <c r="A227" s="32" t="s">
        <v>410</v>
      </c>
    </row>
    <row r="229" spans="1:27" ht="14.25" customHeight="1" x14ac:dyDescent="0.25">
      <c r="A229" s="109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</row>
    <row r="230" spans="1:27" ht="127.5" x14ac:dyDescent="0.25">
      <c r="A230" s="109"/>
      <c r="B230" s="109"/>
      <c r="C230" s="109"/>
      <c r="D230" s="119" t="s">
        <v>369</v>
      </c>
      <c r="E230" s="119" t="s">
        <v>370</v>
      </c>
      <c r="F230" s="119" t="s">
        <v>371</v>
      </c>
      <c r="G230" s="119" t="s">
        <v>372</v>
      </c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</row>
    <row r="231" spans="1:27" ht="14.25" customHeight="1" x14ac:dyDescent="0.25">
      <c r="A231" s="109"/>
      <c r="B231" s="109"/>
      <c r="C231" s="109"/>
      <c r="D231" s="179" t="s">
        <v>349</v>
      </c>
      <c r="E231" s="179" t="s">
        <v>350</v>
      </c>
      <c r="F231" s="179" t="s">
        <v>351</v>
      </c>
      <c r="G231" s="179" t="s">
        <v>352</v>
      </c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</row>
    <row r="232" spans="1:27" ht="14.25" customHeight="1" x14ac:dyDescent="0.25">
      <c r="A232" s="243" t="s">
        <v>474</v>
      </c>
      <c r="B232" s="243"/>
      <c r="C232" s="244"/>
      <c r="D232" s="180">
        <v>0</v>
      </c>
      <c r="E232" s="180">
        <v>0.5</v>
      </c>
      <c r="F232" s="180">
        <v>0</v>
      </c>
      <c r="G232" s="180">
        <v>2.4</v>
      </c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</row>
    <row r="233" spans="1:27" ht="14.25" customHeight="1" x14ac:dyDescent="0.25">
      <c r="A233" s="245" t="s">
        <v>475</v>
      </c>
      <c r="B233" s="245"/>
      <c r="C233" s="246"/>
      <c r="D233" s="181">
        <v>0.3</v>
      </c>
      <c r="E233" s="181">
        <v>1.7</v>
      </c>
      <c r="F233" s="54">
        <v>0.5</v>
      </c>
      <c r="G233" s="54">
        <v>5.8</v>
      </c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</row>
    <row r="234" spans="1:27" ht="14.25" customHeight="1" x14ac:dyDescent="0.25">
      <c r="A234" s="109"/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</row>
    <row r="235" spans="1:27" ht="14.25" customHeight="1" x14ac:dyDescent="0.25">
      <c r="A235" s="109"/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</row>
    <row r="236" spans="1:27" ht="14.25" customHeight="1" x14ac:dyDescent="0.25">
      <c r="A236" s="109"/>
      <c r="B236" s="109"/>
      <c r="C236" s="109"/>
      <c r="D236" s="247" t="s">
        <v>492</v>
      </c>
      <c r="E236" s="247"/>
      <c r="F236" s="247"/>
      <c r="G236" s="247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</row>
    <row r="237" spans="1:27" ht="14.25" customHeight="1" x14ac:dyDescent="0.25">
      <c r="A237" s="109"/>
      <c r="B237" s="109"/>
      <c r="C237" s="109"/>
      <c r="D237" s="179" t="s">
        <v>349</v>
      </c>
      <c r="E237" s="179" t="s">
        <v>350</v>
      </c>
      <c r="F237" s="179" t="s">
        <v>351</v>
      </c>
      <c r="G237" s="179" t="s">
        <v>352</v>
      </c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</row>
    <row r="238" spans="1:27" ht="14.25" customHeight="1" x14ac:dyDescent="0.25">
      <c r="A238" s="243" t="s">
        <v>474</v>
      </c>
      <c r="B238" s="243"/>
      <c r="C238" s="244"/>
      <c r="D238" s="180">
        <v>0</v>
      </c>
      <c r="E238" s="180">
        <v>0.5</v>
      </c>
      <c r="F238" s="180">
        <v>0</v>
      </c>
      <c r="G238" s="180">
        <v>2.4</v>
      </c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</row>
    <row r="239" spans="1:27" ht="14.25" customHeight="1" x14ac:dyDescent="0.25">
      <c r="A239" s="245" t="s">
        <v>475</v>
      </c>
      <c r="B239" s="245"/>
      <c r="C239" s="246"/>
      <c r="D239" s="181">
        <v>0.3</v>
      </c>
      <c r="E239" s="181">
        <v>1.7</v>
      </c>
      <c r="F239" s="54">
        <v>0.5</v>
      </c>
      <c r="G239" s="54">
        <v>5.8</v>
      </c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</row>
    <row r="240" spans="1:27" ht="14.25" customHeight="1" x14ac:dyDescent="0.25">
      <c r="A240" s="109"/>
      <c r="B240" s="109"/>
      <c r="C240" s="109"/>
      <c r="D240" s="109"/>
      <c r="E240" s="110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</row>
    <row r="241" spans="1:27" ht="14.25" customHeight="1" x14ac:dyDescent="0.25">
      <c r="A241" s="109"/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</row>
    <row r="242" spans="1:27" ht="14.25" customHeight="1" x14ac:dyDescent="0.25">
      <c r="A242" s="1"/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</row>
    <row r="243" spans="1:27" ht="14.25" customHeight="1" thickBot="1" x14ac:dyDescent="0.3">
      <c r="A243" s="1"/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</row>
    <row r="244" spans="1:27" ht="14.25" customHeight="1" thickBot="1" x14ac:dyDescent="0.3">
      <c r="A244" s="209" t="s">
        <v>549</v>
      </c>
      <c r="B244" s="206" t="s">
        <v>347</v>
      </c>
      <c r="C244" s="210" t="s">
        <v>348</v>
      </c>
      <c r="D244" s="206" t="s">
        <v>349</v>
      </c>
      <c r="E244" s="210" t="s">
        <v>350</v>
      </c>
      <c r="F244" s="206" t="s">
        <v>351</v>
      </c>
      <c r="G244" s="210" t="s">
        <v>352</v>
      </c>
      <c r="H244" s="206" t="s">
        <v>353</v>
      </c>
      <c r="I244" s="210" t="s">
        <v>355</v>
      </c>
      <c r="J244" s="206" t="s">
        <v>356</v>
      </c>
      <c r="K244" s="210" t="s">
        <v>359</v>
      </c>
      <c r="L244" s="206" t="s">
        <v>360</v>
      </c>
      <c r="M244" s="210" t="s">
        <v>7</v>
      </c>
      <c r="N244" s="206" t="s">
        <v>17</v>
      </c>
      <c r="O244" s="210" t="s">
        <v>18</v>
      </c>
      <c r="P244" s="206" t="s">
        <v>361</v>
      </c>
      <c r="Q244" s="210" t="s">
        <v>362</v>
      </c>
      <c r="R244" s="206" t="s">
        <v>363</v>
      </c>
      <c r="S244" s="208" t="s">
        <v>2</v>
      </c>
      <c r="T244" s="207" t="s">
        <v>364</v>
      </c>
      <c r="U244" s="208" t="s">
        <v>548</v>
      </c>
      <c r="V244" s="207" t="s">
        <v>14</v>
      </c>
      <c r="W244" s="208" t="s">
        <v>13</v>
      </c>
      <c r="X244" s="207" t="s">
        <v>12</v>
      </c>
      <c r="Y244" s="208" t="s">
        <v>11</v>
      </c>
      <c r="Z244" s="207" t="s">
        <v>365</v>
      </c>
      <c r="AA244" s="208" t="s">
        <v>16</v>
      </c>
    </row>
    <row r="245" spans="1:27" ht="14.25" customHeight="1" x14ac:dyDescent="0.25">
      <c r="A245" s="186" t="s">
        <v>506</v>
      </c>
      <c r="B245" s="196" t="s">
        <v>538</v>
      </c>
      <c r="C245" s="211" t="s">
        <v>513</v>
      </c>
      <c r="D245" s="187"/>
      <c r="E245" s="212"/>
      <c r="F245" s="196" t="s">
        <v>538</v>
      </c>
      <c r="G245" s="211" t="s">
        <v>518</v>
      </c>
      <c r="H245" s="187"/>
      <c r="I245" s="212"/>
      <c r="J245" s="187"/>
      <c r="K245" s="212"/>
      <c r="L245" s="187"/>
      <c r="M245" s="212"/>
      <c r="N245" s="187"/>
      <c r="O245" s="212"/>
      <c r="P245" s="187"/>
      <c r="Q245" s="212"/>
      <c r="R245" s="187"/>
      <c r="S245" s="195"/>
      <c r="T245" s="186"/>
      <c r="U245" s="215" t="s">
        <v>538</v>
      </c>
      <c r="V245" s="198"/>
      <c r="W245" s="204" t="s">
        <v>531</v>
      </c>
      <c r="X245" s="198"/>
      <c r="Y245" s="199" t="s">
        <v>535</v>
      </c>
      <c r="Z245" s="203"/>
      <c r="AA245" s="204" t="s">
        <v>516</v>
      </c>
    </row>
    <row r="246" spans="1:27" ht="14.25" customHeight="1" x14ac:dyDescent="0.25">
      <c r="A246" s="186" t="s">
        <v>507</v>
      </c>
      <c r="B246" s="187"/>
      <c r="C246" s="212"/>
      <c r="D246" s="187"/>
      <c r="E246" s="212"/>
      <c r="F246" s="187"/>
      <c r="G246" s="212"/>
      <c r="H246" s="187"/>
      <c r="I246" s="212"/>
      <c r="J246" s="187"/>
      <c r="K246" s="212"/>
      <c r="L246" s="187"/>
      <c r="M246" s="212"/>
      <c r="N246" s="187"/>
      <c r="O246" s="212"/>
      <c r="P246" s="187"/>
      <c r="Q246" s="212"/>
      <c r="R246" s="187"/>
      <c r="S246" s="195"/>
      <c r="T246" s="186"/>
      <c r="U246" s="215" t="s">
        <v>538</v>
      </c>
      <c r="V246" s="198"/>
      <c r="W246" s="204" t="s">
        <v>532</v>
      </c>
      <c r="X246" s="198"/>
      <c r="Y246" s="199" t="s">
        <v>536</v>
      </c>
      <c r="Z246" s="203"/>
      <c r="AA246" s="199" t="s">
        <v>529</v>
      </c>
    </row>
    <row r="247" spans="1:27" ht="14.25" customHeight="1" x14ac:dyDescent="0.25">
      <c r="A247" s="186" t="s">
        <v>508</v>
      </c>
      <c r="B247" s="187"/>
      <c r="C247" s="212"/>
      <c r="D247" s="187"/>
      <c r="E247" s="212"/>
      <c r="F247" s="187"/>
      <c r="G247" s="212"/>
      <c r="H247" s="187"/>
      <c r="I247" s="212"/>
      <c r="J247" s="187"/>
      <c r="K247" s="212"/>
      <c r="L247" s="187"/>
      <c r="M247" s="212"/>
      <c r="N247" s="187"/>
      <c r="O247" s="212"/>
      <c r="P247" s="187"/>
      <c r="Q247" s="212"/>
      <c r="R247" s="187"/>
      <c r="S247" s="195"/>
      <c r="T247" s="186"/>
      <c r="U247" s="215" t="s">
        <v>538</v>
      </c>
      <c r="V247" s="198"/>
      <c r="W247" s="204" t="s">
        <v>533</v>
      </c>
      <c r="X247" s="198"/>
      <c r="Y247" s="199" t="s">
        <v>537</v>
      </c>
      <c r="Z247" s="197" t="s">
        <v>538</v>
      </c>
      <c r="AA247" s="199" t="s">
        <v>529</v>
      </c>
    </row>
    <row r="248" spans="1:27" ht="14.25" customHeight="1" x14ac:dyDescent="0.25">
      <c r="A248" s="186" t="s">
        <v>509</v>
      </c>
      <c r="B248" s="187"/>
      <c r="C248" s="212"/>
      <c r="D248" s="187"/>
      <c r="E248" s="212"/>
      <c r="F248" s="187"/>
      <c r="G248" s="212"/>
      <c r="H248" s="187"/>
      <c r="I248" s="212"/>
      <c r="J248" s="187"/>
      <c r="K248" s="212"/>
      <c r="L248" s="187"/>
      <c r="M248" s="212"/>
      <c r="N248" s="187"/>
      <c r="O248" s="212"/>
      <c r="P248" s="187"/>
      <c r="Q248" s="212"/>
      <c r="R248" s="187"/>
      <c r="S248" s="195"/>
      <c r="T248" s="186"/>
      <c r="U248" s="216" t="s">
        <v>538</v>
      </c>
      <c r="V248" s="200"/>
      <c r="W248" s="202" t="s">
        <v>540</v>
      </c>
      <c r="X248" s="200"/>
      <c r="Y248" s="199" t="s">
        <v>537</v>
      </c>
      <c r="Z248" s="203"/>
      <c r="AA248" s="202" t="s">
        <v>526</v>
      </c>
    </row>
    <row r="249" spans="1:27" ht="14.25" customHeight="1" x14ac:dyDescent="0.25">
      <c r="A249" s="186" t="s">
        <v>510</v>
      </c>
      <c r="B249" s="196" t="s">
        <v>538</v>
      </c>
      <c r="C249" s="213" t="s">
        <v>514</v>
      </c>
      <c r="D249" s="196" t="s">
        <v>538</v>
      </c>
      <c r="E249" s="211" t="s">
        <v>516</v>
      </c>
      <c r="F249" s="196" t="s">
        <v>538</v>
      </c>
      <c r="G249" s="214" t="s">
        <v>519</v>
      </c>
      <c r="H249" s="196" t="s">
        <v>538</v>
      </c>
      <c r="I249" s="213" t="s">
        <v>521</v>
      </c>
      <c r="J249" s="201"/>
      <c r="K249" s="213" t="s">
        <v>523</v>
      </c>
      <c r="L249" s="196" t="s">
        <v>538</v>
      </c>
      <c r="M249" s="211" t="s">
        <v>526</v>
      </c>
      <c r="N249" s="196" t="s">
        <v>538</v>
      </c>
      <c r="O249" s="213" t="s">
        <v>528</v>
      </c>
      <c r="P249" s="201"/>
      <c r="Q249" s="212" t="s">
        <v>529</v>
      </c>
      <c r="R249" s="201"/>
      <c r="S249" s="204" t="s">
        <v>530</v>
      </c>
      <c r="T249" s="186"/>
      <c r="U249" s="202"/>
      <c r="V249" s="200"/>
      <c r="W249" s="199" t="s">
        <v>534</v>
      </c>
      <c r="X249" s="200"/>
      <c r="Y249" s="202" t="s">
        <v>524</v>
      </c>
      <c r="Z249" s="186"/>
      <c r="AA249" s="199" t="s">
        <v>529</v>
      </c>
    </row>
    <row r="250" spans="1:27" ht="14.25" customHeight="1" x14ac:dyDescent="0.25">
      <c r="A250" s="187" t="s">
        <v>511</v>
      </c>
      <c r="B250" s="187"/>
      <c r="C250" s="212"/>
      <c r="D250" s="196" t="s">
        <v>538</v>
      </c>
      <c r="E250" s="213" t="s">
        <v>517</v>
      </c>
      <c r="F250" s="187"/>
      <c r="G250" s="212"/>
      <c r="H250" s="187"/>
      <c r="I250" s="212"/>
      <c r="J250" s="205"/>
      <c r="K250" s="214" t="s">
        <v>524</v>
      </c>
      <c r="L250" s="201"/>
      <c r="M250" s="213" t="s">
        <v>513</v>
      </c>
      <c r="N250" s="201"/>
      <c r="O250" s="213" t="s">
        <v>528</v>
      </c>
      <c r="P250" s="205"/>
      <c r="Q250" s="212" t="s">
        <v>523</v>
      </c>
      <c r="R250" s="187" t="s">
        <v>538</v>
      </c>
      <c r="S250" s="202" t="s">
        <v>523</v>
      </c>
      <c r="T250" s="186"/>
      <c r="U250" s="202"/>
      <c r="V250" s="186"/>
      <c r="W250" s="195"/>
      <c r="X250" s="186"/>
      <c r="Y250" s="195"/>
      <c r="Z250" s="186"/>
      <c r="AA250" s="195"/>
    </row>
    <row r="251" spans="1:27" ht="14.25" customHeight="1" thickBot="1" x14ac:dyDescent="0.3">
      <c r="A251" s="188" t="s">
        <v>512</v>
      </c>
      <c r="B251" s="197" t="s">
        <v>538</v>
      </c>
      <c r="C251" s="199" t="s">
        <v>515</v>
      </c>
      <c r="D251" s="197" t="s">
        <v>538</v>
      </c>
      <c r="E251" s="204" t="s">
        <v>516</v>
      </c>
      <c r="F251" s="197" t="s">
        <v>538</v>
      </c>
      <c r="G251" s="202" t="s">
        <v>520</v>
      </c>
      <c r="H251" s="203"/>
      <c r="I251" s="202" t="s">
        <v>522</v>
      </c>
      <c r="J251" s="205"/>
      <c r="K251" s="199" t="s">
        <v>525</v>
      </c>
      <c r="L251" s="205"/>
      <c r="M251" s="199" t="s">
        <v>527</v>
      </c>
      <c r="N251" s="186"/>
      <c r="O251" s="195"/>
      <c r="P251" s="205"/>
      <c r="Q251" s="195" t="s">
        <v>539</v>
      </c>
      <c r="R251" s="203"/>
      <c r="S251" s="195"/>
      <c r="T251" s="186"/>
      <c r="U251" s="216" t="s">
        <v>538</v>
      </c>
      <c r="V251" s="186"/>
      <c r="W251" s="195"/>
      <c r="X251" s="186"/>
      <c r="Y251" s="195"/>
      <c r="Z251" s="203"/>
      <c r="AA251" s="202" t="s">
        <v>530</v>
      </c>
    </row>
    <row r="252" spans="1:27" ht="14.25" customHeight="1" thickBot="1" x14ac:dyDescent="0.3">
      <c r="A252" s="303"/>
      <c r="B252" s="304"/>
      <c r="C252" s="305"/>
      <c r="D252" s="304"/>
      <c r="E252" s="305"/>
      <c r="F252" s="304"/>
      <c r="G252" s="304"/>
      <c r="H252" s="304"/>
      <c r="I252" s="305"/>
      <c r="J252" s="304"/>
      <c r="K252" s="305"/>
      <c r="L252" s="304"/>
      <c r="M252" s="305"/>
      <c r="N252" s="304"/>
      <c r="O252" s="305"/>
      <c r="P252" s="304"/>
      <c r="Q252" s="305"/>
      <c r="R252" s="304"/>
      <c r="S252" s="305"/>
      <c r="T252" s="304"/>
      <c r="U252" s="305"/>
      <c r="V252" s="304"/>
      <c r="W252" s="305"/>
      <c r="X252" s="304"/>
      <c r="Y252" s="305"/>
      <c r="Z252" s="304"/>
      <c r="AA252" s="305"/>
    </row>
    <row r="254" spans="1:27" ht="14.25" customHeight="1" x14ac:dyDescent="0.25">
      <c r="A254" s="186"/>
      <c r="B254" s="187" t="s">
        <v>348</v>
      </c>
      <c r="C254" s="187" t="s">
        <v>350</v>
      </c>
      <c r="D254" s="187" t="s">
        <v>352</v>
      </c>
      <c r="E254" s="187" t="s">
        <v>355</v>
      </c>
      <c r="F254" s="187" t="s">
        <v>359</v>
      </c>
      <c r="G254" s="187" t="s">
        <v>7</v>
      </c>
      <c r="H254" s="187" t="s">
        <v>18</v>
      </c>
      <c r="I254" s="187" t="s">
        <v>362</v>
      </c>
      <c r="J254" s="186" t="s">
        <v>2</v>
      </c>
      <c r="K254" s="186" t="s">
        <v>15</v>
      </c>
      <c r="L254" s="186" t="s">
        <v>13</v>
      </c>
      <c r="M254" s="186" t="s">
        <v>11</v>
      </c>
      <c r="N254" s="186" t="s">
        <v>16</v>
      </c>
      <c r="P254" s="187"/>
      <c r="R254" s="187"/>
      <c r="T254" s="186"/>
      <c r="V254" s="186"/>
      <c r="X254" s="186"/>
      <c r="Z254" s="186"/>
    </row>
    <row r="255" spans="1:27" ht="14.25" customHeight="1" x14ac:dyDescent="0.25">
      <c r="A255" s="186"/>
      <c r="B255" s="187"/>
      <c r="C255" s="187"/>
      <c r="D255" s="187"/>
      <c r="E255" s="187"/>
      <c r="F255" s="187"/>
      <c r="G255" s="187"/>
      <c r="H255" s="187"/>
      <c r="I255" s="187"/>
      <c r="J255" s="186"/>
      <c r="K255" s="186"/>
      <c r="L255" s="186"/>
      <c r="M255" s="186"/>
      <c r="N255" s="186"/>
      <c r="P255" s="187"/>
      <c r="R255" s="187"/>
      <c r="T255" s="186"/>
      <c r="V255" s="186"/>
      <c r="X255" s="186"/>
      <c r="Z255" s="186"/>
    </row>
    <row r="256" spans="1:27" ht="14.25" customHeight="1" x14ac:dyDescent="0.25">
      <c r="A256" s="186"/>
      <c r="B256" s="187"/>
      <c r="C256" s="187"/>
      <c r="D256" s="187"/>
      <c r="E256" s="187"/>
      <c r="F256" s="187"/>
      <c r="G256" s="187"/>
      <c r="H256" s="187"/>
      <c r="I256" s="187"/>
      <c r="J256" s="186"/>
      <c r="K256" s="186"/>
      <c r="L256" s="186"/>
      <c r="M256" s="186"/>
      <c r="N256" s="186"/>
      <c r="P256" s="187"/>
      <c r="R256" s="186" t="s">
        <v>506</v>
      </c>
      <c r="T256" s="186" t="s">
        <v>132</v>
      </c>
      <c r="U256" s="218" t="s">
        <v>132</v>
      </c>
      <c r="V256" s="186"/>
      <c r="X256" s="186"/>
      <c r="Y256" s="32" t="s">
        <v>541</v>
      </c>
      <c r="Z256" s="186"/>
    </row>
    <row r="257" spans="1:26" ht="14.25" customHeight="1" x14ac:dyDescent="0.25">
      <c r="A257" s="186" t="s">
        <v>506</v>
      </c>
      <c r="B257" s="190" t="s">
        <v>513</v>
      </c>
      <c r="C257" s="187"/>
      <c r="D257" s="190" t="s">
        <v>518</v>
      </c>
      <c r="E257" s="187"/>
      <c r="F257" s="187"/>
      <c r="G257" s="187"/>
      <c r="H257" s="187"/>
      <c r="I257" s="187"/>
      <c r="J257" s="186"/>
      <c r="K257" s="186" t="s">
        <v>538</v>
      </c>
      <c r="L257" s="191" t="s">
        <v>531</v>
      </c>
      <c r="M257" s="192" t="s">
        <v>535</v>
      </c>
      <c r="N257" s="191" t="s">
        <v>516</v>
      </c>
      <c r="P257" s="187"/>
      <c r="R257" s="186" t="s">
        <v>507</v>
      </c>
      <c r="T257" s="186" t="s">
        <v>135</v>
      </c>
      <c r="U257" s="218"/>
      <c r="V257" s="186"/>
      <c r="X257" s="186"/>
      <c r="Y257" s="32" t="s">
        <v>542</v>
      </c>
      <c r="Z257" s="186"/>
    </row>
    <row r="258" spans="1:26" ht="14.25" customHeight="1" x14ac:dyDescent="0.25">
      <c r="A258" s="186" t="s">
        <v>507</v>
      </c>
      <c r="B258" s="187"/>
      <c r="C258" s="187"/>
      <c r="D258" s="187"/>
      <c r="E258" s="187"/>
      <c r="F258" s="187"/>
      <c r="G258" s="187"/>
      <c r="H258" s="187"/>
      <c r="I258" s="187"/>
      <c r="J258" s="186"/>
      <c r="K258" s="186" t="s">
        <v>538</v>
      </c>
      <c r="L258" s="191" t="s">
        <v>532</v>
      </c>
      <c r="M258" s="192" t="s">
        <v>536</v>
      </c>
      <c r="N258" s="192" t="s">
        <v>529</v>
      </c>
      <c r="P258" s="187"/>
      <c r="R258" s="186" t="s">
        <v>508</v>
      </c>
      <c r="T258" s="186" t="s">
        <v>136</v>
      </c>
      <c r="U258" s="218" t="s">
        <v>135</v>
      </c>
      <c r="V258" s="186"/>
      <c r="X258" s="186"/>
      <c r="Y258" s="32" t="s">
        <v>544</v>
      </c>
      <c r="Z258" s="186"/>
    </row>
    <row r="259" spans="1:26" ht="14.25" customHeight="1" x14ac:dyDescent="0.25">
      <c r="A259" s="186" t="s">
        <v>508</v>
      </c>
      <c r="B259" s="187"/>
      <c r="C259" s="187"/>
      <c r="D259" s="187"/>
      <c r="E259" s="187"/>
      <c r="F259" s="187"/>
      <c r="G259" s="187"/>
      <c r="H259" s="187"/>
      <c r="I259" s="187"/>
      <c r="J259" s="186"/>
      <c r="K259" s="186" t="s">
        <v>538</v>
      </c>
      <c r="L259" s="191" t="s">
        <v>533</v>
      </c>
      <c r="M259" s="192" t="s">
        <v>537</v>
      </c>
      <c r="N259" s="192" t="s">
        <v>529</v>
      </c>
      <c r="P259" s="187"/>
      <c r="R259" s="186" t="s">
        <v>509</v>
      </c>
      <c r="T259" s="186" t="s">
        <v>134</v>
      </c>
      <c r="U259" s="218"/>
      <c r="V259" s="186"/>
      <c r="X259" s="186"/>
      <c r="Y259" s="32" t="s">
        <v>543</v>
      </c>
      <c r="Z259" s="186"/>
    </row>
    <row r="260" spans="1:26" ht="14.25" customHeight="1" x14ac:dyDescent="0.25">
      <c r="A260" s="186" t="s">
        <v>509</v>
      </c>
      <c r="B260" s="187"/>
      <c r="C260" s="187"/>
      <c r="D260" s="187"/>
      <c r="E260" s="187"/>
      <c r="F260" s="187"/>
      <c r="G260" s="187"/>
      <c r="H260" s="187"/>
      <c r="I260" s="187"/>
      <c r="J260" s="186"/>
      <c r="K260" s="193" t="s">
        <v>546</v>
      </c>
      <c r="L260" s="193" t="s">
        <v>540</v>
      </c>
      <c r="M260" s="192" t="s">
        <v>537</v>
      </c>
      <c r="N260" s="193" t="s">
        <v>526</v>
      </c>
      <c r="P260" s="187"/>
      <c r="R260" s="186" t="s">
        <v>510</v>
      </c>
      <c r="T260" s="186" t="s">
        <v>133</v>
      </c>
      <c r="U260" s="218" t="s">
        <v>136</v>
      </c>
      <c r="V260" s="186"/>
      <c r="X260" s="186"/>
      <c r="Z260" s="186"/>
    </row>
    <row r="261" spans="1:26" ht="14.25" customHeight="1" x14ac:dyDescent="0.25">
      <c r="A261" s="186" t="s">
        <v>510</v>
      </c>
      <c r="B261" s="189" t="s">
        <v>514</v>
      </c>
      <c r="C261" s="190" t="s">
        <v>516</v>
      </c>
      <c r="D261" s="194" t="s">
        <v>519</v>
      </c>
      <c r="E261" s="189" t="s">
        <v>521</v>
      </c>
      <c r="F261" s="189" t="s">
        <v>523</v>
      </c>
      <c r="G261" s="190" t="s">
        <v>526</v>
      </c>
      <c r="H261" s="189" t="s">
        <v>528</v>
      </c>
      <c r="I261" s="187" t="s">
        <v>529</v>
      </c>
      <c r="J261" s="191" t="s">
        <v>530</v>
      </c>
      <c r="K261" s="193" t="s">
        <v>547</v>
      </c>
      <c r="L261" s="192" t="s">
        <v>534</v>
      </c>
      <c r="M261" s="193" t="s">
        <v>524</v>
      </c>
      <c r="N261" s="192" t="s">
        <v>529</v>
      </c>
      <c r="P261" s="187"/>
      <c r="R261" s="187" t="s">
        <v>511</v>
      </c>
      <c r="T261" s="186" t="s">
        <v>131</v>
      </c>
      <c r="U261" s="218"/>
      <c r="V261" s="186"/>
      <c r="X261" s="186"/>
      <c r="Y261" s="32" t="s">
        <v>545</v>
      </c>
      <c r="Z261" s="186"/>
    </row>
    <row r="262" spans="1:26" ht="14.25" customHeight="1" x14ac:dyDescent="0.25">
      <c r="A262" s="187" t="s">
        <v>511</v>
      </c>
      <c r="B262" s="187"/>
      <c r="C262" s="189" t="s">
        <v>517</v>
      </c>
      <c r="D262" s="187"/>
      <c r="E262" s="187"/>
      <c r="F262" s="194" t="s">
        <v>524</v>
      </c>
      <c r="G262" s="189" t="s">
        <v>513</v>
      </c>
      <c r="H262" s="189" t="s">
        <v>528</v>
      </c>
      <c r="I262" s="187" t="s">
        <v>523</v>
      </c>
      <c r="J262" s="193" t="s">
        <v>523</v>
      </c>
      <c r="K262" s="186"/>
      <c r="L262" s="186"/>
      <c r="M262" s="186"/>
      <c r="N262" s="186"/>
      <c r="P262" s="187"/>
      <c r="R262" s="188" t="s">
        <v>512</v>
      </c>
      <c r="T262" s="186" t="s">
        <v>309</v>
      </c>
      <c r="U262" s="218" t="s">
        <v>134</v>
      </c>
      <c r="V262" s="186"/>
      <c r="X262" s="186"/>
      <c r="Z262" s="186"/>
    </row>
    <row r="263" spans="1:26" ht="14.25" customHeight="1" x14ac:dyDescent="0.25">
      <c r="A263" s="188" t="s">
        <v>512</v>
      </c>
      <c r="B263" s="192" t="s">
        <v>515</v>
      </c>
      <c r="C263" s="191" t="s">
        <v>516</v>
      </c>
      <c r="D263" s="193" t="s">
        <v>520</v>
      </c>
      <c r="E263" s="193" t="s">
        <v>522</v>
      </c>
      <c r="F263" s="192" t="s">
        <v>525</v>
      </c>
      <c r="G263" s="192" t="s">
        <v>527</v>
      </c>
      <c r="H263" s="186"/>
      <c r="I263" s="186" t="s">
        <v>539</v>
      </c>
      <c r="J263" s="186"/>
      <c r="K263" s="193" t="s">
        <v>546</v>
      </c>
      <c r="L263" s="187"/>
      <c r="M263" s="186"/>
      <c r="N263" s="193" t="s">
        <v>530</v>
      </c>
      <c r="P263" s="187"/>
      <c r="R263" s="186"/>
      <c r="T263" s="186"/>
      <c r="U263" s="218"/>
      <c r="V263" s="186"/>
      <c r="W263" s="186"/>
      <c r="X263" s="186"/>
      <c r="Z263" s="186"/>
    </row>
    <row r="264" spans="1:26" ht="14.25" customHeight="1" x14ac:dyDescent="0.25">
      <c r="U264" s="218" t="s">
        <v>133</v>
      </c>
    </row>
    <row r="265" spans="1:26" ht="14.25" customHeight="1" x14ac:dyDescent="0.25">
      <c r="U265" s="218"/>
    </row>
    <row r="266" spans="1:26" ht="14.25" customHeight="1" x14ac:dyDescent="0.25">
      <c r="U266" s="218" t="s">
        <v>131</v>
      </c>
    </row>
    <row r="267" spans="1:26" ht="14.25" customHeight="1" x14ac:dyDescent="0.25">
      <c r="U267" s="218"/>
    </row>
    <row r="268" spans="1:26" ht="14.25" customHeight="1" x14ac:dyDescent="0.25">
      <c r="U268" s="218" t="s">
        <v>309</v>
      </c>
    </row>
    <row r="269" spans="1:26" ht="14.25" customHeight="1" x14ac:dyDescent="0.25">
      <c r="U269" s="218"/>
    </row>
  </sheetData>
  <mergeCells count="84">
    <mergeCell ref="A239:C239"/>
    <mergeCell ref="A222:A223"/>
    <mergeCell ref="A224:A225"/>
    <mergeCell ref="A232:C232"/>
    <mergeCell ref="A233:C233"/>
    <mergeCell ref="D236:G236"/>
    <mergeCell ref="A238:C238"/>
    <mergeCell ref="A200:A201"/>
    <mergeCell ref="A212:A213"/>
    <mergeCell ref="A214:A215"/>
    <mergeCell ref="A216:A217"/>
    <mergeCell ref="A218:A219"/>
    <mergeCell ref="A220:A221"/>
    <mergeCell ref="A198:A199"/>
    <mergeCell ref="A179:K179"/>
    <mergeCell ref="A180:K180"/>
    <mergeCell ref="A183:K183"/>
    <mergeCell ref="A184:K184"/>
    <mergeCell ref="B185:C185"/>
    <mergeCell ref="D185:E185"/>
    <mergeCell ref="F185:G185"/>
    <mergeCell ref="A188:A189"/>
    <mergeCell ref="A190:A191"/>
    <mergeCell ref="A192:A193"/>
    <mergeCell ref="A194:A195"/>
    <mergeCell ref="A196:A197"/>
    <mergeCell ref="A178:K178"/>
    <mergeCell ref="A160:K160"/>
    <mergeCell ref="B161:C161"/>
    <mergeCell ref="D161:E161"/>
    <mergeCell ref="F161:G161"/>
    <mergeCell ref="A164:A165"/>
    <mergeCell ref="A166:A167"/>
    <mergeCell ref="A168:A169"/>
    <mergeCell ref="A170:A171"/>
    <mergeCell ref="A172:A173"/>
    <mergeCell ref="A174:A175"/>
    <mergeCell ref="A176:A177"/>
    <mergeCell ref="A123:L123"/>
    <mergeCell ref="S134:AE135"/>
    <mergeCell ref="A136:M136"/>
    <mergeCell ref="R137:AC137"/>
    <mergeCell ref="R152:AD154"/>
    <mergeCell ref="R95:AC95"/>
    <mergeCell ref="H96:H97"/>
    <mergeCell ref="Y114:AE114"/>
    <mergeCell ref="R119:AC119"/>
    <mergeCell ref="V121:W121"/>
    <mergeCell ref="X121:X122"/>
    <mergeCell ref="Y121:Y122"/>
    <mergeCell ref="AJ79:AR81"/>
    <mergeCell ref="F56:F58"/>
    <mergeCell ref="G56:G58"/>
    <mergeCell ref="R57:R60"/>
    <mergeCell ref="S57:S59"/>
    <mergeCell ref="T57:U59"/>
    <mergeCell ref="X57:AA57"/>
    <mergeCell ref="AC60:AC65"/>
    <mergeCell ref="AD60:AD61"/>
    <mergeCell ref="AE60:AE61"/>
    <mergeCell ref="AH60:AH61"/>
    <mergeCell ref="A79:J79"/>
    <mergeCell ref="U256:U257"/>
    <mergeCell ref="A55:L55"/>
    <mergeCell ref="R55:AC55"/>
    <mergeCell ref="A1:Q1"/>
    <mergeCell ref="R1:AI1"/>
    <mergeCell ref="A3:F3"/>
    <mergeCell ref="R3:AC3"/>
    <mergeCell ref="R4:AC4"/>
    <mergeCell ref="R5:AC5"/>
    <mergeCell ref="A12:L12"/>
    <mergeCell ref="A39:L39"/>
    <mergeCell ref="R39:AC39"/>
    <mergeCell ref="E40:F41"/>
    <mergeCell ref="V40:W41"/>
    <mergeCell ref="A159:K159"/>
    <mergeCell ref="A95:L95"/>
    <mergeCell ref="U268:U269"/>
    <mergeCell ref="U258:U259"/>
    <mergeCell ref="U260:U261"/>
    <mergeCell ref="U262:U263"/>
    <mergeCell ref="U264:U265"/>
    <mergeCell ref="U266:U267"/>
  </mergeCells>
  <conditionalFormatting sqref="C221 C213 C225 E221 E223 E225 G213 G221 G225 I221 I225 K221 K223 K225 M220:M225 O220:O223 Q221 Q223 Q225 S220:S224 U213 U215:U217 U219 U224:U225 W212:W221 W224 Y212:Y221 Y224 AA212:AA221 AA224:AA2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0 Y17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61:V63 V65:V68">
    <cfRule type="dataBar" priority="22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{906BA2ED-6ED4-4A8D-812A-B412F9317D1F}</x14:id>
        </ext>
      </extLst>
    </cfRule>
  </conditionalFormatting>
  <conditionalFormatting sqref="V18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8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8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7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7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7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7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86:AB187 AB17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86:AB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7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186:AC187 AC17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7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86:AD187 AD17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7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86:AE187 AE17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3622047244094491" right="0.23622047244094491" top="0.35433070866141736" bottom="0.35433070866141736" header="0" footer="0"/>
  <pageSetup paperSize="9" scale="16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06BA2ED-6ED4-4A8D-812A-B412F9317D1F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V61:V63 V65:V68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FD4B8-45DB-4E54-87C9-B49D0B742420}">
  <dimension ref="A1:AQ27"/>
  <sheetViews>
    <sheetView tabSelected="1" topLeftCell="AB1" zoomScale="145" zoomScaleNormal="145" workbookViewId="0">
      <selection activeCell="AC2" sqref="AC2:AP10"/>
    </sheetView>
  </sheetViews>
  <sheetFormatPr defaultRowHeight="15" x14ac:dyDescent="0.25"/>
  <cols>
    <col min="1" max="1" width="13.140625" bestFit="1" customWidth="1"/>
    <col min="2" max="2" width="3.5703125" bestFit="1" customWidth="1"/>
    <col min="3" max="3" width="3.42578125" bestFit="1" customWidth="1"/>
    <col min="4" max="4" width="3.5703125" bestFit="1" customWidth="1"/>
    <col min="5" max="5" width="3.42578125" bestFit="1" customWidth="1"/>
    <col min="6" max="8" width="3.5703125" bestFit="1" customWidth="1"/>
    <col min="9" max="9" width="4.42578125" bestFit="1" customWidth="1"/>
    <col min="10" max="10" width="3" bestFit="1" customWidth="1"/>
    <col min="11" max="11" width="3.42578125" bestFit="1" customWidth="1"/>
    <col min="12" max="14" width="3.5703125" bestFit="1" customWidth="1"/>
    <col min="15" max="15" width="3.42578125" bestFit="1" customWidth="1"/>
    <col min="19" max="19" width="6" bestFit="1" customWidth="1"/>
    <col min="20" max="22" width="4.7109375" bestFit="1" customWidth="1"/>
    <col min="23" max="23" width="5.140625" bestFit="1" customWidth="1"/>
    <col min="24" max="24" width="8" bestFit="1" customWidth="1"/>
    <col min="25" max="25" width="6" bestFit="1" customWidth="1"/>
    <col min="26" max="26" width="5.5703125" bestFit="1" customWidth="1"/>
    <col min="29" max="29" width="14.28515625" bestFit="1" customWidth="1"/>
    <col min="30" max="38" width="3.42578125" bestFit="1" customWidth="1"/>
    <col min="39" max="39" width="3.7109375" bestFit="1" customWidth="1"/>
    <col min="40" max="40" width="4.42578125" bestFit="1" customWidth="1"/>
    <col min="41" max="41" width="3.85546875" customWidth="1"/>
    <col min="42" max="42" width="4.85546875" customWidth="1"/>
  </cols>
  <sheetData>
    <row r="1" spans="1:43" ht="15.75" thickBot="1" x14ac:dyDescent="0.3">
      <c r="A1" s="306" t="s">
        <v>549</v>
      </c>
      <c r="B1" s="307" t="s">
        <v>347</v>
      </c>
      <c r="C1" s="308" t="s">
        <v>348</v>
      </c>
      <c r="D1" s="307" t="s">
        <v>349</v>
      </c>
      <c r="E1" s="308" t="s">
        <v>350</v>
      </c>
      <c r="F1" s="307" t="s">
        <v>351</v>
      </c>
      <c r="G1" s="308" t="s">
        <v>352</v>
      </c>
      <c r="H1" s="307" t="s">
        <v>353</v>
      </c>
      <c r="I1" s="308" t="s">
        <v>355</v>
      </c>
      <c r="J1" s="307" t="s">
        <v>356</v>
      </c>
      <c r="K1" s="308" t="s">
        <v>359</v>
      </c>
      <c r="L1" s="307" t="s">
        <v>360</v>
      </c>
      <c r="M1" s="308" t="s">
        <v>7</v>
      </c>
      <c r="N1" s="307" t="s">
        <v>17</v>
      </c>
      <c r="O1" s="308" t="s">
        <v>18</v>
      </c>
      <c r="S1" s="342"/>
      <c r="T1" s="342" t="s">
        <v>550</v>
      </c>
      <c r="U1" s="342" t="s">
        <v>551</v>
      </c>
      <c r="V1" s="342" t="s">
        <v>555</v>
      </c>
      <c r="W1" s="342" t="s">
        <v>552</v>
      </c>
      <c r="X1" s="342" t="s">
        <v>556</v>
      </c>
      <c r="Y1" s="342" t="s">
        <v>553</v>
      </c>
      <c r="Z1" s="354" t="s">
        <v>554</v>
      </c>
      <c r="AQ1" s="383"/>
    </row>
    <row r="2" spans="1:43" ht="15.75" thickBot="1" x14ac:dyDescent="0.3">
      <c r="A2" s="311" t="s">
        <v>506</v>
      </c>
      <c r="B2" s="323" t="s">
        <v>538</v>
      </c>
      <c r="C2" s="312" t="s">
        <v>513</v>
      </c>
      <c r="D2" s="324"/>
      <c r="E2" s="313"/>
      <c r="F2" s="323" t="s">
        <v>538</v>
      </c>
      <c r="G2" s="312" t="s">
        <v>518</v>
      </c>
      <c r="H2" s="324"/>
      <c r="I2" s="313"/>
      <c r="J2" s="324"/>
      <c r="K2" s="313"/>
      <c r="L2" s="324"/>
      <c r="M2" s="313"/>
      <c r="N2" s="324"/>
      <c r="O2" s="313"/>
      <c r="S2" s="343" t="s">
        <v>347</v>
      </c>
      <c r="T2" s="344" t="s">
        <v>538</v>
      </c>
      <c r="U2" s="345"/>
      <c r="V2" s="345"/>
      <c r="W2" s="345"/>
      <c r="X2" s="344" t="s">
        <v>538</v>
      </c>
      <c r="Y2" s="345"/>
      <c r="Z2" s="355" t="s">
        <v>538</v>
      </c>
      <c r="AC2" s="376"/>
      <c r="AD2" s="377" t="s">
        <v>557</v>
      </c>
      <c r="AE2" s="377"/>
      <c r="AF2" s="377"/>
      <c r="AG2" s="377"/>
      <c r="AH2" s="377"/>
      <c r="AI2" s="377"/>
      <c r="AJ2" s="377"/>
      <c r="AK2" s="377"/>
      <c r="AL2" s="377"/>
      <c r="AM2" s="377"/>
      <c r="AN2" s="377"/>
      <c r="AO2" s="377"/>
      <c r="AP2" s="377"/>
    </row>
    <row r="3" spans="1:43" ht="14.25" customHeight="1" thickBot="1" x14ac:dyDescent="0.3">
      <c r="A3" s="311" t="s">
        <v>507</v>
      </c>
      <c r="B3" s="324"/>
      <c r="C3" s="313"/>
      <c r="D3" s="324"/>
      <c r="E3" s="313"/>
      <c r="F3" s="324"/>
      <c r="G3" s="313"/>
      <c r="H3" s="324"/>
      <c r="I3" s="313"/>
      <c r="J3" s="324"/>
      <c r="K3" s="313"/>
      <c r="L3" s="324"/>
      <c r="M3" s="313"/>
      <c r="N3" s="324"/>
      <c r="O3" s="313"/>
      <c r="S3" s="346" t="s">
        <v>348</v>
      </c>
      <c r="T3" s="347" t="s">
        <v>513</v>
      </c>
      <c r="U3" s="348"/>
      <c r="V3" s="348"/>
      <c r="W3" s="348"/>
      <c r="X3" s="349" t="s">
        <v>514</v>
      </c>
      <c r="Y3" s="348"/>
      <c r="Z3" s="356" t="s">
        <v>515</v>
      </c>
      <c r="AC3" s="375" t="s">
        <v>549</v>
      </c>
      <c r="AD3" s="384" t="s">
        <v>348</v>
      </c>
      <c r="AE3" s="384" t="s">
        <v>350</v>
      </c>
      <c r="AF3" s="384" t="s">
        <v>352</v>
      </c>
      <c r="AG3" s="384" t="s">
        <v>355</v>
      </c>
      <c r="AH3" s="384" t="s">
        <v>359</v>
      </c>
      <c r="AI3" s="384" t="s">
        <v>7</v>
      </c>
      <c r="AJ3" s="384" t="s">
        <v>18</v>
      </c>
      <c r="AK3" s="384" t="s">
        <v>362</v>
      </c>
      <c r="AL3" s="384" t="s">
        <v>2</v>
      </c>
      <c r="AM3" s="384" t="s">
        <v>565</v>
      </c>
      <c r="AN3" s="384" t="s">
        <v>13</v>
      </c>
      <c r="AO3" s="384" t="s">
        <v>566</v>
      </c>
      <c r="AP3" s="384" t="s">
        <v>567</v>
      </c>
    </row>
    <row r="4" spans="1:43" x14ac:dyDescent="0.25">
      <c r="A4" s="311" t="s">
        <v>508</v>
      </c>
      <c r="B4" s="324"/>
      <c r="C4" s="313"/>
      <c r="D4" s="324"/>
      <c r="E4" s="313"/>
      <c r="F4" s="324"/>
      <c r="G4" s="313"/>
      <c r="H4" s="324"/>
      <c r="I4" s="313"/>
      <c r="J4" s="324"/>
      <c r="K4" s="313"/>
      <c r="L4" s="324"/>
      <c r="M4" s="313"/>
      <c r="N4" s="324"/>
      <c r="O4" s="313"/>
      <c r="S4" s="343" t="s">
        <v>349</v>
      </c>
      <c r="T4" s="345"/>
      <c r="U4" s="345"/>
      <c r="V4" s="345"/>
      <c r="W4" s="345"/>
      <c r="X4" s="344" t="s">
        <v>538</v>
      </c>
      <c r="Y4" s="344" t="s">
        <v>538</v>
      </c>
      <c r="Z4" s="355" t="s">
        <v>538</v>
      </c>
      <c r="AC4" s="367" t="s">
        <v>558</v>
      </c>
      <c r="AD4" s="368" t="s">
        <v>513</v>
      </c>
      <c r="AE4" s="324"/>
      <c r="AF4" s="368" t="s">
        <v>518</v>
      </c>
      <c r="AG4" s="324"/>
      <c r="AH4" s="324"/>
      <c r="AI4" s="324"/>
      <c r="AJ4" s="324"/>
      <c r="AK4" s="324"/>
      <c r="AL4" s="336"/>
      <c r="AM4" s="336" t="s">
        <v>538</v>
      </c>
      <c r="AN4" s="369" t="s">
        <v>531</v>
      </c>
      <c r="AO4" s="370" t="s">
        <v>535</v>
      </c>
      <c r="AP4" s="369" t="s">
        <v>516</v>
      </c>
    </row>
    <row r="5" spans="1:43" ht="15.75" thickBot="1" x14ac:dyDescent="0.3">
      <c r="A5" s="311" t="s">
        <v>509</v>
      </c>
      <c r="B5" s="324"/>
      <c r="C5" s="313"/>
      <c r="D5" s="324"/>
      <c r="E5" s="313"/>
      <c r="F5" s="324"/>
      <c r="G5" s="313"/>
      <c r="H5" s="324"/>
      <c r="I5" s="313"/>
      <c r="J5" s="324"/>
      <c r="K5" s="313"/>
      <c r="L5" s="324"/>
      <c r="M5" s="313"/>
      <c r="N5" s="324"/>
      <c r="O5" s="313"/>
      <c r="S5" s="346" t="s">
        <v>350</v>
      </c>
      <c r="T5" s="348"/>
      <c r="U5" s="348"/>
      <c r="V5" s="348"/>
      <c r="W5" s="348"/>
      <c r="X5" s="347" t="s">
        <v>516</v>
      </c>
      <c r="Y5" s="349" t="s">
        <v>517</v>
      </c>
      <c r="Z5" s="357" t="s">
        <v>516</v>
      </c>
      <c r="AC5" s="367" t="s">
        <v>559</v>
      </c>
      <c r="AD5" s="324"/>
      <c r="AE5" s="324"/>
      <c r="AF5" s="324"/>
      <c r="AG5" s="324"/>
      <c r="AH5" s="324"/>
      <c r="AI5" s="324"/>
      <c r="AJ5" s="324"/>
      <c r="AK5" s="324"/>
      <c r="AL5" s="336"/>
      <c r="AM5" s="336" t="s">
        <v>538</v>
      </c>
      <c r="AN5" s="369" t="s">
        <v>532</v>
      </c>
      <c r="AO5" s="370" t="s">
        <v>536</v>
      </c>
      <c r="AP5" s="370" t="s">
        <v>529</v>
      </c>
    </row>
    <row r="6" spans="1:43" x14ac:dyDescent="0.25">
      <c r="A6" s="311" t="s">
        <v>510</v>
      </c>
      <c r="B6" s="323" t="s">
        <v>538</v>
      </c>
      <c r="C6" s="320" t="s">
        <v>514</v>
      </c>
      <c r="D6" s="323" t="s">
        <v>538</v>
      </c>
      <c r="E6" s="312" t="s">
        <v>516</v>
      </c>
      <c r="F6" s="323" t="s">
        <v>538</v>
      </c>
      <c r="G6" s="321" t="s">
        <v>519</v>
      </c>
      <c r="H6" s="323" t="s">
        <v>538</v>
      </c>
      <c r="I6" s="320" t="s">
        <v>521</v>
      </c>
      <c r="J6" s="325"/>
      <c r="K6" s="320" t="s">
        <v>523</v>
      </c>
      <c r="L6" s="323" t="s">
        <v>538</v>
      </c>
      <c r="M6" s="312" t="s">
        <v>526</v>
      </c>
      <c r="N6" s="323" t="s">
        <v>538</v>
      </c>
      <c r="O6" s="320" t="s">
        <v>528</v>
      </c>
      <c r="S6" s="343" t="s">
        <v>351</v>
      </c>
      <c r="T6" s="344" t="s">
        <v>538</v>
      </c>
      <c r="U6" s="345"/>
      <c r="V6" s="345"/>
      <c r="W6" s="345"/>
      <c r="X6" s="344" t="s">
        <v>538</v>
      </c>
      <c r="Y6" s="345"/>
      <c r="Z6" s="355" t="s">
        <v>538</v>
      </c>
      <c r="AC6" s="371" t="s">
        <v>560</v>
      </c>
      <c r="AD6" s="324"/>
      <c r="AE6" s="324"/>
      <c r="AF6" s="324"/>
      <c r="AG6" s="324"/>
      <c r="AH6" s="324"/>
      <c r="AI6" s="324"/>
      <c r="AJ6" s="324"/>
      <c r="AK6" s="324"/>
      <c r="AL6" s="336"/>
      <c r="AM6" s="336" t="s">
        <v>538</v>
      </c>
      <c r="AN6" s="369" t="s">
        <v>533</v>
      </c>
      <c r="AO6" s="370" t="s">
        <v>537</v>
      </c>
      <c r="AP6" s="370" t="s">
        <v>529</v>
      </c>
    </row>
    <row r="7" spans="1:43" ht="15.75" thickBot="1" x14ac:dyDescent="0.3">
      <c r="A7" s="322" t="s">
        <v>511</v>
      </c>
      <c r="B7" s="324"/>
      <c r="C7" s="313"/>
      <c r="D7" s="323" t="s">
        <v>538</v>
      </c>
      <c r="E7" s="320" t="s">
        <v>517</v>
      </c>
      <c r="F7" s="324"/>
      <c r="G7" s="313"/>
      <c r="H7" s="324"/>
      <c r="I7" s="313"/>
      <c r="J7" s="326"/>
      <c r="K7" s="321" t="s">
        <v>524</v>
      </c>
      <c r="L7" s="325"/>
      <c r="M7" s="320" t="s">
        <v>513</v>
      </c>
      <c r="N7" s="325"/>
      <c r="O7" s="320" t="s">
        <v>528</v>
      </c>
      <c r="S7" s="346" t="s">
        <v>352</v>
      </c>
      <c r="T7" s="347" t="s">
        <v>518</v>
      </c>
      <c r="U7" s="348"/>
      <c r="V7" s="348"/>
      <c r="W7" s="348"/>
      <c r="X7" s="350" t="s">
        <v>519</v>
      </c>
      <c r="Y7" s="348"/>
      <c r="Z7" s="358" t="s">
        <v>520</v>
      </c>
      <c r="AC7" s="367" t="s">
        <v>561</v>
      </c>
      <c r="AD7" s="324"/>
      <c r="AE7" s="324"/>
      <c r="AF7" s="324"/>
      <c r="AG7" s="324"/>
      <c r="AH7" s="324"/>
      <c r="AI7" s="324"/>
      <c r="AJ7" s="324"/>
      <c r="AK7" s="324"/>
      <c r="AL7" s="336"/>
      <c r="AM7" s="372" t="s">
        <v>538</v>
      </c>
      <c r="AN7" s="372" t="s">
        <v>540</v>
      </c>
      <c r="AO7" s="370" t="s">
        <v>537</v>
      </c>
      <c r="AP7" s="372" t="s">
        <v>526</v>
      </c>
    </row>
    <row r="8" spans="1:43" ht="15.75" thickBot="1" x14ac:dyDescent="0.3">
      <c r="A8" s="327" t="s">
        <v>512</v>
      </c>
      <c r="B8" s="328" t="s">
        <v>538</v>
      </c>
      <c r="C8" s="329" t="s">
        <v>515</v>
      </c>
      <c r="D8" s="328" t="s">
        <v>538</v>
      </c>
      <c r="E8" s="330" t="s">
        <v>516</v>
      </c>
      <c r="F8" s="328" t="s">
        <v>538</v>
      </c>
      <c r="G8" s="331" t="s">
        <v>520</v>
      </c>
      <c r="H8" s="332"/>
      <c r="I8" s="331" t="s">
        <v>522</v>
      </c>
      <c r="J8" s="333"/>
      <c r="K8" s="329" t="s">
        <v>525</v>
      </c>
      <c r="L8" s="333"/>
      <c r="M8" s="329" t="s">
        <v>527</v>
      </c>
      <c r="N8" s="334"/>
      <c r="O8" s="335"/>
      <c r="S8" s="343" t="s">
        <v>353</v>
      </c>
      <c r="T8" s="345"/>
      <c r="U8" s="345"/>
      <c r="V8" s="345"/>
      <c r="W8" s="345"/>
      <c r="X8" s="344" t="s">
        <v>538</v>
      </c>
      <c r="Y8" s="345"/>
      <c r="Z8" s="359"/>
      <c r="AC8" s="371" t="s">
        <v>562</v>
      </c>
      <c r="AD8" s="373" t="s">
        <v>514</v>
      </c>
      <c r="AE8" s="368" t="s">
        <v>516</v>
      </c>
      <c r="AF8" s="374" t="s">
        <v>519</v>
      </c>
      <c r="AG8" s="373" t="s">
        <v>521</v>
      </c>
      <c r="AH8" s="373" t="s">
        <v>523</v>
      </c>
      <c r="AI8" s="368" t="s">
        <v>526</v>
      </c>
      <c r="AJ8" s="373" t="s">
        <v>528</v>
      </c>
      <c r="AK8" s="324" t="s">
        <v>529</v>
      </c>
      <c r="AL8" s="369" t="s">
        <v>530</v>
      </c>
      <c r="AM8" s="372" t="s">
        <v>538</v>
      </c>
      <c r="AN8" s="370" t="s">
        <v>534</v>
      </c>
      <c r="AO8" s="372" t="s">
        <v>524</v>
      </c>
      <c r="AP8" s="370" t="s">
        <v>529</v>
      </c>
    </row>
    <row r="9" spans="1:43" ht="15.75" thickBot="1" x14ac:dyDescent="0.3">
      <c r="S9" s="346" t="s">
        <v>355</v>
      </c>
      <c r="T9" s="348"/>
      <c r="U9" s="348"/>
      <c r="V9" s="348"/>
      <c r="W9" s="348"/>
      <c r="X9" s="349" t="s">
        <v>521</v>
      </c>
      <c r="Y9" s="348"/>
      <c r="Z9" s="358" t="s">
        <v>522</v>
      </c>
      <c r="AC9" s="367" t="s">
        <v>563</v>
      </c>
      <c r="AD9" s="324"/>
      <c r="AE9" s="373" t="s">
        <v>517</v>
      </c>
      <c r="AF9" s="324"/>
      <c r="AG9" s="324"/>
      <c r="AH9" s="374" t="s">
        <v>524</v>
      </c>
      <c r="AI9" s="373" t="s">
        <v>513</v>
      </c>
      <c r="AJ9" s="373" t="s">
        <v>528</v>
      </c>
      <c r="AK9" s="324" t="s">
        <v>523</v>
      </c>
      <c r="AL9" s="372" t="s">
        <v>523</v>
      </c>
      <c r="AM9" s="336"/>
      <c r="AN9" s="336"/>
      <c r="AO9" s="336"/>
      <c r="AP9" s="336"/>
    </row>
    <row r="10" spans="1:43" x14ac:dyDescent="0.25">
      <c r="S10" s="343" t="s">
        <v>356</v>
      </c>
      <c r="T10" s="345"/>
      <c r="U10" s="345"/>
      <c r="V10" s="345"/>
      <c r="W10" s="345"/>
      <c r="X10" s="351"/>
      <c r="Y10" s="352"/>
      <c r="Z10" s="353"/>
      <c r="AC10" s="378" t="s">
        <v>564</v>
      </c>
      <c r="AD10" s="379" t="s">
        <v>515</v>
      </c>
      <c r="AE10" s="380" t="s">
        <v>516</v>
      </c>
      <c r="AF10" s="381" t="s">
        <v>520</v>
      </c>
      <c r="AG10" s="381" t="s">
        <v>522</v>
      </c>
      <c r="AH10" s="379" t="s">
        <v>525</v>
      </c>
      <c r="AI10" s="379" t="s">
        <v>527</v>
      </c>
      <c r="AJ10" s="375"/>
      <c r="AK10" s="375" t="s">
        <v>539</v>
      </c>
      <c r="AL10" s="375"/>
      <c r="AM10" s="381" t="s">
        <v>538</v>
      </c>
      <c r="AN10" s="382"/>
      <c r="AO10" s="375"/>
      <c r="AP10" s="381" t="s">
        <v>530</v>
      </c>
    </row>
    <row r="11" spans="1:43" ht="15.75" thickBot="1" x14ac:dyDescent="0.3">
      <c r="S11" s="346" t="s">
        <v>359</v>
      </c>
      <c r="T11" s="348"/>
      <c r="U11" s="348"/>
      <c r="V11" s="348"/>
      <c r="W11" s="348"/>
      <c r="X11" s="349" t="s">
        <v>523</v>
      </c>
      <c r="Y11" s="350" t="s">
        <v>524</v>
      </c>
      <c r="Z11" s="356" t="s">
        <v>525</v>
      </c>
    </row>
    <row r="12" spans="1:43" x14ac:dyDescent="0.25">
      <c r="S12" s="343" t="s">
        <v>360</v>
      </c>
      <c r="T12" s="345"/>
      <c r="U12" s="345"/>
      <c r="V12" s="345"/>
      <c r="W12" s="345"/>
      <c r="X12" s="344" t="s">
        <v>538</v>
      </c>
      <c r="Y12" s="351"/>
      <c r="Z12" s="353"/>
    </row>
    <row r="13" spans="1:43" ht="15.75" thickBot="1" x14ac:dyDescent="0.3">
      <c r="S13" s="346" t="s">
        <v>7</v>
      </c>
      <c r="T13" s="348"/>
      <c r="U13" s="348"/>
      <c r="V13" s="348"/>
      <c r="W13" s="348"/>
      <c r="X13" s="347" t="s">
        <v>526</v>
      </c>
      <c r="Y13" s="349" t="s">
        <v>513</v>
      </c>
      <c r="Z13" s="356" t="s">
        <v>527</v>
      </c>
    </row>
    <row r="14" spans="1:43" ht="15.75" thickBot="1" x14ac:dyDescent="0.3">
      <c r="S14" s="343" t="s">
        <v>17</v>
      </c>
      <c r="T14" s="345"/>
      <c r="U14" s="345"/>
      <c r="V14" s="345"/>
      <c r="W14" s="345"/>
      <c r="X14" s="344" t="s">
        <v>538</v>
      </c>
      <c r="Y14" s="351"/>
      <c r="Z14" s="360"/>
    </row>
    <row r="15" spans="1:43" ht="15.75" thickBot="1" x14ac:dyDescent="0.3">
      <c r="A15" s="306" t="s">
        <v>549</v>
      </c>
      <c r="B15" s="307" t="s">
        <v>361</v>
      </c>
      <c r="C15" s="308" t="s">
        <v>362</v>
      </c>
      <c r="D15" s="307" t="s">
        <v>363</v>
      </c>
      <c r="E15" s="309" t="s">
        <v>2</v>
      </c>
      <c r="F15" s="310" t="s">
        <v>364</v>
      </c>
      <c r="G15" s="309" t="s">
        <v>548</v>
      </c>
      <c r="H15" s="310" t="s">
        <v>14</v>
      </c>
      <c r="I15" s="309" t="s">
        <v>13</v>
      </c>
      <c r="J15" s="310" t="s">
        <v>12</v>
      </c>
      <c r="K15" s="309" t="s">
        <v>11</v>
      </c>
      <c r="L15" s="310" t="s">
        <v>365</v>
      </c>
      <c r="M15" s="309" t="s">
        <v>16</v>
      </c>
      <c r="S15" s="346" t="s">
        <v>18</v>
      </c>
      <c r="T15" s="348"/>
      <c r="U15" s="348"/>
      <c r="V15" s="348"/>
      <c r="W15" s="348"/>
      <c r="X15" s="349" t="s">
        <v>528</v>
      </c>
      <c r="Y15" s="349" t="s">
        <v>528</v>
      </c>
      <c r="Z15" s="361"/>
    </row>
    <row r="16" spans="1:43" x14ac:dyDescent="0.25">
      <c r="A16" s="311" t="s">
        <v>506</v>
      </c>
      <c r="B16" s="324"/>
      <c r="C16" s="313"/>
      <c r="D16" s="324"/>
      <c r="E16" s="314"/>
      <c r="F16" s="336"/>
      <c r="G16" s="315" t="s">
        <v>538</v>
      </c>
      <c r="H16" s="337"/>
      <c r="I16" s="316" t="s">
        <v>531</v>
      </c>
      <c r="J16" s="337"/>
      <c r="K16" s="317" t="s">
        <v>535</v>
      </c>
      <c r="L16" s="338"/>
      <c r="M16" s="316" t="s">
        <v>516</v>
      </c>
      <c r="S16" s="343" t="s">
        <v>361</v>
      </c>
      <c r="T16" s="345"/>
      <c r="U16" s="345"/>
      <c r="V16" s="345"/>
      <c r="W16" s="345"/>
      <c r="X16" s="351"/>
      <c r="Y16" s="352"/>
      <c r="Z16" s="353"/>
    </row>
    <row r="17" spans="1:26" ht="15.75" thickBot="1" x14ac:dyDescent="0.3">
      <c r="A17" s="311" t="s">
        <v>507</v>
      </c>
      <c r="B17" s="324"/>
      <c r="C17" s="313"/>
      <c r="D17" s="324"/>
      <c r="E17" s="314"/>
      <c r="F17" s="336"/>
      <c r="G17" s="315" t="s">
        <v>538</v>
      </c>
      <c r="H17" s="337"/>
      <c r="I17" s="316" t="s">
        <v>532</v>
      </c>
      <c r="J17" s="337"/>
      <c r="K17" s="317" t="s">
        <v>536</v>
      </c>
      <c r="L17" s="338"/>
      <c r="M17" s="317" t="s">
        <v>529</v>
      </c>
      <c r="S17" s="346" t="s">
        <v>362</v>
      </c>
      <c r="T17" s="348"/>
      <c r="U17" s="348"/>
      <c r="V17" s="348"/>
      <c r="W17" s="348"/>
      <c r="X17" s="348" t="s">
        <v>529</v>
      </c>
      <c r="Y17" s="348" t="s">
        <v>523</v>
      </c>
      <c r="Z17" s="361" t="s">
        <v>539</v>
      </c>
    </row>
    <row r="18" spans="1:26" x14ac:dyDescent="0.25">
      <c r="A18" s="311" t="s">
        <v>508</v>
      </c>
      <c r="B18" s="324"/>
      <c r="C18" s="313"/>
      <c r="D18" s="324"/>
      <c r="E18" s="314"/>
      <c r="F18" s="336"/>
      <c r="G18" s="315" t="s">
        <v>538</v>
      </c>
      <c r="H18" s="337"/>
      <c r="I18" s="316" t="s">
        <v>533</v>
      </c>
      <c r="J18" s="337"/>
      <c r="K18" s="317" t="s">
        <v>537</v>
      </c>
      <c r="L18" s="339" t="s">
        <v>538</v>
      </c>
      <c r="M18" s="317" t="s">
        <v>529</v>
      </c>
      <c r="S18" s="343" t="s">
        <v>363</v>
      </c>
      <c r="T18" s="345"/>
      <c r="U18" s="345"/>
      <c r="V18" s="345"/>
      <c r="W18" s="345"/>
      <c r="X18" s="351"/>
      <c r="Y18" s="345" t="s">
        <v>538</v>
      </c>
      <c r="Z18" s="359"/>
    </row>
    <row r="19" spans="1:26" ht="15.75" thickBot="1" x14ac:dyDescent="0.3">
      <c r="A19" s="311" t="s">
        <v>509</v>
      </c>
      <c r="B19" s="324"/>
      <c r="C19" s="313"/>
      <c r="D19" s="324"/>
      <c r="E19" s="314"/>
      <c r="F19" s="336"/>
      <c r="G19" s="318" t="s">
        <v>538</v>
      </c>
      <c r="H19" s="340"/>
      <c r="I19" s="319" t="s">
        <v>540</v>
      </c>
      <c r="J19" s="340"/>
      <c r="K19" s="317" t="s">
        <v>537</v>
      </c>
      <c r="L19" s="338"/>
      <c r="M19" s="319" t="s">
        <v>526</v>
      </c>
      <c r="S19" s="346" t="s">
        <v>2</v>
      </c>
      <c r="T19" s="348"/>
      <c r="U19" s="348"/>
      <c r="V19" s="348"/>
      <c r="W19" s="348"/>
      <c r="X19" s="347" t="s">
        <v>530</v>
      </c>
      <c r="Y19" s="349" t="s">
        <v>523</v>
      </c>
      <c r="Z19" s="361"/>
    </row>
    <row r="20" spans="1:26" x14ac:dyDescent="0.25">
      <c r="A20" s="311" t="s">
        <v>510</v>
      </c>
      <c r="B20" s="325"/>
      <c r="C20" s="313" t="s">
        <v>529</v>
      </c>
      <c r="D20" s="325"/>
      <c r="E20" s="316" t="s">
        <v>530</v>
      </c>
      <c r="F20" s="336"/>
      <c r="G20" s="319"/>
      <c r="H20" s="340"/>
      <c r="I20" s="317" t="s">
        <v>534</v>
      </c>
      <c r="J20" s="340"/>
      <c r="K20" s="319" t="s">
        <v>524</v>
      </c>
      <c r="L20" s="336"/>
      <c r="M20" s="317" t="s">
        <v>529</v>
      </c>
      <c r="S20" s="343" t="s">
        <v>364</v>
      </c>
      <c r="T20" s="345"/>
      <c r="U20" s="345"/>
      <c r="V20" s="345"/>
      <c r="W20" s="345"/>
      <c r="X20" s="345"/>
      <c r="Y20" s="345"/>
      <c r="Z20" s="360"/>
    </row>
    <row r="21" spans="1:26" ht="15.75" thickBot="1" x14ac:dyDescent="0.3">
      <c r="A21" s="322" t="s">
        <v>511</v>
      </c>
      <c r="B21" s="326"/>
      <c r="C21" s="313" t="s">
        <v>523</v>
      </c>
      <c r="D21" s="324" t="s">
        <v>538</v>
      </c>
      <c r="E21" s="319" t="s">
        <v>523</v>
      </c>
      <c r="F21" s="336"/>
      <c r="G21" s="319"/>
      <c r="H21" s="336"/>
      <c r="I21" s="314"/>
      <c r="J21" s="336"/>
      <c r="K21" s="314"/>
      <c r="L21" s="336"/>
      <c r="M21" s="314"/>
      <c r="S21" s="346" t="s">
        <v>548</v>
      </c>
      <c r="T21" s="362" t="s">
        <v>538</v>
      </c>
      <c r="U21" s="362" t="s">
        <v>538</v>
      </c>
      <c r="V21" s="362" t="s">
        <v>538</v>
      </c>
      <c r="W21" s="363" t="s">
        <v>538</v>
      </c>
      <c r="X21" s="349"/>
      <c r="Y21" s="349"/>
      <c r="Z21" s="364" t="s">
        <v>538</v>
      </c>
    </row>
    <row r="22" spans="1:26" ht="15.75" thickBot="1" x14ac:dyDescent="0.3">
      <c r="A22" s="327" t="s">
        <v>512</v>
      </c>
      <c r="B22" s="333"/>
      <c r="C22" s="335" t="s">
        <v>539</v>
      </c>
      <c r="D22" s="332"/>
      <c r="E22" s="335"/>
      <c r="F22" s="334"/>
      <c r="G22" s="341" t="s">
        <v>538</v>
      </c>
      <c r="H22" s="334"/>
      <c r="I22" s="335"/>
      <c r="J22" s="334"/>
      <c r="K22" s="335"/>
      <c r="L22" s="332"/>
      <c r="M22" s="331" t="s">
        <v>530</v>
      </c>
      <c r="S22" s="343" t="s">
        <v>14</v>
      </c>
      <c r="T22" s="365"/>
      <c r="U22" s="365"/>
      <c r="V22" s="365"/>
      <c r="W22" s="366"/>
      <c r="X22" s="366"/>
      <c r="Y22" s="345"/>
      <c r="Z22" s="360"/>
    </row>
    <row r="23" spans="1:26" ht="15.75" thickBot="1" x14ac:dyDescent="0.3">
      <c r="S23" s="346" t="s">
        <v>13</v>
      </c>
      <c r="T23" s="347" t="s">
        <v>531</v>
      </c>
      <c r="U23" s="347" t="s">
        <v>532</v>
      </c>
      <c r="V23" s="347" t="s">
        <v>533</v>
      </c>
      <c r="W23" s="349" t="s">
        <v>540</v>
      </c>
      <c r="X23" s="350" t="s">
        <v>534</v>
      </c>
      <c r="Y23" s="348"/>
      <c r="Z23" s="361"/>
    </row>
    <row r="24" spans="1:26" x14ac:dyDescent="0.25">
      <c r="S24" s="343" t="s">
        <v>12</v>
      </c>
      <c r="T24" s="365"/>
      <c r="U24" s="365"/>
      <c r="V24" s="365"/>
      <c r="W24" s="366"/>
      <c r="X24" s="366"/>
      <c r="Y24" s="345"/>
      <c r="Z24" s="360"/>
    </row>
    <row r="25" spans="1:26" ht="15.75" thickBot="1" x14ac:dyDescent="0.3">
      <c r="S25" s="346" t="s">
        <v>11</v>
      </c>
      <c r="T25" s="350" t="s">
        <v>535</v>
      </c>
      <c r="U25" s="350" t="s">
        <v>536</v>
      </c>
      <c r="V25" s="350" t="s">
        <v>537</v>
      </c>
      <c r="W25" s="350" t="s">
        <v>537</v>
      </c>
      <c r="X25" s="349" t="s">
        <v>524</v>
      </c>
      <c r="Y25" s="348"/>
      <c r="Z25" s="361"/>
    </row>
    <row r="26" spans="1:26" x14ac:dyDescent="0.25">
      <c r="S26" s="343" t="s">
        <v>365</v>
      </c>
      <c r="T26" s="351"/>
      <c r="U26" s="351"/>
      <c r="V26" s="344" t="s">
        <v>538</v>
      </c>
      <c r="W26" s="351"/>
      <c r="X26" s="345"/>
      <c r="Y26" s="345"/>
      <c r="Z26" s="359"/>
    </row>
    <row r="27" spans="1:26" ht="15.75" thickBot="1" x14ac:dyDescent="0.3">
      <c r="S27" s="346" t="s">
        <v>16</v>
      </c>
      <c r="T27" s="347" t="s">
        <v>516</v>
      </c>
      <c r="U27" s="350" t="s">
        <v>529</v>
      </c>
      <c r="V27" s="350" t="s">
        <v>529</v>
      </c>
      <c r="W27" s="349" t="s">
        <v>526</v>
      </c>
      <c r="X27" s="350" t="s">
        <v>529</v>
      </c>
      <c r="Y27" s="348"/>
      <c r="Z27" s="358" t="s">
        <v>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screening - plans de plaque</vt:lpstr>
      <vt:lpstr>Résultats C3UMY1</vt:lpstr>
      <vt:lpstr>Résultats plaque 2 UV - MS</vt:lpstr>
      <vt:lpstr>Tests sur B et C</vt:lpstr>
      <vt:lpstr>bilan pour publi</vt:lpstr>
      <vt:lpstr>dissertation edit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Aurelie Fossey</dc:creator>
  <cp:lastModifiedBy>Ewald Jongkind</cp:lastModifiedBy>
  <cp:lastPrinted>2019-10-17T10:23:14Z</cp:lastPrinted>
  <dcterms:created xsi:type="dcterms:W3CDTF">2019-10-01T13:41:19Z</dcterms:created>
  <dcterms:modified xsi:type="dcterms:W3CDTF">2024-04-23T14:50:11Z</dcterms:modified>
</cp:coreProperties>
</file>