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jcfde\Replication Dropbox\D. Dodou\Literature review social robots - August 2024\Supplementary material\Supplementary material\"/>
    </mc:Choice>
  </mc:AlternateContent>
  <xr:revisionPtr revIDLastSave="0" documentId="13_ncr:1_{029B5EFB-0CBA-49BC-A0DF-14F07FC65938}" xr6:coauthVersionLast="47" xr6:coauthVersionMax="47" xr10:uidLastSave="{00000000-0000-0000-0000-000000000000}"/>
  <bookViews>
    <workbookView xWindow="-103" yWindow="-103" windowWidth="29829" windowHeight="18000" xr2:uid="{00000000-000D-0000-FFFF-FFFF00000000}"/>
  </bookViews>
  <sheets>
    <sheet name="Included" sheetId="1" r:id="rId1"/>
    <sheet name="Excluded" sheetId="3" r:id="rId2"/>
    <sheet name="Communication" sheetId="5" r:id="rId3"/>
    <sheet name="Per study" sheetId="7" r:id="rId4"/>
    <sheet name="Virtual Interfaces - extra info" sheetId="9" r:id="rId5"/>
    <sheet name="Citation" sheetId="8" r:id="rId6"/>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9" l="1"/>
  <c r="F30" i="9"/>
  <c r="E31" i="9"/>
  <c r="E30" i="9"/>
  <c r="L106" i="5"/>
  <c r="B106" i="5"/>
  <c r="R540" i="1"/>
  <c r="R539" i="1"/>
  <c r="R541" i="1"/>
  <c r="R538" i="1"/>
  <c r="R537" i="1"/>
  <c r="R379" i="1"/>
  <c r="R378" i="1"/>
  <c r="L379" i="1"/>
  <c r="L378" i="1"/>
  <c r="V560" i="1"/>
  <c r="V559" i="1"/>
  <c r="T560" i="1"/>
  <c r="T559" i="1"/>
  <c r="V558" i="1"/>
  <c r="T558" i="1"/>
  <c r="V557" i="1"/>
  <c r="T557" i="1"/>
  <c r="L560" i="1"/>
  <c r="L559" i="1"/>
  <c r="R560" i="1"/>
  <c r="R559" i="1"/>
  <c r="R558" i="1"/>
  <c r="R557" i="1"/>
  <c r="L558" i="1"/>
  <c r="L557" i="1"/>
  <c r="R556" i="1"/>
  <c r="R555" i="1"/>
  <c r="R554" i="1"/>
  <c r="R548" i="1"/>
  <c r="R547" i="1"/>
  <c r="R546" i="1"/>
  <c r="R545" i="1"/>
  <c r="R553" i="1"/>
  <c r="R552" i="1"/>
  <c r="R551" i="1"/>
  <c r="R550" i="1"/>
  <c r="R549" i="1"/>
  <c r="R544" i="1"/>
  <c r="R543" i="1"/>
  <c r="R542" i="1"/>
  <c r="L493" i="1"/>
  <c r="V537" i="1"/>
  <c r="V538" i="1"/>
  <c r="L538" i="1"/>
  <c r="L537" i="1"/>
  <c r="V541" i="1"/>
  <c r="U541" i="1"/>
  <c r="T541" i="1"/>
  <c r="S541" i="1"/>
  <c r="V540" i="1"/>
  <c r="U540" i="1"/>
  <c r="T540" i="1"/>
  <c r="S540" i="1"/>
  <c r="V539" i="1"/>
  <c r="U539" i="1"/>
  <c r="T539" i="1"/>
  <c r="S539" i="1"/>
  <c r="L541" i="1"/>
  <c r="L540" i="1"/>
  <c r="L539" i="1"/>
  <c r="T538" i="1"/>
  <c r="T537" i="1"/>
  <c r="R536" i="1"/>
  <c r="Q536" i="1"/>
  <c r="R535" i="1"/>
  <c r="Q535" i="1"/>
  <c r="R534" i="1"/>
  <c r="R533" i="1"/>
  <c r="Q534" i="1"/>
  <c r="Q533" i="1"/>
  <c r="R532" i="1"/>
  <c r="R531" i="1"/>
  <c r="Q532" i="1"/>
  <c r="Q531" i="1"/>
  <c r="L532" i="1"/>
  <c r="L531" i="1"/>
  <c r="R530" i="1"/>
  <c r="R529" i="1"/>
  <c r="R528" i="1"/>
  <c r="R527" i="1"/>
  <c r="R526" i="1"/>
  <c r="L527" i="1"/>
  <c r="L526" i="1"/>
  <c r="R434" i="1"/>
  <c r="Q212" i="1"/>
  <c r="R399" i="1"/>
  <c r="L152" i="1"/>
  <c r="L151" i="1"/>
  <c r="W377" i="1"/>
  <c r="W376" i="1"/>
  <c r="W375" i="1"/>
  <c r="W371" i="1"/>
  <c r="W370" i="1"/>
  <c r="W369" i="1"/>
  <c r="R525" i="1"/>
  <c r="R524" i="1"/>
  <c r="L525" i="1"/>
  <c r="L524" i="1"/>
  <c r="R523" i="1"/>
  <c r="Q523" i="1"/>
  <c r="R522" i="1"/>
  <c r="Q522" i="1"/>
  <c r="R521" i="1"/>
  <c r="Q521" i="1"/>
  <c r="R520" i="1"/>
  <c r="R519" i="1"/>
  <c r="R518" i="1"/>
  <c r="Q520" i="1"/>
  <c r="Q519" i="1"/>
  <c r="Q518" i="1"/>
  <c r="L214" i="1"/>
  <c r="L213" i="1"/>
  <c r="W517" i="1"/>
  <c r="W516" i="1"/>
  <c r="L511" i="1"/>
  <c r="L510" i="1"/>
  <c r="R509" i="1"/>
  <c r="L508" i="1"/>
  <c r="L507" i="1"/>
  <c r="R508" i="1"/>
  <c r="R507" i="1"/>
  <c r="R506" i="1"/>
  <c r="R505" i="1"/>
  <c r="Q504" i="1"/>
  <c r="Q503" i="1"/>
  <c r="R504" i="1"/>
  <c r="R503" i="1"/>
  <c r="R502" i="1"/>
  <c r="V501" i="1"/>
  <c r="V500" i="1"/>
  <c r="V498" i="1"/>
  <c r="V499" i="1"/>
  <c r="V497" i="1"/>
  <c r="V496" i="1"/>
  <c r="V495" i="1"/>
  <c r="V494" i="1"/>
  <c r="R501" i="1"/>
  <c r="R500" i="1"/>
  <c r="R499" i="1"/>
  <c r="R498" i="1"/>
  <c r="R497" i="1"/>
  <c r="R496" i="1"/>
  <c r="R494" i="1"/>
  <c r="R495" i="1"/>
  <c r="V481" i="1"/>
  <c r="V482" i="1"/>
  <c r="V479" i="1"/>
  <c r="V480" i="1"/>
  <c r="V477" i="1"/>
  <c r="V478" i="1"/>
  <c r="V475" i="1"/>
  <c r="V476" i="1"/>
  <c r="V488" i="1"/>
  <c r="V487" i="1"/>
  <c r="R488" i="1"/>
  <c r="R487" i="1"/>
  <c r="L486" i="1"/>
  <c r="L485" i="1"/>
  <c r="L484" i="1"/>
  <c r="L483" i="1"/>
  <c r="R482" i="1"/>
  <c r="R481" i="1"/>
  <c r="R478" i="1"/>
  <c r="R477" i="1"/>
  <c r="R480" i="1"/>
  <c r="R479" i="1"/>
  <c r="R476" i="1"/>
  <c r="R475" i="1"/>
  <c r="R474" i="1"/>
  <c r="R473" i="1"/>
  <c r="R141" i="1"/>
  <c r="R148" i="1"/>
  <c r="R147" i="1"/>
  <c r="R146" i="1"/>
  <c r="R145" i="1"/>
  <c r="R144" i="1"/>
  <c r="R143" i="1"/>
  <c r="R142" i="1"/>
  <c r="Q144" i="1"/>
  <c r="Q148" i="1"/>
  <c r="Q147" i="1"/>
  <c r="Q146" i="1"/>
  <c r="Q145" i="1"/>
  <c r="Q143" i="1"/>
  <c r="Q142" i="1"/>
  <c r="Q141" i="1"/>
  <c r="R470" i="1"/>
  <c r="Q470" i="1"/>
  <c r="L470" i="1"/>
  <c r="R469" i="1"/>
  <c r="Q469" i="1"/>
  <c r="L469" i="1"/>
  <c r="R468" i="1"/>
  <c r="Q468" i="1"/>
  <c r="L468" i="1"/>
  <c r="R467" i="1"/>
  <c r="Q467" i="1"/>
  <c r="L467" i="1"/>
  <c r="R466" i="1"/>
  <c r="Q466" i="1"/>
  <c r="L466" i="1"/>
  <c r="R465" i="1"/>
  <c r="Q465" i="1"/>
  <c r="L465" i="1"/>
  <c r="R464" i="1"/>
  <c r="Q464" i="1"/>
  <c r="L464" i="1"/>
  <c r="R463" i="1"/>
  <c r="Q463" i="1"/>
  <c r="L463" i="1"/>
  <c r="R462" i="1"/>
  <c r="Q462" i="1"/>
  <c r="L462" i="1"/>
  <c r="R461" i="1"/>
  <c r="Q461" i="1"/>
  <c r="L461" i="1"/>
  <c r="R460" i="1"/>
  <c r="Q460" i="1"/>
  <c r="L460" i="1"/>
  <c r="R459" i="1"/>
  <c r="Q459" i="1"/>
  <c r="L459" i="1"/>
  <c r="R458" i="1"/>
  <c r="Q458" i="1"/>
  <c r="L458" i="1"/>
  <c r="R457" i="1"/>
  <c r="Q457" i="1"/>
  <c r="L457" i="1"/>
  <c r="R456" i="1"/>
  <c r="Q456" i="1"/>
  <c r="L456" i="1"/>
  <c r="R455" i="1"/>
  <c r="Q455" i="1"/>
  <c r="L455" i="1"/>
  <c r="R454" i="1"/>
  <c r="Q454" i="1"/>
  <c r="L454" i="1"/>
  <c r="R453" i="1"/>
  <c r="Q453" i="1"/>
  <c r="L453" i="1"/>
  <c r="R452" i="1"/>
  <c r="Q452" i="1"/>
  <c r="L452" i="1"/>
  <c r="R451" i="1"/>
  <c r="Q451" i="1"/>
  <c r="L451" i="1"/>
  <c r="R450" i="1"/>
  <c r="Q450" i="1"/>
  <c r="L450" i="1"/>
  <c r="R449" i="1"/>
  <c r="Q449" i="1"/>
  <c r="L449" i="1"/>
  <c r="R448" i="1"/>
  <c r="Q448" i="1"/>
  <c r="L448" i="1"/>
  <c r="R447" i="1"/>
  <c r="Q447" i="1"/>
  <c r="L447" i="1"/>
  <c r="R446" i="1"/>
  <c r="Q446" i="1"/>
  <c r="L446" i="1"/>
  <c r="R445" i="1"/>
  <c r="Q445" i="1"/>
  <c r="L445" i="1"/>
  <c r="R444" i="1"/>
  <c r="Q444" i="1"/>
  <c r="L444" i="1"/>
  <c r="R443" i="1"/>
  <c r="Q443" i="1"/>
  <c r="L443" i="1"/>
  <c r="R442" i="1"/>
  <c r="Q442" i="1"/>
  <c r="L442" i="1"/>
  <c r="R441" i="1"/>
  <c r="Q441" i="1"/>
  <c r="L441" i="1"/>
  <c r="R440" i="1"/>
  <c r="Q440" i="1"/>
  <c r="L440" i="1"/>
  <c r="R439" i="1"/>
  <c r="Q439" i="1"/>
  <c r="L439" i="1"/>
  <c r="R438" i="1"/>
  <c r="Q438" i="1"/>
  <c r="L438" i="1"/>
  <c r="R437" i="1"/>
  <c r="Q437" i="1"/>
  <c r="L437" i="1"/>
  <c r="R436" i="1"/>
  <c r="Q436" i="1"/>
  <c r="L436" i="1"/>
  <c r="R435" i="1"/>
  <c r="Q435" i="1"/>
  <c r="L435" i="1"/>
  <c r="Q434" i="1"/>
  <c r="Q433" i="1"/>
  <c r="R432" i="1"/>
  <c r="R431" i="1"/>
  <c r="R430" i="1"/>
  <c r="R429" i="1"/>
  <c r="R428" i="1"/>
  <c r="R427" i="1"/>
  <c r="R426" i="1"/>
  <c r="R425" i="1"/>
  <c r="R414" i="1"/>
  <c r="L414" i="1"/>
  <c r="V413" i="1"/>
  <c r="U413" i="1"/>
  <c r="R413" i="1"/>
  <c r="V412" i="1"/>
  <c r="U412" i="1"/>
  <c r="R412" i="1"/>
  <c r="L411" i="1"/>
  <c r="L410" i="1"/>
  <c r="L409" i="1"/>
  <c r="L408" i="1"/>
  <c r="L407" i="1"/>
  <c r="L406" i="1"/>
  <c r="R401" i="1"/>
  <c r="R400" i="1"/>
  <c r="R398" i="1"/>
  <c r="R397" i="1"/>
  <c r="R396" i="1"/>
  <c r="R395" i="1"/>
  <c r="R394" i="1"/>
  <c r="R393" i="1"/>
  <c r="R392" i="1"/>
  <c r="R391" i="1"/>
  <c r="V390" i="1"/>
  <c r="R390" i="1"/>
  <c r="V389" i="1"/>
  <c r="R389" i="1"/>
  <c r="V388" i="1"/>
  <c r="R388" i="1"/>
  <c r="V387" i="1"/>
  <c r="R387" i="1"/>
  <c r="R386" i="1"/>
  <c r="L386" i="1"/>
  <c r="R385" i="1"/>
  <c r="L385" i="1"/>
  <c r="R382" i="1"/>
  <c r="L382" i="1"/>
  <c r="R381" i="1"/>
  <c r="L381" i="1"/>
  <c r="R380" i="1"/>
  <c r="R377" i="1"/>
  <c r="R376" i="1"/>
  <c r="R375" i="1"/>
  <c r="W374" i="1"/>
  <c r="R374" i="1"/>
  <c r="W373" i="1"/>
  <c r="R373" i="1"/>
  <c r="W372" i="1"/>
  <c r="R372" i="1"/>
  <c r="R371" i="1"/>
  <c r="R370" i="1"/>
  <c r="R369" i="1"/>
  <c r="W368" i="1"/>
  <c r="R368" i="1"/>
  <c r="W367" i="1"/>
  <c r="R367" i="1"/>
  <c r="W366" i="1"/>
  <c r="R366" i="1"/>
  <c r="R365" i="1"/>
  <c r="R364" i="1"/>
  <c r="R362" i="1"/>
  <c r="R361" i="1"/>
  <c r="R360" i="1"/>
  <c r="R358" i="1"/>
  <c r="Q357" i="1"/>
  <c r="Q356" i="1"/>
  <c r="N355" i="1"/>
  <c r="N354" i="1"/>
  <c r="N353" i="1"/>
  <c r="R347" i="1"/>
  <c r="Q347" i="1"/>
  <c r="R346" i="1"/>
  <c r="Q346" i="1"/>
  <c r="V345" i="1"/>
  <c r="U345" i="1"/>
  <c r="T345" i="1"/>
  <c r="S345" i="1"/>
  <c r="R345" i="1"/>
  <c r="V344" i="1"/>
  <c r="U344" i="1"/>
  <c r="T344" i="1"/>
  <c r="S344" i="1"/>
  <c r="R344" i="1"/>
  <c r="V343" i="1"/>
  <c r="U343" i="1"/>
  <c r="T343" i="1"/>
  <c r="S343" i="1"/>
  <c r="R343" i="1"/>
  <c r="V342" i="1"/>
  <c r="U342" i="1"/>
  <c r="T342" i="1"/>
  <c r="S342" i="1"/>
  <c r="R342" i="1"/>
  <c r="R341" i="1"/>
  <c r="N341" i="1"/>
  <c r="R340" i="1"/>
  <c r="N340" i="1"/>
  <c r="R339" i="1"/>
  <c r="N339" i="1"/>
  <c r="R338" i="1"/>
  <c r="N338" i="1"/>
  <c r="V337" i="1"/>
  <c r="R337" i="1"/>
  <c r="V336" i="1"/>
  <c r="R336" i="1"/>
  <c r="V335" i="1"/>
  <c r="R335" i="1"/>
  <c r="V334" i="1"/>
  <c r="R334" i="1"/>
  <c r="V333" i="1"/>
  <c r="R333" i="1"/>
  <c r="U332" i="1"/>
  <c r="S332" i="1"/>
  <c r="V331" i="1"/>
  <c r="U331" i="1"/>
  <c r="T331" i="1"/>
  <c r="S331" i="1"/>
  <c r="V330" i="1"/>
  <c r="U330" i="1"/>
  <c r="T330" i="1"/>
  <c r="S330" i="1"/>
  <c r="W329" i="1"/>
  <c r="R329" i="1"/>
  <c r="W328" i="1"/>
  <c r="R328" i="1"/>
  <c r="R327" i="1"/>
  <c r="R326" i="1"/>
  <c r="R325" i="1"/>
  <c r="R324" i="1"/>
  <c r="R323" i="1"/>
  <c r="R322" i="1"/>
  <c r="R321" i="1"/>
  <c r="R320" i="1"/>
  <c r="R319" i="1"/>
  <c r="R318" i="1"/>
  <c r="R317" i="1"/>
  <c r="R316" i="1"/>
  <c r="R315" i="1"/>
  <c r="R314" i="1"/>
  <c r="R313" i="1"/>
  <c r="R312" i="1"/>
  <c r="R311" i="1"/>
  <c r="R310" i="1"/>
  <c r="R309" i="1"/>
  <c r="R308" i="1"/>
  <c r="R307" i="1"/>
  <c r="R306" i="1"/>
  <c r="Q306" i="1"/>
  <c r="R305" i="1"/>
  <c r="Q305" i="1"/>
  <c r="R304" i="1"/>
  <c r="Q304" i="1"/>
  <c r="R303" i="1"/>
  <c r="Q303" i="1"/>
  <c r="R302" i="1"/>
  <c r="Q302" i="1"/>
  <c r="R301" i="1"/>
  <c r="Q301" i="1"/>
  <c r="R300" i="1"/>
  <c r="Q300" i="1"/>
  <c r="R299" i="1"/>
  <c r="Q299" i="1"/>
  <c r="V298" i="1"/>
  <c r="U298" i="1"/>
  <c r="T298" i="1"/>
  <c r="S298" i="1"/>
  <c r="R298" i="1"/>
  <c r="Q298" i="1"/>
  <c r="L298" i="1"/>
  <c r="R297" i="1"/>
  <c r="L297" i="1"/>
  <c r="R296" i="1"/>
  <c r="L296" i="1"/>
  <c r="R295" i="1"/>
  <c r="R294" i="1"/>
  <c r="R293" i="1"/>
  <c r="V292" i="1"/>
  <c r="T292" i="1"/>
  <c r="R292" i="1"/>
  <c r="V291" i="1"/>
  <c r="T291" i="1"/>
  <c r="R291" i="1"/>
  <c r="V290" i="1"/>
  <c r="T290" i="1"/>
  <c r="R290" i="1"/>
  <c r="M289" i="1"/>
  <c r="L289" i="1"/>
  <c r="L288" i="1"/>
  <c r="L287" i="1"/>
  <c r="L286" i="1"/>
  <c r="R285" i="1"/>
  <c r="Q285" i="1"/>
  <c r="R284" i="1"/>
  <c r="Q284" i="1"/>
  <c r="R283" i="1"/>
  <c r="Q283" i="1"/>
  <c r="V282" i="1"/>
  <c r="U282" i="1"/>
  <c r="T282" i="1"/>
  <c r="S282" i="1"/>
  <c r="V281" i="1"/>
  <c r="U281" i="1"/>
  <c r="T281" i="1"/>
  <c r="S281" i="1"/>
  <c r="V280" i="1"/>
  <c r="R280" i="1"/>
  <c r="Q280" i="1"/>
  <c r="L280" i="1"/>
  <c r="V279" i="1"/>
  <c r="R279" i="1"/>
  <c r="Q279" i="1"/>
  <c r="L279" i="1"/>
  <c r="V278" i="1"/>
  <c r="R278" i="1"/>
  <c r="Q278" i="1"/>
  <c r="L278" i="1"/>
  <c r="V277" i="1"/>
  <c r="R277" i="1"/>
  <c r="Q277" i="1"/>
  <c r="L277" i="1"/>
  <c r="V276" i="1"/>
  <c r="R276" i="1"/>
  <c r="Q276" i="1"/>
  <c r="L276" i="1"/>
  <c r="V275" i="1"/>
  <c r="R275" i="1"/>
  <c r="Q275" i="1"/>
  <c r="L275" i="1"/>
  <c r="V274" i="1"/>
  <c r="R274" i="1"/>
  <c r="Q274" i="1"/>
  <c r="L274" i="1"/>
  <c r="V273" i="1"/>
  <c r="R273" i="1"/>
  <c r="Q273" i="1"/>
  <c r="L273" i="1"/>
  <c r="V267" i="1"/>
  <c r="R267" i="1"/>
  <c r="V266" i="1"/>
  <c r="R266" i="1"/>
  <c r="V265" i="1"/>
  <c r="R265" i="1"/>
  <c r="V264" i="1"/>
  <c r="R264" i="1"/>
  <c r="R257" i="1"/>
  <c r="R256" i="1"/>
  <c r="R255" i="1"/>
  <c r="R254" i="1"/>
  <c r="W251" i="1"/>
  <c r="R251" i="1"/>
  <c r="Q251" i="1"/>
  <c r="L251" i="1"/>
  <c r="V248" i="1"/>
  <c r="T248" i="1"/>
  <c r="Q248" i="1"/>
  <c r="V247" i="1"/>
  <c r="T247" i="1"/>
  <c r="Q247" i="1"/>
  <c r="R244" i="1"/>
  <c r="L244" i="1"/>
  <c r="R243" i="1"/>
  <c r="R242" i="1"/>
  <c r="R241" i="1"/>
  <c r="R240" i="1"/>
  <c r="V239" i="1"/>
  <c r="T239" i="1"/>
  <c r="N239" i="1"/>
  <c r="L239" i="1"/>
  <c r="V238" i="1"/>
  <c r="T238" i="1"/>
  <c r="L238" i="1"/>
  <c r="V237" i="1"/>
  <c r="T237" i="1"/>
  <c r="Q237" i="1"/>
  <c r="N237" i="1"/>
  <c r="L237" i="1"/>
  <c r="V236" i="1"/>
  <c r="T236" i="1"/>
  <c r="Q236" i="1"/>
  <c r="L236" i="1"/>
  <c r="V235" i="1"/>
  <c r="T235" i="1"/>
  <c r="Q235" i="1"/>
  <c r="N235" i="1"/>
  <c r="L235" i="1"/>
  <c r="V234" i="1"/>
  <c r="T234" i="1"/>
  <c r="Q234" i="1"/>
  <c r="L234" i="1"/>
  <c r="R233" i="1"/>
  <c r="L233" i="1"/>
  <c r="R232" i="1"/>
  <c r="Q232" i="1"/>
  <c r="L232" i="1"/>
  <c r="R231" i="1"/>
  <c r="Q231" i="1"/>
  <c r="L231" i="1"/>
  <c r="R230" i="1"/>
  <c r="Q230" i="1"/>
  <c r="L230" i="1"/>
  <c r="R229" i="1"/>
  <c r="Q229" i="1"/>
  <c r="L229" i="1"/>
  <c r="R228" i="1"/>
  <c r="Q228" i="1"/>
  <c r="L228" i="1"/>
  <c r="R227" i="1"/>
  <c r="Q227" i="1"/>
  <c r="L227" i="1"/>
  <c r="R226" i="1"/>
  <c r="Q226" i="1"/>
  <c r="L226" i="1"/>
  <c r="R225" i="1"/>
  <c r="Q225" i="1"/>
  <c r="L225" i="1"/>
  <c r="R224" i="1"/>
  <c r="Q224" i="1"/>
  <c r="L224" i="1"/>
  <c r="R223" i="1"/>
  <c r="Q223" i="1"/>
  <c r="L223" i="1"/>
  <c r="R222" i="1"/>
  <c r="Q222" i="1"/>
  <c r="L222" i="1"/>
  <c r="R221" i="1"/>
  <c r="Q221" i="1"/>
  <c r="L221" i="1"/>
  <c r="R220" i="1"/>
  <c r="Q220" i="1"/>
  <c r="L220" i="1"/>
  <c r="R219" i="1"/>
  <c r="Q219" i="1"/>
  <c r="L219" i="1"/>
  <c r="R218" i="1"/>
  <c r="Q218" i="1"/>
  <c r="L218" i="1"/>
  <c r="R217" i="1"/>
  <c r="Q217" i="1"/>
  <c r="L217" i="1"/>
  <c r="R216" i="1"/>
  <c r="Q216" i="1"/>
  <c r="L216" i="1"/>
  <c r="R215" i="1"/>
  <c r="Q215" i="1"/>
  <c r="L215" i="1"/>
  <c r="W214" i="1"/>
  <c r="R214" i="1"/>
  <c r="W213" i="1"/>
  <c r="R213" i="1"/>
  <c r="W210" i="1"/>
  <c r="R210" i="1"/>
  <c r="L209" i="1"/>
  <c r="R208" i="1"/>
  <c r="R207" i="1"/>
  <c r="R206" i="1"/>
  <c r="R205" i="1"/>
  <c r="R204" i="1"/>
  <c r="R203" i="1"/>
  <c r="R202" i="1"/>
  <c r="R201" i="1"/>
  <c r="R200" i="1"/>
  <c r="V199" i="1"/>
  <c r="R199" i="1"/>
  <c r="V198" i="1"/>
  <c r="R198" i="1"/>
  <c r="V197" i="1"/>
  <c r="R197" i="1"/>
  <c r="N197" i="1"/>
  <c r="V196" i="1"/>
  <c r="R196" i="1"/>
  <c r="V186" i="1"/>
  <c r="T186" i="1"/>
  <c r="R186" i="1"/>
  <c r="V185" i="1"/>
  <c r="T185" i="1"/>
  <c r="R185" i="1"/>
  <c r="V184" i="1"/>
  <c r="T184" i="1"/>
  <c r="R184" i="1"/>
  <c r="V183" i="1"/>
  <c r="T183" i="1"/>
  <c r="R183" i="1"/>
  <c r="R182" i="1"/>
  <c r="R181" i="1"/>
  <c r="R180" i="1"/>
  <c r="R179" i="1"/>
  <c r="R178" i="1"/>
  <c r="R177" i="1"/>
  <c r="R176" i="1"/>
  <c r="L176" i="1"/>
  <c r="R175" i="1"/>
  <c r="L175" i="1"/>
  <c r="R174" i="1"/>
  <c r="L174" i="1"/>
  <c r="V173" i="1"/>
  <c r="T173" i="1"/>
  <c r="R173" i="1"/>
  <c r="L173" i="1"/>
  <c r="V172" i="1"/>
  <c r="S172" i="1"/>
  <c r="T172" i="1"/>
  <c r="R172" i="1"/>
  <c r="L172" i="1"/>
  <c r="W168" i="1"/>
  <c r="V168" i="1"/>
  <c r="T168" i="1"/>
  <c r="R168" i="1"/>
  <c r="W167" i="1"/>
  <c r="V167" i="1"/>
  <c r="T167" i="1"/>
  <c r="R167" i="1"/>
  <c r="V166" i="1"/>
  <c r="T166" i="1"/>
  <c r="R166" i="1"/>
  <c r="V165" i="1"/>
  <c r="T165" i="1"/>
  <c r="R165" i="1"/>
  <c r="V164" i="1"/>
  <c r="R164" i="1"/>
  <c r="N164" i="1"/>
  <c r="V163" i="1"/>
  <c r="R160" i="1"/>
  <c r="R159" i="1"/>
  <c r="R158" i="1"/>
  <c r="R157" i="1"/>
  <c r="R156" i="1"/>
  <c r="R155" i="1"/>
  <c r="L154" i="1"/>
  <c r="T153" i="1"/>
  <c r="R153" i="1"/>
  <c r="R150" i="1"/>
  <c r="L150" i="1"/>
  <c r="R149" i="1"/>
  <c r="L149" i="1"/>
  <c r="L148" i="1"/>
  <c r="L147" i="1"/>
  <c r="L146" i="1"/>
  <c r="L145" i="1"/>
  <c r="V140" i="1"/>
  <c r="T140" i="1"/>
  <c r="R140" i="1"/>
  <c r="L140" i="1"/>
  <c r="V139" i="1"/>
  <c r="T139" i="1"/>
  <c r="R139" i="1"/>
  <c r="L139" i="1"/>
  <c r="R138" i="1"/>
  <c r="R137" i="1"/>
  <c r="R136" i="1"/>
  <c r="R135" i="1"/>
  <c r="R134" i="1"/>
  <c r="V133" i="1"/>
  <c r="U133" i="1"/>
  <c r="T133" i="1"/>
  <c r="S133" i="1"/>
  <c r="R133" i="1"/>
  <c r="V132" i="1"/>
  <c r="U132" i="1"/>
  <c r="T132" i="1"/>
  <c r="S132" i="1"/>
  <c r="R132" i="1"/>
  <c r="V131" i="1"/>
  <c r="U131" i="1"/>
  <c r="T131" i="1"/>
  <c r="S131" i="1"/>
  <c r="R131" i="1"/>
  <c r="R130" i="1"/>
  <c r="Q130" i="1"/>
  <c r="L130" i="1"/>
  <c r="R129" i="1"/>
  <c r="Q129" i="1"/>
  <c r="L129" i="1"/>
  <c r="R128" i="1"/>
  <c r="R127" i="1"/>
  <c r="Q126" i="1"/>
  <c r="L126" i="1"/>
  <c r="Q125" i="1"/>
  <c r="L125" i="1"/>
  <c r="Q124" i="1"/>
  <c r="L124" i="1"/>
  <c r="Q123" i="1"/>
  <c r="L123" i="1"/>
  <c r="L122" i="1"/>
  <c r="L121" i="1"/>
  <c r="R120" i="1"/>
  <c r="R119" i="1"/>
  <c r="L118" i="1"/>
  <c r="L117" i="1"/>
  <c r="L116" i="1"/>
  <c r="L115" i="1"/>
  <c r="R114" i="1"/>
  <c r="L114" i="1"/>
  <c r="R113" i="1"/>
  <c r="L113" i="1"/>
  <c r="R112" i="1"/>
  <c r="L112" i="1"/>
  <c r="R111" i="1"/>
  <c r="L111" i="1"/>
  <c r="L110" i="1"/>
  <c r="L109" i="1"/>
  <c r="V108" i="1"/>
  <c r="R108" i="1"/>
  <c r="L108" i="1"/>
  <c r="L107" i="1"/>
  <c r="R106" i="1"/>
  <c r="L106" i="1"/>
  <c r="V105" i="1"/>
  <c r="T105" i="1"/>
  <c r="R105" i="1"/>
  <c r="L105" i="1"/>
  <c r="V104" i="1"/>
  <c r="T104" i="1"/>
  <c r="R104" i="1"/>
  <c r="L104" i="1"/>
  <c r="R103" i="1"/>
  <c r="L103" i="1"/>
  <c r="R102" i="1"/>
  <c r="L102" i="1"/>
  <c r="R101" i="1"/>
  <c r="L101" i="1"/>
  <c r="R100" i="1"/>
  <c r="L100" i="1"/>
  <c r="R99" i="1"/>
  <c r="L99" i="1"/>
  <c r="R98" i="1"/>
  <c r="L98" i="1"/>
  <c r="R97" i="1"/>
  <c r="R96" i="1"/>
  <c r="R95" i="1"/>
  <c r="R94" i="1"/>
  <c r="R93" i="1"/>
  <c r="R92" i="1"/>
  <c r="R91" i="1"/>
  <c r="R90" i="1"/>
  <c r="V89" i="1"/>
  <c r="T89" i="1"/>
  <c r="R89" i="1"/>
  <c r="V88" i="1"/>
  <c r="T88" i="1"/>
  <c r="R88" i="1"/>
  <c r="V87" i="1"/>
  <c r="T87" i="1"/>
  <c r="R87" i="1"/>
  <c r="V86" i="1"/>
  <c r="T86" i="1"/>
  <c r="R86" i="1"/>
  <c r="L86" i="1"/>
  <c r="V85" i="1"/>
  <c r="T85" i="1"/>
  <c r="R85" i="1"/>
  <c r="L85" i="1"/>
  <c r="V84" i="1"/>
  <c r="T84" i="1"/>
  <c r="R84" i="1"/>
  <c r="L84" i="1"/>
  <c r="V83" i="1"/>
  <c r="T83" i="1"/>
  <c r="R83" i="1"/>
  <c r="L83" i="1"/>
  <c r="V82" i="1"/>
  <c r="T82" i="1"/>
  <c r="R82" i="1"/>
  <c r="R81" i="1"/>
  <c r="Q81" i="1"/>
  <c r="N81" i="1"/>
  <c r="L81" i="1"/>
  <c r="R80" i="1"/>
  <c r="Q80" i="1"/>
  <c r="L80" i="1"/>
  <c r="R79" i="1"/>
  <c r="Q79" i="1"/>
  <c r="N79" i="1"/>
  <c r="L79" i="1"/>
  <c r="R78" i="1"/>
  <c r="Q78" i="1"/>
  <c r="L78" i="1"/>
  <c r="R77" i="1"/>
  <c r="Q77" i="1"/>
  <c r="N77" i="1"/>
  <c r="L77" i="1"/>
  <c r="R76" i="1"/>
  <c r="Q76" i="1"/>
  <c r="L76" i="1"/>
  <c r="R75" i="1"/>
  <c r="Q75" i="1"/>
  <c r="N75" i="1"/>
  <c r="L75" i="1"/>
  <c r="R74" i="1"/>
  <c r="Q74" i="1"/>
  <c r="L74" i="1"/>
  <c r="R73" i="1"/>
  <c r="Q73" i="1"/>
  <c r="N73" i="1"/>
  <c r="L73" i="1"/>
  <c r="R72" i="1"/>
  <c r="Q72" i="1"/>
  <c r="L72" i="1"/>
  <c r="R71" i="1"/>
  <c r="Q71" i="1"/>
  <c r="N71" i="1"/>
  <c r="L71" i="1"/>
  <c r="R70" i="1"/>
  <c r="Q70" i="1"/>
  <c r="L70" i="1"/>
  <c r="R69" i="1"/>
  <c r="Q69" i="1"/>
  <c r="N69" i="1"/>
  <c r="L69" i="1"/>
  <c r="R68" i="1"/>
  <c r="Q68" i="1"/>
  <c r="L68" i="1"/>
  <c r="R67" i="1"/>
  <c r="Q67" i="1"/>
  <c r="N67" i="1"/>
  <c r="L67" i="1"/>
  <c r="R66" i="1"/>
  <c r="Q66" i="1"/>
  <c r="L66" i="1"/>
  <c r="R65" i="1"/>
  <c r="Q65" i="1"/>
  <c r="N65" i="1"/>
  <c r="L65" i="1"/>
  <c r="R64" i="1"/>
  <c r="Q64" i="1"/>
  <c r="L64" i="1"/>
  <c r="R63" i="1"/>
  <c r="Q63" i="1"/>
  <c r="N63" i="1"/>
  <c r="L63" i="1"/>
  <c r="R62" i="1"/>
  <c r="Q62" i="1"/>
  <c r="L62" i="1"/>
  <c r="R61" i="1"/>
  <c r="Q61" i="1"/>
  <c r="N61" i="1"/>
  <c r="L61" i="1"/>
  <c r="R60" i="1"/>
  <c r="Q60" i="1"/>
  <c r="L60" i="1"/>
  <c r="R59" i="1"/>
  <c r="Q59" i="1"/>
  <c r="N59" i="1"/>
  <c r="L59" i="1"/>
  <c r="R58" i="1"/>
  <c r="Q58" i="1"/>
  <c r="L58" i="1"/>
  <c r="R57" i="1"/>
  <c r="L57" i="1"/>
  <c r="R56" i="1"/>
  <c r="L56" i="1"/>
  <c r="R55" i="1"/>
  <c r="L55" i="1"/>
  <c r="R54" i="1"/>
  <c r="L54" i="1"/>
  <c r="R53" i="1"/>
  <c r="L53" i="1"/>
  <c r="R52" i="1"/>
  <c r="L52" i="1"/>
  <c r="R51" i="1"/>
  <c r="L51" i="1"/>
  <c r="R50" i="1"/>
  <c r="L50" i="1"/>
  <c r="R46" i="1"/>
  <c r="R45" i="1"/>
  <c r="R44" i="1"/>
  <c r="L43" i="1"/>
  <c r="L42" i="1"/>
  <c r="L41" i="1"/>
  <c r="L40" i="1"/>
  <c r="L39" i="1"/>
  <c r="L38" i="1"/>
  <c r="L37" i="1"/>
  <c r="L36" i="1"/>
  <c r="L35" i="1"/>
  <c r="L34" i="1"/>
  <c r="L33" i="1"/>
  <c r="L32" i="1"/>
  <c r="L31" i="1"/>
  <c r="L30" i="1"/>
  <c r="L29" i="1"/>
  <c r="L28" i="1"/>
  <c r="L27" i="1"/>
  <c r="L26" i="1"/>
  <c r="L25" i="1"/>
  <c r="L24" i="1"/>
  <c r="L23" i="1"/>
  <c r="R22" i="1"/>
  <c r="L22" i="1"/>
  <c r="R21" i="1"/>
  <c r="L21" i="1"/>
  <c r="L17" i="1"/>
  <c r="L16" i="1"/>
  <c r="M13" i="1"/>
  <c r="M12" i="1"/>
  <c r="R11" i="1"/>
  <c r="L11" i="1"/>
  <c r="R10" i="1"/>
  <c r="L10" i="1"/>
  <c r="R9" i="1"/>
  <c r="R8" i="1"/>
  <c r="Q7" i="1"/>
  <c r="L7" i="1"/>
  <c r="Q6" i="1"/>
  <c r="L6" i="1"/>
  <c r="V5" i="1"/>
  <c r="U5" i="1"/>
  <c r="T5" i="1"/>
  <c r="S5" i="1"/>
  <c r="R5" i="1"/>
  <c r="Q5" i="1"/>
  <c r="V4" i="1"/>
  <c r="U4" i="1"/>
  <c r="T4" i="1"/>
  <c r="S4" i="1"/>
  <c r="R4" i="1"/>
  <c r="Q4" i="1"/>
  <c r="R3" i="1"/>
  <c r="R2" i="1"/>
</calcChain>
</file>

<file path=xl/sharedStrings.xml><?xml version="1.0" encoding="utf-8"?>
<sst xmlns="http://schemas.openxmlformats.org/spreadsheetml/2006/main" count="12064" uniqueCount="1672">
  <si>
    <t>Citation</t>
  </si>
  <si>
    <t>Country</t>
  </si>
  <si>
    <t>Robot</t>
  </si>
  <si>
    <t>Subject of post-test</t>
  </si>
  <si>
    <t>Agent</t>
  </si>
  <si>
    <t>Condition name &amp; properties as reported in the paper</t>
  </si>
  <si>
    <t>Total duration of training sessions (min)</t>
  </si>
  <si>
    <t>Number of training sessions</t>
  </si>
  <si>
    <t>Time interval between end of training and beginning of post-test (days)</t>
  </si>
  <si>
    <t>Similarity pre- vs. post-test (1 = Identical [except order or questions], 2 = Different)</t>
  </si>
  <si>
    <t>Measures and scoring range of pre- and post-tests</t>
  </si>
  <si>
    <t>Mean age (years)</t>
  </si>
  <si>
    <t>Gender (proportion males)</t>
  </si>
  <si>
    <t>M pre</t>
  </si>
  <si>
    <t>SD pre</t>
  </si>
  <si>
    <t>M post</t>
  </si>
  <si>
    <t>SD post</t>
  </si>
  <si>
    <t>n</t>
  </si>
  <si>
    <t>Reverse sign before computing effect size (0 = no, 1 = yes)</t>
  </si>
  <si>
    <t>Conditions tested within-subject (1), or Cohen's d used directly (2)</t>
  </si>
  <si>
    <t>Source of mean and SD data</t>
  </si>
  <si>
    <t>Remarks</t>
  </si>
  <si>
    <t>In Belpaeme's xls (with/without effect sizes)</t>
  </si>
  <si>
    <t>In Belpaeme's xls (with effect sizes for cognitive performance)</t>
  </si>
  <si>
    <t>In Johal's xls</t>
  </si>
  <si>
    <t>NLD</t>
  </si>
  <si>
    <t>NAO</t>
  </si>
  <si>
    <t>Translation (L2)</t>
  </si>
  <si>
    <t>Not reported</t>
  </si>
  <si>
    <t>Number of target words translated from English to Dutch (0-17)</t>
  </si>
  <si>
    <t>Text p. 220</t>
  </si>
  <si>
    <t>ITA</t>
  </si>
  <si>
    <t>N/A</t>
  </si>
  <si>
    <t>Vocabulary (L2)</t>
  </si>
  <si>
    <t>Human</t>
  </si>
  <si>
    <t>Number of target words named in English in a word-picture association task (0-6)</t>
  </si>
  <si>
    <t>Table 3</t>
  </si>
  <si>
    <t>MecWilly</t>
  </si>
  <si>
    <t>PRT</t>
  </si>
  <si>
    <t>Handwriting</t>
  </si>
  <si>
    <t xml:space="preserve">Text p. 171, Figure 5b </t>
  </si>
  <si>
    <t>USA</t>
  </si>
  <si>
    <t>Vocabulary (L1)</t>
  </si>
  <si>
    <t>Number of animals correctly identified (0-3)</t>
  </si>
  <si>
    <t>Text p. 5</t>
  </si>
  <si>
    <t>y</t>
  </si>
  <si>
    <t>DragonBot</t>
  </si>
  <si>
    <t>GBR</t>
  </si>
  <si>
    <t>Math (prime number identification)</t>
  </si>
  <si>
    <t>Text p. 451</t>
  </si>
  <si>
    <t>IRN</t>
  </si>
  <si>
    <t>G</t>
  </si>
  <si>
    <t>45-item vocabulary test (0-45)</t>
  </si>
  <si>
    <t>Graph 2</t>
  </si>
  <si>
    <t>Graph 1</t>
  </si>
  <si>
    <t>Response in English depicting what is shown on 7 pictures (scoring range not reported)</t>
  </si>
  <si>
    <t>Text p. 92</t>
  </si>
  <si>
    <t>ARE</t>
  </si>
  <si>
    <t>Math (decimals)</t>
  </si>
  <si>
    <t>Text p. 4 (10% improvement)</t>
  </si>
  <si>
    <t>Nothing</t>
  </si>
  <si>
    <t>Text p. 4 (13% improvement)</t>
  </si>
  <si>
    <t>TWN</t>
  </si>
  <si>
    <t>General/factual knowledge (biology)</t>
  </si>
  <si>
    <t>Virtual interface</t>
  </si>
  <si>
    <t>20 MC (4 pts each) and 4 question-response items (5 pts each) (0-100)</t>
  </si>
  <si>
    <t>Table 2</t>
  </si>
  <si>
    <t>Bioloid Robot Kit</t>
  </si>
  <si>
    <t>JPN</t>
  </si>
  <si>
    <t>CommU</t>
  </si>
  <si>
    <t>Speaking (L2)</t>
  </si>
  <si>
    <t>Number of words in analysis-of-speech unit</t>
  </si>
  <si>
    <t>Text p. 238</t>
  </si>
  <si>
    <t>Post-test A</t>
  </si>
  <si>
    <t>Post-test B</t>
  </si>
  <si>
    <t>Post-test C</t>
  </si>
  <si>
    <t>Grammar/lexical errors (%)</t>
  </si>
  <si>
    <t>Number of words per second</t>
  </si>
  <si>
    <t>Text p. 239</t>
  </si>
  <si>
    <t>Length of silent pauses (s)</t>
  </si>
  <si>
    <t>Segmental aspect of pronunciation (good, so-so, not good) (%)</t>
  </si>
  <si>
    <t>Suprasegmental aspect of pronunciation (good, so-so, not good) (%)</t>
  </si>
  <si>
    <t>Text p. 239–240</t>
  </si>
  <si>
    <t>Appropriate/inappropriate response (%)</t>
  </si>
  <si>
    <t>Text p. 240</t>
  </si>
  <si>
    <t>General/factual knowledge (nutrition)</t>
  </si>
  <si>
    <t>4 MC questions and 9 true/false questions on cultural-nutritional awareness (0-8.5)</t>
  </si>
  <si>
    <t>Target vocabulary test error rate (0-1)</t>
  </si>
  <si>
    <t>Text p. 691</t>
  </si>
  <si>
    <t>TEGA</t>
  </si>
  <si>
    <t>Personalized robot</t>
  </si>
  <si>
    <t>Non-personalized robot</t>
  </si>
  <si>
    <t>d = 1.18 reported between control and non-personalized robot conditions</t>
  </si>
  <si>
    <t>Story recall (L1)</t>
  </si>
  <si>
    <t>Number of elements drawn (scoring range not reported)</t>
  </si>
  <si>
    <t>Table 2 (Conti et al., 2020)</t>
  </si>
  <si>
    <t>Static modality</t>
  </si>
  <si>
    <t>Number of trials performed correctly - Translation English-Dutch (0-34)</t>
  </si>
  <si>
    <t>Table III</t>
  </si>
  <si>
    <t>Sham</t>
  </si>
  <si>
    <t>Number of trials performed correctly - Translation Dutch-English (0-34)</t>
  </si>
  <si>
    <t>Comprehension (L2)</t>
  </si>
  <si>
    <t>Number of trials performed correctly - Comprehension (0-54)</t>
  </si>
  <si>
    <t>Vocabulary &amp; grammar rules (L2)</t>
  </si>
  <si>
    <t>12 MC questions on vocabulary acquisition and ability to apply each of 3 rules in isolation and combination with each other (scoring range not reported)</t>
  </si>
  <si>
    <t>Table I</t>
  </si>
  <si>
    <t>High verbal ability</t>
  </si>
  <si>
    <t>Low verbal ability</t>
  </si>
  <si>
    <t>Touchscreen</t>
  </si>
  <si>
    <t>Classification of numbers between prime and non-prime (0-12)</t>
  </si>
  <si>
    <t>Text p. 72</t>
  </si>
  <si>
    <t>It is assumed that the pre/post-tests differed from each other and that the post-test was conducted immediately after the training based on a similar study by the same authors (https://doi.org/10.1007/978-3-319-25554-5_33)</t>
  </si>
  <si>
    <t>Asocial</t>
  </si>
  <si>
    <t>Social</t>
  </si>
  <si>
    <t>Math (problems on area or perimeter)</t>
  </si>
  <si>
    <t>ThinkAloud</t>
  </si>
  <si>
    <t>Proportion of the number of questions answered correctly out of 6 math problems that require reading the problem and applying critical reasoning skills (0-1)</t>
  </si>
  <si>
    <t>Figure 4</t>
  </si>
  <si>
    <t>No ThinkAloud</t>
  </si>
  <si>
    <t>Tutee</t>
  </si>
  <si>
    <t>Peabody Picture Vocabulary Test. Pre-test: 11 target words in a picture vocabulary test; Immediate test: picture vocabulary test for words that appeared in the given session (scoring range not reported)</t>
  </si>
  <si>
    <t>Peabody Picture Vocabulary Test. Pre-test &amp; Delayed test: all 11 target words in a picture vocabulary test (scoring range not reported)</t>
  </si>
  <si>
    <t>Tutor</t>
  </si>
  <si>
    <t>Table 3; 2.44 instead of 2.43 in Table 2</t>
  </si>
  <si>
    <t>Peer</t>
  </si>
  <si>
    <t>Learning</t>
  </si>
  <si>
    <t>For 9 letters: letter selection (0 pts = incorrect, 5 pts = correct) &amp; letter writing (1 = unreadable, 5 = readable with no error) (scores scaled to match the "data range")</t>
  </si>
  <si>
    <t>Text p. 47 (2018), p. 732 (2020), Figure 10a (2020)</t>
  </si>
  <si>
    <t>Non-learning</t>
  </si>
  <si>
    <t>Personalized learning</t>
  </si>
  <si>
    <t>Deformed letter correction via box or slider (1 = unreadable, 5 = readable with no error)</t>
  </si>
  <si>
    <t>Text p. 739</t>
  </si>
  <si>
    <t>Continuous learning</t>
  </si>
  <si>
    <t>Peer tutoring</t>
  </si>
  <si>
    <t>Peer learning</t>
  </si>
  <si>
    <t>Math (addition and subtraction)</t>
  </si>
  <si>
    <t>Elaborate feedback</t>
  </si>
  <si>
    <t>Math test score (0-20)</t>
  </si>
  <si>
    <t>Table 6.4 (Liebens, 2019)</t>
  </si>
  <si>
    <t>Minimal feedback</t>
  </si>
  <si>
    <t>Math (multiplications)</t>
  </si>
  <si>
    <t>Adaptive</t>
  </si>
  <si>
    <t>Ability to identify the different ways to represent multiplication problems (0-1)</t>
  </si>
  <si>
    <t>Text p. 655</t>
  </si>
  <si>
    <t>Multiplication problems (0-1)</t>
  </si>
  <si>
    <t>Text p. 656</t>
  </si>
  <si>
    <t>Static</t>
  </si>
  <si>
    <t>Math (fractions)</t>
  </si>
  <si>
    <t>On-demand</t>
  </si>
  <si>
    <t>8 math problems (0-1)</t>
  </si>
  <si>
    <t>Keepon</t>
  </si>
  <si>
    <t>Personalized</t>
  </si>
  <si>
    <t>Accuracy of 40 translations (0-1)</t>
  </si>
  <si>
    <t>Text p. 19:12</t>
  </si>
  <si>
    <t>Time interval post-test is an estimate (fifth session, with the five sessions spread over two weeks)</t>
  </si>
  <si>
    <t>Non-personalized</t>
  </si>
  <si>
    <t>Reasoning (inductive)</t>
  </si>
  <si>
    <t>12 logical problems (schematic‐picture completion problems) (Total correct) (0-12)</t>
  </si>
  <si>
    <t>12 logical problems (schematic‐picture completion problems) (number of body parts) (0-12)</t>
  </si>
  <si>
    <t>WittyWorX</t>
  </si>
  <si>
    <t>Maki (Hello Robo)</t>
  </si>
  <si>
    <t>General/factual knowledge (physics concepts)</t>
  </si>
  <si>
    <t>Socially adept</t>
  </si>
  <si>
    <t>MC and open questions on content knowledge (0-12)</t>
  </si>
  <si>
    <t>Tables 1 &amp; 3</t>
  </si>
  <si>
    <t>Socially neutral</t>
  </si>
  <si>
    <t>Text p. 54</t>
  </si>
  <si>
    <t>Delayed post-test was administered "at least one week after the experiment"</t>
  </si>
  <si>
    <t>Math (order of operations)</t>
  </si>
  <si>
    <t>Fixed</t>
  </si>
  <si>
    <t>12 math questions across three levels of difficulty (-1 to 1)</t>
  </si>
  <si>
    <t>Text p. 150, Figure 5, raw data</t>
  </si>
  <si>
    <t>Reward</t>
  </si>
  <si>
    <t>Refocus</t>
  </si>
  <si>
    <t>Entertainment</t>
  </si>
  <si>
    <t>Number of correct answers identifying which of four images corresponds to each of 20 target words uttered via recording (0-20)</t>
  </si>
  <si>
    <t>Raw data from the supplementary Excel file</t>
  </si>
  <si>
    <t>No entertainement</t>
  </si>
  <si>
    <t>Math (ratios, proportions, and word problems)</t>
  </si>
  <si>
    <t>Entraining</t>
  </si>
  <si>
    <t>Conceptual and procedural questions on ratios, proportions, and word problems (scoring range not reported)</t>
  </si>
  <si>
    <t>Social + entraining</t>
  </si>
  <si>
    <t>Non-social</t>
  </si>
  <si>
    <t>Conceptual and procedural questions on ratios, proportions, and word problems (scoring range not reported),</t>
  </si>
  <si>
    <t>High nonverbal immediacy</t>
  </si>
  <si>
    <t>Text p. 332</t>
  </si>
  <si>
    <t>Low nonverbal immediacy</t>
  </si>
  <si>
    <t>KOR</t>
  </si>
  <si>
    <t>Story making/comprehension &amp; vocabulary (L1)</t>
  </si>
  <si>
    <t>Story making (1-6)</t>
  </si>
  <si>
    <t>Table VI</t>
  </si>
  <si>
    <t>Story understanding (0-4)</t>
  </si>
  <si>
    <t>Table VII</t>
  </si>
  <si>
    <t>Table VIII</t>
  </si>
  <si>
    <t>Word recognition (0-8)</t>
  </si>
  <si>
    <t xml:space="preserve">Table IX </t>
  </si>
  <si>
    <t>IRobiQ</t>
  </si>
  <si>
    <t>Reasoning (sorting rules)</t>
  </si>
  <si>
    <t>12 correct/false items (sorting aliens based on sorting rules) (learning gain)</t>
  </si>
  <si>
    <t>Mero and Engkey</t>
  </si>
  <si>
    <t>Listening &amp; speaking (L2)</t>
  </si>
  <si>
    <t>15 MC listening (scoring range not reported)</t>
  </si>
  <si>
    <t>Table 5</t>
  </si>
  <si>
    <t>10 interview items for speaking (5-pt per category: pronunciation, vocabulary, grammar, communicative ability)</t>
  </si>
  <si>
    <t>3 MC multiplication problems (scoring range not reported)</t>
  </si>
  <si>
    <t>Text p. 374</t>
  </si>
  <si>
    <t>ROBOSEM</t>
  </si>
  <si>
    <t>Pronunciation and writing (L2)</t>
  </si>
  <si>
    <t>Table II</t>
  </si>
  <si>
    <t>10 recall questions from the story told before the test (% correct)</t>
  </si>
  <si>
    <t>Table 4</t>
  </si>
  <si>
    <t>Adults</t>
  </si>
  <si>
    <t>Low immediacy</t>
  </si>
  <si>
    <t>High immediacy</t>
  </si>
  <si>
    <t>Children</t>
  </si>
  <si>
    <t>Listening, speaking, reading, &amp; writing (L2)</t>
  </si>
  <si>
    <t>Language ability (40 pts listening, 12 pts speaking, 30 pts reading, 18 pts writing) (0-100)</t>
  </si>
  <si>
    <t>Text p. 344</t>
  </si>
  <si>
    <t>Bioloid</t>
  </si>
  <si>
    <t>General/factual knowledge (digital media)</t>
  </si>
  <si>
    <t>Self-reported exam grade (German system: 1= best possible, &gt;4 = failed)</t>
  </si>
  <si>
    <t>Figure 2</t>
  </si>
  <si>
    <t>Pepper</t>
  </si>
  <si>
    <t>Students received their grades for the exam approximately 8 weeks after the study (i.e., the interval between the end of the training and the exam must have been smaller)</t>
  </si>
  <si>
    <t>GRC</t>
  </si>
  <si>
    <t>Correct matching image for each of 20 target words (0-40)</t>
  </si>
  <si>
    <t>Figure 3 &amp; supplementary material (for mean difference)</t>
  </si>
  <si>
    <t>KAZ</t>
  </si>
  <si>
    <t>New script learning</t>
  </si>
  <si>
    <t>23 Cyrillic-based Kazakh alphabet letters to be converted to an equivalent in the Latin-based Kazakh alphabet (scoring range not reported)</t>
  </si>
  <si>
    <t>Table 1</t>
  </si>
  <si>
    <t>Robovie</t>
  </si>
  <si>
    <t>LEGO building</t>
  </si>
  <si>
    <t>Description of how to build an exploration robot; checklist with six items to code the answers (scoring range not reported)</t>
  </si>
  <si>
    <t>Figure 7a</t>
  </si>
  <si>
    <t>Math (times tables)</t>
  </si>
  <si>
    <t>140 multiplications within 4 min (scoring range not reported)</t>
  </si>
  <si>
    <t>Text p. 4</t>
  </si>
  <si>
    <t>ISR</t>
  </si>
  <si>
    <t>NAO/Patricc</t>
  </si>
  <si>
    <t>Word root identification (L1)</t>
  </si>
  <si>
    <t>Number of correct word-root identification out of 10 word roots taught (0-10)</t>
  </si>
  <si>
    <t>Text p. 1007</t>
  </si>
  <si>
    <t>Number of correct word-root identification out of 10 extra word roots (0-10)</t>
  </si>
  <si>
    <t>General/factual knowledge (history)</t>
  </si>
  <si>
    <t>Personzalized</t>
  </si>
  <si>
    <t>Not reported (5 min per interaction)</t>
  </si>
  <si>
    <t>Multiple</t>
  </si>
  <si>
    <t>24 images, 12 belonging to stone age, 12 not; recognize which ones belong to the stone age (0-1)</t>
  </si>
  <si>
    <t>Supplementary S2</t>
  </si>
  <si>
    <t>Spelling (L1)</t>
  </si>
  <si>
    <t>Spelling test (scoring range not reported)</t>
  </si>
  <si>
    <t>With explanations</t>
  </si>
  <si>
    <t>Correct matching image for each of 9 target words (0-9)</t>
  </si>
  <si>
    <t>Without explanations</t>
  </si>
  <si>
    <t>HKG</t>
  </si>
  <si>
    <t>Bioloid Premium DIY</t>
  </si>
  <si>
    <t>Multiplications within 5 min (0-147)</t>
  </si>
  <si>
    <t>Subsamples that completed 1, 2, or 3 sessions are merged here</t>
  </si>
  <si>
    <t>20-item oral interview on knowledge of the lesson content (0-20)</t>
  </si>
  <si>
    <t>Text p. 271</t>
  </si>
  <si>
    <t>Audio</t>
  </si>
  <si>
    <t xml:space="preserve">Heathkit/Zenith Hero I </t>
  </si>
  <si>
    <t>Moving</t>
  </si>
  <si>
    <t>Still</t>
  </si>
  <si>
    <t>Story content - not further specified (L2)</t>
  </si>
  <si>
    <t>7 problems on English content (0-7)</t>
  </si>
  <si>
    <t>IROBI</t>
  </si>
  <si>
    <t>Figure 10</t>
  </si>
  <si>
    <t>Supportive gestures</t>
  </si>
  <si>
    <t>10 equal addends equivalence problems (0-10)</t>
  </si>
  <si>
    <t>No gestures</t>
  </si>
  <si>
    <t>Random gestures</t>
  </si>
  <si>
    <t>Reading comprehension (L1)</t>
  </si>
  <si>
    <t>6 MC questions on reading comprehension (literal, inferential, critical) (0-6)</t>
  </si>
  <si>
    <t>Text p. 1896</t>
  </si>
  <si>
    <t>Standard deviations estimated using simulations (to yield F = 0.428)</t>
  </si>
  <si>
    <t>Robot Julia</t>
  </si>
  <si>
    <t>General/factual knowledge (pendulum &amp; human birth)</t>
  </si>
  <si>
    <t>MC quizzes on science (scoring range not reported)</t>
  </si>
  <si>
    <t>Text p. 87</t>
  </si>
  <si>
    <t>42 Cyrillic-based Kazakh alphabet letters to be converted to an equivalent in the Latin-based Kazakh alphabet (scoring range not reported)</t>
  </si>
  <si>
    <t>Text p. 118</t>
  </si>
  <si>
    <t>Computational thinking (coding)</t>
  </si>
  <si>
    <t>3 coding exercises (0-4)</t>
  </si>
  <si>
    <t>Reasoning (spatial: Tangram puzzles)</t>
  </si>
  <si>
    <t>16 tasks asking to choose which shape results from moving two separate pieces together (0-16).</t>
  </si>
  <si>
    <t>Text p. 144</t>
  </si>
  <si>
    <t>CYP</t>
  </si>
  <si>
    <t>Text p. 80</t>
  </si>
  <si>
    <t>Number of correct translations out of 6 target words English-Dutch (0-6)</t>
  </si>
  <si>
    <t>Table 2 (Chapter 4)</t>
  </si>
  <si>
    <t>Number of correct translations out of 6 target words Dutch-English (0-6)</t>
  </si>
  <si>
    <t>24 items asking to choose the picture that best represented one of the target words - Comprehension (0-24)</t>
  </si>
  <si>
    <t>Correct matching image for each of 24 words (0-24)</t>
  </si>
  <si>
    <t>Text p. 7</t>
  </si>
  <si>
    <t>Figure 5</t>
  </si>
  <si>
    <t>Delayed post-test conducted between one and two weeks after the training session</t>
  </si>
  <si>
    <t>Repeated gestures</t>
  </si>
  <si>
    <t>Varied gestures</t>
  </si>
  <si>
    <t>General/factual knowledge (sustainable development)</t>
  </si>
  <si>
    <t>12 MC questions on factual knowledge about energy sources (scoring range not reported)</t>
  </si>
  <si>
    <t>Text p. 3:22</t>
  </si>
  <si>
    <t>Empathic</t>
  </si>
  <si>
    <t>Non-empathic</t>
  </si>
  <si>
    <t>Text p. 3:25</t>
  </si>
  <si>
    <t>Study 2 - short term</t>
  </si>
  <si>
    <t>English language (scoring range not reported)</t>
  </si>
  <si>
    <t>Custom-made</t>
  </si>
  <si>
    <t>RUBI-4</t>
  </si>
  <si>
    <t>% correct of 20 items asking to choose the picture that best represented one of the target words</t>
  </si>
  <si>
    <t>Figure 2, text p. 2</t>
  </si>
  <si>
    <t>Paper</t>
  </si>
  <si>
    <t>Number of German words recalled correctly out of 20 (0-20)</t>
  </si>
  <si>
    <t>Text p. 334</t>
  </si>
  <si>
    <t>Nabaztag</t>
  </si>
  <si>
    <t>6 MC listening questions, asking to choose the picture that best represented one of the target expression (0-1)</t>
  </si>
  <si>
    <t>Figure 6 (only the results after the 1w are included)</t>
  </si>
  <si>
    <t>The children were allowed to interact freely with both robots during recess (i.e., no fixed time of interaction)</t>
  </si>
  <si>
    <t>15 MC and 18 fill-in-blank questions (0-100)</t>
  </si>
  <si>
    <t>General/factual knowledge (iInformation and communication technologies)</t>
  </si>
  <si>
    <t>5 open questions on the lecture content (0-20)</t>
  </si>
  <si>
    <t>5 MC questions on the lecture content (0-5)</t>
  </si>
  <si>
    <t>Creativity in storytelling</t>
  </si>
  <si>
    <t>YOLO</t>
  </si>
  <si>
    <t>Creativity-stimulating behaviors</t>
  </si>
  <si>
    <t>Creativity-stimulating and social behaviors</t>
  </si>
  <si>
    <t>Test for Creative Thinking-Drawing Production (scoring method not reported)</t>
  </si>
  <si>
    <t>General/factual knowledge (physiology)</t>
  </si>
  <si>
    <t>21 MC and 2 open questions on the topic taught; the data here concern only 4 items on 'Help-Available Knowledge' (learning gain, but unclear definition of it)</t>
  </si>
  <si>
    <t>Helper</t>
  </si>
  <si>
    <t>Non-existence</t>
  </si>
  <si>
    <t>LEGO StoryStarter; evaluate how much expression of the learning task the work contained (learning gain)</t>
  </si>
  <si>
    <t>Existence</t>
  </si>
  <si>
    <t>ifbot</t>
  </si>
  <si>
    <t>With Nod with Hint</t>
  </si>
  <si>
    <t>LEGO StoryStarter; evaluate how much expression of the learning task the work contained; The completeness refers to how much expression of the learning task the work contained. Difference between the summed scores of post- and pre-tasks, with a maximum difference score of 40 points and a minimum of 0 were calculated. (learning gain)</t>
  </si>
  <si>
    <t>Figure 12</t>
  </si>
  <si>
    <t>With Nod without Hint</t>
  </si>
  <si>
    <t>Math (algebra)</t>
  </si>
  <si>
    <t>Correct answers to topics taught during the experiment (0-10)</t>
  </si>
  <si>
    <t>Figure 6</t>
  </si>
  <si>
    <t>Adult-like feedback (implicit negative feedback and explicit positive feedback)</t>
  </si>
  <si>
    <t>Correct matching image for each of 4 target words (0-4)</t>
  </si>
  <si>
    <t>Total duration of the experiment, including pre- and post-test: 10-15 min, so 7 min for the training is an estimate</t>
  </si>
  <si>
    <t>Peer-like feedback (explicit negative feedback)</t>
  </si>
  <si>
    <t>No feedback</t>
  </si>
  <si>
    <t>Preferred feedback</t>
  </si>
  <si>
    <t>Table 6</t>
  </si>
  <si>
    <t>Dispreferred feedback</t>
  </si>
  <si>
    <t>iRobiQ</t>
  </si>
  <si>
    <t>Reading literacy (L1)</t>
  </si>
  <si>
    <t>Reading comprehension (0-3), storytelling ability (0-15), word recognition (0-20), retelling of stories (0-8)</t>
  </si>
  <si>
    <t>Table 7</t>
  </si>
  <si>
    <t>Math (ratios)</t>
  </si>
  <si>
    <t>10 procedural and conceptual questions about ratios (0-1)</t>
  </si>
  <si>
    <t>Table 14.4</t>
  </si>
  <si>
    <t>ESP</t>
  </si>
  <si>
    <t>Open hints</t>
  </si>
  <si>
    <t>Performance (%) (no other information provided) (0-100)</t>
  </si>
  <si>
    <t>Text p. 3</t>
  </si>
  <si>
    <t>Close hints</t>
  </si>
  <si>
    <t>Trivia as distractions</t>
  </si>
  <si>
    <t>Math (division)</t>
  </si>
  <si>
    <t>AT-POMDP</t>
  </si>
  <si>
    <t>% correct answers and % correct strategy of 8 problems on long divisions</t>
  </si>
  <si>
    <t>Text p. 8055 &amp; Figure 3b</t>
  </si>
  <si>
    <t>Post-test was on a separate day (but the time interval is not mentioned)</t>
  </si>
  <si>
    <t>Correct answers out of 14 questions (0-14)</t>
  </si>
  <si>
    <t>12 Tower of Hanoi puzzles</t>
  </si>
  <si>
    <t>Not reported which group had 19 and which 18</t>
  </si>
  <si>
    <t>Number of steps taken to solve the puzzles</t>
  </si>
  <si>
    <t>Mean completion time divided by the number of puzzles</t>
  </si>
  <si>
    <t>Pre-solving time</t>
  </si>
  <si>
    <t>Number of target words learned out of 11 (0-11)</t>
  </si>
  <si>
    <t>Not clear which of the two sets of post-tests the numbers refer to (after the first or after the second week)</t>
  </si>
  <si>
    <t>ZENBO</t>
  </si>
  <si>
    <t>Vocabulary, grammar, and sentence patterns (L2)</t>
  </si>
  <si>
    <t>Five fill-in-the-blank and five short-answer items (0-100)</t>
  </si>
  <si>
    <t>Tables 1 &amp; 2</t>
  </si>
  <si>
    <t>EMYS</t>
  </si>
  <si>
    <t>Verbal creativity (L2)</t>
  </si>
  <si>
    <t>Promotion</t>
  </si>
  <si>
    <t>Fluency as the total number of story elements expressed verbally by the participant during storytelling</t>
  </si>
  <si>
    <t>Flexibility as the total number of characters used</t>
  </si>
  <si>
    <t>Flexibility as the total number of actions used</t>
  </si>
  <si>
    <t>Flexibility as the total number of scenarios used</t>
  </si>
  <si>
    <t>Flexibility as the total number of objects used</t>
  </si>
  <si>
    <t>Flexibility as the total number of affective expressions used</t>
  </si>
  <si>
    <t>Elaboration as the total time children were speaking (s)</t>
  </si>
  <si>
    <t>Originality of the ideas during storytelling on a three-point scale (1 = low, 2 = medium, and 3 = high)</t>
  </si>
  <si>
    <t>Prevention</t>
  </si>
  <si>
    <t>UR5e</t>
  </si>
  <si>
    <t>Electronic circuit construction</t>
  </si>
  <si>
    <t>Six questions on electronic circuit construction</t>
  </si>
  <si>
    <t>Robot arm with communication functions (not anthropomorphic)</t>
  </si>
  <si>
    <t>11 vocabulary recognition questions</t>
  </si>
  <si>
    <t>Figures 7 &amp; 8</t>
  </si>
  <si>
    <t>10 oral reproduction questions</t>
  </si>
  <si>
    <t>AUS</t>
  </si>
  <si>
    <t>Health literacy</t>
  </si>
  <si>
    <t>3 health literacy-related questions (Correct/Incorrect)</t>
  </si>
  <si>
    <t>Individual</t>
  </si>
  <si>
    <t>Text p. 224</t>
  </si>
  <si>
    <t>Duration is an estimate</t>
  </si>
  <si>
    <t>Enchanced</t>
  </si>
  <si>
    <t>Group</t>
  </si>
  <si>
    <t>Comparison (Robot turned off = no interaction)</t>
  </si>
  <si>
    <t>Control</t>
  </si>
  <si>
    <t>No gamification</t>
  </si>
  <si>
    <t>Fourteen tasks (0-14)</t>
  </si>
  <si>
    <t>Gamification</t>
  </si>
  <si>
    <t>Tablet - No gamification</t>
  </si>
  <si>
    <t>Tablet - Gamification</t>
  </si>
  <si>
    <t>CHE</t>
  </si>
  <si>
    <t>Computational thinking</t>
  </si>
  <si>
    <t>Percentage feasible solutions (%)</t>
  </si>
  <si>
    <t>Figure 3</t>
  </si>
  <si>
    <t>The robot was physical (i.e., not virtual) but via videoconferencing because of COVID restrictions</t>
  </si>
  <si>
    <t>Percentage correct in tests (%)</t>
  </si>
  <si>
    <t>Errors in tests (%)</t>
  </si>
  <si>
    <t>Lowest error in collaboration (%)</t>
  </si>
  <si>
    <t>Kebbi</t>
  </si>
  <si>
    <t>Robot with tablet</t>
  </si>
  <si>
    <t>Six multiple-choice questions on English vocabulary (0-6)</t>
  </si>
  <si>
    <t>Text p. 10</t>
  </si>
  <si>
    <t>Robot only</t>
  </si>
  <si>
    <t>Number of correct responses in eight questions (scoring method not reported; likely 1-100 or 0-100)</t>
  </si>
  <si>
    <t>NUWA</t>
  </si>
  <si>
    <t>Not reported (8 weeks)</t>
  </si>
  <si>
    <t>Tables 3 &amp; 4</t>
  </si>
  <si>
    <t>Tables 3 &amp; 5</t>
  </si>
  <si>
    <t>Text p. 119</t>
  </si>
  <si>
    <t>Yin, J., Guo, W., Zheng, W., Ren, M., Wang, S., &amp; Jiang, Y. (2024). The influence of robot social behaviors on second language learning in preschoolers. International Journal of Human–Computer Interaction, 40, 1600–1608. https://doi.org/10.1080/10447318.2022.2144828</t>
  </si>
  <si>
    <t>CHN</t>
  </si>
  <si>
    <t>Alpha Mini</t>
  </si>
  <si>
    <t>Verbal</t>
  </si>
  <si>
    <t>Ten words translated correctly (0-10)</t>
  </si>
  <si>
    <t>The results seem very similar for the two metrics, but the authors do acknowledge that, so it is likely not an error</t>
  </si>
  <si>
    <t>Gestural</t>
  </si>
  <si>
    <t>Verbal+Gestural</t>
  </si>
  <si>
    <t>Eight questions with single-word answers (0-100)</t>
  </si>
  <si>
    <t>Eighteen questions with single-word answers (0-100)</t>
  </si>
  <si>
    <t>Not reported (est. 4 weeks)</t>
  </si>
  <si>
    <t>Exam grade (1-5, reverse scale)</t>
  </si>
  <si>
    <t>Non-adaptive</t>
  </si>
  <si>
    <t>Adaptive -&gt; Non-adaptive</t>
  </si>
  <si>
    <t>Text p. 25</t>
  </si>
  <si>
    <t>Robot was present in the post-test; both groups have experienced both robot conditions, but in reverse order</t>
  </si>
  <si>
    <t>Non-adaptive -&gt; Adaptive</t>
  </si>
  <si>
    <t>SWE</t>
  </si>
  <si>
    <t>Furhat</t>
  </si>
  <si>
    <t>Vocabulary (L2/L1)</t>
  </si>
  <si>
    <t>Number of unknown words used correctly (0-5)</t>
  </si>
  <si>
    <t>Tables 6 &amp; 7</t>
  </si>
  <si>
    <t>Jibo</t>
  </si>
  <si>
    <t>Literacy</t>
  </si>
  <si>
    <t>Robot-guided exploration</t>
  </si>
  <si>
    <t>Exploratory behaviour (normalized score, 0-1)</t>
  </si>
  <si>
    <t>Vocabulary was assessed pre- vs. post per session (only median learning gain reported), so it is excluded from the analysis</t>
  </si>
  <si>
    <t>Free exploration</t>
  </si>
  <si>
    <t>In the free-exploration condition, children were free to use the robot (but on will)</t>
  </si>
  <si>
    <t>Explanation cues</t>
  </si>
  <si>
    <t>Number of target words named in French in a word-picture association task (0-5)</t>
  </si>
  <si>
    <t>Text p. 528 &amp; Figure II</t>
  </si>
  <si>
    <t>No explanation cues</t>
  </si>
  <si>
    <t>FIN</t>
  </si>
  <si>
    <t>Pronunciation (L2)</t>
  </si>
  <si>
    <t>Not controlled</t>
  </si>
  <si>
    <t>Pronunciation correctness (0-10)</t>
  </si>
  <si>
    <t>Text p. 106</t>
  </si>
  <si>
    <t>General/factual knowledge (geography)</t>
  </si>
  <si>
    <t>Ten MC and ten fill-in-the-gaps questions (0-20)</t>
  </si>
  <si>
    <t>Sanbot ELF</t>
  </si>
  <si>
    <t>Comprehension (L2) (scientific poster content)</t>
  </si>
  <si>
    <t>With Self-Determination Theory-based design</t>
  </si>
  <si>
    <t>Fifteen questions (five single-choice questions, six MC questions, three categorizing questions, and two yes-or-no questions) (0-60)</t>
  </si>
  <si>
    <t>Table V</t>
  </si>
  <si>
    <t>Without Self-Determination Theory-based design</t>
  </si>
  <si>
    <t>Two 3AFC tests (0-1)</t>
  </si>
  <si>
    <t>NAO H21</t>
  </si>
  <si>
    <t>Grammar (L2)</t>
  </si>
  <si>
    <t>Twenty-item grammar test (0-20)</t>
  </si>
  <si>
    <t>Math</t>
  </si>
  <si>
    <t>Seven MC questions (0-7)</t>
  </si>
  <si>
    <t>n refers to number of groups</t>
  </si>
  <si>
    <t>Robot+tablet+mobile phone</t>
  </si>
  <si>
    <t>Four minimal pairs and six sentences (0-54)</t>
  </si>
  <si>
    <t>Max possible score for minimal pairs: 24; for read-aloud: 30</t>
  </si>
  <si>
    <t>Sota</t>
  </si>
  <si>
    <t>Constant presentation</t>
  </si>
  <si>
    <t>Number of problems solved (0-50)</t>
  </si>
  <si>
    <t>Figure 7</t>
  </si>
  <si>
    <t>Proposed</t>
  </si>
  <si>
    <t>Experiment 1</t>
  </si>
  <si>
    <t>Individual learning</t>
  </si>
  <si>
    <t>Number of problems solved (0-30)</t>
  </si>
  <si>
    <t>Experiment 1; Figure 9 indicates 10.2; based on the raw data in Table 1 it is 9.2</t>
  </si>
  <si>
    <t>Number of problems solved (0-60)</t>
  </si>
  <si>
    <t>Experiment 2</t>
  </si>
  <si>
    <t>Pre-recorded natural speech</t>
  </si>
  <si>
    <t>Number of correct answers in grammar &amp; reading test (0-100)</t>
  </si>
  <si>
    <t>Text-to-speech</t>
  </si>
  <si>
    <t>Basic knowledge on system usability evaluation</t>
  </si>
  <si>
    <t>Physical</t>
  </si>
  <si>
    <t>Virtual</t>
  </si>
  <si>
    <t>BEL</t>
  </si>
  <si>
    <t>Correct responses (0-20)</t>
  </si>
  <si>
    <t>Figure 5.3</t>
  </si>
  <si>
    <t>Error (0-1)</t>
  </si>
  <si>
    <t>Pre-posttest A</t>
  </si>
  <si>
    <t>Fluency (0,∞)</t>
  </si>
  <si>
    <t>Rhythm (0-1)</t>
  </si>
  <si>
    <t>Pronunciation (0-1)</t>
  </si>
  <si>
    <t>Complexity (1,∞)</t>
  </si>
  <si>
    <t>Task achieve (0,1)</t>
  </si>
  <si>
    <t>PosttestB</t>
  </si>
  <si>
    <t>PosttestC</t>
  </si>
  <si>
    <t>IDN</t>
  </si>
  <si>
    <t>Evoce</t>
  </si>
  <si>
    <t>MC questions (number &amp; scale not reported)</t>
  </si>
  <si>
    <t>Results for boys &amp; girls merged</t>
  </si>
  <si>
    <t>N</t>
  </si>
  <si>
    <t>Self-assessment (i.e., self-report) of knowledge gain</t>
  </si>
  <si>
    <t>No social robot</t>
  </si>
  <si>
    <t>Drama performance</t>
  </si>
  <si>
    <t>No cognitive measures</t>
  </si>
  <si>
    <t>Children with autism</t>
  </si>
  <si>
    <t>No post-test (or: test was done with the robot present)</t>
  </si>
  <si>
    <t>No post-test</t>
  </si>
  <si>
    <t>Thesis does not contain any results that are not already included based on papers</t>
  </si>
  <si>
    <t>Same sample as Vogt et al. (2019)</t>
  </si>
  <si>
    <t>Human vs. robot non-randomized (two separate studies)</t>
  </si>
  <si>
    <t>Only post-test and no control condition</t>
  </si>
  <si>
    <t>No data</t>
  </si>
  <si>
    <t>No physical robot</t>
  </si>
  <si>
    <t>Same data as Lubold et al. (2018) and chapter 12 in Lubold's (2018) doctoral dissertation</t>
  </si>
  <si>
    <t>Same sample as Molenaar et al. (2021)</t>
  </si>
  <si>
    <t>No new data compared to Sandygulova et al. and Zhexenova et al.</t>
  </si>
  <si>
    <t>Cognitive training; older people with mild cognitive impairment</t>
  </si>
  <si>
    <t>Same data as Sandygulova et al. (2020)</t>
  </si>
  <si>
    <t>Perception of learning gains than objectively measured learning gains</t>
  </si>
  <si>
    <t>No physical robot; children with autism</t>
  </si>
  <si>
    <t>Only post and no control condition</t>
  </si>
  <si>
    <t>No cognitive measures and no post-test</t>
  </si>
  <si>
    <t>Only post-test and no control condition; healthy eating</t>
  </si>
  <si>
    <t>Part of the sample described in Vogt et al. (2019)</t>
  </si>
  <si>
    <t>Same data as Vogt et al. (2019)</t>
  </si>
  <si>
    <t>Moral norms</t>
  </si>
  <si>
    <t>Physical exercise &amp; no post-test</t>
  </si>
  <si>
    <t>Imitation skill; no pre/post; children with autism</t>
  </si>
  <si>
    <t>No cognitive measures &amp; no post-test</t>
  </si>
  <si>
    <t>Joint attention skills; children with autism</t>
  </si>
  <si>
    <t>Ball passing training</t>
  </si>
  <si>
    <t>Same data as Lee et al. (2010)</t>
  </si>
  <si>
    <t>Dancing</t>
  </si>
  <si>
    <t>No cognitive measures; children with autism</t>
  </si>
  <si>
    <t>Physical training</t>
  </si>
  <si>
    <t>No cognitive measures post-test; students with intellectual disability</t>
  </si>
  <si>
    <t>Physical exercise</t>
  </si>
  <si>
    <t>Same data as Suzuki et al. (2017) (but Suzuki et al., 2017 includes two more groups)</t>
  </si>
  <si>
    <t>Only post-test and no control condition; robot involved in the evaluation</t>
  </si>
  <si>
    <t>Robot involved in the assessment</t>
  </si>
  <si>
    <t>Same data as Verner et al. (2016)</t>
  </si>
  <si>
    <t>No post-test; motoric task</t>
  </si>
  <si>
    <t>No cognitive measures in post-test</t>
  </si>
  <si>
    <t>No post-test (based on abstract)</t>
  </si>
  <si>
    <t>Students with intellectual disabilities</t>
  </si>
  <si>
    <t>Deaf infants</t>
  </si>
  <si>
    <t>Stroke patients</t>
  </si>
  <si>
    <t>Reference lists of the following reviews/meta-analyses also checked:</t>
  </si>
  <si>
    <t>Insufficient data; ceiling effect claimed (although 7.8/10 might not qualify for such)</t>
  </si>
  <si>
    <t>Robot was present in the pre- and post-test (or: sessions 1 and 5 were corresponding to pre- and post-test, respectively)</t>
  </si>
  <si>
    <t>Hung, I. C., Chao, K. J., Lee, L., &amp; Chen, N. S. (2013). Designing a robot teaching assistant for enhancing and sustaining learning motivation. Interactive Learning Environments, 21, 156–171. https://doi.org/10.1080/10494820.2012.705855</t>
  </si>
  <si>
    <t>Meiirbekov, S., Balkibekov, K., Jalankuzov, Z., &amp; Sandygulova, A. (2016). “You win, I lose”: Towards adapting robot's teaching strategy. Proceedings of the 2016 11th ACM/IEEE International Conference on Human-Robot Interaction, Christchurch, New Zealand, 475–476. https://doi.org/10.1109/HRI.2016.7451813</t>
  </si>
  <si>
    <t>Konijn, E. A., Jansen, B., Mondaca Bustos, V., Hobbelink, V. L., &amp; Preciado Vanegas, D. (2022). Social robots for (second) language learning in (migrant) primary school children. International Journal of Social Robotics, 14, 827–843. https://doi.org/10.1007/s12369-021-00824-3</t>
  </si>
  <si>
    <t>Sandygulova, A., Johal, W., Zhexenova, Z., Tleubayev, B., Zhanatkyzy, A., Turarova, A., Telisheva, Z., CohenMiller, A., Asselborn, T., &amp; Dillenbourg, P. (2020). CoWriting Kazakh: Learning a new script with a robot. Proceedings of the 2020 ACM/IEEE International Conference on Human-Robot Interaction, Cambridge, UK, 113–120. https://doi.org/10.1145/3319502.3374813</t>
  </si>
  <si>
    <t>Park, H. W., Rosenberg-Kima, R., Rosenberg, M., Gordon, G., &amp; Breazeal, C. (2017). Growing growth mindset with a social robot peer. Proceedings of the 2017 ACM/IEEE International Conference on Human-Robot Interaction, Vienna, Austria, 137–145. https://doi.org/10.1145/2909824.3020213</t>
  </si>
  <si>
    <t>Movellan, J., Eckhardt, M., Virnes, M., &amp; Rodriguez, A. (2009). Sociable robot improves toddler vocabulary skills. Proceedings of the 4th ACM/IEEE International Conference on Human Robot Interaction, La Jolla, CA, 307–308. https://doi.org/10.1145/1514095.1514189</t>
  </si>
  <si>
    <t>Howley, I., Kanda, T., Hayashi, K., &amp; Rosé, C. (2014). Effects of social presence and social role on help-seeking and learning. Proceedings of the 2014 ACM/IEEE International Conference on Human-Robot Interaction, Bielefeld, Germany, 415–422. https://doi.org/10.1145/2559636.2559667</t>
  </si>
  <si>
    <t>Suzuki, K., &amp; Kanoh, M. (2015). Effectiveness of a robot for supporting expression education. Proceedings of the 2015 Conference on Technologies and Applications of Artificial Intelligence, Tainan, Taiwan, 498–501. https://doi.org/10.1109/TAAI.2015.7407119</t>
  </si>
  <si>
    <t>Suzuki, K., &amp; Kanoh, M. (2017). Investigating effectiveness of an expression education support robot that nods and gives hints. Journal of Advanced Computational Intelligence and Intelligent Informatics, 21, 483–495. https://doi.org/10.20965/jaciii.2017.p0483</t>
  </si>
  <si>
    <t>Chen, H., Park, H. W., Zhang, X., &amp; Breazeal, C. (2020). Impact of interaction context on the student affect-learning relationship in child-robot interaction. Proceedings of the 2020 ACM/IEEE International Conference on Human-Robot Interaction, Cambridge, UK, 389–397. https://doi.org/10.1145/3319502.3374822</t>
  </si>
  <si>
    <t>Pasalidou, C., Fachantidis, N., &amp; Koiou, E. (2023). Using augmented reality and a social robot to teach geography in primary school. Proceedings of the International Conference on Human-Computer Interaction (pp. 371–385). Cham: Springer Nature Switzerland. https://doi.org/10.1007/978-3-031-34550-0_27</t>
  </si>
  <si>
    <t>Bravo Perucho, A., &amp; Alimardani, M. (2023). Social robots in secondary education: Can robots assist young adult learners with math learning? Companion of the 2023 ACM/IEEE International Conference on Human-Robot Interaction, Stockholm, Sweden, 355–359. https://doi.org/10.1145/3568294.3580105</t>
  </si>
  <si>
    <r>
      <t>Kennedy, J., Baxter, P., &amp; Belpaeme, T. (2017). Nonverbal immediacy as a characterisation of social behaviour for human–robot interaction. </t>
    </r>
    <r>
      <rPr>
        <i/>
        <sz val="10"/>
        <rFont val="Arial"/>
        <family val="2"/>
      </rPr>
      <t>International Journal of Social Robotics</t>
    </r>
    <r>
      <rPr>
        <sz val="10"/>
        <rFont val="Arial"/>
        <family val="2"/>
      </rPr>
      <t>, </t>
    </r>
    <r>
      <rPr>
        <i/>
        <sz val="10"/>
        <rFont val="Arial"/>
        <family val="2"/>
      </rPr>
      <t>9</t>
    </r>
    <r>
      <rPr>
        <sz val="10"/>
        <rFont val="Arial"/>
        <family val="2"/>
      </rPr>
      <t>, 109–128. https://doi.org/10.1007/s12369-016-0378-3</t>
    </r>
  </si>
  <si>
    <r>
      <t>Alves-Oliveira, P., Sequeira, P., Melo, F. S., Castellano, G., &amp; Paiva, A. (2019). Empathic robot for group learning: A field study. </t>
    </r>
    <r>
      <rPr>
        <i/>
        <sz val="10"/>
        <rFont val="Arial"/>
        <family val="2"/>
      </rPr>
      <t>ACM Transactions on Human-Robot Interaction</t>
    </r>
    <r>
      <rPr>
        <sz val="10"/>
        <rFont val="Arial"/>
        <family val="2"/>
      </rPr>
      <t>, </t>
    </r>
    <r>
      <rPr>
        <i/>
        <sz val="10"/>
        <rFont val="Arial"/>
        <family val="2"/>
      </rPr>
      <t>8</t>
    </r>
    <r>
      <rPr>
        <sz val="10"/>
        <rFont val="Arial"/>
        <family val="2"/>
      </rPr>
      <t>, 1–34. https://doi.org/10.1145/3300188</t>
    </r>
  </si>
  <si>
    <r>
      <rPr>
        <sz val="10"/>
        <rFont val="Arial"/>
        <family val="2"/>
      </rPr>
      <t xml:space="preserve">Because of the broad range reported (18-28 years), the average age of university entrance in the country where the study was conducted is used instead (source: </t>
    </r>
    <r>
      <rPr>
        <u/>
        <sz val="10"/>
        <rFont val="Arial"/>
        <family val="2"/>
      </rPr>
      <t>https://www.oecd.org/education/eag2013%20(eng)--FINAL%2020%20June%202013.pdf)</t>
    </r>
  </si>
  <si>
    <r>
      <t xml:space="preserve">De Haas, M., Vogt, P., &amp; Krahmer, E. (2021). When preschoolers interact with an educational robot, does robot feedback influence engagement? </t>
    </r>
    <r>
      <rPr>
        <i/>
        <sz val="10"/>
        <rFont val="Arial"/>
        <family val="2"/>
      </rPr>
      <t>Multimodal Technologies and Interaction</t>
    </r>
    <r>
      <rPr>
        <sz val="10"/>
        <rFont val="Arial"/>
        <family val="2"/>
      </rPr>
      <t xml:space="preserve">, </t>
    </r>
    <r>
      <rPr>
        <i/>
        <sz val="10"/>
        <rFont val="Arial"/>
        <family val="2"/>
      </rPr>
      <t>5</t>
    </r>
    <r>
      <rPr>
        <sz val="10"/>
        <rFont val="Arial"/>
        <family val="2"/>
      </rPr>
      <t>, 77. https://doi.org/10.3390/mti5120077</t>
    </r>
  </si>
  <si>
    <r>
      <t xml:space="preserve">Liles, K. R., &amp; Beer, J. M. (2015). Rural minority students’ perceptions of Ms. An, the robot teaching assistant, as a social teaching tool. </t>
    </r>
    <r>
      <rPr>
        <i/>
        <sz val="10"/>
        <rFont val="Arial"/>
        <family val="2"/>
      </rPr>
      <t>Proceedings of the Human Factors and Ergonomics Society Annual Meeting</t>
    </r>
    <r>
      <rPr>
        <sz val="10"/>
        <rFont val="Arial"/>
        <family val="2"/>
      </rPr>
      <t xml:space="preserve">, </t>
    </r>
    <r>
      <rPr>
        <i/>
        <sz val="10"/>
        <rFont val="Arial"/>
        <family val="2"/>
      </rPr>
      <t>59</t>
    </r>
    <r>
      <rPr>
        <sz val="10"/>
        <rFont val="Arial"/>
        <family val="2"/>
      </rPr>
      <t>, 372–376. https://doi.org/10.1177/1541931215591077</t>
    </r>
  </si>
  <si>
    <t>PDF name</t>
  </si>
  <si>
    <t>Rintjema (2018)</t>
  </si>
  <si>
    <t>Mazzoni (2015)</t>
  </si>
  <si>
    <t>Chandra (2015)</t>
  </si>
  <si>
    <t>Kory Westlund (2017)</t>
  </si>
  <si>
    <t>Kennedy (2016) Heart</t>
  </si>
  <si>
    <t>Alemi (2014)</t>
  </si>
  <si>
    <t>Alemi (2017)</t>
  </si>
  <si>
    <t>Mubin (2019)</t>
  </si>
  <si>
    <t>Chin (2014)</t>
  </si>
  <si>
    <t>Iio (2019)</t>
  </si>
  <si>
    <t>Rosi (2016)</t>
  </si>
  <si>
    <t>Park (2019)</t>
  </si>
  <si>
    <t>Vogt (2019)</t>
  </si>
  <si>
    <t>Kennedy (2016) Social</t>
  </si>
  <si>
    <t>Kennedy (2015) The robot</t>
  </si>
  <si>
    <t>Ramachandran (2018)</t>
  </si>
  <si>
    <t>Chen (2020) Teaching</t>
  </si>
  <si>
    <t>Chandra (2020)</t>
  </si>
  <si>
    <t>Chandra (2016)</t>
  </si>
  <si>
    <t>Liles (2019)</t>
  </si>
  <si>
    <t>Leyzberg (2018)</t>
  </si>
  <si>
    <t>Resing (2019)</t>
  </si>
  <si>
    <t>Michaelis (2019)</t>
  </si>
  <si>
    <t>De Wit (2018)</t>
  </si>
  <si>
    <t>Ramachandran (2017)</t>
  </si>
  <si>
    <t>Molenaar (2021)</t>
  </si>
  <si>
    <t>Kennedy (2015) Higher nonverbal</t>
  </si>
  <si>
    <t>Hyun (2008)</t>
  </si>
  <si>
    <t>Kennedy (2015) Comparing</t>
  </si>
  <si>
    <t>Lee (2010)</t>
  </si>
  <si>
    <t>Liles (2015)</t>
  </si>
  <si>
    <t>Park (2011)</t>
  </si>
  <si>
    <t>Kennedy (2017) Nonverbal</t>
  </si>
  <si>
    <t>Hong (2016)</t>
  </si>
  <si>
    <t>Donnermann (2020)</t>
  </si>
  <si>
    <t>Zhexenova (2020)</t>
  </si>
  <si>
    <t>Kanda (2012)</t>
  </si>
  <si>
    <t>Konijn (2020)</t>
  </si>
  <si>
    <t>Levinson (2021)</t>
  </si>
  <si>
    <t>Baxter (2017)</t>
  </si>
  <si>
    <t>Schodde (2019)</t>
  </si>
  <si>
    <t>Hoorn (2021)</t>
  </si>
  <si>
    <t>Draper (1992)</t>
  </si>
  <si>
    <t>Han (2008)</t>
  </si>
  <si>
    <t>Tanaka (2012)</t>
  </si>
  <si>
    <t>Moorlag (2021)</t>
  </si>
  <si>
    <t>Yueh (2020)</t>
  </si>
  <si>
    <t>Komatsubara (2014)</t>
  </si>
  <si>
    <t>Sandygulova (2020)</t>
  </si>
  <si>
    <t>Lanzilotti (2021)</t>
  </si>
  <si>
    <t>Park (2017)</t>
  </si>
  <si>
    <t>Banaeian (2021)</t>
  </si>
  <si>
    <t>De Wit (2020)</t>
  </si>
  <si>
    <t>Alves-Oliveira (2019)</t>
  </si>
  <si>
    <t>Wang (2013)</t>
  </si>
  <si>
    <t>Movellan (2009)</t>
  </si>
  <si>
    <t>Eimler (2010)</t>
  </si>
  <si>
    <t>Kanda (2004)</t>
  </si>
  <si>
    <t>Wu (2015)</t>
  </si>
  <si>
    <t>Howley (2014)</t>
  </si>
  <si>
    <t>Kennedy (2017) Impact</t>
  </si>
  <si>
    <t>Suzuki (2015)</t>
  </si>
  <si>
    <t>Suzuki (2017)</t>
  </si>
  <si>
    <t>Bhat (2016)</t>
  </si>
  <si>
    <t>De Haas (2021)</t>
  </si>
  <si>
    <t>De Haas (2020)</t>
  </si>
  <si>
    <t>Hsiao (2015)</t>
  </si>
  <si>
    <t>Blancas Munoz (2018)</t>
  </si>
  <si>
    <t>Ramachandran (2019) Personalized</t>
  </si>
  <si>
    <t>Coninx (2016)</t>
  </si>
  <si>
    <t>Resing (2020)</t>
  </si>
  <si>
    <t>Chen (2020) Impact</t>
  </si>
  <si>
    <t>Al Hakim (2022)</t>
  </si>
  <si>
    <t>Elgarf (2022)</t>
  </si>
  <si>
    <t>Salomons (2022)</t>
  </si>
  <si>
    <t>Lin (2022)</t>
  </si>
  <si>
    <t>McIntosh (2022)</t>
  </si>
  <si>
    <t>Riedmann (2022)</t>
  </si>
  <si>
    <t>Norman (2022)</t>
  </si>
  <si>
    <t>Chen (2013)</t>
  </si>
  <si>
    <t>Hsieh (2022)</t>
  </si>
  <si>
    <t>Yin (2024)</t>
  </si>
  <si>
    <t>Steinhaeusser (2022)</t>
  </si>
  <si>
    <t>Donnermann (2022)</t>
  </si>
  <si>
    <t>Lubbers (2020)</t>
  </si>
  <si>
    <t>Zachrisson (2021)</t>
  </si>
  <si>
    <t>Zhang (2023)</t>
  </si>
  <si>
    <t>Tang (2023)</t>
  </si>
  <si>
    <t>Peura (2023)</t>
  </si>
  <si>
    <t>Pasalidou (2023)</t>
  </si>
  <si>
    <t>Lu (2023)</t>
  </si>
  <si>
    <t>Esfandbod (2023)</t>
  </si>
  <si>
    <t>Alemi (2023)</t>
  </si>
  <si>
    <t>Bravo Perucho (2023)</t>
  </si>
  <si>
    <t>Miyauchi (2020)</t>
  </si>
  <si>
    <t>Rosenthal-von der Pütten (2016)</t>
  </si>
  <si>
    <t>Donnermann (2024)</t>
  </si>
  <si>
    <t>Iio (2024)</t>
  </si>
  <si>
    <t>Yuliani (2024)</t>
  </si>
  <si>
    <t>Interactive situated learning</t>
  </si>
  <si>
    <t>Non-interactive situated learning</t>
  </si>
  <si>
    <t>Conventional instruction approach</t>
  </si>
  <si>
    <t>Konijn (2022)</t>
  </si>
  <si>
    <t>Conti (2017)</t>
  </si>
  <si>
    <t>Chandra (2018)</t>
  </si>
  <si>
    <t>Hindriks (2019)</t>
  </si>
  <si>
    <t>Ramachandran (2019) Toward</t>
  </si>
  <si>
    <t>Lubold (2019)</t>
  </si>
  <si>
    <t>Only learning gains reported while no control group was available</t>
  </si>
  <si>
    <t>Score on computational thinking questions (0-300)</t>
  </si>
  <si>
    <t>Ten pictures mapped to words (0-10)</t>
  </si>
  <si>
    <t>Vocabulary (equivalent age)</t>
  </si>
  <si>
    <t>Robot was used as a tool to create storytelling</t>
  </si>
  <si>
    <t>Wayfinding</t>
  </si>
  <si>
    <t>Possibly a subsample of Han et al. (2008)</t>
  </si>
  <si>
    <t>Lopez-Caudana, E., Ponce, P., Cervera, L., Iza, S., &amp; Mazon, N. (2018). Robotic platform for teaching maths in junior high school. International Journal on Interactive Design and Manufacturing (IJIDeM), 12, 1349-1360.</t>
  </si>
  <si>
    <t>Not a relevant experimental topic/design (participants were asked to match robot signs to human signs)</t>
  </si>
  <si>
    <t>Wei, C. W., Kao, H. Y., Wu, W. H., Chen, C. Y., &amp; Fu, H. P. (2021). The influence of robot-assisted learning system on health literacy and learning perception. International Journal of Environmental Research and Public Health, 18, 11053. https://doi.org/10.3390/ijerph182111053</t>
  </si>
  <si>
    <t>Wei (2021)</t>
  </si>
  <si>
    <t>General/factual knowledge (health)</t>
  </si>
  <si>
    <t>Robelf</t>
  </si>
  <si>
    <t>MEX</t>
  </si>
  <si>
    <t>TUR</t>
  </si>
  <si>
    <t>Kanero (2022)</t>
  </si>
  <si>
    <t>Listening (L2)</t>
  </si>
  <si>
    <t>Shinbobo</t>
  </si>
  <si>
    <t>Tsai (2019)</t>
  </si>
  <si>
    <t>Alimardani (2021)</t>
  </si>
  <si>
    <t>Ponce (2019)</t>
  </si>
  <si>
    <r>
      <t>Ponce, P., Molina, A., Caudana, E. O. L., Reyes, G. B., &amp; Parra, N. M. (2019). Improving education in developing countries using robotic platforms. </t>
    </r>
    <r>
      <rPr>
        <i/>
        <sz val="10"/>
        <rFont val="Arial"/>
        <family val="2"/>
      </rPr>
      <t>International Journal on Interactive Design and Manufacturing</t>
    </r>
    <r>
      <rPr>
        <sz val="10"/>
        <rFont val="Arial"/>
        <family val="2"/>
      </rPr>
      <t>, </t>
    </r>
    <r>
      <rPr>
        <i/>
        <sz val="10"/>
        <rFont val="Arial"/>
        <family val="2"/>
      </rPr>
      <t>13</t>
    </r>
    <r>
      <rPr>
        <sz val="10"/>
        <rFont val="Arial"/>
        <family val="2"/>
      </rPr>
      <t>, 1401–1422. https://doi.org/10.1007/s12008-019-00576-5</t>
    </r>
  </si>
  <si>
    <t>Table 16.3</t>
  </si>
  <si>
    <t>Lubold, N., Walker, E., Pon-Barry, H., &amp; Ogan, A. (2019). Comfort with robots influences rapport with a social, entraining teachable robot. In S. Isotani, E. Millán, A. Ogan, P Hastings, B. McLaren, &amp; R. Luckin (Eds.), Artificial intelligence in education. AIED 2019 (pp. 231–243). Cham: Springer. https://doi.org/10.1007/978-3-030-23204-7_20</t>
  </si>
  <si>
    <t>Van den Berghe (2019)</t>
  </si>
  <si>
    <t>Lubold (2018) Nico</t>
  </si>
  <si>
    <t>Alves-Oliveira (2020) Creativity</t>
  </si>
  <si>
    <t>Alves-Oliveira (2020) Experimental</t>
  </si>
  <si>
    <t>Expressive modality</t>
  </si>
  <si>
    <t>Mean age of 5.1 from Conti et al. (2017) (5 years old in Conti et al., 2020)</t>
  </si>
  <si>
    <t>Figure 5a</t>
  </si>
  <si>
    <t xml:space="preserve">Ramachandran, A., Litoiu, A., &amp; Scassellati, B. (2016). Shaping productive help-seeking behavior during robot-child tutoring interactions. Proceedings of the 2016 11th ACM/IEEE International Conference on Human-Robot Interaction (HRI), Christchurch, New Zealand, 247–254. https://doi.org/10.1109/HRI.2016.7451759 &amp; </t>
  </si>
  <si>
    <t>Same data as Ramachandran, A., Huang, C. M., &amp; Scassellati, B. (2019). Toward effective robot–child tutoring: Internal motivation, behavioral intervention, and learning outcomes. ACM Transactions on Interactive Intelligent Systems, 9, 1–23. https://doi.org/10.1145/3213768</t>
  </si>
  <si>
    <t>Alemi, M., &amp; Haeri, N. S. (2017). How to develop learners’ politeness: A study of RALL’s impact on learning greeting by young Iranian EFL learners. Proceedings of the 2017 5th RSI International Conference on Robotics and Mechatronics, Tehran, Iran, 88–94. https://doi.org/10.1109/ICRoM.2017.8466206</t>
  </si>
  <si>
    <t>Alemi, M., Fard, N. B., &amp; Rezanejad, A. (2023). The triumph of human-robot interaction: Employing humanoid robot to boost grammar acquisition and retention among Iranian young EFL learners. MEXTESOL Journal, 47. https://doi.org/10.61871/mj.v47n3-5</t>
  </si>
  <si>
    <t>Alemi, M., Meghdari, A., &amp; Ghazisaedy, M. (2014). Employing humanoid robots for teaching English language in Iranian junior high-schools. International Journal of Humanoid Robotics, 11, 1450022. https://doi.org/10.1142/S0219843614500224</t>
  </si>
  <si>
    <t>Al Hakim, V. G., Yang, S.-H., Liyanawatta, M., Wang, J.-H., &amp; Chen, G.-D. (2022). Robots in situated learning classrooms with immediate feedback mechanisms to improve students’ learning performance. Computers &amp; Education, 182, 104483. https://doi.org/10.1016/j.compedu.2022.104483</t>
  </si>
  <si>
    <t>Alimardani, M., Van den Braak, S., Jouen, A. L., Matsunaka, R., &amp; Hiraki, K. (2021). Assessment of engagement and learning during child-robot interaction using EEG signals. In H. Li, S. S. Ge, Y. Wu, A. Wykowska, H. He, X. Liu, D. Li, &amp; J. Perez-Osorio (Eds.), Social Robotics. ICSR 2021 (pp. 671–682). Cham: Springer. https://doi.org/10.1007/978-3-030-90525-5_59</t>
  </si>
  <si>
    <t>Alves-Oliveira, P. (2020). Experimental evidence of robots as tools for creativity stimulation. In P. Alves-Oliveira, Boosting children’s creativity through creative interactions with social robots  (pp. 205–230) [Doctoral dissertation, University of Lisbon].</t>
  </si>
  <si>
    <t>Alves-Oliveira, P., Arriaga, P., Cronin, M. A., &amp; Paiva, A. (2020). Creativity encounters between children and robots. Proceedings of the 2020 ACM/IEEE International Conference on Human-Robot Interaction, Cambridge, UK, 379–388. https://doi.org/10.1145/3319502.3374817</t>
  </si>
  <si>
    <t>Alves-Oliveira, P., Sequeira, P., Melo, F. S., Castellano, G., &amp; Paiva, A. (2019). Empathic robot for group learning: A field study. ACM Transactions on Human-Robot Interaction, 8, 1–34. https://doi.org/10.1145/3300188</t>
  </si>
  <si>
    <t>Banaeian, H., &amp; Gilanlioglu, I. (2021). Influence of the NAO robot as a teaching assistant on university students’ vocabulary learning and attitudes. Australasian Journal of Educational Technology, 37, 71–87. https://doi.org/10.14742/ajet.6130</t>
  </si>
  <si>
    <t>Baxter, P., Ashurst, E., Read, R., Kennedy, J., &amp; Belpaeme, T. (2017). Robot education peers in a situated primary school study: Personalisation promotes child learning. PLOS ONE, 12, e0178126. https://doi.org/10.1371/journal.pone.0178126</t>
  </si>
  <si>
    <t>Bhat, A., Chojnacki, A., &amp; Knapp, E. (2016). The future is Nao: Teaching Mathematics to young schoolchildren using humanoid robots. Proceedings of the New Friends 2016 2nd International Conference on Social Robots in Therapy and Education, Barcelona, Spain.</t>
  </si>
  <si>
    <t>Blancas-Muñoz, M., Vouloutsi, V., Zucca, R., Mura, A., &amp; Verschure, P. F. (2018). Hints vs distractions in Intelligent Tutoring Systems: In search of the proper type of help. Proceedings of the 12th International Symposium on Intelligent Distributed Computing, Bilbao, Spain.</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</si>
  <si>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Kobe, Japan, 167–172. https://doi.org/10.1109/ROMAN.2015.7333678</t>
  </si>
  <si>
    <t>Chandra, S., Alves-Oliveira, P., Lemaignan, S., Sequeira, P., Paiva, A., &amp; Dillenbourg, P. (2016). Children’s peer assessment and self-disclosure in the presence of an educational robot. Proceedings of the 2016 25th IEEE International Symposium on Robot and Human Interactive Communication, New York, NY, 539–544. https://doi.org/10.1109/ROMAN.2016.7745170</t>
  </si>
  <si>
    <t>Chandra, S., Dillenbourg, P., &amp; Paiva, A. (2020). Children teach handwriting to a social robot with different learning competencies. International Journal of Social Robotics, 12, 721–748. https://doi.org/10.1007/s12369-019-00589-w (Study 2)</t>
  </si>
  <si>
    <r>
      <t>Chandra, S., Dillenbourg, P., &amp; Paiva, A. (2020). Children teach handwriting to a social robot with different learning competencies. </t>
    </r>
    <r>
      <rPr>
        <i/>
        <sz val="10"/>
        <rFont val="Arial"/>
        <family val="2"/>
      </rPr>
      <t>International Journal of Social Robotics</t>
    </r>
    <r>
      <rPr>
        <sz val="10"/>
        <rFont val="Arial"/>
        <family val="2"/>
      </rPr>
      <t xml:space="preserve">, </t>
    </r>
    <r>
      <rPr>
        <i/>
        <sz val="10"/>
        <rFont val="Arial"/>
        <family val="2"/>
      </rPr>
      <t>12</t>
    </r>
    <r>
      <rPr>
        <sz val="10"/>
        <rFont val="Arial"/>
        <family val="2"/>
      </rPr>
      <t>, 721–748. https://doi.org/10.1007/s12369-019-00589-w (Study 1) (see also Chandra, S., Paradeda, R., Yin, H., Dillenbourg, P., Prada, R., &amp; Paiva, A. (2018). Do children perceive whether a robotic peer is learning or not? Proceedings of the 2018 ACM/IEEE International Conference on Human-Robot Interaction, Chicago, IL, 41–49. https://doi.org/10.1145/3171221.3171274)</t>
    </r>
  </si>
  <si>
    <t>Factual knowledge (nursing)</t>
  </si>
  <si>
    <t>Chang (2024)</t>
  </si>
  <si>
    <t>Chen, G.-D., Nurkhamid, Wang, C.-Y., Yang, S.-H., Lu, W.-Y., &amp; Chang, C.-K. (2013). Digital learning playground: Supporting authentic learning experiences in the classroom. Interactive Learning Environments, 21, 172–183. https://doi.org/10.1080/10494820.2012.705856</t>
  </si>
  <si>
    <t>Chen, H., Park, H. W., &amp; Breazeal, C. (2020). Teaching and learning with children: Impact of reciprocal peer learning with a social robot on children’s learning and emotive engagement. Computers &amp; Education, 150, 103836. https://doi.org/10.1016/j.compedu.2020.103836</t>
  </si>
  <si>
    <t>Chin, K.-Y., Hong, Z.-W., &amp; Chen, Y.-L. (2014). Impact of using an educational robot-based learning system on students’ motivation in elementary education. IEEE Transactions on Learning Technologies, 7, 333–345. https://doi.org/10.1109/TLT.2014.2346756</t>
  </si>
  <si>
    <t>Coninx, A., Baxter, P., Oleari, E., Bellini, S., Bierman, B., Blanson Henkemans, O., Cañamero, L., Cosi, P., Enescu, V., Ros Espinoza, R., Hiolle, A., Humbert, R., Kiefer, B., Kruijff-Korbayová, I., Looije, R., Mosconi, M., Neerincx, M., Paci, G., Patsis, G., … Belpaeme, T. (2016). Towards long-term social child-robot interaction: Using multi-activity switching to engage young users. Journal of Human-Robot Interaction, 5, 32–67. https://doi.org/10.5898/JHRI.5.1.Coninx</t>
  </si>
  <si>
    <t>Conti, D., Cirasa, C., Di Nuovo, S., &amp; Di Nuovo, A. (2020). “Robot, tell me a tale!”: A social robot as tool for teachers in kindergarten. Interaction Studies, 21, 220–242. https://doi.org/10.1075/is.18024.con (see also Conti, D., Di Nuovo, A., Cirasa, C., &amp; Di Nuovo, S. (2017). A comparison of kindergarten storytelling by human and humanoid robot with different social behavior. Proceedings of the Companion of the 2017 ACM/IEEE International Conference on Human-Robot Interaction, Vienna, Austria, 97–98. https://doi.org/10.1145/3029798.3038359)</t>
  </si>
  <si>
    <t>De Haas, M., Vogt, P., &amp; Krahmer, E. (2020). The effects of feedback on children’s engagement and learning outcomes in robot-assisted second language learning. Frontiers in Robotics and AI, 7. https://doi.org/10.3389/frobt.2020.00101</t>
  </si>
  <si>
    <t>De Wit, J., Brandse, A., Krahmer, E., &amp; Vogt, P. (2020). Varied human-like gestures for social robots: Investigating the effects on children’s engagement and language learning. Proceedings of the 2020 ACM/IEEE International Conference on Human-Robot Interaction, Cambridge, UK, 359–367. https://doi.org/10.1145/3319502.3374815</t>
  </si>
  <si>
    <t>De Wit, J., Schodde, T., Willemsen, B., Bergmann, K., De Haas, M., Kopp, S., Krahmer, E., &amp; Vogt, P. (2018). The effect of a robot’s gestures and adaptive tutoring on children’s acquisition of second language vocabularies. Proceedings of the 2018 ACM/IEEE International Conference on Human-Robot Interaction, New York, NY, 50–58. https://doi.org/10.1145/3171221.3171277</t>
  </si>
  <si>
    <t>Donnermann, M., Heinzmann, P., &amp; Lugrin, B. (2024). Meet or call my robotic tutor? - The effect of a physically vs. virtually present social robot on learning outcomes, engagement and perception. Companion of the 2024 ACM/IEEE International Conference on Human-Robot Interaction, Boulder, CO, 422–426. https://doi.org/10.1145/3610978.3640679</t>
  </si>
  <si>
    <t>Donnermann, M., Schaper, P., &amp; Lugrin, B. (2020). Integrating a social robot in higher education – A field study. Proceedings of the 2020 29th IEEE International Conference on Robot and Human Interactive Communication, Naples, Italy, 573–579. https://doi.org/10.1109/RO-MAN47096.2020.9223602</t>
  </si>
  <si>
    <t>Donnermann, M., Schaper, P., &amp; Lugrin, B. (2022). Social robots in applied settings: A long-term study on adaptive robotic tutors in higher education. Frontiers in Robotics and AI, 9, 831633. https://doi.org/10.3389/frobt.2022.831633</t>
  </si>
  <si>
    <t>Draper, T. W., &amp; Clayton, W. W. (1992). Using a personal robot to teach young children. The Journal of Genetic Psychology, 153, 269–273. https://doi.org/10.1080/00221325.1992.10753723</t>
  </si>
  <si>
    <t>Eimler, S., Von Der Pütten, A., Schächtle, U., Carstens, L., &amp; Krämer, N. (2010). Following the white rabbit–a robot rabbit as vocabulary trainer for beginners of English. In G. Leitner, M. Hitz, &amp; A. Holzinger (Eds.), HCI in Work and Learning, Life and Leisure (pp. 322–339). Berlin, Heidelberg: Springer. https://doi.org/10.1007/978-3-642-16607-5_22</t>
  </si>
  <si>
    <t>Elgarf, M., Calvo-Barajas, N., Alves-Oliveira, P., Perugia, G., Castellano, G., Peters, C., &amp; Paiva, A. (2022). “And then what happens?” Promoting children’s verbal creativity using a robot. Proceedings of the 2022 ACM/IEEE International Conference on Human-Robot Interaction, Hokkaido, Japan, 71–79. https://doi.org/10.1109/HRI53351.2022.9889408</t>
  </si>
  <si>
    <t>Esfandbod, A., Rokhi, Z., Meghdari, A. F., Taheri, A., Soleymani, Z., Alemi, M., &amp; Karimi, M. (2023). Fast mapping in word-learning: A case study on the humanoid social robots’ impacts on children’s performance. International Journal of Child-Computer Interaction, 38, 100614. https://doi.org/10.1016/j.ijcci.2023.100614</t>
  </si>
  <si>
    <t>Han, J.-H., Jo, M.-H., Jones, V., &amp; Jo, J.-H. (2008). Comparative study on the educational use of home robots for children. Journal of Information Processing Systems, 4, 159–168. https://doi.org/10.3745/JIPS.2008.4.4.159</t>
  </si>
  <si>
    <t>Liebens, S. (2019). Adaptive feedback by a humanoid robot tutoring math [Master thesis, Delft University of Technology]. Repository Delft University of Technology. http://resolver.tudelft.nl/uuid:6d4c4b0d-3f25-4d40-8802-17ccc0aae694 (see also Hindriks, K. V., &amp; Liebens, S. (2019). A robot math tutor that gives feedback. In M. A. Salichs, S. Sam Ge, E. Ivanova Barakova, J.-J. Cabibihan, A. R. Wagner, Á. Castro-González, &amp; H. He (Eds.), Social robotics. ICSR 2019 (pp. 601–610). Cham: Springer. https://doi.org/10.1007/978-3-030-35888-4_5)</t>
  </si>
  <si>
    <t>Verhelst (2023)</t>
  </si>
  <si>
    <t>Hong, Z. W., Huang, Y. M., Hsu, M., &amp; Shen, W. W. (2016). Authoring robot-assisted instructional materials for improving learning performance and motivation in EFL classrooms. Journal of Educational Technology &amp; Society, 19, 337–349.</t>
  </si>
  <si>
    <t>Hoorn, J. F., Huang, I. S., Konijn, E. A., &amp; Van Buuren, L. (2021). Robot tutoring of multiplication: Over one-third learning gain for most, learning loss for some. Robotics, 10, 16. https://doi.org/10.3390/robotics10010016</t>
  </si>
  <si>
    <t>Hsiao, H.-S., Chang, C.-S., Lin, C.-Y., &amp; Hsu, H.-L. (2015). “iRobiQ”: The influence of bidirectional interaction on kindergarteners’ reading motivation, literacy, and behavior. Interactive Learning Environments, 23, 269–292. https://doi.org/10.1080/10494820.2012.745435</t>
  </si>
  <si>
    <t>Hsieh, M.-C., Pan, H.-C., Hsieh, S.-W., Hsu, M.-J., &amp; Chou, S.-W. (2022). Teaching the concept of computational thinking: A STEM-based program with tangible robots on project-based learning courses. Frontiers in Psychology, 12, 6628. https://doi.org/10.3389/fpsyg.2021.828568</t>
  </si>
  <si>
    <t>Hsieh, W.-M., Yeh, H.-C., &amp; Chen, N.-S. (2024). Impact of a robot and tangible object (R&amp;T) integrated learning system on elementary EFL learners’ English pronunciation and willingness to communicate. Computer Assisted Language Learning. https://doi.org/10.1080/09588221.2023.2228357</t>
  </si>
  <si>
    <t>Hu, C.-C., Yang, Y.-F., &amp; Chen, N.-S. (2023). Human–robot interface design–the ‘Robot with a Tablet’ or ‘Robot only’, which one is better? Behaviour &amp; Information Technology, 42, 1590–1603. https://doi.org/10.1080/0144929X.2022.2093271</t>
  </si>
  <si>
    <t>Hyun, E. J., Kim, S. Y., Jang, S., &amp; Park, S. (2008). Comparative study of effects of language instruction program using intelligence robot and multimedia on linguistic ability of young children. Proceedings of the RO-MAN 2008 - The 17th IEEE International Symposium on Robot and Human Interactive Communication, Munich, Germany, 187–192. https://doi.org/10.1109/ROMAN.2008.4600664</t>
  </si>
  <si>
    <t>Iio, T., Maeda, R., Ogawa, K., Yoshikawa, Y., Ishiguro, H., Suzuki, K., Aoki, T., Maesaki, M., &amp; Hama, M. (2019). Improvement of Japanese adults’ English speaking skills via experiences speaking to a robot. Journal of Computer Assisted Learning, 35, 228–245. https://doi.org/10.1111/jcal.12325</t>
  </si>
  <si>
    <t>Iio, T., Yoshikawa, Y., Ogawa, K., &amp; Ishiguro, H. (2024). Comparison of outcomes between robot-assisted language learning system and human tutors: Focusing on speaking ability. International Journal of Social Robotics, 16, 743–761. https://doi.org/10.1007/s12369-024-01134-0</t>
  </si>
  <si>
    <t>Jao, C. Y., Yeh, H. C., &amp; Hung, H. T. (2024). Exploring the effects of robot-assisted multimodal composition on students’ audience awareness for English writing. Computer Assisted Language Learning. https://doi.org/10.1080/09588221.2023.2300972</t>
  </si>
  <si>
    <t>Kanda, T., Hirano, T., Eaton, D., &amp; Ishiguro, H. (2004). Interactive robots as social partners and peer tutors for children: A field trial. Human–Computer Interaction, 19, 61–84. https://doi.org/10.1207/s15327051hci1901&amp;2_4</t>
  </si>
  <si>
    <t>Kanda, T., Shimada, M., &amp; Koizumi, S. (2012). Children learning with a social robot. Proceedings of the 2012 7th ACM/IEEE International Conference on Human-Robot Interaction, Boston, MA, 351–358. https://doi.org/10.1145/2157689.2157809</t>
  </si>
  <si>
    <t>Kanero, J., Oranç, C., Koşkulu, S., Kumkale, G. T., Göksun, T., &amp; Küntay, A. C. (2022). Are tutor robots for everyone? The influence of attitudes, anxiety, and personality on robot-led language learning. International Journal of Social Robotics, 14, 297–312. https://doi.org/10.1007/s12369-021-00789-3</t>
  </si>
  <si>
    <t>Kennedy, J., Baxter, P., &amp; Belpaeme, T. (2015). Comparing robot embodiments in a guided discovery learning interaction with children. International Journal of Social Robotics, 7, 293–308. https://doi.org/10.1007/s12369-014-0277-4</t>
  </si>
  <si>
    <t>Kennedy, J., Baxter, P., &amp; Belpaeme, T. (2015). The robot who tried too hard: Social behaviour of a robot tutor can negatively affect child learning. Proceedings of the 2015 10th ACM/IEEE International Conference on Human-Robot Interaction, Portland, OR, 67–74. https://doi.org/10.1145/2696454.2696457</t>
  </si>
  <si>
    <t>Kennedy, J., Baxter, P., &amp; Belpaeme, T. (2017). Nonverbal immediacy as a characterisation of social behaviour for human–robot interaction. International Journal of Social Robotics, 9, 109–128. https://doi.org/10.1007/s12369-016-0378-3</t>
  </si>
  <si>
    <t>Kennedy, J., Baxter, P., &amp; Belpaeme, T. (2017). The impact of robot tutor nonverbal social behavior on child learning. Frontiers in ICT, 4, 6. https://doi.org/10.3389/fict.2017.00006</t>
  </si>
  <si>
    <t>Kennedy, J., Baxter, P., Senft, E., &amp; Belpaeme, T. (2015). Higher nonverbal immediacy leads to greater learning gains in child-robot tutoring interactions. In A. Tapus, E. André, J. C. Martin, F. Ferland, &amp; M. Ammi (Eds.), Social robotics. ICSR 2015 (pp. 327–336). Cham: Springer. https://doi.org/10.1007/978-3-319-25554-5_33</t>
  </si>
  <si>
    <t>Kennedy, J., Baxter, P., Senft, E., &amp; Belpaeme, T. (2016). Heart vs hard drive: Children learn more from a human tutor than a social robot. Proceedings of the 2016 11th ACM/IEEE International Conference on Human-Robot Interaction, Christchurch, New Zealand, 451–452. https://doi.org/10.1109/HRI.2016.7451801</t>
  </si>
  <si>
    <t>Kennedy, J., Baxter, P., Senft, E., &amp; Belpaeme, T. (2016). Social robot tutoring for child second language learning. Proceedings of the 2016 11th ACM/IEEE International Conference on Human-Robot Interaction, Christchurch, New Zealand, 231–238. https://doi.org/10.1109/HRI.2016.7451757</t>
  </si>
  <si>
    <t>Komatsubara, T., Shiomi, M., Kanda, T., Ishiguro, H., &amp; Hagita, N. (2014). Can a social robot help children’s understanding of science in classrooms? Proceedings of the Second International Conference on Human-Agent Interaction, Tsukuba, Japan, 83–90. https://doi.org/10.1145/2658861.2658881</t>
  </si>
  <si>
    <t>Konijn, E. A., &amp; Hoorn, J. F. (2020). Robot tutor and pupils’ educational ability: Teaching the times tables. Computers &amp; Education, 157, 103970. https://doi.org/10.1016/j.compedu.2020.103970</t>
  </si>
  <si>
    <t>Kory Westlund, J. M., Dickens, L., Jeong, S., Harris, P. L., DeSteno, D., &amp; Breazeal, C. L. (2017). Children use non-verbal cues to learn new words from robots as well as people. International Journal of Child-Computer Interaction, 13, 1–9. https://doi.org/10.1016/j.ijcci.2017.04.001</t>
  </si>
  <si>
    <t>Kory-Westlund, J. M., &amp; Breazeal, C. (2019). A long-term study of young children’s rapport, social emulation, and language learning with a peer-like robot playmate in preschool. Frontiers in Robotics and AI, 6, 81. https://doi.org/10.3389/frobt.2019.00081</t>
  </si>
  <si>
    <t>Lanzilotti, R., Piccinno, A., Rossano, V., &amp; Roselli, T. (2021). Social robot to teach coding in primary school. Proceedings of the 2021 International Conference on Advanced Learning Technologies, Tartu, Estonia, 102–104. https://doi.org/10.1109/ICALT52272.2021.00038</t>
  </si>
  <si>
    <t>Lee, S., Noh, H., Lee, J., Lee, K., &amp; Lee, G. (2010). POSTECH approaches for dialog-based English conversation tutoring. Proceedings of the Second APSIPA Annual Summit and Conference, Biopolis, Singapore, 794–803.</t>
  </si>
  <si>
    <t>Kory-Westlund (2019)</t>
  </si>
  <si>
    <t>Levinson, L., Gvirsman, O., Gorodesky, I. M., Perez, A., Gonen, E., &amp; Gordon, G. (2021). Learning in summer camp with social robots: A morphological study. International Journal of Social Robotics, 13, 999–1012. https://doi.org/10.1007/s12369-020-00689-y</t>
  </si>
  <si>
    <t>Leyzberg, D., Ramachandran, A., &amp; Scassellati, B. (2018). The effect of personalization in longer-term robot tutoring. ACM Transactions on Human-Robot Interaction, 7, 1–19. https://doi.org/10.1145/3283453</t>
  </si>
  <si>
    <t>Liles, K. R. (2019). Ms. An (Meeting students’ academic needs): Engaging students in math education. In R. Sottilare &amp; J. Schwarz (Eds.), Adaptive instructional systems. HCII 2019 (pp. 645–661). Cham: Springer. https://doi.org/10.1007/978-3-030-22341-0_50</t>
  </si>
  <si>
    <t>Lin, V., Yeh, H.-C., Huang, H.-H., &amp; Chen, N.-S. (2022b). Enhancing EFL vocabulary learning with multimodal cues supported by an educational robot and an IoT-based 3D book. System, 104, 102691. https://doi.org/10.1016/j.system.2021.102691</t>
  </si>
  <si>
    <t>Lu, Y., Chen, C., Chen, P., &amp; Yu, S. (2023). Designing social robot for adults using self-determination theory and AI technologies. IEEE Transactions on Learning Technologies, 16, 206–218. https://doi.org/10.1109/TLT.2023.3250465</t>
  </si>
  <si>
    <t>Lubbers, E. (2020). Personalised second language robot tutoring: The use of an adaptive system with prior knowledge [MSc thesis, Tilburg University]. https://arno.uvt.nl/show.cgi?fid=151022</t>
  </si>
  <si>
    <t>Lubold, N. (2018). Effects on rapport and learning with Nico. In N. Lubold, Producing acoustic-prosodic entrainment in a robotic learning companion to build learner rapport (pp. 133–159) [Doctoral dissertation, Arizona State University]. KEEP digital repository. https://keep.lib.asu.edu/system/files/c7/205876/Lubold_asu_0010E_18422.pdf</t>
  </si>
  <si>
    <t>Lubold, N. (2018). Effects on rapport and learning with Emma. In N. Lubold, Producing acoustic-prosodic entrainment in a robotic learning companion to build learner rapport (pp. 175–199) [Doctoral dissertation, Arizona State University]. KEEP digital repository. https://keep.lib.asu.edu/system/files/c7/205876/Lubold_asu_0010E_18422.pdf (see also Lubold, N., Walker, E., Pon-Barry, H., &amp; Ogan, A. (2019). Comfort with robots influences rapport with a social, entraining teachable robot. In S. Isotani, E. Millán, A. Ogan, P Hastings, B. McLaren, &amp; R. Luckin (Eds.), Artificial Intelligence in Education. AIED 2019 (pp. 231–243). Cham: Springer. https://doi.org/10.1007/978-3-030-23204-7_20)</t>
  </si>
  <si>
    <t>Mazzoni, E., &amp; Benvenuti, M. (2015). A robot-partner for preschool children learning English using socio-cognitive conflict. Journal of Educational Technology &amp; Society, 18, 474–485.</t>
  </si>
  <si>
    <t>McIntosh, C., Elvin, A., Smyth, W., Birks, M., &amp; Nagle, C. (2022). Health promotion, health literacy and vaccine hesitancy: The role of humanoid robots. INQUIRY: The Journal of Health Care Organization, Provision, and Financing, 59. https://doi.org/10.1177/00469580221078515</t>
  </si>
  <si>
    <t>Michaelis, J. E., &amp; Mutlu, B. (2019). Supporting interest in science learning with a social robot. Proceedings of the 18th ACM International Conference on Interaction Design and Children, Boise, ID, 71–82. https://doi.org/10.1145/3311927.3323154</t>
  </si>
  <si>
    <t>Miyauchi, K., Jimenez, F., Yoshikawa, T., Furuhashi, T., &amp; Kanoh, M. (2020). Learning effects of robots teaching based on cognitive apprenticeship theory. Journal of Advanced Computational Intelligence and Intelligent Informatics, 24, 101–112. https://doi.org/10.20965/jaciii.2020.p0101</t>
  </si>
  <si>
    <t>Molenaar, B., Soliño Fernández, B., Polimeno, A., Barakova, E., &amp; Chen, A. (2021). Pitch it right: Using prosodic entrainment to improve robot-assisted foreign language learning in school-aged children. Multimodal Technologies and Interaction, 5, 76. https://doi.org/10.3390/mti5120076</t>
  </si>
  <si>
    <t>Moorlag, F. (2021). The effects of a social robot’s gestures on learning outcomes [MSc thesis, Delft University of Technology]. Repository Delft University of Technology. http://resolver.tudelft.nl/uuid:ae1edd23-aeeb-4d36-a7b7-8ec4524bf56d</t>
  </si>
  <si>
    <t>Mubin, O., Alhashmi, M., Baroud, R., &amp; Alnajjar, F. S. (2019). Humanoid robots as teaching assistants in an Arab school. Proceedings of the 31st Australian Conference on Human-Computer-Interaction, Fremantle, Australia, 462–466. https://doi.org/10.1145/3369457.3369517</t>
  </si>
  <si>
    <t>Norman, U., Chin, A., Bruno, B., &amp; Dillenbourg, P. (2022). Efficacy of a ‘misconceiving’ robot to improve computational thinking in a collaborative problem solving activity: A pilot study. Proceedings of the 2022 31st IEEE International Conference on Robot &amp; Human Interactive Communication, Naples, Italy. https://doi.org/10.1109/RO-MAN53752.2022.9900775</t>
  </si>
  <si>
    <t>Park, H. W., Grover, I., Spaulding, S., Gomez, L., &amp; Breazeal, C. (2019). A model-free affective reinforcement learning approach to personalization of an autonomous social robot companion for early literacy education. Proceedings of the AAAI Conference on Artificial Intelligence, 33, 687–694. https://doi.org/10.1609/aaai.v33i01.3301687</t>
  </si>
  <si>
    <t>Park, S. J., Han, J. H., Kang, B. H., &amp; Shin, K. C. (2011). Teaching assistant robot, ROBOSEM, in English class and practical issues for its diffusion. Proceedings of the IEEE Workshop on Advanced Robotics and its Social Impacts, Menlo Park, CA, 8–11. https://doi.org/10.1109/ARSO.2011.6301971</t>
  </si>
  <si>
    <t>Peura, L., Mutta, M., &amp; Johansson, M. (2023). Playing with pronunciation: A study on robot-assisted French pronunciation in a learning game. Nordic Journal of Digital Literacy, 18, 100–115. https://doi.org/https://doi.org/10.18261/njdl.18.2.3</t>
  </si>
  <si>
    <t>Ramachandran, A., Huang, C.-M., Gartland, E., &amp; Scassellati, B. (2018). Thinking aloud with a tutoring robot to enhance learning. Proceedings of the 2018 ACM/IEEE International Conference on Human-Robot Interaction, Chicago, IL, 59–68. https://doi.org/10.1145/3171221.3171250</t>
  </si>
  <si>
    <t>Ramachandran, A., Huang, C.-M., &amp; Scassellati, B. (2017). Give me a break! Personalized timing strategies to promote learning in robot-child tutoring. Proceedings of the 2017 ACM/IEEE International Conference on Human-Robot Interaction, Vienna, Austria, 146–155. https://doi.org/10.1145/2909824.3020209</t>
  </si>
  <si>
    <t>Ramachandran, A., Huang, C.-M., &amp; Scassellati, B. (2019). Toward effective robot–child tutoring: Internal motivation, behavioral intervention, and learning outcomes. ACM Transactions on Interactive Intelligent Systems, 9, 1–23. https://doi.org/10.1145/3213768</t>
  </si>
  <si>
    <t>Ramachandran, A., Sebo, S. S., &amp; Scassellati, B. (2019). Personalized robot tutoring using the assistive tutor pOMDP (AT-POMDP). Proceedings of the AAAI Conference on Artificial Intelligence, 33, 8050–8057. https://doi.org/10.1609/aaai.v33i01.33018050</t>
  </si>
  <si>
    <t>Resing, W. C. M., Bakker, M., Elliott, J. G., &amp; Vogelaar, B. (2019). Dynamic testing: Can a robot as tutor be of help in assessing children’s potential for learning? Journal of Computer Assisted Learning, 35, 540–554. https://doi.org/10.1111/jcal.12358</t>
  </si>
  <si>
    <t>Resing, W. C. M., Vogelaar, B., &amp; Elliott, J. G. (2020). Children’s solving of ‘Tower of Hanoi’ tasks: Dynamic testing with the help of a robot. Educational Psychology, 40, 1136–1163. https://doi.org/10.1080/01443410.2019.1684450</t>
  </si>
  <si>
    <t>Riedmann, A., Schaper, P., &amp; Lugrin, B. (2024). Integration of a social robot and gamification in adult learning and effects on motivation, engagement and performance. AI &amp; Society, 39, 369–388. https://doi.org/10.1007/s00146-022-01514-y</t>
  </si>
  <si>
    <t>Rintjema, E., Van den Berghe, R., Kessels, A., De Wit, J., &amp; Vogt, P. (2018). A robot teaching young children a second language: The effect of multiple interactions on engagement and performance. Companion of the 2018 ACM/IEEE International Conference on Human-Robot Interaction, Chicago, IL, 219–220. https://doi.org/10.1145/3173386.3177059</t>
  </si>
  <si>
    <t>Rosenthal-von der Pütten, A. M., Straßmann, C., &amp; Krämer, N. C. (2016). Robots or agents – neither helps you more or less during second language acquisition: Experimental study on the effects of embodiment and type of speech output on evaluation and alignment. In D. Traum, W. Swartout, P. Khooshabeh, S. Kopp, S. Scherer, &amp; A. Leuski (Eds.), Intelligent Virtual Agents. IVA 2016 (pp. 256–268). Cham: Springer. https://doi.org/10.1007/978-3-319-47665-0_23</t>
  </si>
  <si>
    <t>Rosi, A., Dall’Asta, M., Brighenti, F., Del Rio, D., Volta, E., Baroni, I., Nalin, M., Coti Zelati, M., Sanna, A., &amp; Scazzina, F. (2016). The use of new technologies for nutritional education in primary schools: A pilot study. Public Health, 140, 50–55. https://doi.org/10.1016/j.puhe.2016.08.021</t>
  </si>
  <si>
    <t>Salomons, N., Pineda, K. T., Adéjàre, A., &amp; Scassellati, B. (2022). “We make a great team!”: Adults with low prior domain knowledge learn more from a peer robot than a tutor robot. Proceedings of the 2022 ACM/IEEE International Conference on Human-Robot Interaction, Sapporo Hokkaido, Japan, 176–184. https://doi.org/10.1109/HRI53351.2022.9889441</t>
  </si>
  <si>
    <t>Schodde, T., Hoffmann, L., Stange, S., &amp; Kopp, S. (2019). Adapt, explain, engage—a study on how social robots can scaffold second-language learning of children. ACM Transactions on Human-Robot Interaction, 9. https://doi.org/10.1145/3366422</t>
  </si>
  <si>
    <t>Steinhaeusser, S. C., Riedmann, A., Schaper, P., Guthmann, E., Pfister, J., Schmitt, K., Wild, T., &amp; Lugrin, B. (2022). Second language learning through storytelling with a social robot – An online case study. Proceedings of the 2022 31st IEEE International Conference on Robot and Human Interactive Communication, Napoli, Italy, 67–74. https://doi.org/10.1109/RO-MAN53752.2022.9900628</t>
  </si>
  <si>
    <t>Tanaka, F., &amp; Matsuzoe, S. (2012). Children teach a care-receiving robot to promote their learning: Field experiments in a classroom for vocabulary learning. Journal of Human-Robot Interaction, 1, 78–95. https://doi.org/10.5898/JHRI.1.1.Tanaka</t>
  </si>
  <si>
    <t>Tang, H. K., Smakman, M., De Haas, M., &amp; Van den Berghe, R. (2023). L2 vocabulary learning through lexical inferencing stories with a social robot. Companion of the 2023 ACM/IEEE International Conference on Human-Robot Interaction, Stockholm, Sweden, 526–530. https://doi.org/10.1145/3568294.3580140</t>
  </si>
  <si>
    <t>Tsai, C.-C. (2019). Adapting an anthropomorphized robot for enhancing EFL learning motivation and performance at an elementary school in Taiwan. The New Educational Review, 58, 22–35. https://doi.org/10.15804/tner.19.58.4.02</t>
  </si>
  <si>
    <t>Van den Berghe, M. A. J. (2019). Comparing children’s L2 word learning between a vocabulary training without a peer, with a child peer, or with a humanoid robot. In M. A. J. van den Berghe, Social robots as second-language tutors for young children: Challenges and opportunities (pp. 99–131) [Doctoral dissertation, Utrecht University]. Utrecht University Repository. https://dspace.library.uu.nl/bitstream/handle/1874/381140/2-proefschriftriannevandenberghe.pdf?sequence=1&amp;isAllowed=y</t>
  </si>
  <si>
    <t>Velentza, A.-M., Fachantidis, N., &amp; Lefkos, I. (2021). Human or robot university tutor? Future teachers’ attitudes and learning outcomes. Proceedings of the 2021 30th IEEE International Conference on Robot &amp; Human Interactive Communication, 236–242, Vancouver, Canada. https://doi.org/10.1109/RO-MAN50785.2021.9515521</t>
  </si>
  <si>
    <t>Vogt, P., Van den Berghe, R., De Haas, M., Hoffman, L., Kanero, J., Mamus, E., Montanier, J.-M., Oranç, C., Oudgenoeg-Paz, O., Hernández García, D., Papadopoulos, F., Schodde, T., Verhagen, J., Wallbridgell, C. D., Willemsen, B., De Wit, J., Belpaeme, T., Göksun, T., Kopp, S., … Pandey, A. K. (2019). Second language tutoring using social robots: A large-scale study. Proceedings of the 2019 14th ACM/IEEE International Conference on Human-Robot Interaction, Daegu, South Korea, 497–505. https://doi.org/10.1109/HRI.2019.8673077</t>
  </si>
  <si>
    <t xml:space="preserve">Wang, Y. H., Young, S. S. C., &amp; Jang, J.-S. R. (2013). Using tangible companions for enhancing learning English conversation. Journal of Educational Technology &amp; Society, 16, 296–309. </t>
  </si>
  <si>
    <t>Wu, W.-C. V., Wang, R.-J., &amp; Chen, N.-S. (2015). Instructional design using an in-house built teaching assistant robot to enhance elementary school English-as-a-foreign-language learning. Interactive Learning Environments, 23, 696–714. https://doi.org/10.1080/10494820.2013.792844</t>
  </si>
  <si>
    <t>Yueh, H.-P., Lin, W., Wang, S.-C., &amp; Fu, L.-C. (2020). Reading with robot and human companions in library literacy activities: A comparison study. British Journal of Educational Technology, 51, 1884–1900. https://doi.org/10.1111/bjet.13016</t>
  </si>
  <si>
    <t>Yuliani, S., Rizqiani, D., &amp; Linarta, A. (2024). Words and bots: An empirical experiment vocabulary mastery with robotics in young children. Journal of Languages and Language Teaching, 12, 392–403. https://doi.org/10.33394/jollt.v12i1.9372</t>
  </si>
  <si>
    <t>Zachrisson, E. (2021). Effects of the social robot Furhat on vocabulary learning [MSc thesis, KTH Royal Institute of Technology].</t>
  </si>
  <si>
    <t>Zhanatkyzy, A., Telisheva, Z., Amirova, A., Oralbayeva, N., Aimysheva, A., &amp; Sandygulova, A. (2022). Moveable Älıpbi: The Montessori method for robot-assisted alphabet Learning. In F. Cavallo et al. (Eds.), Social Robotics. ICSR 2022 (pp. 114–123). Cham: Springer. https://doi.org/10.1007/978-3-031-24670-8_11</t>
  </si>
  <si>
    <t>Zhexenova, Z., Amirova, A., Abdikarimova, M., Kudaibergenov, K., Baimakhan, N., Tleubayev, B., Asselborn, T., Johal, W., Dillenbourg, P., CohenMiller, A., &amp; Sandygulova, A. (2020). A comparison of social robot to tablet and teacher in a new script learning context. Frontiers in Robotics and AI, 7. https://doi.org/10.3389/frobt.2020.00099</t>
  </si>
  <si>
    <t>Jao (2024)</t>
  </si>
  <si>
    <t>20 MC questions on knowledge about acute asthma attacks (0-100)</t>
  </si>
  <si>
    <t>Knowledge test (no further information) (1-10)</t>
  </si>
  <si>
    <t>10 listening-and-acting questions (0-100)</t>
  </si>
  <si>
    <t>20 questions on health knowledge (0-100)</t>
  </si>
  <si>
    <t>Correct matching image for each of 7 target words (0-7)</t>
  </si>
  <si>
    <t>10 questioning-and-answering questions (0-100)</t>
  </si>
  <si>
    <t>Kanero, J., Tunalı, E. T., Oranç, C., Göksun, T., &amp; Küntay, A. C. (2021). When even a robot tutor zooms: A study of embodiment, attitudes, and impressions. Frontiers in Robotics and AI, 8, 679893. https://doi.org/10.3389/frobt.2021.679893</t>
  </si>
  <si>
    <t>Kanero (2021)</t>
  </si>
  <si>
    <t>Writing (L2)</t>
  </si>
  <si>
    <t>Essay scored according to a rubric (0-100)</t>
  </si>
  <si>
    <t>Robot via Zoom</t>
  </si>
  <si>
    <t>Zhanatkyzy (2022)</t>
  </si>
  <si>
    <t>Chang, C. C., &amp; Hwang, G. J. (2024). A robot-assisted real case-handling approach to improving students’ learning performances in vocational training. Education and Information Technologies. https://doi.org/10.1007/s10639-024-12778-w</t>
  </si>
  <si>
    <t>Hsieh (2024)</t>
  </si>
  <si>
    <t>Hu (2023) Human</t>
  </si>
  <si>
    <t>Hu, C. C., Yeh, H. C., &amp; Chen, N. S. (2023). Teacher development in robot and IoT knowledge, skills, and attitudes with the use of the TPACK-based Support-Stimulate-Seek approach. Interactive Learning Environments, 31, 5811–5830. https://doi.org/10.1080/10494820.2021.2019058</t>
  </si>
  <si>
    <t>Learning to implement novel technology (incl. social roots) in educational curricula</t>
  </si>
  <si>
    <t>Email</t>
  </si>
  <si>
    <t>Questions</t>
  </si>
  <si>
    <t>Lee, Y., &amp; Specht, M. (2023). Can we empower attentive e-reading with a social robot? An introductory study with a novel multimodal dataset and deep learning approaches. Proceedings of the LAK23: 13th International Learning Analytics and Knowledge Conference, Arlington, TX, 520–530. https://doi.org/10.1145/3576050.3576122</t>
  </si>
  <si>
    <t>Velentza (2024)</t>
  </si>
  <si>
    <t>General/factual knowledge (sexual health)</t>
  </si>
  <si>
    <t>8 questions in "production" test (0-8)</t>
  </si>
  <si>
    <t>8 questions in "receptive" test (0-8)</t>
  </si>
  <si>
    <t>Matching image for each of 3 target words (0-1)</t>
  </si>
  <si>
    <t>9 MC, 3 T/F, and 1 open question (0-17)</t>
  </si>
  <si>
    <t>Velentza, A. M., Kefalouka, E., &amp; Fachantidis, N. (2024). Socially assistive robot in sexual health: Group and individual student-robot interaction activities promoting disclosure, learning and positive attitudes. arXiv. https://doi.org/10.48550/arXiv.2407.13030</t>
  </si>
  <si>
    <t>Text p. 9</t>
  </si>
  <si>
    <t>Manikutty, G., Potapragada, S. A., Pasupuleti, D., Unnithan, M. S., Venugopal, A., Prabha, P., H., A., Anil Kumar, V., P. R., R., &amp; Bhavani, R. R. (2024). Exploring child-robot interaction in individual and group settings in India. arXiv. https://doi.org/10.48550/arXiv.2406.00724</t>
  </si>
  <si>
    <t>IND</t>
  </si>
  <si>
    <t>HaKsh-E</t>
  </si>
  <si>
    <t>Manikutty (2024)</t>
  </si>
  <si>
    <t>7 questions graded between 0 to 2 based on rubric (normalized score, 0-1)</t>
  </si>
  <si>
    <t>Velentza (2024) thesis, Experiment II</t>
  </si>
  <si>
    <t>Only robot post-test conditions</t>
  </si>
  <si>
    <t>Velentza (2024) thesis, Experiment III</t>
  </si>
  <si>
    <t>Velentza (2024) thesis, Experiment V</t>
  </si>
  <si>
    <t>Same as Velentza et al. (2024)</t>
  </si>
  <si>
    <t>Velentza, A.-M. (2024). Experiment IV: Human robot co-tutoring. In A.-M. Velentza, Human-robot interaction: The role of humanoid robots in learning process and cognitive tasks (71–92) [Doctoral dissertation, University of Macedonia]. https://dspace.lib.uom.gr/bitstream/2159/30991/4/VelentzaAnnaMariaPhD2024.pdf</t>
  </si>
  <si>
    <t>Velentza, A.-M. (2024). Experiment IV: Human robot co-tutoring. In A.-M. Velentza, Human-robot interaction: The role of humanoid robots in learning process and cognitive tasks (pp. 71–92) [Doctoral dissertation, University of Macedonia]. https://dspace.lib.uom.gr/bitstream/2159/30991/4/VelentzaAnnaMariaPhD2024.pdf</t>
  </si>
  <si>
    <t>Factual knowledge (cryptography)</t>
  </si>
  <si>
    <t>13 MC questions (scale not reported; likely 0-10)</t>
  </si>
  <si>
    <t>Velentza, A.-M. (2024). Experiment VI: Kindergarten application: Traffic safety. In A.-M. Velentza, Human-robot interaction: The role of humanoid robots in learning process and cognitive tasks (110–124) [Doctoral dissertation, University of Macedonia]. https://dspace.lib.uom.gr/bitstream/2159/30991/4/VelentzaAnnaMariaPhD2024.pdf</t>
  </si>
  <si>
    <t>General/factual knowledge (traffic safety)</t>
  </si>
  <si>
    <t>General/factual knowledge (hand washing)</t>
  </si>
  <si>
    <t>18 oral open questions (0-18)</t>
  </si>
  <si>
    <t>Text p. 120</t>
  </si>
  <si>
    <t>Elsewhere "Powerpoint" is mentioned for the control group</t>
  </si>
  <si>
    <t>The results from the control groups excluded due to large difference in the background of the participants between the control and robot groups</t>
  </si>
  <si>
    <t>Kagkelidou (2024)</t>
  </si>
  <si>
    <t>Text p. 46</t>
  </si>
  <si>
    <t>12 open questions (0-12)</t>
  </si>
  <si>
    <t>Hsiao, H. S., Chen, J. H., Chang, T. L., Li, P. H., &amp; Chung, G. H. (2024). A study on the effects of using the 6E model and a robot teaching assistant on junior high school students’ STEM knowledge, learning motivation, and hands-on performance. Journal of Science Education and Technology, 33, 759–778. https://doi.org/10.1007/s10956-024-10119-7</t>
  </si>
  <si>
    <t>General/factual knowledge (smart city)</t>
  </si>
  <si>
    <t>Hsiao (2024)</t>
  </si>
  <si>
    <t>20 MC questions on STEM (0-100)</t>
  </si>
  <si>
    <t>7 days between the end of the training and the test is an average estimate, considering that the training finished in week 11 and the test was done in week 12</t>
  </si>
  <si>
    <t>Zhao, J. H., Yang, Q. F., Lian, L. W., &amp; Wu, X. Y. (2024). Impact of pre-knowledge and engagement in robot-supported collaborative learning through using the ICAPB model. Computers &amp; Education, 217, 105069.https://doi.org/10.1016/j.compedu.2024.105069</t>
  </si>
  <si>
    <t>Velentza (2024) Experiment IV</t>
  </si>
  <si>
    <t>Velentza (2024) Experiment VI</t>
  </si>
  <si>
    <t>Same sample as Velentza, A. M., Fachantidis, N., &amp; Lefkos, I. (2021). Learn with surprize from a robot professor. Computers &amp; Education, 173, 104272. https://doi.org/10.1016/j.compedu.2021.104272. (the paper included contains data for both open and MC questions, whereas the one excluded contains data only for open questions)</t>
  </si>
  <si>
    <t>Ajlouni, A. (2023). The impact of instruction-based LEGO WeDo 2.0 robotic and hypermedia on students’ intrinsic motivation to learn science. International Journal of Interactive Mobile Technologies, 17, 22–39. https://doi.org/10.3991/ijim.v17i01.35663</t>
  </si>
  <si>
    <t>Al Hakim, V. G., Yang, S. H., Tsai, T. H., Lo, W. H., Wang, J. H., Hsu, T. C., &amp; Chen, G. D. (2020). Interactive robot as classroom learning host to enhance audience participation in digital learning theater. Proceedings of the 2020 IEEE 20th International Conference on Advanced Learning Technologies, Tartu, Estonia, 95–97. https://doi.org/10.1109/ICALT49669.2020.00036</t>
  </si>
  <si>
    <t>Alhaddad, A. Y., Mecheter, A., Wadood, M. A., Alsaari, A. S., Mohammed, H., &amp; Cabibihan, J. J. (2021). Anthropomorphism and its negative attitudes, sociability, animacy, agency, and disturbance requirements for social robots: A pilot study. In H. Li et al. (Eds.), Social Robotics. ICSR 2021 (pp. 791–796). Cham: Springer. https://doi.org/10.1007/978-3-030-90525-5_73</t>
  </si>
  <si>
    <t>Almousa, O., &amp; Alghowinem, S. (2023). Conceptualization and development of an autonomous and personalized early literacy content and robot tutor behavior for preschool children. User Modeling and User-Adapted Interaction, 33, 261–291. https://doi.org/10.1007/s11257-022-09344-9</t>
  </si>
  <si>
    <t>Arsić, B., Gajić, A., Vidojković, S., Maćešić-Petrović, D., Bašić, A., &amp; Parezanović, R. Z. (2022). The use of NAO robots in teaching children with autism. European Journal of Alternative Education Studies, 7, 87–96. https://doi.org/10.46827/ejae.v7i1.4232</t>
  </si>
  <si>
    <t>Baltazar Reyes, G. E., López, E., Ponce, P., &amp; Mazón, N. (2021). Role assignment analysis of an assistive robotic platform in a high school mathematics class, through a gamification and usability evaluation. International Journal of Social Robotics, 13, 1063–1078. https://doi.org/10.1007/s12369-020-00698-x</t>
  </si>
  <si>
    <t>Baltazar Reyes, G. E., Jiménez, B., Lopez, E. O., Mazon, N., Tlalpan, P., &amp; Ponce, P. (2022). Design of a novel high school mathematics class through the usability analysis of a robot implementation. In S. Hosseini, D. H. Peluffo, J. Nganji, &amp; A. Arrona-Palacios, A. (Eds.), Technology-Enabled Innovations in Education (pp. 67–78). Singapore: Springer. https://doi.org/10.1007/978-981-19-3383-7_5</t>
  </si>
  <si>
    <t>Benvenuti, M., &amp; Mazzoni, E. (2020). Enhancing wayfinding in pre‐school children through robot and socio‐cognitive conflict. British Journal of Educational Technology, 51, 436–458. https://doi.org/10.1111/bjet.12848</t>
  </si>
  <si>
    <t>Correia, F., Petisca, S., Alves-Oliveira, P., Ribeiro, T., Melo, F. S., &amp; Paiva, A. (2017). Groups of humans and robots: Understanding membership preferences and team formation. Presented at the 13th Conference on Robotics - Science and Systems, Cambridge, MA. https://doi.org/10.15607/RSS.2017.XIII.024</t>
  </si>
  <si>
    <t>De Haas, M., Vogt, P., Van den Berghe, R., Leseman, P., Oudgenoeg-Paz, O., Willemsen, B., De Wit, J., &amp; Krahmer, E. (2022). Engagement in longitudinal child-robot language learning interactions: Disentangling robot and task engagement. International Journal of Child-Computer Interaction, 100501. https://doi.org/10.1016/j.ijcci.2022.100501</t>
  </si>
  <si>
    <t>Demir-Lira, Ö. E., Kanero, J., Oranç, C., Koşkulu, S., Franko, I., Göksun, T., &amp; Küntay, A. C. (2020). L2 vocabulary teaching by social robots: The role of gestures and on-screen cues as scaffolds. Frontiers in Education, 5, 599636. https://doi.org/10.3389/feduc.2020.599636</t>
  </si>
  <si>
    <t>Fernández-Llamas, C., Conde, M. Á., Rodríguez-Sedano, F. J., Rodríguez-Lera, F. J., &amp; Matellán-Olivera, V. (2020). Analysing the computational competences acquired by K-12 students when lectured by robotic and human teachers. International Journal of Social Robotics, 12, 1009–1019. https://doi.org/10.1007/s12369-017-0440-9</t>
  </si>
  <si>
    <t>Gena, C., Mattutino, C., Perosino, G., Trainito, M., Vaudano, C., &amp; Cellie, D. (2020). Design and development of a social, educational and affective robot. Proceedings of the 2020 IEEE Conference on Evolving and Adaptive Intelligent Systems, Bari, Italy. https://doi.org/10.1109/EAIS48028.2020.9122778</t>
  </si>
  <si>
    <t>Gordon, G., Spaulding, S., Westlund, J. K., Lee, J. J., Plummer, L., Martinez, M., Das, M., &amp; Breazeal, C. (2016). Affective personalization of a social robot tutor for children’s second language skills. Proceedings of the AAAI Conference on Artificial Intelligence, 30, 3951–3957. https://doi.org/10.1609/aaai.v30i1.9914</t>
  </si>
  <si>
    <t>Görer, B., &amp; Aydemir, F. B. (2023). RoboREIT: An interactive robotic tutor with instructive feedback component for requirements elicitation interview training. arXiv. https://doi.org/10.48550/arXiv.2304.07538</t>
  </si>
  <si>
    <t>Issa, I., Nurgazy, S., Madeniyetov, M., &amp; Sandygulova, A. (2023). Robot-assisted word-to-picture matching game for language learning. Companion of the 2023 ACM/IEEE International Conference on Human-Robot Interaction, Stockholm, Sweden, 711–715. https://doi.org/10.1145/3568294.3580179</t>
  </si>
  <si>
    <t>Johnson, A., Martin, A., Quintero, M., Bailey, A., &amp; Alwan, A. (2022). Can social robots effectively elicit curiosity in STEM topics from K-1 students during oral assessments? Proceedings of the IEEE Global Engineering Education Conference, Tunis, Tunisia, 1264–1268. https://doi.org/10.1109/EDUCON52537.2022.9766662</t>
  </si>
  <si>
    <t>Jones, A., &amp; Castellano, G. (2018). Adaptive robotic tutors that support self-regulated learning: A longer-term investigation with primary school children. International Journal of Social Robotics, 10, 357–370. https://doi.org/10.1007/s12369-017-0458-z</t>
  </si>
  <si>
    <t>Jones, A., Bull, S., &amp; Castellano, G. (2018). “I know that now, I’m going to learn this next” promoting self-regulated learning with a robotic tutor. International Journal of Social Robotics, 10, 439–454. https://doi.org/10.1007/s12369-017-0430-y</t>
  </si>
  <si>
    <t>Kamelabad, A. M., &amp; Skantze, G. (2023). I learn better alone! Collaborative and individual word learning with a child and adult robot. Proceedings of the 2023 ACM/IEEE International Conference on Human-Robot Interaction, Stockholm Sweden, 368–377. https://doi.org/10.1145/3568162.3577004</t>
  </si>
  <si>
    <t>Kanero, J., Franko, I., Oranç, C., Uluşahin, O., Koşkulu, S., Adıgüzel, Z., Küntay, A. C., &amp; Göksun, T. (2018). Who can benefit from robots? Effects of individual differences in robot-assisted language learning. Proceedings of the 2018 Joint IEEE 8th International Conference on Development and Learning and Epigenetic Robotics (ICDL-EpiRob), Tokyo, Japan, 212–217. https://doi.org/10.1109/DEVLRN.2018.8761028</t>
  </si>
  <si>
    <t>Kazakoff, E. R., &amp; Bers, M. U. (2014). Put your robot in, put your robot out: Sequencing through programming robots in early childhood. Journal of Educational Computing Research, 50, 553–573. https://doi.org/10.2190/EC.50.4.f</t>
  </si>
  <si>
    <t>Kim, S. W., Park, H., &amp; Lee, Y. (2019). Development of project-based robot education program for enhancing interest toward robots and computational thinking of elementary school students. Journal of The Korea Society of Computer and Information, 24, 247–255.</t>
  </si>
  <si>
    <t>Kory-Westlund, J. M., &amp; Breazeal, C. (2019). Exploring the effects of a social robot's speech entrainment and backstory on young children's emotion, rapport, relationship, and learning. Frontiers in Robotics and AI, 6, 54. https://doi.org/10.3389/frobt.2019.00054</t>
  </si>
  <si>
    <t>Köse, H., Uluer, P., Akalın, N., Yorgancı, R., Özkul, A., &amp; Ince, G. (2015). The effect of embodiment in sign language tutoring with assistive humanoid robots. International Journal of Social Robotics, 7, 537–548. https://doi.org/10.1007/s12369-015-0311-1</t>
  </si>
  <si>
    <t>Leeuwestein, H., Barking, M., Sodacı, H., Oudgenoeg‐Paz, O., Verhagen, J., Vogt, P., Aarts, R., Spit, S., De Haas, M., De Wit, J., &amp; Leseman, P. (2020). Teaching Turkish‐Dutch kindergartners Dutch vocabulary with a social robot: Does the robot's use of Turkish translations benefit children's Dutch vocabulary learning? Journal of Computer Assisted Learning, 37, 603–620. https://doi.org/10.1111/jcal.12510</t>
  </si>
  <si>
    <t>Li, J., Kizilcec, R., Bailenson, J., &amp; Ju, W. (2016). Social robots and virtual agents as lecturers for video instruction. Computers in Human Behavior, 55, 1222–1230. https://doi.org/10.1016/j.chb.2015.04.005</t>
  </si>
  <si>
    <t>Liang, J. C., &amp; Hwang, G. J. (2023). A robot-based digital storytelling approach to enhancing EFL learners’ multimodal storytelling ability and narrative engagement. Computers &amp; Education, 201, 104827. https://doi.org/10.1016/j.compedu.2023.104827</t>
  </si>
  <si>
    <t xml:space="preserve">Liu, X., Ma, J., &amp; Wang, Q. (2024). A social robot as your reading companion: exploring the relationships between gaze patterns and knowledge gains. Journal on Multimodal User Interfaces, 18, 21–41. https://doi.org/10.1007/s12193-023-00418-5 </t>
  </si>
  <si>
    <t>Lubold, N., Walker, E., Pon-Barry, H., &amp; Ogan, A. (2018). Automated pitch convergence improves learning in a social, teachable robot for middle school mathematics. In C. Penstein Rosé, R. Martínez-Maldonado, H. U. Hoppe, R. Luckin, M. Mavrikis, K. Porayska-Pomsta, B. McLaren, &amp; B. du Boulay (Eds.), Artificial Intelligence in education (pp. 282–296). Cham: Springer. https://doi.org/10.1007/978-3-319-93843-1_21</t>
  </si>
  <si>
    <t>Lubold, N., Walker, E., Pon-Barry, H., Flores, Y., &amp; Ogan, A. (2018). Using iterative design to create efficacy-building social experiences with a teachable robot. International Society of the Learning Sciences, Inc.</t>
  </si>
  <si>
    <t>Lubold, N., Walker, E., &amp; Pon-Barry, H. (2021). Effects of adapting to user pitch on rapport perception, behavior, and state with a social robotic learning companion. User Modeling and User-Adapted Interaction, 31, 35-73. https://doi.org/10.1007/s11257-020-09267-3</t>
  </si>
  <si>
    <t>Marti, P., &amp; Iacono, I. (2011). Learning through play with a robot companion. Assistive Technology Research Series, 29, 526–533. https://doi.org/10.3233/978-1-60750-814-4-526</t>
  </si>
  <si>
    <t>Oralbayeva, N., Amirova, A., CohenMiller, A., &amp; Sandygulova, A. (2022). Cognitive learning and robotics: Innovative teaching for inclusivity. Multimodal Technologies and Interaction, 6, 65. https://doi.org/10.3390/mti6080065</t>
  </si>
  <si>
    <t>Parenti, L., Marchesi, S., Belkaid, M., &amp; Wykowska, A. (2021). Exposure to robotic virtual agent affects adoption of intentional stance. Proceedings of the 9th International Conference on Human-Agent Interaction, Virtual Event, Japan, 348–353. https://doi.org/10.1145/3472307.3484667</t>
  </si>
  <si>
    <t>Park, E. A., Jung, A. R., &amp; Lee, K. A. (2021). The humanoid robot Sil-Bot in a cognitive training program for community-dwelling elderly people with mild cognitive impairment during the COVID-19 pandemic: A randomized controlled trial. International Journal of Environmental Research and Public Health, 18, 8198. https://doi.org/10.3390/ijerph18158198</t>
  </si>
  <si>
    <t>Perlmutter, L., Fiannaca, A., Kernfeld, E., Anand, S., Arnold, L., &amp; Cakmak, M. (2016). Automatic adaptation of online language lessons for robot tutoring. In A. Agah, J. J. Cabibihan, A. Howard, M. Salichs, &amp; H. He (Eds.), Social Robotics. ICSR 2016 (pp. 660–670). Cham: Springer. https://doi.org/10.1007/978-3-319-47437-3_65</t>
  </si>
  <si>
    <t>Qidwai, U., Kashem, S. B. A., &amp; Conor, O. (2020). Humanoid robot as a teacher’s assistant: Helping children with autism to learn social and academic skills. Journal of Intelligent &amp; Robotic Systems, 98, 759–770. https://doi.org/10.1007/s10846-019-01075-1</t>
  </si>
  <si>
    <t>Rizki, C. A., Buditjahjanto, I. G. P. A., &amp; Suprianto, B. (2020). The impact of using learning media robot transporter toward learning outcome and learning gain of students. Journal of Educational Science and Technology, 6, 284–292. https://doi.org/10.26858/est.v1i1.15296</t>
  </si>
  <si>
    <t>Saadatzi, M. N., Pennington, R. C., Welch, K. C., &amp; Graham, J. H. (2018). Effects of a robot peer on the acquisition and observational learning of sight words in young adults with autism spectrum disorder. Journal of Special Education Technology, 33, 284–296. https://doi.org/10.1177/0162643418778506</t>
  </si>
  <si>
    <t>Sandygulova, A., CohenMiller, A., Oralbayeva, N., Johal, W., Asselborn, T., &amp; Dillenbourg, P. (2019). Cognitive learning with a robot: The case of script acquisition. In J. Camara &amp; M. Steffen (Eds.), Software Engineering and Formal Methods. SEFM 2019 (pp. 154–162). Cham: Springer. https://doi.org/10.1007/978-3-030-57506-9_12</t>
  </si>
  <si>
    <t>Serholt, S., Ekström, S., Küster, D., Ljungblad, S., &amp; Pareto, L. (2022). Comparing a robot tutee to a human tutee in a learning-by-teaching scenario with children. Frontiers in Robotics and AI, 43, 836462. https://doi.org/10.3389/frobt.2022.836462</t>
  </si>
  <si>
    <t>Shahab, M., Taheri, A., Mokhtari, M., Shariati, A., Heidari, R., Meghdari, A., &amp; Alemi, M. (2021). Utilizing social virtual reality robot (V2R) for music education to children with high-functioning autism. Education and Information Technologies, 27, 819–843. https://doi.org/10.1007/s10639-020-10392-0</t>
  </si>
  <si>
    <t>So, W.-C., Wong, M. K.-Y., Lam, C. K.-Y., Lam, W.-Y., Chui, A. T.-F., Lee, T.-L., Ng, H.-M., Chan, C.-H., &amp; Fok, D. C.-W. (2018). Using a social robot to teach gestural recognition and production in children with autism spectrum disorders. Disability and Rehabilitation: Assistive Technology, 13, 527–539. https://doi.org/10.1080/17483107.2017.1344886</t>
  </si>
  <si>
    <t>Spatola, N., Belletier, C., Chausse, P., Augustinova, M., Normand, A., Barra, V., Ferrand, L., &amp; Huguet, P. (2019). Improved cognitive control in presence of anthropomorphized robots. International Journal of Social Robotics, 11, 463–476. https://doi.org/10.1007/s12369-018-00511-w</t>
  </si>
  <si>
    <t>Spatola, N., Monceau, S., &amp; Ferrand, L. (2019). Cognitive impact of social robots: How anthropomorphism boosts performances. IEEE Robotics &amp; Automation Magazine, 27, 73–83. https://doi.org/10.1109/MRA.2019.2928823</t>
  </si>
  <si>
    <t xml:space="preserve">Spaulding, S., Chen, H., Ali, S., Kulinski, M., &amp; Breazeal, C. (2018). A social robot system for modeling children's word pronunciation: Socially interactive agents track. Proceedings of the 17th International Conference on Autonomous Agents and MultiAgent Systems, Stockholm, Sweden, 1658–1666. </t>
  </si>
  <si>
    <t>Spekman, M. L., Konijn, E. A., &amp; Hoorn, J. F. (2021). How physical presence overrides emotional (coping) effects in HRI: Testing the transfer of emotions and emotional coping in interaction with a humanoid social robot. International Journal of Social Robotics, 13, 407–428. https://doi.org/10.1007/s12369-020-00649-6</t>
  </si>
  <si>
    <t>Taheri, A., Meghdari, A., Alemi, M., Pouretemad, H., Poorgoldooz, P., &amp; Roohbakhsh, M. (2016). Social robots and teaching music to autistic children: Myth or reality? In A. Agah, J. J. Cabibihan, A. Howard, M. Salichs, &amp; H. He (Eds.), Social Robotics. ICSR 2016 (pp. 541–550). Cham: Springer. https://doi.org/10.1007/978-3-319-47437-3_53</t>
  </si>
  <si>
    <t>Telisheva, Z., Zhanatkyzy, A., Oralbayeva, N., Amirova, A., Aimysheva, A., &amp; Sandygulova, A. (2023). The effects of dyadic vs triadic interaction on children’s cognitive and affective gains in robot-assisted alphabet learning. In F. Cavallo et al. (Eds.), Social Robotics. ICSR 2022 (pp. 204–213). Cham: Springer. https://doi.org/10.1007/978-3-031-24670-8_19</t>
  </si>
  <si>
    <t>Tolksdorf, N. F., Hönemann, D., Viertel, F. E., &amp; Rohlfing, K. J. (2022). Who is that?! Does changing the robot as a learning companion impact preschoolers' language learning? Proceedings of the 2022 17th ACM/IEEE International Conference on Human-Robot Interaction (HRI), Sapporo, Japan, 1069–1074. https://doi.org/10.1109/HRI53351.2022.9889420</t>
  </si>
  <si>
    <t>Tozadore, D. C., Cezayirlioglu, M., Wang, C., Bruno, B., &amp; Dillenbourg, P. (2023). Immediate effects of short-duration wellbeing practices on children’s handwriting and posture guided by a social robot. Proceedings of the 2023 32nd IEEE International Conference on Robot and Human Interactive Communication (RO-MAN), Busan, Republic of Korea, 1475–1480. https://doi.org/10.1109/RO-MAN57019.2023.10309605</t>
  </si>
  <si>
    <t>Van den Berghe, R., De Haas, M., Oudgenoeg‐Paz, O., Krahmer, E., Verhagen, J., Vogt, P., Willemsen, B., De Wit, J., &amp; Leseman, P. (2021). A toy or a friend? Children's anthropomorphic beliefs about robots and how these relate to second‐language word learning. Journal of Computer Assisted Learning, 37, 396–410. https://doi.org/10.1111/jcal.12497</t>
  </si>
  <si>
    <t>Van den Berghe, R., Oudgenoeg-Paz, O., Verhagen, J., Brouwer, S., De Haas, M., De Wit, J., Willemsen, B., Vogt, P., Krahmer, E., &amp; Leseman, P. (2021). Individual differences in children’s (language) learning skills moderate effects of robot-assisted second language learning. Frontiers in Robotics and AI, 259, 676248. https://doi.org/10.3389/frobt.2021.676248</t>
  </si>
  <si>
    <t>Van den Berghe, R., Van der Ven, S., Verhagen, J., Oudgenoeg-Paz, O., Papadopoulos, F., &amp; Leseman, P. (2018). Investigating the effects of a robot peer on L2 word learning. Proceedings of the Companion of the 2018 ACM/IEEE International Conference on Human-Robot Interaction, 267–268, New York, NY. https://doi.org/10.1145/3173386.3176986</t>
  </si>
  <si>
    <t>Vrochidou, E., Najoua, A., Lytridis, C., Salonidis, M., Ferelis, V., &amp; Papakostas, G. A. (2018). Social robot NAO as a self-regulating didactic mediator: A case study of teaching/learning numeracy. Proceedings of the 2018 26th International Conference on Software, Telecommunications and Computer Networks, Split, Croatia. https://doi.org/10.23919/SOFTCOM.2018.8555764</t>
  </si>
  <si>
    <t>Wallbridge, C. D., Van den Berghe, R., Hernández Garcia, D., Kanero, J., Lemaignan, S., Edmunds, C., &amp; Belpaeme, T. (2018). Using a robot peer to encourage the production of spatial concepts in a second language. Proceedings of the 6th International Conference on Human-Agent Interaction, Southampton, UK, 54–60. https://doi.org/10.1145/3284432.3284433</t>
  </si>
  <si>
    <t>Wedenborn, A., Wik, P., Engwall, O., &amp; Beskow, J. (2019). The effect of a physical robot on vocabulary learning. arXiv. https://doi.org/10.48550/arXiv.1901.10461</t>
  </si>
  <si>
    <t>Wen, R., Kim, B., Phillips, E., Zhu, Q., &amp; Williams, T. (2023). Comparing norm-based and role-based strategies for robot communication of role-grounded moral norms. ACM Transactions on Human-Robot Interaction, 12, 30. https://doi.org/10.1145/3571719</t>
  </si>
  <si>
    <t>Wingren, M., Braskén, M., Pörn, R., &amp; Andersson, S. (2022). Pupil-robot interaction in a math card game: An iterative process of studying the use of social robotics in primary school math education. In W. Lepuschitz, M. Merdan, G. Koppensteiner, R. Balogh, &amp; D. Obdržálek (Eds.), Robotics in Education. RiE 2022 (pp. 113–123). Cham: Springer. https://doi.org/10.1007/978-3-031-12848-6_11</t>
  </si>
  <si>
    <t>Yadollahi, E., Couto, M., Dillenbourg, P., &amp; Paiva, A. (2022). Do children adapt their perspective to a robot when they fail to complete a task? Proceedings of the 21st Annual ACM Interaction Design and Children Conference, Braga, Portugal, 341–351. https://doi.org/10.1145/3501712.3529719</t>
  </si>
  <si>
    <t>Yu, X., Garcia, M. A. G., &amp; Soto-Varela, R. (2023). Are educational robots any good for communicative English learning for primary school students? Texto Livre, 16, e41469. https://doi.org/10.1590/1983-3652.2023.41469</t>
  </si>
  <si>
    <t>From Belpaeme, T., Kennedy, J., Ramachandran, A., Scassellati, B., &amp; Tanaka, F. (2018). Social robots for education: A review. Science Robotics, 3, eaat5954. https://doi.org/10.1126/scirobotics.aat5954</t>
  </si>
  <si>
    <t>Abildgaard, J. R., &amp; Scharfe, H. (2012). A geminoid as lecturer. In S. S. Ge, O. Khatib, J. J. Cabibihan, R. Simmons, &amp; M. A. Williams (Eds.), Social Robotics. ICSR 2012 (pp. 408–417). Berlin, Heidelberg: Springer. https://doi.org/10.1007/978-3-642-34103-8_41</t>
  </si>
  <si>
    <t>Alemi, M., Meghdari, A., Basiri, N. M., &amp; Taheri, A. (2015). The effect of applying humanoid robots as teacher assistants to help Iranian autistic pupils learn English as a foreign language. In A. Tapus, E. André, J. C. Martin, F. Ferland, &amp; M. Ammi (Eds.), Social Robotics. ICSR 2015 (pp. 1–10). Cham: Springer. https://doi.org/10.1007/978-3-319-25554-5_1</t>
  </si>
  <si>
    <t>Alemi, M., Meghdari, A., &amp; Ghazisaedy, M. (2015). The impact of social robotics on L2 learners’ anxiety and attitude in English vocabulary acquisition. International Journal of Social Robotics, 7, 523–535. https://doi.org/10.1007/s12369-015-0286-y</t>
  </si>
  <si>
    <t>Alves-Oliveira, P., Ribeiro, T., Petisca, S., Di Tullio, E., Melo, F. S., &amp; Paiva, A. (2015). An empathic robotic tutor for school classrooms: Considering expectation and satisfaction of children as end-users. In A. Tapus, E. André, J. C. Martin, F. Ferland, &amp; M. Ammi (Eds.), Social Robotics. ICSR 2015 (pp. 21–30). Cham: Springer. https://doi.org/10.1007/978-3-319-25554-5_3</t>
  </si>
  <si>
    <t>Alves-Oliveira, P., Sequeira, P., &amp; Paiva, A. (2016). The role that an educational robot plays. Proceedings of the 2016 25th IEEE International Symposium on Robot and Human Interactive Communication (RO-MAN), New York, NY, 817–822. https://doi.org/10.1109/ROMAN.2016.7745213</t>
  </si>
  <si>
    <t>Blancas, M., Vouloutsi, V., Grechuta, K., &amp; Verschure, P. F. (2015). Effects of the robot’s role on human-robot interaction in an educational scenario. In S. Wilson, P. Verschure, A. Mura, &amp; T. Prescott. (Eds.), Biomimetic and Biohybrid Systems. Living Machines 2015 (pp. 391–402). Cham: Springer. https://doi.org/10.1007/978-3-319-22979-9_39</t>
  </si>
  <si>
    <t>Brown, L., &amp; Howard, A. M. (2013). Engaging children in math education using a socially interactive humanoid robot. Proceedings of the 2013 13th IEEE-RAS International Conference on Humanoid Robots (Humanoids), Atlanta, GA, 183–188. https://doi.org/10.1109/HUMANOIDS.2013.7029974</t>
  </si>
  <si>
    <t>Brown, L., Kerwin, R., &amp; Howard, A. M. (2013). Applying behavioral strategies for student engagement using a robotic educational agent. Proceedings of the 2013 IEEE International Conference on Systems, Man, and Cybernetics, Manchester, UK, 4360–4365. https://doi.org/10.1109/SMC.2013.744</t>
  </si>
  <si>
    <t>Brown, L. N., &amp; Howard, A. M. (2014). The positive effects of verbal encouragement in mathematics education using a social robot. Proceedings of the 2014 IEEE Integrated STEM Education Conference, Princeton, NJ. https://doi.org/10.1109/ISECon.2014.6891009</t>
  </si>
  <si>
    <t>Clabaugh, C., Ragusa, G., Sha, F., &amp; Matarić, M. (2015). Designing a socially assistive robot for personalized number concepts learning in preschool children. Proceedings of the 2015 Joint IEEE International Conference on Development and Learning and Epigenetic Robotics (ICDL-EpiRob), Providence, RI, 314–319. https://doi.org/10.1109/DEVLRN.2015.7346164</t>
  </si>
  <si>
    <t>Clabaugh, C., &amp; Matarić, M. J. (2016). Exploring elicitation frequency of learning-sensitive information by a robotic tutor for interactive personalization. Proceedings of the 2016 25th IEEE International Symposium on Robot and Human Interactive Communication (RO-MAN), New York, NY, 968–973. https://doi.org/10.1109/ROMAN.2016.7745226</t>
  </si>
  <si>
    <t>Edwards, A., Edwards, C., Spence, P. R., Harris, C., &amp; Gambino, A. (2016). Robots in the classroom: Differences in students’ perceptions of credibility and learning between “teacher as robot” and “robot as teacher”. Computers in Human Behavior, 65, 627–634. https://doi.org/10.1016/j.chb.2016.06.005</t>
  </si>
  <si>
    <t>Fasola, J., &amp; Matarić, M. J. (2013). A socially assistive robot exercise coach for the elderly. Journal of Human-Robot Interaction, 2, 3–32. https://doi.org/10.5898/JHRI.2.2.Fasola</t>
  </si>
  <si>
    <t>Fridin, M. (2014). Storytelling by a kindergarten social assistive robot: A tool for constructive learning in preschool education. Computers &amp; Education, 70, 53–64. https://doi.org/10.1016/j.compedu.2013.07.043</t>
  </si>
  <si>
    <t>Fujimoto, I., Matsumoto, T., De Silva, P. R. S., Kobayashi, M., &amp; Higashi, M. (2010). Study on an assistive robot for improving imitation skill of children with autism. In S. S. Ge, H. Li, J. J. Cabibihan, &amp; Y. K. Tan (Eds.), Social Robotics. ICSR 2010 (pp. 232–242). Berlin, Heidelberg: Springer. https://doi.org/10.1007/978-3-642-17248-9_24</t>
  </si>
  <si>
    <t>Garrell, A., Villamizar, M., Moreno-Noguer, F., &amp; Sanfeliu, A. (2017). Teaching robot’s proactive behavior using human assistance. International Journal of Social Robotics, 9, 231–249. https://doi.org/10.1007/s12369-016-0389-0</t>
  </si>
  <si>
    <t>Ghosh, M., &amp; Tanaka, F. (2011). The impact of different competence levels of care-receiving robot on children. Proceedings of the 2011 IEEE/RSJ International Conference on Intelligent Robots and Systems, San Francisco, CA, 2409–2415. https://doi.org/10.1109/IROS.2011.6095141</t>
  </si>
  <si>
    <t>Gordon, G., Breazeal, C., &amp; Engel, S. (2015). Can children catch curiosity from a social robot? Proceedings of the Tenth Annual ACM/IEEE International Conference on Human-Robot Interaction, Portland, OR, 91–98. https://doi.org/10.1145/2696454.2696469</t>
  </si>
  <si>
    <t>Hashimoto, T., Kato, N., &amp; Kobayashi, H. (2011). Development of educational system with the android robot SAYA and evaluation. International Journal of Advanced Robotic Systems, 8, 51–61. https://doi.org/10.5772/10667</t>
  </si>
  <si>
    <t>Hastie, H., Dente, P., Küster, D., &amp; Kappas, A. (2016). Sound emblems for affective multimodal output of a robotic tutor: A perception study. Proceedings of the 18th ACM International Conference on Multimodal Interaction, Tokyo, Japan, 256–260. https://doi.org/10.1145/2993148.2993169</t>
  </si>
  <si>
    <t>Hedgecock, J., Standen, P. J., Beer, C., Brown, D., &amp; S. Stewart, D. (2014). Evaluating the role of a humanoid robot to support learning in children with profound and multiple disabilities. Journal of Assistive Technologies, 8, 111–123. https://doi.org/10.1108/JAT-02-2014-0006</t>
  </si>
  <si>
    <t>Hemminghaus, J., &amp; Kopp, S. (2017). Towards adaptive social behavior generation for assistive robots using reinforcement learning. Proceedings of the 2017 ACM/IEEE International Conference on Human-Robot Interaction, Vienna, Austria, 332–340. https://doi.org/10.1145/2909824.3020217</t>
  </si>
  <si>
    <t>Herberg, J. S., Feller, S., Yengin, I., &amp; Saerbeck, M. (2015). Robot watchfulness hinders learning performance. Proceedings of the 2015 24th IEEE International Symposium on Robot and Human Interactive Communication (RO-MAN), Kobe, Japan, 153–160. https://doi.org/10.1109/ROMAN.2015.7333620</t>
  </si>
  <si>
    <t>Hood, D., Lemaignan, S., &amp; Dillenbourg, P. (2015). When children teach a robot to write: An autonomous teachable humanoid which uses simulated handwriting. Proceedings of the Tenth Annual ACM/IEEE International Conference on Human-Robot Interaction, Portland, OR, 83–90. https://doi.org/10.1145/2696454.2696479</t>
  </si>
  <si>
    <t>Huang, C. M., &amp; Mutlu, B. (2013). The repertoire of robot behavior: Enabling robots to achieve interaction goals through social behavior. Journal of Human-Robot Interaction, 2, 80–102. https://doi.org/10.5898/JHRI.2.2.Huang</t>
  </si>
  <si>
    <t>Imbernón Cuadrado, L. E., Manjarres Riesco, A., &amp; De La Paz Lopez, F. (2016). ARTIE: An integrated environment for the development of affective robot tutors. Frontiers in Computational Neuroscience, 10, 77. https://doi.org/10.3389/fncom.2016.00077</t>
  </si>
  <si>
    <t>Jacq, A., Lemaignan, S., Garcia, F., Dillenbourg, P., &amp; Paiva, A. (2016). Building successful long child-robot interactions in a learning context. Proceedings of the 2016 11th ACM/IEEE International Conference on Human-Robot Interaction (HRI), Christchurch, New Zealand, 239–246. https://doi.org/10.1109/HRI.2016.7451758</t>
  </si>
  <si>
    <t>Janssen, J. B., Van der Wal, C. C., Neerincx, M. A., &amp; Looije, R. (2011). Motivating children to learn arithmetic with an adaptive robot game. In B. Mutlu, C. Bartneck, J. Ham, V. Evers, &amp; T. Kanda (Eds.), Social Robotics. ICSR 2011 (pp. 153–162). Berlin, Heidelberg: Springer. https://doi.org/10.1007/978-3-642-25504-5_16</t>
  </si>
  <si>
    <t>Jones, A., Castellano, G., &amp; Bull, S. (2014). Investigating the effect of a robotic tutor on learner perception of skill based feedback. In M. Beetz, B. Johnston, &amp; M. A. Williams (Eds.), Social Robotics. ICSR 2014 (pp. 186–195). Cham: Springer. https://doi.org/10.1007/978-3-319-11973-1_19</t>
  </si>
  <si>
    <t>Kajopoulos, J., Wong, A. H. Y., Yuen, A. W. C., Dung, T. A., Kee, T. Y., &amp; Wykowska, A. (2015). Robot-assisted training of joint attention skills in children diagnosed with autism. In A. Tapus, E. André, J. C. Martin, F. Ferland, &amp; M. Ammi (Eds.), Social Robotics. ICSR 2015 (pp. 296–305). Cham: Springer. https://doi.org/10.1007/978-3-319-25554-5_30</t>
  </si>
  <si>
    <t>Keren, G., Ben-David, A., &amp; Fridin, M. (2012). Kindergarten assistive robotics (KAR) as a tool for spatial cognition development in pre-school education. Proceedings of the 2012 IEEE/RSJ International Conference on Intelligent Robots and Systems, Vilamoura-Algarve, Portugal, 1084–1089. https://doi.org/10.1109/IROS.2012.6385645</t>
  </si>
  <si>
    <t>Lee, D. H., &amp; Kim, J. H. (2010). A framework for an interactive robot-based tutoring system and its application to ball-passing training. Proceedings of the 2010 IEEE International Conference on Robotics and Biomimetics, Tianjin, China, 573–578. https://doi.org/10.1109/ROBIO.2010.5723389</t>
  </si>
  <si>
    <t>Lee, S., Kim, C., Lee, J., Noh, H., Lee, K., &amp; Lee, G. G. (2010). Affective effects of speech-enabled robots for language learning. Proceedings of the 2010 IEEE Spoken Language Technology Workshop, Berkeley, CA, 145–150. https://doi.org/10.1109/SLT.2010.5700837</t>
  </si>
  <si>
    <t>Lee, S., Noh, H., Lee, J., Lee, K., Lee, G. G., Sagong, S., &amp; Kim, M. (2011). On the effectiveness of robot-assisted language learning. ReCALL, 23, 25–58. https://doi.org/10.1017/S0958344010000273</t>
  </si>
  <si>
    <t>Leite, I., McCoy, M., Lohani, M., Ullman, D., Salomons, N., Stokes, C., Rivers, S., &amp; Scassellati, B. (2015). Emotional storytelling in the classroom: Individual versus group interaction between children and robots. Proceedings of the Tenth Annual ACM/IEEE International Conference on Human-Robot Interaction, Portland, OR, 75–82. https://doi.org/10.1145/2696454.2696481</t>
  </si>
  <si>
    <t>Leite, I., McCoy, M., Ullman, D., Salomons, N., &amp; Scassellati, B. (2015). Comparing models of disengagement in individual and group interactions. Proceedings of the Tenth Annual ACM/IEEE International Conference on Human-Robot Interaction, Portland, OR, 99–105. https://doi.org/10.1145/2696454.2696466</t>
  </si>
  <si>
    <t>Lemaignan, S., Garcia, F., Jacq, A., &amp; Dillenbourg, P. (2016). From real-time attention assessment to “with-me-ness” in human-robot interaction. Proceedings of the 2016 11th ACM/IEEE International Conference on Human-Robot Interaction (HRI), Christchurch, New Zealand, 157–164. https://doi.org/10.1109/HRI.2016.7451747</t>
  </si>
  <si>
    <t>Lemaignan, S., Jacq, A., Hood, D., Garcia, F., Paiva, A., &amp; Dillenbourg, P. (2016). Learning by teaching a robot: The case of handwriting. IEEE Robotics &amp; Automation Magazine, 23, 56–66. https://doi.org/10.1109/MRA.2016.2546700</t>
  </si>
  <si>
    <t>Leyzberg, D., Avrunin, E., Liu, J., &amp; Scassellati, B. (2011). Robots that express emotion elicit better human teaching. Proceedings of the 6th International Conference on Human-robot Interaction, Lausanne, Switzerland, 347–354. https://doi.org/10.1145/1957656.1957789</t>
  </si>
  <si>
    <t>Leyzberg, D., Spaulding, S., &amp; Scassellati, B. (2014). Personalizing robot tutors to individuals’ learning differences. Proceedings of the 9th ACM/IEEE International Conference on Human-Robot Interaction, 423–430, Bielefeld, Germany. https://doi.org/10.1145/2559636.2559671</t>
  </si>
  <si>
    <t>Looije, R., Van der Zalm, A., Neerincx, M. A., &amp; Beun, R. J. (2012). Help, I need some body the effect of embodiment on playful learning. Proceedings of the 2012 IEEE RO-MAN: The 21st IEEE International Symposium on Robot and Human Interactive Communication, Paris, France, 718–724. https://doi.org/10.1109/ROMAN.2012.6343836</t>
  </si>
  <si>
    <t>Özgür, A., Johal, W., Mondada, F., &amp; Dillenbourg, P. (2017). Windfield: learning wind meteorology with handheld haptic robots. Proceedings of the 2017 ACM/IEEE International Conference on Human-Robot Interaction, Vienna, Austria, 156–165. https://doi.org/10.1145/2909824.3020231</t>
  </si>
  <si>
    <t>Papadopoulos, F., Küster, D., Corrigan, L. J., Kappas, A., &amp; Castellano, G. (2016). Do relative positions and proxemics affect the engagement in a human-robot collaborative scenario? Interaction Studies, 17, 321–347. https://doi.org/10.1075/is.17.3.01pap</t>
  </si>
  <si>
    <t>Park, C., Kim, J., &amp; Kang, J. H. (2016). Robot social skills for enhancing social interaction in physical training. Proceedings of the 2016 11th ACM/IEEE International Conference on Human-Robot Interaction (HRI), Christchurch, New Zealand, 493–494. https://doi.org/10.1109/HRI.2016.7451822</t>
  </si>
  <si>
    <t>Park, E., Kim, K. J., &amp; Del Pobil, A. P. (2011). The effects of a robot instructor’s positive vs. negative feedbacks on attraction and acceptance towards the robot in classroom. In B. Mutlu, C. Bartneck, J. Ham, V. Evers, &amp; T. Kanda (Eds.), Social Robotics. ICSR 2011 (pp. 135–141). Berlin, Heidelberg: Springer. https://doi.org/10.1007/978-3-642-25504-5_14</t>
  </si>
  <si>
    <t>Reardon, C., Zhang, H., Wright, R., &amp; Parker, L. E. (2015). Response prompting for intelligent robot instruction of students with intellectual disabilities. Proceedings of the 2015 24th IEEE International Symposium on Robot and Human Interactive Communication (RO-MAN), Kobe, Japan, 784–790. https://doi.org/10.1109/ROMAN.2015.7333651</t>
  </si>
  <si>
    <t>Reich-Stiebert, N., &amp; Eyssel, F. (2017). (Ir)relevance of gender? On the influence of gender stereotypes on learning with a robot. Proceedings of the 2017 ACM/IEEE International Conference on Human-Robot Interaction, Vienna, Austria, 166–176. https://doi.org/10.1145/2909824.3020242</t>
  </si>
  <si>
    <t>Ros, R., Baroni, I., &amp; Demiris, Y. (2014). Adaptive human–robot interaction in sensorimotor task instruction: From human to robot dance tutors. Robotics and Autonomous Systems, 62, 707–720. https://doi.org/10.1016/j.robot.2014.03.005</t>
  </si>
  <si>
    <t>Ros, R., Coninx, A., Demiris, Y., Patsis, G., Enescu, V., &amp; Sahli, H. (2014). Behavioral accommodation towards a dance robot tutor. Proceedings of the 2014 ACM/IEEE International Conference on Human-Robot Interaction, Bielefeld, Germany, 278–279. https://doi.org/10.1145/2559636.2559821</t>
  </si>
  <si>
    <t>Saerbeck, M., Schut, T., Bartneck, C., &amp; Janse, M. D. (2010). Expressive robots in education: varying the degree of social supportive behavior of a robotic tutor. Proceedings of the SIGCHI Conference on Human Factors in Computing Systems, Atlanta, GA, 1613–1622. https://doi.org/10.1145/1753326.1753567</t>
  </si>
  <si>
    <t>Sato, T., Tanabe, M., Sato, N., &amp; Ejima, T. (2017). Using small-scale robots to nurture a caring mindset in young children. Mechanical Engineering Letters, 3, 16-00471. https://doi.org/10.1299/mel.16-00471</t>
  </si>
  <si>
    <t>Schadenberg, B. R., Neerincx, M. A., Cnossen, F., &amp; Looije, R. (2017). Personalising game difficulty to keep children motivated to play with a social robot: A Bayesian approach. Cognitive Systems Research, 43, 222–231. https://doi.org/10.1016/j.cogsys.2016.08.003</t>
  </si>
  <si>
    <t>Schneider, S., &amp; Kümmert, F. (2016). Exercising with a humanoid companion is more effective than exercising alone. Proceedings of the 2016 IEEE-RAS 16th International Conference on Humanoid Robots (Humanoids), Cancun, Mexico, 495–501. https://doi.org/10.1109/HUMANOIDS.2016.7803321</t>
  </si>
  <si>
    <t>Schodde, T., Bergmann, K., &amp; Kopp, S. (2017). Adaptive robot language tutoring based on Bayesian knowledge tracing and predictive decision-making. Proceedings of the 2017 ACM/IEEE International Conference on Human-Robot Interaction, 128–136, Vienna, Austria. https://doi.org/10.1145/2909824.3020222</t>
  </si>
  <si>
    <t xml:space="preserve">Serholt, S., &amp; Barendregt, W. (2016). Robots tutoring children: Longitudinal evaluation of social engagement in child-robot interaction. Proceedings of the 9th Nordic Conference on Human-Computer Interaction, Gothenburg, Sweden. https://doi.org/10.1145/2971485.2971536 </t>
  </si>
  <si>
    <t>Serholt, S., Basedow, C. A., Barendregt, W., &amp; Obaid, M. (2014). Comparing a humanoid tutor to a human tutor delivering an instructional task to children. Proceedings of the 2014 IEEE-RAS International Conference on Humanoid Robots, 1134–1141, Madrid, Spain. https://doi.org/10.1109/HUMANOIDS.2014.7041511</t>
  </si>
  <si>
    <t>Shiomi, M., Kanda, T., Howley, I., Hayashi, K., &amp; Hagita, N. (2015). Can a social robot stimulate science curiosity in classrooms? International Journal of Social Robotics, 7, 641–652. https://doi.org/10.1007/s12369-015-0303-1</t>
  </si>
  <si>
    <t>Solis, J., Bergamasco, M., Chida, K., Isoda, S., &amp; Takanishi, A. (2004). The anthropomorphic flutist robot WF-4 teaching flute playing to beginner students. Proceedings of the 2004 IEEE/RSJ International Conference on Intelligent Robots and Systems (IROS), Sendai, Japan, 146–151. https://doi.org/10.1109/IROS.2004.1389619</t>
  </si>
  <si>
    <t>Suzuki, K., Yamada, S., &amp; Kanoh, M. (2016). Verifying effectiveness of an expression education support robot that nods and gives hints. Proceedings of the 2016 IEEE Congress on Evolutionary Computation (CEC), Vancouver, Canada, 1422–1426. https://doi.org/10.1109/CEC.2016.7743956</t>
  </si>
  <si>
    <t>Szafir, D., &amp; Mutlu, B. (2012). Pay attention! Designing adaptive agents that monitor and improve user engagement. Proceedings of the SIGCHI Conference on Human Factors in Computing Systems, Austin, TX, 11–20. https://doi.org/10.1145/2207676.2207679</t>
  </si>
  <si>
    <t>Tanaka, F., Takahashi, T., Matsuzoe, S., Tazawa, N., &amp; Morita, M. (2014). Telepresence robot helps children in communicating with teachers who speak a different language. Proceedings of the 2014 ACM/IEEE International Conference on Human-Robot Interaction, Bielefeld, Germany, 399–406. https://doi.org/10.1145/2559636.2559654</t>
  </si>
  <si>
    <t>Uluer, P., Akalın, N., &amp; Köse, H. (2015). A new robotic platform for sign language tutoring: Humanoid robots as assistive game companions for teaching sign language. International Journal of Social Robotics, 7, 571–585. https://doi.org/10.1007/s12369-015-0307-x</t>
  </si>
  <si>
    <t>Verner, I. M., Polishuk, A., &amp; Krayner, N. (2016). Science class with RoboThespian: Using a robot teacher to make science fun and engage students. IEEE Robotics &amp; Automation Magazine, 23, 74–80. https://doi.org/10.1109/MRA.2016.2515018</t>
  </si>
  <si>
    <t>Wade, E., Parnandi, A., Mead, R., &amp; Matarić, M. (2011). Socially assistive robotics for guiding motor task practice. Paladyn, Journal of Behavioral Robotics, 2, 218–227. https://doi.org/10.2478/s13230-012-0017-0</t>
  </si>
  <si>
    <t>Wade, E., Parnandi, A. R., &amp; Matarić, M. J. (2011). Using socially assistive robotics to augment motor task performance in individuals post-stroke. Proceedings of the 2011 IEEE/RSJ International Conference on Intelligent Robots and Systems, San Francisco, CA, 2403–2408. https://doi.org/10.1109/IROS.2011.6095107</t>
  </si>
  <si>
    <t>Xu, J., Broekens, J., Hindriks, K., &amp; Neerincx, M. A. (2014). Effects of bodily mood expression of a robotic teacher on students. Proceedings of the 2014 IEEE/RSJ International Conference on Intelligent Robots and Systems, Chicago, IL, 2614–2620. https://doi.org/10.1109/IROS.2014.6942919</t>
  </si>
  <si>
    <t>Yorita, A., Hashimoto, T., Kobayashi, H., &amp; Kubota, N. (2009). Remote education based on robot edutainment. In J. H. Kim et al. (Eds.), Progress in Robotics. FIRA 2009 (pp. 204–213). Berlin, Heidelberg: Springer. https://doi.org/10.1007/978-3-642-03986-7_24</t>
  </si>
  <si>
    <t>You, S., Nie, J., Suh, K., &amp; Sundar, S. S. (2011). When the robot criticizes you... Self-serving bias in human-robot interaction. Proceedings of the 6th International Conference on Human-Robot Interaction, Lausanne, Switzerland, 295–296. https://doi.org/10.1145/1957656.1957778</t>
  </si>
  <si>
    <t>You, Z. J., Shen, C. Y., Chang, C. W., Liu, B. J., &amp; Chen, G. D. (2006). A robot as a teaching assistant in an English class. Proceedings of the Sixth IEEE International Conference on Advanced Learning Technologies (ICALT'06), Kerkrade, The Netherlands, 87–91. https://doi.org/10.1109/ICALT.2006.1652373</t>
  </si>
  <si>
    <t>Yun, S. S., Kim, M., &amp; Choi, M. T. (2013). Easy interface and control of tele-education robots. International Journal of Social Robotics, 5, 335–343. https://doi.org/10.1007/s12369-013-0192-0</t>
  </si>
  <si>
    <t>Zaga, C., Lohse, M., Truong, K. P., &amp; Evers, V. (2015). The effect of a robot’s social character on children’s task engagement: Peer versus tutor. In A. Tapus, E. André, J. C. Martin, F. Ferland, &amp; M. Ammi (Eds.), Social Robotics. ICSR 2015 (pp. 704–713). Cham: Springer. https://doi.org/10.1007/978-3-319-25554-5_70</t>
  </si>
  <si>
    <t>From Johal, W. (2020). Research trends in social robots for learning. Current Robotics Reports, 1, 75–83. https://doi.org/10.1007/s43154-020-00008-3</t>
  </si>
  <si>
    <t>Alemi, M., Meghdari, A., &amp; Ghazisaedy, M. (2014). The effect of employing humanoid robots for teaching English on students' anxiety and attitude. Proceedings of the 2014 Second RSI/ISM International Conference on Robotics and Mechatronics (ICRoM), Tehran, Iran, 754–759. https://doi.org/10.1109/ICRoM.2014.6990994</t>
  </si>
  <si>
    <t>Alemi, M., Meghdari, A., &amp; Haeri, N. S. (2017). Young EFL learners’ attitude towards RALL: An observational study focusing on motivation, anxiety, and interaction. In A. Kheddar et al. (Eds.), Social Robotics. ICSR 2017 (pp. 252–261). Cham: Springer. https://doi.org/10.1007/978-3-319-70022-9_25</t>
  </si>
  <si>
    <t>Ali, S., Moroso, T., &amp; Breazeal, C. (2019). Can children learn creativity from a social robot? Proceedings of the 2019 on Creativity and Cognition, San Diego, CA, 359–368. https://doi.org/10.1145/3325480.3325499</t>
  </si>
  <si>
    <t>Axelsson, M., Racca, M., Weir, D., &amp; Kyrki, V. (2019). A participatory design process of a robotic tutor of assistive sign language for children with autism. Proceedings of the 2019 28th IEEE International Conference on Robot and Human Interactive Communication (RO-MAN), New Delhi, India. https://doi.org/10.1109/RO-MAN46459.2019.8956309</t>
  </si>
  <si>
    <t>Charisi, V., Gomez, E., Mier, G., Merino, L., &amp; Gomez, R. (2020). Child-robot collaborative problem-solving and the importance of child's voluntary interaction: A developmental perspective. Frontiers in Robotics and AI, 7, 15. https://doi.org/10.3389/frobt.2020.00015</t>
  </si>
  <si>
    <t>Davison, D. P., Wijnen, F. M., Charisi, V., van der Meij, J., Evers, V., &amp; Reidsma, D. (2020). Working with a social robot in school: a long-term real-world unsupervised deployment. Proceedings of the 2020 ACM/IEEE International Conference on Human-Robot Interaction, Cambridge, UK, 63–72. https://doi.org/10.1145/3319502.3374803</t>
  </si>
  <si>
    <t>De Carolis, B., Palestra, G., Della Penna, C., Cianciotta, M., &amp; Cervelione, A. (2019). Social robots supporting the inclusion of unaccompanied migrant children: Teaching the meaning of culture-related gestures. Journal of e-Learning and Knowledge Society, 15, 43–57. https://doi.org/10.20368/1971-8829/1636</t>
  </si>
  <si>
    <t>Eguchi, A., &amp; Okada, H. (2018). Learning with social robots—The World Robot Summit's approach. Proceedings of the 2018 IEEE Integrated STEM Education Conference (ISEC), Princeton, NJ, 53–56. https://doi.org/10.1109/ISECon.2018.8340504</t>
  </si>
  <si>
    <t>Engwall, O., Lopes, J., &amp; Åhlund, A. (2021). Robot interaction styles for conversation practice in second language learning. International Journal of Social Robotics, 13, 251–276. https://doi.org/10.1007/s12369-020-00635-y</t>
  </si>
  <si>
    <t>Gao, Y., Barendregt, W., Obaid, M., &amp; Castellano, G. (2018). When robot personalisation does not help: Insights from a robot-supported learning study. Proceedings of the 2018 27th IEEE International Symposium on Robot and Human Interactive Communication (RO-MAN), Nanjing, China, 705–712. https://doi.org/10.1109/ROMAN.2018.8525832</t>
  </si>
  <si>
    <t>Görer, B., Salah, A. A., &amp; Akın, H. L. (2017). An autonomous robotic exercise tutor for elderly people. Autonomous Robots, 41, 657–678. https://doi.org/10.1007/s10514-016-9598-5</t>
  </si>
  <si>
    <t>Gürpınar, C., Uluer, P., Akalın, N., &amp; Köse, H. (2020). Sign recognition system for an assistive robot sign tutor for children. International Journal of Social Robotics, 12, 355–369. https://doi.org/10.1007/s12369-019-00609-9</t>
  </si>
  <si>
    <t>Huang, I. S., &amp; Hoorn, J. F. (2018). Having an Einstein in class-Teaching maths with robots is different for boys and girls. Proceedings of the 2018 13th World Congress on Intelligent Control and Automation (WCICA), Changsha, China, 424–427. https://doi.org/10.1109/WCICA.2018.8630584</t>
  </si>
  <si>
    <t xml:space="preserve">Ioannou, C., Neophytou, C., Asselborn, T., Johal, W., &amp; Hadzilacos, T. (2020). Learning (good handwriting in Greek) by teaching (a humanoid robot). INTED2020 Proceedings, Valencia, Spain, 7287–7296. https://doi.org/10.21125/inted.2020.1926 </t>
  </si>
  <si>
    <t>Johal, W., Jacq, A., Paiva, A., &amp; Dillenbourg, P. (2016). Child-robot spatial arrangement in a learning by teaching activity. Proceedings of the 2016 25th IEEE International Symposium on Robot and Human Interactive Communication (RO-MAN), New York, NY, 533–538. https://doi.org/10.1109/ROMAN.2016.7745169</t>
  </si>
  <si>
    <t>Jordan, K. S., Pakkar, R., &amp; Matarić, M. J. (2019). Improving robot tutoring interactions through help-seeking behaviors. Proceedings of the 2019 28th IEEE International Conference on Robot and Human Interactive Communication (RO-MAN), New Delhi, India. https://doi.org/10.1109/RO-MAN46459.2019.8956370.</t>
  </si>
  <si>
    <t>Khalifa, A., Kato, T., &amp; Yamamoto, S. (2019). Learning effect of implicit learning in joining-in-type robot-assisted language learning system. International Journal of Emerging Technologies in Learning, 14, 105–123. https://doi.org/10.3991/ijet.v14i02.9212</t>
  </si>
  <si>
    <t>Kory Westlund, J. M., Park, H. W., Williams, R., &amp; Breazeal, C. (2018). Measuring young children's long-term relationships with social robots. Proceedings of the 17th ACM Conference on Interaction Design and Children, Trondheim, Norway, 207–218. https://doi.org/10.1145/3202185.3202732</t>
  </si>
  <si>
    <t>Ligthart, M. E., Neerincx, M. A., &amp; Hindriks, K. V. (2020). Design patterns for an interactive storytelling robot to support children's engagement and agency. Proceedings of the 2020 ACM/IEEE International Conference on Human-Robot Interaction, Cambridge, UK, 409–418. https://doi.org/10.1145/3319502.3374826</t>
  </si>
  <si>
    <t>Maeda, R., Even, J., &amp; Kanda, T. (2019). Can a social robot encourage children’s self-study? Proceedings of the 2019 IEEE/RSJ International Conference on Intelligent Robots and Systems (IROS), Macau, China, 1236–1242. https://doi.org/10.1109/IROS40897.2019.8967825</t>
  </si>
  <si>
    <t>Michaelis, J. E., &amp; Mutlu, B. (2018). Reading socially: Transforming the in-home reading experience with a learning-companion robot. Science Robotics, 3, eaat5999. https://doi.org/10.1126/scirobotics.aat5999</t>
  </si>
  <si>
    <t>Mwangi, E., Barakova, E. I., Díaz, M., Mallofré, A. C., &amp; Rauterberg, M. (2018). Dyadic gaze patterns during child-robot collaborative gameplay in a tutoring interaction. Proceedings of the 2018 27th IEEE International Symposium on Robot and Human Interactive Communication (RO-MAN), Nanjing, China, 856–861. https://doi.org/10.1109/ROMAN.2018.8525799</t>
  </si>
  <si>
    <t>Peters, R., Broekens, J., &amp; Neerincx, M. A. (2017, August). Robots educate in style: The effect of context and non-verbal behaviour on children's perceptions of warmth and competence. Proceedings of the 2017 26th IEEE International Symposium on Robot and Human Interactive Communication (RO-MAN), Lisbon, Portugal, 449–455. https://doi.org/10.1109/ROMAN.2017.8172341</t>
  </si>
  <si>
    <t>Reardon, C., Zhang, H., Wright, R., &amp; Parker, L. E. (2018). Robots can teach students with intellectual disabilities: educational benefits of using robotic and augmented reality applications. IEEE Robotics &amp; Automation Magazine, 26, 79–93. https://doi.org/10.1109/MRA.2018.2868865</t>
  </si>
  <si>
    <t>Robles-Bykbaev, V., Contreras-Alvarado, C., Matute-Sanchez, L., Lema-Condo, E., Robles-Bykbaev, Y., &amp; Suquilanda-Cuesta, P. (2019). An educational environment based on stuffed toy robots, mobile apps, and expert systems to provide support in the early development of children. Proceedings of the 2019 IEEE Colombian Conference on Communications and Computing (COLCOM), Barranquilla, Colombia. https://doi.org/10.1109/ColComCon.2019.8809113</t>
  </si>
  <si>
    <t xml:space="preserve">Rosenberg-Kima, R. B., Koren, Y., &amp; Gordon, G. (2020). Robot-supported collaborative learning (RSCL): Social robots as teaching assistants for higher education small group facilitation. Frontiers in Robotics and AI, 6, 148. https://doi.org/10.3389/frobt.2019.0014 </t>
  </si>
  <si>
    <t>Sauppé, A., Szafir, D., Huang, C. M., &amp; Mutlu, B. (2015). From 9 to 90: Engaging learners of all ages. Proceedings of the 46th ACM Technical Symposium on Computer Science Education, Kansas City, MO, 575–580. https://doi.org/10.1145/2676723.2677248</t>
  </si>
  <si>
    <t>Scassellati, B., Brawer, J., Tsui, K., Nasihati Gilani, S., Malzkuhn, M., Manini, B., Stone, A., Kartheiser, G., Merla, A., Shapiro, A., Traum, D., &amp; Petitto, L. A. (2018). Teaching language to deaf infants with a robot and a virtual human. Proceedings of the 2018 CHI Conference on Human Factors in Computing Systems, Montreal, Canada. https://doi.org/10.1145/3173574.3174127</t>
  </si>
  <si>
    <t>Schodde, T., Hoffmann, L., &amp; Kopp, S. (2017). How to manage affective state in child-robot tutoring interactions? Proceedings of the 2017 International Conference on Companion Technology (ICCT), Ulm, Germany. https://doi.org/10.1109/COMPANION.2017.8287073</t>
  </si>
  <si>
    <t>Sequeira, P., Alves-Oliveira, P., Ribeiro, T., Di Tullio, E., Petisca, S., Melo, F. S., Castellano, G., &amp; Paiva, A. (2016). Discovering social interaction strategies for robots from restricted-perception Wizard-of-Oz studies. Proceedings of the 2016 11th ACM/IEEE International Conference on Human-Robot Interaction (HRI), Christchurch, New Zealand, 197–204. https://doi.org/10.1109/HRI.2016.7451752</t>
  </si>
  <si>
    <t>Serholt, S. (2018). Breakdowns in children's interactions with a robotic tutor: A longitudinal study. Computers in Human Behavior, 81, 250–264. https://doi.org/10.1016/j.chb.2017.12.030</t>
  </si>
  <si>
    <t>Song, H., Zhang, Z., Barakova, E. I., Ham, J., &amp; Markopoulos, P. (2020). Robot role design for implementing social facilitation theory in musical instruments practicing. Proceedings of the 2020 ACM/IEEE International Conference on Human-Robot Interaction, Cambridge, UK, 253–260. https://doi.org/10.1145/3319502.3374787</t>
  </si>
  <si>
    <t>Strohkorb, S., Leite, I., Warren, N., &amp; Scassellati, B. (2015). Classification of children's social dominance in group interactions with robots. Proceedings of the 2015 ACM on International Conference on Multimodal Interaction, Seattle, WA, 227–234. https://doi.org/10.1145/2818346.2820735</t>
  </si>
  <si>
    <t>Tsiakas, K., Abujelala, M., &amp; Makedon, F. (2018). Task engagement as personalization feedback for socially-assistive robots and cognitive training. Technologies, 6, 49. https://doi.org/10.3390/technologies6020049</t>
  </si>
  <si>
    <t>Wade, E., &amp; Winstein, C. J. (2011). Virtual reality and robotics for stroke rehabilitation: Where do we go from here? Topics in Stroke Rehabilitation, 18, 685–700. https://doi.org/10.1310/tsr1806-685</t>
  </si>
  <si>
    <t>Wijnen, F. M., Davison, D. P., Reidsma, D., Meij, J. V. D., Charisi, V., &amp; Evers, V. (2019). Now we’re talking: learning by explaining your reasoning to a social robot. ACM Transactions on Human-Robot Interaction, 9, 5. https://doi.org/10.1145/3345508</t>
  </si>
  <si>
    <t>Yadollahi, E., Johal, W., Paiva, A., &amp; Dillenbourg, P. (2018). When deictic gestures in a robot can harm child-robot collaboration. Proceedings of the 17th ACM Conference on Interaction Design and Children, Trondheim, Norway, 195–206. https://doi.org/10.1145/3202185.3202743</t>
  </si>
  <si>
    <t>From Ao, Y., &amp; Yu, Z. (2022). Exploring the relationship between interactions and learning performance in robot-assisted language learning. Education Research International, 2022, 958317, https://doi.org/10.1155/2022/1958317</t>
  </si>
  <si>
    <t>Engwall, O., &amp; Lopes, J. (2022). Interaction and collaboration in robot-assisted language learning for adults. Computer Assisted Language Learning, 35, 1273–1309. https://doi.org/10.1080/09588221.2020.1799821</t>
  </si>
  <si>
    <t>Shin, J. E., &amp; Shin, D. H. (2015, March). Robot as a facilitator in language conversation class. Proceedings of the Tenth Annual ACM/IEEE International Conference on Human-Robot Interaction Extended Abstracts, Portland, OR, 11–12. https://doi.org/10.1145/2701973.2702062</t>
  </si>
  <si>
    <t>Chou, H. S., Thong, L. T., Chew, H. S. J., &amp; Lau, Y. (2023). Barriers and facilitators of robot-assisted education in higher education: A systematic mixed-studies review. Technology, Knowledge and Learning, 28, 477–516. https://doi.org/10.1007/s10758-022-09637-3</t>
  </si>
  <si>
    <t>Huang, G., &amp; Moore, R. K. (2023). Using social robots for language learning: are we there yet? Journal of China Computer-Assisted Language Learning, 3, 208–230. https://doi.org/10.1515/jccall-2023-0013</t>
  </si>
  <si>
    <t>Lee, H., &amp; Lee, J. H. (2022). The effects of robot-assisted language learning: A meta-analysis. Educational Research Review, 35, 100425. https://doi.org/10.1016/j.edurev.2021.100425</t>
  </si>
  <si>
    <t>Lin, V., Yeh, H. C., &amp; Chen, N. S. (2022). A systematic review on oral interactions in robot-assisted language learning. Electronics, 11, 290. https://doi.org/10.3390/electronics11020290</t>
  </si>
  <si>
    <t>Rapti, S., &amp; Sapounidis, T. (2023). “Critical thinking, Communication, Collaboration, Creativity in kindergarten with Educational Robotics”: A scoping review (2012–2023). Computers &amp; Education, 210, 104968. https://doi.org/10.1016/j.compedu.2023.104968</t>
  </si>
  <si>
    <t>Wang, K., Sang, G. Y., Huang, L. Z., Li, S. H., &amp; Guo, J. W. (2023). The effectiveness of educational robots in improving learning outcomes: A meta-analysis. Sustainability, 15, 4637. https://doi.org/10.3390/su15054637</t>
  </si>
  <si>
    <t>Younis, H. A., Ruhaiyem, N. I. R., Ghaban, W., Gazem, N. A., &amp; Nasser, M. (2023). A systematic literature review on the applications of robots and natural language processing in education. Electronics, 12, 2864. https://doi.org/10.3390/electronics12132864</t>
  </si>
  <si>
    <t>Youssef, K., Said, S., Alkork, S., &amp; Beyrouthy, T. (2023). Social robotics in education: A survey on recent studies and applications. International Journal of Emerging Technologies in Learning, 18, 67–82. https://doi.org/10.3991/ijet.v18i03.33529</t>
  </si>
  <si>
    <t>Fung, K. Y., Lee, L. H., Sin, K. F., Song, S., &amp; Qu, H. (2024). Humanoid robot-empowered language learning based on self-determination theory. Education and Information Technologies. https://doi.org/10.1007/s10639-024-12570-w</t>
  </si>
  <si>
    <t>Nonquantifiable results</t>
  </si>
  <si>
    <t>Trusting a robot or a human as a function of animacy and/or competency/correctness of information given by that agent</t>
  </si>
  <si>
    <t>Li (2016)</t>
  </si>
  <si>
    <t>Factual knowledge (Communication)</t>
  </si>
  <si>
    <t>14 MC and unselected all-that-apply questions</t>
  </si>
  <si>
    <t>Programming of a social robot</t>
  </si>
  <si>
    <t>No direct participant-robot interaction (the participant would observe the robot being taught by a virtual pedagogic agent); young adults with autism</t>
  </si>
  <si>
    <t>Unequal comparison as the non-robot group was already taught the words to be retained</t>
  </si>
  <si>
    <t>Wainer, J., Feil-Seifer, D. J., Shell, D. A., &amp; Mataric, M. J. (2006). The role of physical embodiment in human-robot interaction. Proceedings of ROMAN 2006-The 15th IEEE International Symposium on Robot and Human Interactive Communication, 117–122. https://doi.org/10.1109/ROMAN.2006.314404</t>
  </si>
  <si>
    <t>DEU</t>
  </si>
  <si>
    <t>Non-virtual robot</t>
  </si>
  <si>
    <t>Non-virtual human</t>
  </si>
  <si>
    <t>Virtual robot</t>
  </si>
  <si>
    <t>Virtual human</t>
  </si>
  <si>
    <t>Reference</t>
  </si>
  <si>
    <t>Publication year</t>
  </si>
  <si>
    <t>In the current calculations, according to Eq. (2), the Score_post includes the in-session score. Would it be possible to share the mean and SD (or corresponding raw data) for the post-session score solely, that is, without the in-session score, for the two participant groups, GUI and HRI?
Also, were the questions in the post-session test different from the questions in the pre-session test?</t>
  </si>
  <si>
    <t>The paper reports learning gains. Would it be possible to share the mean and SD (or raw data if this is easier) for the pre-, immediate post-, and delayed post-test of each group separately?</t>
  </si>
  <si>
    <t>Zhao, J. H., Yang, Q. F., Lian, L. W., &amp; Wu, X. Y. (2024). Impact of pre-knowledge and engagement in robot-supported collaborative learning through using the ICAPB model. Computers &amp; Education, 217, 105069. https://doi.org/10.1016/j.compedu.2024.105069</t>
  </si>
  <si>
    <t>Y</t>
  </si>
  <si>
    <t>How long/how many days after the intervention did the posttest take place?</t>
  </si>
  <si>
    <t>Could you please indicate what the error bars in Figure 7a represent, +/- 1 standard deviation, standard error, or something else? If you have to have available the numerical values for mean and SD, that you be great as well!</t>
  </si>
  <si>
    <t>What was the duration of the interactive (training) session with the robot? Also, on p. 144 you mention: "The medians of the pre- and post-tests were 12 and 13, respectively". Does it happen to have the corresponding mean values and standard deviations available? (or the raw data for the spatial skill assessment if this is easier).</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</si>
  <si>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Kobe, Japan, 167–172. https://doi.org/10.1109/ROMAN.2015.7333678 </t>
  </si>
  <si>
    <t>Means of pre-test and post-test corresponding to the learning gains I took from your thesis, Figure 5.10. Does it happen to have the corresponding SD?
Do you have any information about gender distribution?</t>
  </si>
  <si>
    <t>Chandra, S., Dillenbourg, P., &amp; Paiva, A. (2020). Children teach handwriting to a social robot with different learning competencies. International Journal of Social Robotics, 12, 721–748. https://doi.org/10.1007/s12369-019-00589-w (Study 1)</t>
  </si>
  <si>
    <t>What are the error bars in Figure 10a? SD, SE, or something else?
How many days after the robot intervention has the post-test taken place?</t>
  </si>
  <si>
    <t>Chandra, S., Dillenbourg, P., &amp; Paiva, A. (2020). Children teach handwriting to a social robot with different learning competencies. International Journal of Social Robotics, 12, 721–748. https://doi.org/10.1007/s12369-019-00589-w (Study 2)</t>
  </si>
  <si>
    <t>What are the SDs corresponding to the box-slider scores? The text mentions the mean and median: "Pre mean = 3.53, Post mean = 3.64; Pre Mdn = 3.55, Post Mdn = 3.61; p &gt; .05, z = 1.41)".</t>
  </si>
  <si>
    <t>Chandra, S., Alves-Oliveira, P., Lemaignan, S., Sequeira, P., Paiva, A., &amp; Dillenbourg, P. (2016). Children’s peer assessment and self-disclosure in the presence of an educational robot. Proceedings of the 2016 25th IEEE International Symposium on Robot and Human Interactive Communication, New York, NY, 539–544. https://doi.org/10.1109/ROMAN.2016.7745170</t>
  </si>
  <si>
    <t>Are the SDs corresponding to Figure 4 available?
Do you have any information about gender distribution?</t>
  </si>
  <si>
    <t>On p. 4, you mention the median values for the learning gains: "Scores improved from 0.598 ± 0.156 to 0.8 ± 0.14" and "The median score improved from 0.64 to 0.71 after the intervention." I was wondering, what is the variance in the first sentence? Standard deviation, standard error, or something else? Does it happen to have the mean (instead of median) and standard deviation for both conditions pre- vs. post-test?
Also, what was the total duration of the intervention/training with the robot?</t>
  </si>
  <si>
    <t>Included in the meta-analysis</t>
  </si>
  <si>
    <t>Response</t>
  </si>
  <si>
    <t>Sent date</t>
  </si>
  <si>
    <t>In your paper, you mention: "Once the reading was finished, the posttest questionnaire, which was the same as the pre-question 8–14, was given.". 
Would it be possible to share the scores (mean and SD per participant group or raw data if this is easier) for questions 8–14 for the pre- and post-test separately?</t>
  </si>
  <si>
    <t>Kanda, T., Hirano, T., Eaton, D., &amp; Ishiguro, H. (2004). Interactive robots as social partners and peer tutors for children: A field trial. Human–Computer Interaction, 19, 61–84. https://doi.org/10.1207/s15327051hci1901&amp;2_4</t>
  </si>
  <si>
    <t>Kanda, T., Shimada, M., &amp; Koizumi, S. (2012). Children learning with a social robot. Proceedings of the 2012 7th ACM/IEEE International Conference on Human-Robot Interaction, Boston, MA, 351–358. https://doi.org/10.1145/2157689.2157809</t>
  </si>
  <si>
    <t>Komatsubara, T., Shiomi, M., Kanda, T., Ishiguro, H., &amp; Hagita, N. (2014). Can a social robot help children’s understanding of science in classrooms? Proceedings of the Second International Conference on Human-Agent Interaction, Tsukuba, Japan, 83–90. https://doi.org/10.1145/2658861.2658881</t>
  </si>
  <si>
    <t>Does it happen to have available the standard deviations corresponding to the mean values reported on p. 1896: "MRobot = 4.42/6; MLibrarian = 4.42/6; MAlone = 4.83/6"? </t>
  </si>
  <si>
    <t>Could you please indicate how many days after the intervention the posttest took place and whether the questions were identical to the pretest or different? Also, is any information about gender (e.g., the proportion of males) available?</t>
  </si>
  <si>
    <t>Were the pre- and post-tests for the learning assessment identical or similar?</t>
  </si>
  <si>
    <t>What was the duration of the interactive (training) session with the robot? Also, on p. 374, you mention: "The multiplication pre-test indicated that students were not 100% proficient in multiplication and there was a chance to benefit from the robot interaction (N=30, M=0.87, SE=0.04). To measure the educational benefit of Ms. An, we compared the pre- and post- multiplication tests using paired sample t-tests. The results of the multiplication post-test were not statistically significantly different from the pre-test, t(1,29) = .99, p = .33.". Do you have by any chance also the mean and SD or SE of the post-test?</t>
  </si>
  <si>
    <t>Does it happen to have the SD values corresponding to the means in Table II?
How long/how many days after the intervention did the post-test take place?
Were the pre- and post-tests identical or different?
What type of questions were included (e.g., multiple-choice or open), how many, and what was the scoring range?
Is any information about gender (e.g., the proportion of males) available?</t>
  </si>
  <si>
    <t>What was the duration of the interactive (training) session with the robot, and how long/how many days after the intervention did the posttest take place?</t>
  </si>
  <si>
    <t>Does it happen to have the mean and SD values for the pre- and post-tests of the math problems for the three conditions (human, robot, and control) corresponding to the F-values reported in the first paragraph of the results section?</t>
  </si>
  <si>
    <t>Could it be possible to clarify what the error bars in Figure 10 represent, that is, standard deviation, standard error, or something else?</t>
  </si>
  <si>
    <t>How long/how many days after the intervention did the posttest take place?
Is any information about gender (e.g., the proportion of males) available?</t>
  </si>
  <si>
    <t>Arar, C., Belazoui, A., &amp; Telli, A. (2021). Adoption of social robots as pedagogical aids for efficient learning of second language vocabulary to children. Journal of E-learning and Knowledge Society, 17, 119–126. https://doi.org/10.20368/1971-8829/1135551</t>
  </si>
  <si>
    <t>What was the control condition? Was a teacher/instructor present? How was pronunciation taught in that case?
Was a teacher/instructor present (also) in the robot condition or was the child solely interacting with the robot?
Was the teaching one-to-one (one child), in small groups, or in a classroom setting? (in Figure 1, an adult is shown next to the child but I was not sure of her role)
The paper mentions an 8-week intervention. Was the learning on own time/self-study or were there structured sessions? If the latter, hows many and what duration?
Table 6 mentions learning times; what is the unit?
What is the scale for the post-tests in Tables 3 to 5? 0-100?
How long after the finalisation of the teaching were the post-tests offered in days?</t>
  </si>
  <si>
    <t>Rosenthal-von der Pütten, A. M., Straßmann, C., &amp; Krämer, N. C. (2016). Robots or agents–neither helps you more or less during second language acquisition: Experimental study on the effects of embodiment and type of speech output on evaluation and alignment. In D. Traum, W. Swartout, P. Khooshabeh, S. Kopp, S. Scherer, &amp; A. Leuski (Eds.), Intelligent Virtual Agents. IVA 2016 (pp. 256–268). Cham: Springer. https://doi.org/10.1007/978-3-319-47665-0_23</t>
  </si>
  <si>
    <t>Could it be possible to share the sample sizes per group? (based on the total sample size of 130, could it be that two of the six group consisted of 21 instead of 22 participants?)</t>
  </si>
  <si>
    <t>Suzuki, K., &amp; Kanoh, M. (2015). Effectiveness of a robot for supporting expression education. Proceedings of the 2015 Conference on Technologies and Applications of Artificial Intelligence, 498–501, Tainan, Taiwan. https://doi.org/10.1109/TAAI.2015.7407119</t>
  </si>
  <si>
    <t>Suzuki, K., Yamada, S., &amp; Kanoh, M. (2016). Verifying effectiveness of an expression education support robot that nods and gives hints. Proceedings of the 2016 IEEE Congress on Evolutionary Computation, 1422–1426, Vancouver, Canada. https://doi.org/10.1109/CEC.2016.7743956</t>
  </si>
  <si>
    <t>What are the error bars in Figure 4? Standard deviations, standard errors, confidence intervals, or something else?
What were the male/female ratio and mean age in the 2015 study?
What was the time interval between the end of training and the beginning of post-test in each study?
Does it happen to have the pre-/post-test data based on which the learning gains were calculated?</t>
  </si>
  <si>
    <t>What are the error bars in Figure 5? Standard deviations, standard errors, confidence intervals, or something else?
What was the time interval between the end of training and the beginning of post-test in each study?
Does it happen to have the pre-/post-test data based on which the learning gains were calculated?</t>
  </si>
  <si>
    <t>The error bars are standard deviations. Age and gender data shared. Duration of training and interval between training and post-test shared. Pre-/post-test data not available.</t>
  </si>
  <si>
    <t>The error bars are standard deviations. Duration of training and interval between training and post-test shared. Pre-/post-test data not available.</t>
  </si>
  <si>
    <t>Gordon, G., Spaulding, S., Westlund, J. K., Lee, J. J., Plummer, L., Martinez, M., Das, M., &amp; Breazeal, C. (2016). Affective personalization of a social robot tutor for children’s second language skills. Proceedings of the AAAI Conference on Artificial Intelligence, 30, 3951–3957.</t>
  </si>
  <si>
    <t>Does it happen to have available the means, standard deviations, and sample sizes for the pre- and post-test scores?
Perhaps you could help me interpret Figure 3 of the aforementioned paper:
(1) Does it happen to remember what the error bars represent? Standard deviations, standard errors, confidence intervals, or something else?
(2) Are these data really percentages or rather proportions? In either way, what variance would then the error bars represent?</t>
  </si>
  <si>
    <t>Ahmad, M. I., Gao, Y., Alnajjar, F., Shahid, S., &amp; Mubin, O. (2021). Emotion and memory model for social robots: a reinforcement learning based behaviour selection. Behaviour &amp; Information Technology, 1-27. https://doi.org/10.1080/0144929X.2021.1977389</t>
  </si>
  <si>
    <t>Ahmad, M. I., Mubin, O., Shahid, S., &amp; Orlando, J. (2019). Robot’s adaptive emotional feedback sustains children’s social engagement and promotes their vocabulary learning: a long-term child–robot interaction study. Adaptive Behavior, 27, 243-266. https://doi.org/10.1177/1059712319844182</t>
  </si>
  <si>
    <t>Does it happen to have the pre-test scores of the various groups available, so that pre- vs. post-test effects can be calculated?</t>
  </si>
  <si>
    <t>Ahmad, M. I., Mubin, O., Shahid, S., &amp; Orlando, J. (2017). Emotion and memory model for a robotic tutor in a learning environment. Proceedings of the ISCA workshop on Speech and Language Technology in Education, Stockholm, 26-32. https://www.isca-archive.org/slate_2017/ahmad17_slate.pdf</t>
  </si>
  <si>
    <t>Lubold, N., Walker, E., &amp; Pon-Barry, H. (2016). Effects of voice-adaptation and social dialogue on perceptions of a robotic learning companion. Proceedings of the 2016 11th ACM/IEEE International Conference on Human-Robot Interaction, 255–262, Christchurch, New Zealand. https://doi.org/10.1109/HRI.2016.7451760</t>
  </si>
  <si>
    <t>Lubold, N., Walker, E., Pon-Barry, H., Flores, Y., &amp; Ogan, A. (2018). Using iterative design to create efficacy-building social experiences with a teachable robot. Proceedings of the International Society of the Learning Sciences. https://repository.isls.org/bitstream/1/491/1/174.pdf</t>
  </si>
  <si>
    <t>Does it happen to have the pre-/post-test data based on which the learning gains were calculated? The thesis only reports learning gains in that case.
What were the measures used for the pre- vs. post-test learning differences and the corresponding range of the pre- and post-tests?
Were the pre- and post-tests identical?</t>
  </si>
  <si>
    <t>What are the variance measures reported in Table 14.4? Standard deviations, standard errors, confidence intervals, or something else?</t>
  </si>
  <si>
    <t>Does it happen to have the pre-/post-test data based on which the reported learning gain was calculated?
Is this sample independent from the samples in the other studies?</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</si>
  <si>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(RO-MAN), 167–172, Kobe, Japan. https://doi.org/10.1109/ROMAN.2015.7333678</t>
  </si>
  <si>
    <t>Chandra, S., Paradeda, R., Yin, H., Dillenbourg, P., Prada, R., &amp; Paiva, A. (2018). Do children perceive whether a robotic peer is learning or not? Proceedings of the 2018 ACM/IEEE International Conference on Human-Robot Interaction, 41–49, Chicago, IL. https://doi.org/10.1145/3171221.3171274</t>
  </si>
  <si>
    <t>Chandra, S., Dillenbourg, P., &amp; Paiva, A. (2020). Children teach handwriting to a social robot with different learning competencies. International Journal of Social Robotics, 12, 721–748. https://doi.org/10.1007/s12369-019-00589-w</t>
  </si>
  <si>
    <t>What are the error bars depicted in all figures showing learning gains and/or pre-post tests for learning? Standard deviations, standard errors, confidence intervals, or something else?
What was the time interval between the end of training and the beginning of post-test?
What was the scoring range?
Were the pre- and post-tests identical?
What was the gender ratio?</t>
  </si>
  <si>
    <t>What are the error bars depicted in all figures showing learning gains and/or pre-post tests for learning? Standard deviations, standard errors, confidence intervals, or something else?
Does it happen to have the pre-/post-test data based on which the learning gains were calculated? The thesis only reports learning gains in that case. Is this sample a different one from the samples in the other studies?
What was the time interval between the end of training and the beginning of post-test?
What was the scoring range?
Were the pre- and post-tests identical?
What was the gender ratio?</t>
  </si>
  <si>
    <t>Chandra, S. (2016). Peer-based learning with children: An exploratory study. In S. Chandra, Learning how to write with a social robot [Doctoral dissertation, EPFL] (pp. 67–82). https://infoscience.epfl.ch/entities/publication/30e97b66-c1f5-44bf-a802-ed71d77be5ef</t>
  </si>
  <si>
    <t>Lubold, N. (2018). Effects on rapport and learning with Nico. In N. Lubold, Producing acoustic-prosodic entrainment in a robotic learning companion to build learner rapport (Doctoral dissertation). Arizona State University.</t>
  </si>
  <si>
    <t>Howley, I., Kanda, T., Hayashi, K., &amp; Rosé, C. (2014). Effects of social presence and social role on help-seeking and learning. Proceedings of the 2014 ACM/IEEE International Conference on Human-Robot Interaction, 415–422, Bielefeld, Germany. https://doi.org/10.1145/2559636.2559667</t>
  </si>
  <si>
    <t>Does it happen to have the pre-/post-test data based on which the learning gains were calculated?
Would it be possible to share these data not only for the Help-Available knowledge variable but also for the other three knowledge types (text explicit/implicit and model implicit)?
How were the learning gains in Figure 5 calculated? Are these literally absolute differences between the pre- and post-scores?
What was the scoring range of the pre- and post-tests for the learning variables?</t>
  </si>
  <si>
    <t>Van Minkelen, P., Gruson, C., Van Hees, P., Willems, M., De Wit, J., Aarts, R., Denissen, J., &amp; Vogt, P. (2020). Using self-determination theory in social robots to increase motivation in L2 word learning. Proceedings of the 2020 ACM/IEEE International Conference on Human-Robot Interaction, 369–377, New York, NY. https://doi.org/10.1145/3319502.3374828</t>
  </si>
  <si>
    <t>Could you share the pre-/post-test data (mean and SD) based on which the learning gains reported in the paper were calculated? Also, what were the duration of the training and the measurement range of the learning of the 6 target words?</t>
  </si>
  <si>
    <t>Jones, A., &amp; Castellano, G. (2018). Adaptive robotic tutors that support self-regulated learning: A longer-term investigation with primary school children. International Journal of Social Robotics, 10, 357–370. https://doi.org/10.1007/s12369-017-0458-z</t>
  </si>
  <si>
    <t>Jones, A., Bull, S., &amp; Castellano, G. (2018). “I know that now, I’m going to learn this next” promoting self-regulated learning with a robotic tutor. International Journal of Social Robotics, 10, 439–454. https://doi.org/10.1007/s12369-017-0430-y</t>
  </si>
  <si>
    <t>Could you share the pre-/post-test data (mean and SD) based on which the learning gains reported in the paper were calculated?
What are the error bars in Figure 13? Standard deviations, standard errors, confidence intervals, or something else?
What was the measurement range of learning (14 questions)?</t>
  </si>
  <si>
    <t>Could you share the pre-/post-test data (mean and SD) based on which the learning gains reported in the paper were calculated?
What are the error bars in Figure 4? Standard deviations, standard errors, confidence intervals, or something else?
What was the measurement range of learning (20 questions)?</t>
  </si>
  <si>
    <t>Suzuki &amp; Kanoh (2017) was shared by the author and included in the meta-analysis. It concerns the same sample as Suzuki &amp; Kanoh (2016) but includes two more groups.</t>
  </si>
  <si>
    <t>Could you share the pre-/post-test data (mean and SD) based on which the learning gains reported in Table 2 for the virtual robot and the real robot were calculated? </t>
  </si>
  <si>
    <t>Could it be possible to share the pre-/post-test data (mean and SD) based on which the t-tests for knowledge improvement were conducted? ("First, we report a significant knowledge improvement in adults for all the conditions: THI, t(13) = 7. 697, p &lt;0.001; NoR, (t(14) = 2.170, p = 0.048; ToR, t(14) = 3.112, p = 0.008, T&amp;HoR, t(16) = 3.174, p = 0.006 and HHI,t(13) = 3.454 p = 0.004. In constrast, in children, there was no significance between conditions, although our results suggest a trend in improvement.").</t>
  </si>
  <si>
    <t>Hung, I. C., Chao, K. J., Lee, L., &amp; Chen, N. S. (2013). Designing a robot teaching assistant for enhancing and sustaining learning motivation. Interactive Learning Environments, 21, 156-171.</t>
  </si>
  <si>
    <t>Could it be possible to share the pre-/post-test data (mean and SD corresponding to the statistics of Table 6)?</t>
  </si>
  <si>
    <t>Obaid, M., Aylett, R., Barendregt, W., Basedow, C., Corrigan, L. J., Hall, L., ... &amp; Castellano, G. (2018). Endowing a robotic tutor with empathic qualities: design and pilot evaluation. International Journal of Humanoid Robotics, 15(06), 1850025.</t>
  </si>
  <si>
    <t>Could it be possible to share the pre-/post-test data (mean and SD) for the learning effects per group?</t>
  </si>
  <si>
    <t>Zhang, X., Breazeal, C., &amp; Park, H. W. (2023). A social robot reading partner for explorative guidance. Proceedings of the 2023 ACM/IEEE International Conference on Human-Robot Interaction (pp. 341-349)</t>
  </si>
  <si>
    <t>Could it be possible to share the pre-/post-test data (mean and SD) for the learning gains reported in section 5.3 per group?</t>
  </si>
  <si>
    <t>Yadollahi, E., Couto, M., Dillenbourg, P., &amp; Paiva, A. (2022). Do children adapt their perspective to a robot when they fail to complete a task? Proceedings of IDC '22: Interaction Design and Children, Braga, Portugal, 341–351. https://doi.org/10.1145/3501712.3529719</t>
  </si>
  <si>
    <t>Could it be possible to share the pre-/post-test performance data (mean and SD or raw) corresponding to Figure 10?</t>
  </si>
  <si>
    <t>If I understand correctly, one of the 22 participants was excluded (considering the df in the one-way ANOVA being 20). Does it happen to know to which of the four groups (always winning/losing robot and boys/girls) this was? To match the reported mean and SD values with the right sample size per group. Alternatively, a total mean and SD for the 21 participants might also be suitable, if available.</t>
  </si>
  <si>
    <t>Issa, I., Nurgazy, S., Madeniyetov, M., &amp; Sandygulova, A. (2023). Robot-assisted word-to-picture matching game for language learning. Companion of the 2023 ACM/IEEE International Conference on Human-Robot Interaction, Stockholm, Sweden, 711–715. https://doi.org/10.1145/3568294.3580179</t>
  </si>
  <si>
    <t>Could it be possible to share the standard deviations for the pre-/post-test data in Figure 4?</t>
  </si>
  <si>
    <t>I could not find the sample sizes corresponding to the groups presented in Table 5.1. Could it be possible to share these?</t>
  </si>
  <si>
    <t>Emailed again, this time De Wit &amp; Vogt, on 31 August 2024, see below</t>
  </si>
  <si>
    <t>De prestatiedata zijn duidelijk; er is slechts één element dat we niet konden achterhalen, namelijk, wat was de duur van de interactieve (trainings)sessie met de robot?</t>
  </si>
  <si>
    <t>Zou het mogelijk zijn om de pre-/post-test data (gemiddelde en SD) te delen waarop de learning gains, zoals gerapporteerd in het artikel, zijn gebaseerd? Ook, wat was de duur van de training en het meetbereik van het leren van de 6 doelwoorden?</t>
  </si>
  <si>
    <t>Would it be possible to share the mean and SD (or raw data if this is easier) for the pre- vs. posttest of the learned words for the entire group of participants? (i.e., irrespectively of robot condition or gender)</t>
  </si>
  <si>
    <t>What was the duration of the interactive (training) session with the robot, and how long/how many days after the intervention did the posttest take place? Also, what was the scoring range for the vocabulary test?</t>
  </si>
  <si>
    <t>Timing of post-test: "during the final week of the study". The post-test was immediate, according to personal communication with Chin.</t>
  </si>
  <si>
    <t>What was the duration of the interactive (training) session with the robot?</t>
  </si>
  <si>
    <t xml:space="preserve"> How long/how many days after the intervention did the posttest take place?</t>
  </si>
  <si>
    <t xml:space="preserve"> How long/how many days after the intervention did the posttest take place and is any information about gender (e.g., the proportion of males) availab</t>
  </si>
  <si>
    <t>I could not find the sample sizes corresponding to the groups presented in Table 5.1. Would it be possible to share these?</t>
  </si>
  <si>
    <t>Would it be possible to share the mean and SD (or raw data if this is easier) for the pre- vs. posttest of the learned words for each of the two conditions?</t>
  </si>
  <si>
    <t>Reference number</t>
  </si>
  <si>
    <t>I am currently using the learning achievement values from Table 1. Would it be possible to share the mean and SD (or raw data if easier) for the pre- and post-test scores separately?</t>
  </si>
  <si>
    <t>Personal communication</t>
  </si>
  <si>
    <t xml:space="preserve"> Information on duration of training from personal communication with Vogt</t>
  </si>
  <si>
    <t>Reading comprehension (L2)</t>
  </si>
  <si>
    <t>Seven true-false questions (0-7)</t>
  </si>
  <si>
    <t>Liu (2024)</t>
  </si>
  <si>
    <t>Vocabulary test (0-33)</t>
  </si>
  <si>
    <t>AC</t>
  </si>
  <si>
    <t>ACR</t>
  </si>
  <si>
    <t>Van Minkelen (2020)</t>
  </si>
  <si>
    <t>Knowledge of 6 target words (0-6)</t>
  </si>
  <si>
    <t>Pengfei, L., &amp; Toshio, E. (2024). Revolutionizing higher education e-learning: A universal robot approach with vocal encouragement and movement performance. Proceedings of the 2024 13th International Conference on Educational and Information Technology, Chengdu, China, 124–128. https://doi.org/10.1109/ICEIT61397.2024.10540998</t>
  </si>
  <si>
    <t>Yun, H. S., Hübert, H., Pinkwart, N., &amp; Hafner, V. V. (2024). Design based research of multimodal robotic learning companions. In A. M. Olney, I. A. Chounta, Z. Liu, O. C. Santos, &amp; I. I. Bittencourt (Eds.), Artificial intelligence in education. Posters and late breaking results, workshops and tutorials, industry and innovation tracks, practitioners, doctoral consortium and blue sky. AIED 2024 (pp. 97–104). Cham: Springer. https://doi.org/10.1007/978-3-031-64312-5_12</t>
  </si>
  <si>
    <t>Could it be possible to share the mean and SD of the pre- and post-test scores corresponding to the learning gains in Table 1?</t>
  </si>
  <si>
    <t>Lopez-Caudana, E. O., George-Reyes, C. E., &amp; Avello-Martínez, R. (2024). Developing the skills for complex thinking research: a case study using social robotics to produce scientific papers. Frontiers in Education, 9, 1322727. https://doi.org/10.3389/feduc.2024.1322727</t>
  </si>
  <si>
    <t>Self-assessment measures</t>
  </si>
  <si>
    <t>Sisman, B., Steinrücke, J., &amp; de Jong, T. (2024). Does giving students feedback on their concept maps through an on-screen avatar or a humanoid robot make a difference? International Journal of Social Robotics, 16,1783–1796. https://doi.org/10.1007/s12369-024-01144-y</t>
  </si>
  <si>
    <t>Post-test concerned the assessment of work done during the training</t>
  </si>
  <si>
    <t>Hong, Z. W., Tsai, M. H. M., Ku, C. S., Cheng, W. K., Chen, J. T., &amp; Lin, J. M. (2024). Utilizing robot-tutoring approach in oral reading to improve Taiwanese EFL students’ English pronunciation. Cogent Education, 11, 2342660. https://doi.org/10.1080/2331186X.2024.2342660</t>
  </si>
  <si>
    <t>Zenbo Junior</t>
  </si>
  <si>
    <t>Hong (2024)</t>
  </si>
  <si>
    <t>Accuracy of word pronunciation (0-100)</t>
  </si>
  <si>
    <t>Velentza, A. M., Fachantidis, N., &amp; Lefkos, I. (2021). Learn with surprize from a robot professor. Computers &amp; Education, 173, 104272. https://doi.org/10.1016/j.compedu.2021.104272</t>
  </si>
  <si>
    <t>Velentza (2021) Learn with surprize</t>
  </si>
  <si>
    <t>Number of participants trained at a time (G = Group; more than 2 was coded as G)</t>
  </si>
  <si>
    <t>Incomplete results (only one of the two groups), and only within-subject t-tests. Last author emailed.</t>
  </si>
  <si>
    <t>No pre-test results reported. First author emailed about other studies from the same time period.</t>
  </si>
  <si>
    <t>Insufficient data (only a Z-value and p-value reported; no distinction between the three groups). Last author emailed about another study from the same time period.</t>
  </si>
  <si>
    <t>The study involved pre-post testing, but the results for learning performance were not reported because they did not reach statistical significance (-&gt; bias). First author emailed.</t>
  </si>
  <si>
    <t>Only median, Wilcoxon signed-rank test (text), and means (?) in figure. First author emailed.</t>
  </si>
  <si>
    <t>Insufficient data. Second author emailed.</t>
  </si>
  <si>
    <t>Insufficient data. Author emailed.</t>
  </si>
  <si>
    <t>Only learning gains reported while no control group was available. First author emailed.</t>
  </si>
  <si>
    <t>Only learning gains reported while no control group was available; pre-test was self-assessed knowledge. Author emailed; information shared via OSF.</t>
  </si>
  <si>
    <t>Only learning gains reported while no control group was available. Last author emailed.</t>
  </si>
  <si>
    <t>Post-score also includes the scores during the intervention session (see Eq. 2). Both authors emailed.</t>
  </si>
  <si>
    <t>Pre-test not reported; post-test reported in subgroups. Third author emailed.</t>
  </si>
  <si>
    <t>Results in Fig. 3 are for selective words only. No raw data available. From personal communication with the first author: "The raw data has been deleted due to the long time that has passed, as required by the IRB. 1) The error bars are Standard Error of the Means. 2) These graphs represent the following thing: For each child, we had either 0/1. The Bar represent Mean (over all children's 0/1). The Error bar represent SEM (over all children's 0/1)".</t>
  </si>
  <si>
    <t>Insufficient data. First author emailed.</t>
  </si>
  <si>
    <t>Extreme difference in pre-test performance between the experimental group and control group. This suggests a lack of random allocation.</t>
  </si>
  <si>
    <t xml:space="preserve">What was the duration of the interactive (training) session with the robot? </t>
  </si>
  <si>
    <t>Zhang, X., Breazeal, C., &amp; Park, H. W. (2023). A social robot reading partner for explorative guidance. Proceedings of the 2023 ACM/IEEE International Conference on Human-Robot Interaction, Stockholm, Sweden. 341–349. https://doi.org/10.1145/3568162.3576968</t>
  </si>
  <si>
    <t>Kagkelidou, Z. (2024). Κοινωνικό ρομπότ και σεξουαλική αγωγή: επιπτώσεις στις στάσεις, αντιλήψεις και μαθησιακά αποτελέσματα των μαθητών δημοτικού [Social robot and sexual education: Impacts on the attitudes, perceptions, and learning outcomes of primary school students] [MSc thesis, University of Macedonia]. https://dspace.lib.uom.gr/bitstream/2159/30777/4/KagkelidouZoiMsc2024.pdf</t>
  </si>
  <si>
    <t>Verhelst, E. (2023). Adaptive second language tutoring through generative AI and social robots [MSc thesis, Ghent University, Belgium]. Library Ghent University. https://libstore.ugent.be/fulltxt/RUG01/003/150/194/RUG01-003150194_2023_0001_AC.pdf (see also Verhelst, E., Janssens, R., Demeester, T., &amp; Belpaeme, T. (2024). Adaptive second language tutoring using generative AI and a social robot. Companion of the 2024 ACM/IEEE International Conference on Human-Robot Interaction, Boulder, CO, 1080–1084. https://doi.org/10.1145/3610978.3640559)</t>
  </si>
  <si>
    <t>Verhelst, E., Janssens, R., Demeester, T., &amp; Belpaeme, T. (2024). Adaptive second language tutoring using generative AI and a social robot. Companion of the 2024 ACM/IEEE International Conference on Human-Robot Interaction, Boulder, CO, 1080–1084. https://doi.org/10.1145/3610978.3640559</t>
  </si>
  <si>
    <t>Europe (0 = no, 1 = yes)</t>
  </si>
  <si>
    <t>Assessment of 8 copied letters (each letter scored from 1 to 3)</t>
  </si>
  <si>
    <t>Text p. 4 (8% improvement)</t>
  </si>
  <si>
    <t>Math problems such as comparisons of numbers (scoring range not reported) (learning gain)</t>
  </si>
  <si>
    <t>Oralbayeva (2023)</t>
  </si>
  <si>
    <t>Van Minkelen, P., Gruson, C., Van Hees, P., Willems, M., De Wit, J., Aarts, R., Denissen, J., &amp; Vogt, P. (2020). Using self-determination theory in social robots to increase motivation in L2 word learning. Proceedings of the 2020 ACM/IEEE International Conference on Human-Robot Interaction, New York, NY, 369–377. https://doi.org/10.1145/3319502.3374828</t>
  </si>
  <si>
    <t>Oralbayeva, N., Amirova, A., Telisheva, Z., Zhanatkyzy, A., Aimysheva, A., &amp; Sandygulova, A. (2023). Montessori-based design of long-term child-robot interaction for alphabet learning. Companion of the 2023 ACM/IEEE International Conference on Human-Robot Interaction, Stockholm, Sweden, 691–695. https://doi.org/10.1145/3568294.3580175</t>
  </si>
  <si>
    <t>QWriter</t>
  </si>
  <si>
    <t>CoWriter</t>
  </si>
  <si>
    <t>Shakerimov (2023)</t>
  </si>
  <si>
    <t>Gruson (2019)</t>
  </si>
  <si>
    <t>Not -Full SDT</t>
  </si>
  <si>
    <t>Full SDT</t>
  </si>
  <si>
    <t>A third group is excluded as it was taken from De Wit et al. (2018)</t>
  </si>
  <si>
    <t>Knowledge of 6 target words (0-6) (learning gain)</t>
  </si>
  <si>
    <t>Text p. 31</t>
  </si>
  <si>
    <t>Jimenez, F., &amp; Kanoh, M. (2013). Effect of advances in wisdom of robot in collaborative learning. Proceedings of the 1st International Conference on Human-Agent Interaction, Sapporo, Japan. https://hai-conference.net/ihai2013/proceedings/pdf/III-3-2.pdf</t>
  </si>
  <si>
    <t>Jimenez (2013)</t>
  </si>
  <si>
    <t>Jimenez, F., Kanoh, M., Yoshikawa, T., &amp; Nakamura, T. (2020). Learning effect of collaborative learning with robots speaking a compliment. Journal of Advanced Computational Intelligence and Intelligent Informatics, 24, 396–403. https://doi.org/10.20965/jaciii.2020.p0396</t>
  </si>
  <si>
    <t>Jimenez (2020)</t>
  </si>
  <si>
    <t>Math (payment and profit and loss)</t>
  </si>
  <si>
    <t>Adjective/adverb</t>
  </si>
  <si>
    <t>Onomatopoeia</t>
  </si>
  <si>
    <t>Original text (Normal)</t>
  </si>
  <si>
    <t>Figure 11</t>
  </si>
  <si>
    <t>Sarmonov (2023)</t>
  </si>
  <si>
    <t>95 MC questions on math (0-95)</t>
  </si>
  <si>
    <t>Number of Cyrillic-based Kazakh alphabet letters correctly converted to an equivalent in the Latin-based Kazakh alphabet in the post-test as compared to the pre-test (learning gain)</t>
  </si>
  <si>
    <t>Shakerimov, A., Sarmonov, S., Amirova, A., Oralbayeva, N., Zhanatkyzy, A., Telisheva, Z., Aimysheva, A., &amp; Sandygulova, A. (2023). QWriter: Technology-enhanced alphabet acquisition based on reinforcement learning. Extended Abstracts of the 2023 CHI Conference on Human Factors in Computing Systems, Hamburg, Germany. https://doi.org/10.1145/3544549.3585611</t>
  </si>
  <si>
    <t>Sarmonov, S., Shakerimov, A., Aimysheva, A., Amirova, A., Oralbayeva, N., Zhanatkyzy, A., Telisheva, Z., &amp; Sandygulova, A. (2023). Robot-assisted first language learning in a new latin alphabet: The reinforcement learning-based QWriter system. Companion of the 2023 ACM/IEEE International Conference on Human-Robot Interaction, Stockholm, Sweden, 677–681. https://doi.org/10.1145/3568294.3580172</t>
  </si>
  <si>
    <t>Gruson, C. (2019). The effect of personalization on engagement and learning gain of children in second-language (L2) tutoring using social robots [MSc thesis, Tilburg University]. Thesis University Library. https://arno.uvt.nl/show.cgi?fid=150279</t>
  </si>
  <si>
    <t>Response count</t>
  </si>
  <si>
    <t xml:space="preserve">Is any information about gender (e.g., proportion of males) available? Would it be possible to share the raw data corresponding to Figure 5.3 of your thesis? </t>
  </si>
  <si>
    <t>Gao, Y., Barendregt, W., Obaid, M., &amp; Castellano, G. (2018). When robot personalisation does not help: Insights from a robot-supported learning study. Proceedings of the 2018 27th IEEE International Symposium on Robot and Human Interactive Communication (RO-MAN), Nanjing, China, 705–712. https://doi.org/10.1109/ROMAN.2018.8525832</t>
  </si>
  <si>
    <t>Could it be possible to share the mean and SD of the pre- and post-test scores corresponding to the learning gains in Figure 4?</t>
  </si>
  <si>
    <t>Hsiao, H. S., Chen, J. H., Chang, T. L., Li, P. H., &amp; Chung, G. H. (2024). A study on the effects of using the 6E model and a robot teaching assistant on junior high school students’ STEM knowledge, learning motivation, and hands-on performance. Journal of Science Education and Technology, 33, 759–778. https://doi.org/10.1007/s10956-024-10119-7</t>
  </si>
  <si>
    <t>Is any information about gender (e.g., proportion of males) available? Also, were the pre- and post-tests identical?</t>
  </si>
  <si>
    <t>Velentza, A.-M. (2024). Experiment VI: Kindergarten application: Traffic safety. In A.-M. Velentza, Human-robot interaction: The role of humanoid robots in learning process and cognitive tasks (110–124) [Doctoral dissertation, University of Macedonia]. https://dspace.lib.uom.gr/bitstream/2159/30991/4/VelentzaAnnaMariaPhD2024.pdf</t>
  </si>
  <si>
    <t>What was the time interval between the end of training and the beginning of post-test? Also, were the pre- and post-tests identical?</t>
  </si>
  <si>
    <t>Velentza, A. M., Kefalouka, E., &amp; Fachantidis, N. (2024). Socially assistive robot in sexual health: Group and individual student-robot interaction activities promoting disclosure, learning and positive attitudes. arXiv. https://doi.org/10.48550/arXiv.2407.13030</t>
  </si>
  <si>
    <t>Were the pre- and post-tests identical?</t>
  </si>
  <si>
    <t>Jao, C. Y., Yeh, H. C., &amp; Hung, H. T. (2024). Exploring the effects of robot-assisted multimodal composition on students’ audience awareness for English writing. Computer Assisted Language Learning. https://doi.org/10.1080/09588221.2023.2300972</t>
  </si>
  <si>
    <t>What was the duration of the interactive (training) session with the robot and out of how many sessions did the training consist of?</t>
  </si>
  <si>
    <t>What was the time interval between the end of training and the beginning of post-test? Also, is any information about gender (e.g., the proportion of males) available?</t>
  </si>
  <si>
    <t>What was the duration of the interactive (training) session with the robot? Also, were the pre- and post-tests identical?</t>
  </si>
  <si>
    <t>What was the duration of the interactive (training) session with the robot and what was the time interval between the end of training and the beginning of post-test? 
Also, were the pre- and post-tests identical?
Finally, is any information about gender (e.g., the proportion of males) available?</t>
  </si>
  <si>
    <t>What was the duration of the interactive (training) session with the robot? Also, is any information about gender (e.g., the proportion of males) available?</t>
  </si>
  <si>
    <t>In Experiment 1, junior high school students completed 10 questions in a single study session, which lasted approximately 30 to 40 minutes. In Experiment 2, university students completed 20 questions in a session lasting 40 to 50 minutes. In both experiments, the study concluded once the specified number of questions was answered, ensuring a standardized learning amount rather than focusing on study time.
Out of the 15 junior high school students, 12 were male and 3 were female. They were randomly assigned to groups, with 4 males and 1 female in each group.</t>
  </si>
  <si>
    <t xml:space="preserve">What was the duration of the interactive (training) session with the robot, out of how many sessions did the training consist, and what was the time interval between the end of training and the beginning of post-test? </t>
  </si>
  <si>
    <t>Tang, H. K., Smakman, M., De Haas, M., &amp; Van den Berghe, R. (2023). L2 vocabulary learning through lexical inferencing stories with a social robot. Companion of the 2023 ACM/IEEE International Conference on Human-Robot Interaction, Stockholm, Sweden, 526–530. https://doi.org/10.1145/3568294.3580140</t>
  </si>
  <si>
    <t>Wat was de duur van de interactieve (trainings)sessie met de robot? En is er informatie beschikbaar over geslacht (bijvoorbeeld het aandeel mannen) per groep?</t>
  </si>
  <si>
    <t>What was the duration of the interactive (training) session with the robot? Also, is any information about gender (e.g., the proportion of males) per group available?</t>
  </si>
  <si>
    <t>How many sessions did the training consist of? Also, is any information about gender (e.g., the proportion of males available?</t>
  </si>
  <si>
    <t>Is any information about gender (e.g., the proportion of males available?</t>
  </si>
  <si>
    <t>Were the pre- and post-tests identical? Also, does it happen to have the standard deviations (or the corresponding raw data if this is more convenient) for the pre-test?</t>
  </si>
  <si>
    <t>On page 224, learning gains are reported. Would it be possible for you to please share the corresponding mean and standard deviation (SD) values for the pre- and post-test separately?</t>
  </si>
  <si>
    <t>If possible, could you please share the pre-test scores of the various groups in these three studies? These data would be very helpful for calculating pre- vs. post-test effects. If it is more convenient for you to share the raw data, that would also be greatly appreciated.</t>
  </si>
  <si>
    <t>Would it be possible for you to please share the pre- and post-test data that were used to calculate the learning gains? Additionally, could you please indicate whether the pre- and post-tests were identical?</t>
  </si>
  <si>
    <t>For this chapter, could you please clarify what variance measures are reported in Table 14.4? Are these standard deviations, standard errors, confidence intervals, or another measure?</t>
  </si>
  <si>
    <t>Similar to the 2016 study, would it be possible for you to please share the pre- and post-test data used to calculate the learning gains? Additionally, could you please indicate whether this sample is independent from the samples used in the other studies?</t>
  </si>
  <si>
    <t>Would it be possible for you to please share the pre- and post-test data (mean and standard deviation) used to calculate the learning gains for these studies? Additionally, I would like to clarify what the error bars represent in Figure 13 of the first paper and Figure 4 of the second one. Are these standard deviations, standard errors, confidence intervals, or another measure? If possible, could you also share the scoring range for the tests (14 and 20 questions in the first and second papers, respectively)?</t>
  </si>
  <si>
    <t>Would it be possible for you to please share the mean and standard deviation (SD) values for the pre- and post-test separately, as they correspond to the learning gains reported at the start of the Results section?</t>
  </si>
  <si>
    <t>Would it be possible for you to please share the mean and standard deviation (SD) values for the pre- and post-test corresponding to the statistics of Table 6?</t>
  </si>
  <si>
    <t>Row number</t>
  </si>
  <si>
    <t>Published version: https://doi.org/10.1109/RO-MAN57019.2023.10309658.
The pre- and post-tests were identical.
Immediate post-test.</t>
  </si>
  <si>
    <t>The pre- and post-tests were identical.
SD = 1.56 (a follow-up email is sent to verify that this is for the Robot-Only group, as 1.56 is the SD reported for the Robot-with-Tablet group).</t>
  </si>
  <si>
    <t>Raw data deleted some years after the study as required by the IRB. Error bars are standard error of the means. Graphs: For each child, either 0/1; the bar represents the mean over all children's 0/1; the error bar represents SEM over all children's 0/1.</t>
  </si>
  <si>
    <t>Number of correct matching images for 6 target words in Dutch and English (0-6)</t>
  </si>
  <si>
    <t>Math timetables (scoring range not reported)</t>
  </si>
  <si>
    <t>Number categorization as prime/non-prime (0-12)</t>
  </si>
  <si>
    <t>Number categorization in prime/non-prime (0-12)</t>
  </si>
  <si>
    <t>Calculated based on raw data; median and IQR reproduce but z-values do not</t>
  </si>
  <si>
    <t>It seems that 3 participants had a perfect score in both post-tests (these were excluded by the authors). Unclear why N=9 and not 10</t>
  </si>
  <si>
    <t>The exact split into two groups is not reported</t>
  </si>
  <si>
    <t>The scoring scale is hypothesized based on error bars in Figure 2. Error bars assumed to be the IQR.</t>
  </si>
  <si>
    <t>The results with the control group and no pre-test (sound propagation and physics modules) are excluded</t>
  </si>
  <si>
    <t>1. It is assumed that the error bars in Graphs 1 and 2 are standard deviations. The text is a bit confusing but suggests that the error bars are standard deviations. Also comparing with Table 1, which reports standard errors. It is strange that the standard deviations are identical for all three conditions (presumably an outcome of the ANOVA). However, this ought not to matter much for the computation of Cohen's d. 2. Similarity of post-tests: The questions of the immediate post-test were counterbalanced and administered as delayed post-test.</t>
  </si>
  <si>
    <t>The peer tutoring condition is the same as in Chandra et al. (2015)</t>
  </si>
  <si>
    <t>Measures are different in Table IV; potential mix-up of measures</t>
  </si>
  <si>
    <t>Based on simulations, it is assumed that the error bars are standard errors</t>
  </si>
  <si>
    <t>Sample size is unclear. 35 is mentioned as total (N=35 in the tables per group seems incorrect). Note that the presence of tutor is only assumed</t>
  </si>
  <si>
    <t>The total duration of the experiment was 90 min. The time of the intervention is not reported</t>
  </si>
  <si>
    <t>The number of questionnaires in Table 2 refers to pairs of questionnaires, so they are twice the sample size. The study does not seem randomized (different schools were allocated to different groups): "Child-level randomization among groups, which could have enhanced the power of the study, was not feasible due to institutional, ethical and logistical issues, but this allowed excluding possible influences and interactions among children of different groups".</t>
  </si>
  <si>
    <t>Study does not seem randomized. Students could voluntarily sign up.</t>
  </si>
  <si>
    <t>The text says that 40.4% of the children never listened to the robot's quizzes. The children were allowed to interact freely with both robots during recess (i.e., no fixed time of interaction).</t>
  </si>
  <si>
    <t>Study 2 - long term; the reduced scores in factual knowledge from pre- to post-test is explained as: "This result possibly translates normative results in children’s learning, in which they question previously accommodated knowledge about the topics".</t>
  </si>
  <si>
    <t>1. Time of intervention had no time limit. 15 min is estimated based on the total duration and the duration of the other testing and debriefing components. 2. More information on scoring could be checked in ref. 21 of the paper (in Portuguese).</t>
  </si>
  <si>
    <t>Error bars are standard deviations (personal communication with Kanoh)</t>
  </si>
  <si>
    <t>Only the first post-test is included here, as there was additional training before the second post-test. The results for the control group are not reported since the study design does not seem to be randomized.</t>
  </si>
  <si>
    <t>1. Long-term interaction (sessions spread over a period of 1-2 months). 2. Children with type I diabetes.</t>
  </si>
  <si>
    <t>Study took place online. Participants with knowledge of Spanish excluded. Unequal sample size per group unclear.</t>
  </si>
  <si>
    <t>In 3 out of 12 participants, the observer was in the room; mean age is an estimate ("The participants in the study were young adults of the ages 16 to 22. Four of the participants had finished Swedish upper secondary school, whereas the majority had finished the second year of Swedish upper secondary school.").</t>
  </si>
  <si>
    <t>The number of training hours is not reported, but they were spread in 11 weeks. The time interval between end of training and beginning of post-test is an estimate.</t>
  </si>
  <si>
    <t>Marked as "Human" instead of "Virtual interface" because the latter was used by both groups. Virtual interface interaction was at an individual basis but in a classroom setting.</t>
  </si>
  <si>
    <t>1. Standard deviations based on reported confidence interval. 2. Also reported in the paper: pre vs. post Cohen's d = 0.67 &amp; 0.89 for robot and human, respectively. 3. It is assumed that the pre/post-tests differed from each other and that the post-test was conducted immediately after the training based on a similar study by the same authors (https://doi.org/10.1007/978-3-319-25554-5_33), considering that the paper cites this reference for procedure details.</t>
  </si>
  <si>
    <t>1. Box-slider combined scores are used here. 2. The same standard deviation is assumed for all conditions, based on simulations to reproduce approximately the test statistics reported in the paper (unclear what the error bars in the figures represent).</t>
  </si>
  <si>
    <t>Standard deviation is not of relevance for pre-post test here, since the means are equal</t>
  </si>
  <si>
    <t>Pre- vs. post-test: d = 0.93 reported in the paper. The current means and standard deviations yield d = 0.95; not sure where the difference comes from.</t>
  </si>
  <si>
    <t>Mean values from Table II. Standard deviations based on simulations, t = -3.588, p = 0.0011, assuming a pre- post-test correlation of 0.5.</t>
  </si>
  <si>
    <t>1. Error bars are standard deviations (judging from Fig. 8 vs. corresponding standard deviations in the text)</t>
  </si>
  <si>
    <t>Based on simulations, it is assumed that the error bars are standard errors; Tanaka (personal communication) mentioned they could be standard deviations</t>
  </si>
  <si>
    <t>Error bar for pre-test is not clear, so the standard deviation of the post-test is also used here for pre-test</t>
  </si>
  <si>
    <t>Cohen's d values directly reported (no mean/standard deviation). Hence, means and standard deviations are reported so that the script reproduces the pre-post Cohen's d. Flagged to not produce between-subjects Cohen's d.</t>
  </si>
  <si>
    <t>Standard deviation for pre-test not reported; the standard deviation for the 'Robot with tablet' has been used instead. The mean of the pre-test is calculated based on the post-test value and the composite gain value.</t>
  </si>
  <si>
    <t>Standard deviation based on SE graphically extracted from Figure 2</t>
  </si>
  <si>
    <t>Standard deviation based on SE graphically extracted from Figure 3</t>
  </si>
  <si>
    <t>Standard deviations based on standard error graphically extracted from Figure 2</t>
  </si>
  <si>
    <r>
      <t xml:space="preserve">Variance type should be standard deviations (based on simulations and confirmed by Manikutty - personal communication). </t>
    </r>
    <r>
      <rPr>
        <i/>
        <sz val="10"/>
        <rFont val="Arial"/>
        <family val="2"/>
      </rPr>
      <t>I</t>
    </r>
    <r>
      <rPr>
        <sz val="10"/>
        <rFont val="Arial"/>
        <family val="2"/>
      </rPr>
      <t>nformation on duration of training from personal communication with Manikutty.</t>
    </r>
  </si>
  <si>
    <t>Pre- vs. post-test: d = 0.83 reported in the paper, which corresponds with the present means and standard deviations. Reported d = 0.05 between Control and Treatment post-test scores also corresponds to our means and standard deviations.</t>
  </si>
  <si>
    <t>Table 2; standard deviations from the supplementary material</t>
  </si>
  <si>
    <t>Mean, standard deviation, age, and gender calculated based on raw data available at https://osf.io/376az/?show=view</t>
  </si>
  <si>
    <t>Mean, standard deviation, age, and gender calculated based on raw data available at https://osf.io/7nq3e/wiki/home</t>
  </si>
  <si>
    <t>Means and standard deviations from personal communication with Manikutty</t>
  </si>
  <si>
    <t>Mean and standard deviation of pre- and post-test for questions 8-14 are reported here; these have been calculated based on raw data received from personal communication with Liu</t>
  </si>
  <si>
    <t>Mean and standard deviation of pre- and post-test from personal communication with Van Minkelen</t>
  </si>
  <si>
    <t>"depending on the day the child interacted with the robot, the class-wise post-test was a few days to max a week later for the individual child)". So, 4 days is taken as an average estimate.</t>
  </si>
  <si>
    <t>Vouloutsi, V., Blancas-Muñoz, M.,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t>
  </si>
  <si>
    <t>Vouloutsi, V., Blancas-Muñoz, B.,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t>
  </si>
  <si>
    <t>1. A six-week experiment is reported, but this likely refers to the total duration of the experiment rather than to multiple sessions per participant. 2. Results for a fourth group (Jokes as distraction, n=17) are not reported for performance. 3. Variance is assumed to be standard deviation; t-test approximated in that case (but not exact).</t>
  </si>
  <si>
    <t>The sample sizes are approximate</t>
  </si>
  <si>
    <t>Gender proportion is an estimate based on information about the total sample</t>
  </si>
  <si>
    <t>We only included the data for "Experiment IV.1" as in the follow-up "Experiment IV.2", the exposure of the two groups to the robot was unequal. Experiment via Zoom.</t>
  </si>
  <si>
    <t>Emailed again, this time Ponce, on 31 August 2024, see below</t>
  </si>
  <si>
    <t>Emailed again on 30 August 2024, see below</t>
  </si>
  <si>
    <t>Promised to look for data; no follow-up</t>
  </si>
  <si>
    <t>See previous</t>
  </si>
  <si>
    <t>No data available anymore</t>
  </si>
  <si>
    <t>Mean, SD, and raw data shared</t>
  </si>
  <si>
    <t>Data uploaded to OSF; confirmed that pre-test is self-reported</t>
  </si>
  <si>
    <t>The author mentioned it could be standard deviation</t>
  </si>
  <si>
    <t>Mean, standard deviation, and trial duration shared</t>
  </si>
  <si>
    <t>Post-test immediately after instruction</t>
  </si>
  <si>
    <t>Duration for Rintjema shared</t>
  </si>
  <si>
    <t>Mean and standard deviation of pre- and post-test shared</t>
  </si>
  <si>
    <t>Raw data shared</t>
  </si>
  <si>
    <t>The pre- and post-tests were identical</t>
  </si>
  <si>
    <t>Last author advised to contact the first author</t>
  </si>
  <si>
    <t>Author will look for the data</t>
  </si>
  <si>
    <t>Ahmad, M. I., Mubin, O., Shahid, S., &amp; Orlando, J. (2019). Robot's adaptive emotional feedback sustains children’s social engagement and promotes their vocabulary learning: A long-term child–robot interaction study. Adaptive Behavior, 27, 243–266. https://doi.org/10.1177/1059712319844182</t>
  </si>
  <si>
    <t>Ahmad, M. I., Gao, Y., Alnajjar, F., Shahid, S., &amp; Mubin, O. (2021). Emotion and memory model for social robots: A reinforcement learning based behaviour selection. Behaviour &amp; Information Technology, 41, 3210–3236. https://doi.org/10.1080/0144929X.2021.1977389</t>
  </si>
  <si>
    <t>Casad, B. J., &amp; Jawaharlal, M. (2012). Learning through guided discovery: An engaging approach to K-12 STEM education. Paper presented at 2012 ASEE Annual Conference &amp; Exposition, San Antonio, Texas. http://doi.org/10.18260/1-2--21643</t>
  </si>
  <si>
    <t>1. Standard deviations based on simulations, for F(2,49) = 1.53, p = 0.23. 2. A pre-test was conducted, but the results are not reported separately for the two groups, so the pre-test results are not reported here. Means are based on % improvement.</t>
  </si>
  <si>
    <t>1. Post-test mean estimated via simulations, for t (1,29) = 0.99, p = .33, reported in the paper (r = .5). 2. Total duration, incl. post-test: 45 min.</t>
  </si>
  <si>
    <t>Correct matching image for each of 4 verbs (% correct answers)</t>
  </si>
  <si>
    <t>Study 1 - short term</t>
  </si>
  <si>
    <t>Number of questions generated in 4 min about an image shown; CREA (scoring method not reported)</t>
  </si>
  <si>
    <t>Number of questions generated in 4 min about an image shown; CREA (learning gain)</t>
  </si>
  <si>
    <t>Ten questions (three single-choice, six multi-choice questions, and one categorizing questions) (0-40)</t>
  </si>
  <si>
    <t>Would it be possible to share the mean and SD (or raw data if this is easier) for the pre- vs. post-test for each of the two groups?
What was the sample size of each group?
What was the scoring scale and the type of questions?
Is any information about gender (e.g., proportion of males) and mean age available?</t>
  </si>
  <si>
    <t>Would it be possible to share the mean and SD (or raw data if this is easier) for the pre- vs. post-test for the entire group of participants? (i.e., irrespectively of robot condition), in order to be able to implement the paper in the meta-analysis?</t>
  </si>
  <si>
    <t>Balkibekov, K., Meiirbekov, S., Tazhigaliyeva, N., &amp; Sandygulova, A. (2016). Should robots win or lose? Robot's losing playing strategy positively affects child learning. In 2016 25th IEEE International Symposium on Robot and Human Interactive Communication (RO-MAN), New York, 706–711. https://doi.org/10.1109/ROMAN.2016.7745196</t>
  </si>
  <si>
    <t>Koiou, E. (2024). Αξιοποίηση της επαυξημένης πραγματικότητας και των κοινωνικών ρομπότ στα παιδιά Ε'και Στ'δημοτικού στο μάθημα της Γεωγραφίας [Utilization of augmented reality and social robots for 5th and 6th grade primary school children in Geography class]. [MSc thesis, University of Macedonia]. http://dspace.lib.uom.gr/handle/2159/30564</t>
  </si>
  <si>
    <t>In Figure 5, learning gains are presented. Would it be possible for you to please share the corresponding mean and standard deviation (SD) values for the pre- and post-test separately? If possible, could you also provide the corresponding data not only for the Help-Available knowledge variable but also for the other three knowledge types (text explicit/implicit and model implicit)?
Additionally, I was wondering how the learning gains in Figure 5 were calculated—are these absolute differences between the pre- and post-scores? If you could also share the scoring range of the pre- and post-tests for the learning variables, that would be also helpful.</t>
  </si>
  <si>
    <t>Ahmad, M. I., Khordi-moodi, M., &amp; Lohan, K. S. (2020). Social robot for STEM education. Companion of the 2020 ACM/IEEE International Conference on Human-Robot Interaction, Cambridge, UK, 90–92. Https://doi.org/10.1145/3371382.3378291</t>
  </si>
  <si>
    <t>Balkibekov, K., Meiirbekov, S., Tazhigaliyeva, N., &amp; Sandygulova, A. (2016). Should robots win or lose? Robot's losing playing strategy positively affects child learning. Proceedings of the 2016 25th IEEE International Symposium on Robot and Human Interactive Communication (RO-MAN), New York, 706–711. https://doi.org/10.1109/ROMAN.2016.7745196</t>
  </si>
  <si>
    <t>De Haas, M., Vogt, P., Van den Berghe, R., Oudgenoeg-Paz, O., Leseman, P., Krahmer, E., Verhagen, J., Vogt, P., Willemsen, B. &amp; De Wit, J. (2019). Children's anthropomorphism of second language robot tutors. Proceedings of the 28th IEEE International Conference on Robot and Human Interactive Communication (RO-MAN), New Delhi, India.</t>
  </si>
  <si>
    <t>Roussou, E., &amp; Rangoussi, M. (2019). On the use of robotics for the development of computational thinking in kindergarten: Educational intervention and evaluation. In M. Merdan, W. Lepuschitz, G. Koppensteiner, R. Balogh, &amp; D. Obdržálek (Eds.), Robotics in education. RiE 2019 (pp. 31–44). Cham: Springer. https://doi.org/10.1007/978-3-030-26945-6_3.</t>
  </si>
  <si>
    <t>De Haas, M., Smeekens, I., Njeri, E., Haselager, P., Buitelaar, J., Lourens, T., Staal, W., Glennon, J., &amp; Barakova, E. (2017). Personalizing educational game play with a robot partner. In M. Merdan, W. Lepuschitz, G. Koppensteiner, &amp; R. Balogh (Eds.) Robotics in Education (pp. 259–270). Cham: Springer. https://doi.org/10.1007/978-3-319-42975-5_23</t>
  </si>
  <si>
    <t>Palestra, G., Bortone, I., Cazzato, D., Adamo, F., Argentiero, A., Agnello, N., &amp; Distante, C. (2014). Social robots in postural education: a new approach to address body consciousness in ASD children. In M. Beetz, B. Johnston, &amp; M. A. Williams (Eds.), Social Robotics. ICSR 2014 (pp. 290–299). Cham: Springer. https://doi.org/10.1007/978-3-319-11973-1_30</t>
  </si>
  <si>
    <t>Yun, S., Shin, J., Kim, D., Kim, C. G., Kim, M., &amp; Choi, M. T. (2011). Engkey: Tele-education robot. In B. Mutlu, C. Bartneck, J. Ham, V. Evers, &amp; T. Kanda (Eds.), Social Robotics. ICSR 2011 (pp. 142–152). Berlin, Heidelberg: Springer. https://doi.org/10.1007/978-3-642-25504-5_15</t>
  </si>
  <si>
    <t xml:space="preserve">Bagga, S., Maurer, B., Miller, T., Quinlan, L., Silvestri, L., Wells, D., Winqvist, R., Zolotas, M., &amp; Demiris, Y. (2019). InstruMentor: An interactive robot for musical instrument tutoring. In K. Althoefer, J. Konstantinova, &amp; K. Zhang (Eds.), Towards Autonomous Robotic Systems. TAROS 2019 (pp. 303–315). Cham: Springer. https://doi.org/10.1007/978-3-030-23807-0_25 </t>
  </si>
  <si>
    <t>Only learning gains (completion time difference between pre- and post-test) reported while no control group was available</t>
  </si>
  <si>
    <t>Schneider, S., &amp; Kummert, F. (2016). Motivational effects of acknowledging feedback from a socially assistive robot. In A. Agah, J. J. Cabibihan, A. Howard, M. Salichs, &amp; H. He (Eds.), Social Robotics. ICSR 2016 (pp. 870–879). Cham: Springer. https://doi.org/10.1007/978-3-319-47437-3_85</t>
  </si>
  <si>
    <t>Chen, J. H. (2021). Digital storytelling outcomes and emotional experience among middle school EFL learners: Robot‐assisted versus PowerPoint‐assisted mode. TESOL Quarterly, 55, 994–1010. https://doi.org/10.1002/tesq.3043</t>
  </si>
  <si>
    <t>De Haas, M., Alali, R., Ashji, M., Hussain, S., Ten Katen, C., Salaymeh, A., Hobbelink, V. L. N. F., &amp; Van den Berghe, R. (2024). Interactive storytelling with social robots to support multilingual children. Proceedings of the 23rd Annual ACM Interaction Design and Children Conference, Delft, Netherlands, 696–700. https://doi.org/10.1145/3628516.3659377</t>
  </si>
  <si>
    <t>Ahmad, M. I., Mubin, O., Shahid, S., &amp; Orlando, J. (2017). Emotion and memory model for a robotic tutor in a learning environment. Proceedings of the ISCA Workshop on Speech and Language Technology in Education, Stockholm, 26–32. https://www.isca-archive.org/slate_2017/ahmad17_slate.pdf</t>
  </si>
  <si>
    <t>Baumann, A. E., Goldman, E. J., Meltzer, A., &amp; Poulin-Dubois, D. (2023). People do not always know best: Preschoolers' trust in social robots. Journal of Cognition and Development, 4, 535–562. https://doi.org/10.1080/15248372.2023.2178435</t>
  </si>
  <si>
    <t>Baxter, P., Kennedy, J., Ashurst, E., &amp; Belpaeme, T. (2016). The effect of repeating tasks on performance levels in mediated child-robot interactions. Workshop at the 25th IEEE International Symposium on Robot and Human Interactive Communication (RO-MAN), New York, NY. https://james-kennedy.github.io/publications/BaxterEtAl2016ROMANR4L.pdf</t>
  </si>
  <si>
    <t>Chandra, S. (2016). Learning how to write with a social robot [Doctoral dissertation, École Polytechnique Fédérale de Lausanne &amp; Instituto Superior Técnico da Universidade de Lisboa]. https://infoscience.epfl.ch/handle/20.500.14299/156223</t>
  </si>
  <si>
    <t>Chandra, S. (2016). Peer-based learning with children: An exploratory study. In S. Chandra, Learning how to write with a social robot [Doctoral dissertation, EPFL] (pp. 67–82). https://infoscience.epfl.ch/handle/20.500.14299/156223</t>
  </si>
  <si>
    <t>Chandra, S., Paradeda, R., Yin, H., Dillenbourg, P., Prada, R., &amp; Paiva, A. (2017). Affect of robot’s competencies on children’s perception. In K. Larson, &amp; M. WInikoff (Eds.), Proceedings of the 16th Conference on Autonomous Agents and MultiAgent Systems, São Paulo Brazi, 1490–1492. https://infoscience.epfl.ch/handle/20.500.14299/138700</t>
  </si>
  <si>
    <t>De Haas, M. (2022). Staying engaged in child-robot interaction [Doctoral dissertation, Tilburg University]. https://doi.org/10.26116/fr4m-gq74</t>
  </si>
  <si>
    <t>Feng, Y., &amp; Wang, X. (2023). A comparative study on the development of Chinese and English abilities of Chinese primary school students through two bilingual reading modes: Human-AI robot interaction and paper books. Frontiers in Psychology, 14, 1200675. https://doi.org/10.3389/fpsyg.2023.1200675</t>
  </si>
  <si>
    <t>Gilis, J. (2020). Playing a second language learning card game with a social robot: Engagement, motivation and interaction [MSc thesis, Tilburg University]. https://arno.uvt.nl/show.cgi?fid=150786</t>
  </si>
  <si>
    <t>Godde, E., &amp; Jurcova, M. (2017). Learning by teaching: A paradigm for the use of robots in education. In G. Bailly &amp; S. Pesty (Eds.), Cognition, affects et interaction : Actes des travaux d’Etudes et de Recherche 2016-2017 du M2R IC2A spécialité ”Sciences Cognitives”, Université de Grenoble-Alpes, 53–61. https://hal.science/hal-01483705/file/CAI_2017.pdf#page=58</t>
  </si>
  <si>
    <t>Harinandansingh, J. (2022). Motivational gestures in Robot Assisted Language Learning (RALL) [Doctoral dissertation, Tilburg University]. https://arno.uvt.nl/show.cgi?fid=157644
Alimardani, M., Harinandansingh, J., Ravin, L., &amp; de Haas, M. (2022). Motivational gestures in robot-assisted language learning: A study of cognitive engagement using EEG brain activity. Proceedings of the 2022 31st IEEE International Conference on Robot and Human Interactive Communication (RO-MAN), Napoli, Italy, 1393–1398. https://doi.org/10.1109/RO-MAN53752.2022.9900508</t>
  </si>
  <si>
    <t>Jalalian, A. (2022). Variation in human-like gestures by social robots supporting L2 learning in students [MSc thesis, Tilburg University]. https://arno.uvt.nl/show.cgi?fid=157965</t>
  </si>
  <si>
    <t>Lubold, N., Walker, E., &amp; Pon-Barry, H. (2016). Effects of voice-adaptation and social dialogue on perceptions of a robotic learning companion. Proceedings of the 2016 11th ACM/IEEE International Conference on Human-Robot Interaction, 255–262, Christchurch, New Zealand. https://doi.org/10.1109/HRI.2016.7451760
Lubold, N. (2018). Effects on rapport and learning with Quinn. In N. Lubold, Producing acoustic-prosodic entrainment in a robotic learning companion to build learner rapport (Doctoral dissertation). Arizona State University. https://keep.lib.asu.edu/system/files/c7/205876/Lubold_asu_0010E_18422.pdf</t>
  </si>
  <si>
    <t>Molenaar, B. (2019). Acoustic-prosodic entrainment by social robots tutoring English vocabulary [BSc thesis, Utrecht University]. https://studenttheses.uu.nl/handle/20.500.12932/34093</t>
  </si>
  <si>
    <t>Moreno Campos, V., &amp; Rodríguez Muñoz, F. J. (2023). Design and piloting of a proposal for intervention with educational robotics for the development of lexical relationships in early childhood education. Smart Learning Environments, 10, 6. https://doi.org/10.1186/s40561-023-00226-0</t>
  </si>
  <si>
    <t>Obaid, M., Aylett, R., Barendregt, W., Basedow, C., Corrigan, L. J., Hall, L., Jones, A., Kappas, A., Küster, D., Paiva, A., Papadopoulos, F., Serholt, S., &amp; Castellano, G. (2018). Endowing a robotic tutor with empathic qualities: Design and pilot evaluation. International Journal of Humanoid Robotics, 15, 1850025. https://doi.org/10.1142/S0219843618500251</t>
  </si>
  <si>
    <t>Sandygulova, A., Amir, A., Oralbayeva, N., Telisheva, Z., Zhanatkyzy, A., Shakerimov, A., Sarmonov, S., &amp; Aimysheva, A. (2023). QWriter: A reinforcement learning-based robot for early literacy acquisition. XRDS: Crossroads, The ACM Magazine for Students, 30, 10–15. https://doi.org/10.1145/3611679</t>
  </si>
  <si>
    <t>Taheri, A., Meghdari, A., Alemi, M., &amp; Pouretemad, H. R. (2019). Teaching music to children with autism: A social robotics challenge. Scientia Iranica, 26, 40–58. https://doi.org/10.24200/SCI.2017.4608</t>
  </si>
  <si>
    <t>Van den Berg, M. V. D. (2022). Learning to eat healthily with a robot: Creating and evaluating a dialogue design for social robots to support children in learning about healthy nutrition by stimulating reflection [MSc thesis, Utrecht University]. https://studenttheses.uu.nl/handle/20.500.12932/41911</t>
  </si>
  <si>
    <t>Vouloutsi, V., Munoz, M. B.,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 https://www.cs.kent.ac.uk/events/2015/AISB2015/proceedings/hri/20-Vouloutsi-anewbiomimetic.pdf</t>
  </si>
  <si>
    <t>Wedenborn, A. (2015). A physical robot's effect on vocabulary learning [MSc thesis, KTH Royal Institute of Technololgy]. https://www.diva-portal.org/smash/record.jsf?pid=diva2%3A886159&amp;dswid=-5295</t>
  </si>
  <si>
    <t>Williams, R., Ali, S., Alcantara, R., Burghleh, T., Alghowinem, S., &amp; Breazeal, C. (2024). Doodlebot: An educational robot for creativity and AI literacy. In Proceedings of the 2024 ACM/IEEE International Conference on Human-Robot Interaction, Boulder, CO, 772–780. https://doi.org/10.1145/3610977.3634950</t>
  </si>
  <si>
    <t>Foster, M. E., Deshmukh, A., Janarthanam, S., Lim, M. Y., Hastie, H., &amp; Aylett, R. (2015). Influencing the learning experience through affective agent feedback in a real-world treasure hunt. Proceedings of the 2015 International Conference on Autonomous Agents and Multiagent Systems, Istanbul, Turkey, 1711–1712. https://researchportal.hw.ac.uk/en/publications/influencing-the-learning-experience-through-affective-agent-feedb</t>
  </si>
  <si>
    <t>Gordon, G., &amp; Breazeal, C. (2015). Bayesian active learning-based robot tutor for children's word-reading skills. Proceedings of the AAAI Conference on Artificial Intelligence, 29, 1343–1349. https://doi.org/10.1609/aaai.v29i1.9376</t>
  </si>
  <si>
    <t>Han, J., Jo, M., Park, S., &amp; Kim, S. (2005). The educational use of home robots for children. Proceedings of the ROMAN 2005. IEEE International Workshop on Robot and Human Interactive Communication, Nashville, TN, 378–383. https://doi.org/10.1109/ROMAN.2005.1513808</t>
  </si>
  <si>
    <t>Hastie, H., Lim, M. Y., Janarthanam, S., Deshmukh, A., Aylett, R., Foster, M. E., &amp; Hall, L. (2016). I remember you! Interaction with memory for an empathic virtual robotic tutor. Proceedings of the 2016 International Conference on Autonomous Agents &amp; Multiagent Systems, Singapore, 931–939. https://dl.acm.org/doi/10.5555/2936924.2937061</t>
  </si>
  <si>
    <t>Huang, C., &amp; Mutlu, B. (2013). Modeling and evaluating narrative gestures for humanlike robots. Proceedings of the Robotics: Science and Systems Conference, Berlin, Germany. https://web.archive.org/web/20170705130300id_/http://www.roboticsproceedings.org/rss09/p26.pdf</t>
  </si>
  <si>
    <t>Leite, I., Castellano, G., Pereira, A., Martinho, C., &amp; Paiva, A. (2014). Empathic robots for long-term interaction: Evaluating social presence, engagement and perceived support in children. International Journal of Social Robotics, 6, 329–341. https://doi.org/10.1007/s12369-014-0227-1</t>
  </si>
  <si>
    <t>Leyzberg, D., Spaulding, S., Toneva, M., &amp; Scassellati, B. (2012). The physical presence of a robot tutor increases cognitive learning gains. Proceedings of the Annual Meeting of the Cognitive Science Society, Sapporo, Japan. https://escholarship.org/uc/item/7ck0p200</t>
  </si>
  <si>
    <t>Mubin, O., Shahid, S., &amp; Bartneck, C. (2013). Robot assisted language learning through games: A comparison of two case studies. Australian Journal of Intelligent Information Processing Systems, 13, 9–14. https://core.ac.uk/download/pdf/35471003.pdf</t>
  </si>
  <si>
    <t>Verner, I. M., Polishuk, A., &amp; Krayner, N. (2016). Interactions with a robot teacher in an elementary science class. OSF. https://robot4learning.github.io/publication/roman2016/r4l_ro-man_2016_paper_1/R4L_Ro-Man_2016_paper_1.pdf</t>
  </si>
  <si>
    <t>Das, R., &amp; Pon-Barry, H. (2018). Turn-taking strategies for human-robot peer-learning dialogue. Proceedings of the SIGDIAL 2018 Conference, Melbourne, Australia, 119–129. https://par.nsf.gov/biblio/10076262</t>
  </si>
  <si>
    <t>Pareto, L., Ekström, S., Barendregt, W., Serholt, S., &amp; Kiesewetter, S. (2019). In L. Elbæk, G. Majgaard, A. Valente, &amp; Md. S. Khalid (Eds.), Augmenting game-based learning with a robot tutee. Proceedings of the European Conference on Games Based Learning. Academic Conferences International Limited. https://www.diva-portal.org/smash/record.jsf?pid=diva2%3A1375891&amp;dswid=5456</t>
  </si>
  <si>
    <t>No sample sizes reported. Baltazar Reyes et al. (2021) provide sample sizes of classes but it seems this is a different study. First and last author emailed.</t>
  </si>
  <si>
    <t>Participants brought the robot home; the learning and use of the robot seem non-controlled</t>
  </si>
  <si>
    <t>Same data as Chapter 14 in Lubold's (2018) doctoral dissertation. Note that the learning gains seem to differentiate from the corresponding results in the dissertation.</t>
  </si>
  <si>
    <t>Missing data (no pre-post; only between sessions). First author emailed about other studies.</t>
  </si>
  <si>
    <t>Only pre-post and no control condition; four robots used. First author emailed.</t>
  </si>
  <si>
    <t>Insufficient data. First author emailed about other studies from the same time period; data have been deleted at the request of the IRB.</t>
  </si>
  <si>
    <t>Scores for geography/orienteering are not realistic. The means, standard deviations, and results of the t-test cannot be reconciled with the help of computer simulations. Also, very little information is reported on the experimental conditions. Moreover, it seems that the results are not from the developed social robot, but from exercises with educational (coding) robots.</t>
  </si>
  <si>
    <t>Standard deviations could not be retrieved. First author emailed.</t>
  </si>
  <si>
    <t>Same data as Lubold et al. (2018a; 2018b)</t>
  </si>
  <si>
    <t>Children with disabilities and robot effect judged based on teachers' questionnaire</t>
  </si>
  <si>
    <t>Physical exercise (posture) &amp; mindfuless together with handwriting training. Robot only involved in the physical exercise/mindfulness and not in the teaching.</t>
  </si>
  <si>
    <t>Same sample as Van den Bergh's (2019) doctoral dissertation (the latter includes more detailed results and is included). The results reported in Van den Berghe (2018) are too brief to judge their overlap with the corresponding chapter of the thesis.</t>
  </si>
  <si>
    <t>The study mentions pre/post-test but the robot was present in all four puzzles, so it does not qualify for (pre/)post-test</t>
  </si>
  <si>
    <t>No pre-test. Data are available for the first 7 items of the training but these cannot be compared with the 10+10 items of the post-test. Both groups are training with robot, so a between-subject post-test-only comparison is not possible either.</t>
  </si>
  <si>
    <t>The pre-test does not seem to be a real pre-test, as it seems all words were unknown. No control condition. So, this seems similar to a learning-gain study without control group. Author emailed.</t>
  </si>
  <si>
    <t>Only learning gains reported while no control group was available. Second author emailed.</t>
  </si>
  <si>
    <t>Lubold, N., Walker, E., Pon-Barry, H., Flores, Y., &amp; Ogan, A. (2018). Using iterative design to create efficacy-building social experiences with a teachable robot. In J. Kay &amp; R. Luckin (Eds.), Rethinking learning in the digital age: Making the learning sciences count, 13th International Conference of the Learning Sciences (ICLS) 2018, Volume 2. London, UK: International Society of the Learning Sciences. https://doi.org/10.22318/cscl2018.737</t>
  </si>
  <si>
    <t>Unclear how the pre-post-repeat (delta) score was defined. Only correlations provided. Second author emailed about other studies from the same time period; data have been deleted at the request of the IRB.</t>
  </si>
  <si>
    <t>Robot participated in the testing. Children with hearing impairment.</t>
  </si>
  <si>
    <t>NAO vs. R3; only post-test. Children with hearing impairment.</t>
  </si>
  <si>
    <t>No cognitive measures in post-test. Children with hearing impairment.</t>
  </si>
  <si>
    <t>Akalin, N., Uluer, P., &amp; Köse, H. (2014). Non-verbal communication with a social robot peer: Towards robot assisted interactive sign language tutoring. Proceedings of the 2014 IEEE-RAS International Conference on Humanoid Robots, Madrid, Spain, 1122–1127. https://doi.org/10.1109/HUMANOIDS.2014.7041509</t>
  </si>
  <si>
    <t>Köse, H., Akalin, N., &amp; Uluer, P. (2014). Socially interactive robotic platforms as sign language tutors. International Journal of Humanoid Robotics, 11, 1450003. https://doi.org/10.1142/S0219843614500030</t>
  </si>
  <si>
    <t>NAO vs. R3 (no non-robot control condition), only post-test. Children with hearing impairment.</t>
  </si>
  <si>
    <t>Köse, H., Yorganci, R., Algan, E. H., &amp; Syrdal, D. S. (2012). Evaluation of the robot assisted sign language tutoring using video-based studies. International Journal of Social Robotics, 4, 273–283. https://doi.org/10.1007/s12369-012-0142-2</t>
  </si>
  <si>
    <t>Köse-Bagci, H., Yorganci, R., &amp; Algan, E. H. (2011). Evaluation of the robot sign language tutoring assistant using video-based studies. Proceedings of the European Conference on Mobile Robots, Örebro, Sweden, 109–114. https://web.archive.org/web/20170829101800id_/http://aass.oru.se/Agora/ECMR2011/proceedings/papers/ECMR2011_0067.pdf</t>
  </si>
  <si>
    <t>No physical robot. Children with hearing impairment.</t>
  </si>
  <si>
    <t>Köse, H., &amp; Yorganci, R. (2011). Tale of a robot: Humanoid robot assisted sign language tutoring. Proceedings of the 2011 11th IEEE-RAS International Conference on Humanoid Robots, Bled, Slovenia, 105–111. https://doi.org/10.1109/Humanoids.2011.6100846</t>
  </si>
  <si>
    <t>No post-test. Children with hearing impairment.</t>
  </si>
  <si>
    <t>Same as Velentza et al. (2021)</t>
  </si>
  <si>
    <t>Study does not feature a learning outcome, but it is a study about robot gesture recognition</t>
  </si>
  <si>
    <t>Presence of human tutor ( = no, 1 = yes)</t>
  </si>
  <si>
    <t>Cohen's d (pre-post)</t>
  </si>
  <si>
    <t>n (pre-post)</t>
  </si>
  <si>
    <t>Cohen's d (post)</t>
  </si>
  <si>
    <t>n (post)</t>
  </si>
  <si>
    <t>Positivism score</t>
  </si>
  <si>
    <t>1. how positive is the article about the social robot being studied?</t>
  </si>
  <si>
    <t>2. how negative is the article about the social robot being studied?</t>
  </si>
  <si>
    <t>3. how effective is the social robot under evaluation according to the article?</t>
  </si>
  <si>
    <t>4. how ineffective is the social robot under evaluation according to the article?</t>
  </si>
  <si>
    <t>5. how well does the social robot under evaluation perform according to the article?</t>
  </si>
  <si>
    <t>6. how poorly does the social robot under evaluation perform according to the article?</t>
  </si>
  <si>
    <t>7. based on the introduction, how positive is this article about social robots in general?</t>
  </si>
  <si>
    <t>8. based on the introduction, how negative is this article about social robots in general?</t>
  </si>
  <si>
    <t>9. based on the discussion, how elaborately are the limitations of the experiment pointed out?</t>
  </si>
  <si>
    <t>10. based on the discussion, how elaborately are the strengths of the experiment pointed out?</t>
  </si>
  <si>
    <t>11. to what extent are the authors biased in the positive direction, i.e. overly optimistic about social robots?</t>
  </si>
  <si>
    <t>12. to what extent are the authors biased in the negative direction, i.e., overly skeptical about social robots?</t>
  </si>
  <si>
    <t>Age (years)</t>
  </si>
  <si>
    <t>NaN</t>
  </si>
  <si>
    <t>Study number</t>
  </si>
  <si>
    <t>GPT score (0 to 10)</t>
  </si>
  <si>
    <t>Average</t>
  </si>
  <si>
    <t>Europe</t>
  </si>
  <si>
    <t>There was a 4-week interval between the testing of the two conditions (within-subject study). Pre- and post-test being identical is based on personal communication with Hu.</t>
  </si>
  <si>
    <t>Pre- and post-test being identical was based on personal communication with Pasalidou</t>
  </si>
  <si>
    <t>Raw data from personal communication with Verhelst</t>
  </si>
  <si>
    <t>Similarity of post-test to pre-test is based on personal communication with Velentza</t>
  </si>
  <si>
    <t>Information about pre- and post-test being identical, and 0 time interval between training and post-test, based on personal communication with Velentza</t>
  </si>
  <si>
    <t>Kanoh</t>
  </si>
  <si>
    <t>Authors contacted</t>
  </si>
  <si>
    <t>Gordon</t>
  </si>
  <si>
    <t>Ahmad</t>
  </si>
  <si>
    <t>Chandra</t>
  </si>
  <si>
    <t>Lubold</t>
  </si>
  <si>
    <t>Howley</t>
  </si>
  <si>
    <t>Van Minkelen</t>
  </si>
  <si>
    <t>Jones</t>
  </si>
  <si>
    <t>Kennedy</t>
  </si>
  <si>
    <t>Verschur</t>
  </si>
  <si>
    <t>Chao</t>
  </si>
  <si>
    <t>Baltazar Reyes</t>
  </si>
  <si>
    <t>Obaid</t>
  </si>
  <si>
    <t>Zhang</t>
  </si>
  <si>
    <t>Yadollahi</t>
  </si>
  <si>
    <t>Sandygulova</t>
  </si>
  <si>
    <t>Issa</t>
  </si>
  <si>
    <t>Rosenthal-von der Pütten</t>
  </si>
  <si>
    <t>Belazoui</t>
  </si>
  <si>
    <t>Lee &amp; Specht</t>
  </si>
  <si>
    <t>Liu</t>
  </si>
  <si>
    <t>Kamelabad</t>
  </si>
  <si>
    <t>Lopez-Caudana</t>
  </si>
  <si>
    <t>Yang</t>
  </si>
  <si>
    <t>Han</t>
  </si>
  <si>
    <t>Kanda</t>
  </si>
  <si>
    <t>Lin</t>
  </si>
  <si>
    <t>Park</t>
  </si>
  <si>
    <t>Liles</t>
  </si>
  <si>
    <t>Mubin</t>
  </si>
  <si>
    <t>Tanaka</t>
  </si>
  <si>
    <t>Manikutty</t>
  </si>
  <si>
    <t>Alemi</t>
  </si>
  <si>
    <t>Chin</t>
  </si>
  <si>
    <t>De Wit, Vogt, Van Minkelen</t>
  </si>
  <si>
    <t>De Wit &amp; Vogt</t>
  </si>
  <si>
    <t>Tazhigaliyeva</t>
  </si>
  <si>
    <t>Banaeian</t>
  </si>
  <si>
    <t>Ramachandran</t>
  </si>
  <si>
    <t>Ponce</t>
  </si>
  <si>
    <t>Telisheva</t>
  </si>
  <si>
    <t>Chang &amp; Hwang</t>
  </si>
  <si>
    <t>Yun</t>
  </si>
  <si>
    <t>Ju &amp; Kizilcec</t>
  </si>
  <si>
    <t>Fachantidis</t>
  </si>
  <si>
    <t>Verhelst</t>
  </si>
  <si>
    <t>Gao</t>
  </si>
  <si>
    <t>Hsiao &amp; Chung</t>
  </si>
  <si>
    <t>Velentza</t>
  </si>
  <si>
    <t>Hung</t>
  </si>
  <si>
    <t>Tsai</t>
  </si>
  <si>
    <t>Wei &amp; Fu</t>
  </si>
  <si>
    <t>Yuliani</t>
  </si>
  <si>
    <t>Kanoh &amp; Jimenez</t>
  </si>
  <si>
    <t>Alimardani</t>
  </si>
  <si>
    <t>Pasalidou</t>
  </si>
  <si>
    <t>Peura</t>
  </si>
  <si>
    <t>Van den Berghe &amp; De Haas</t>
  </si>
  <si>
    <t>Donnermann</t>
  </si>
  <si>
    <t>Hsieh &amp; Hsieh</t>
  </si>
  <si>
    <t>Wang</t>
  </si>
  <si>
    <t>Hu &amp; Chen</t>
  </si>
  <si>
    <t>Alves-Oliveira</t>
  </si>
  <si>
    <t>Castellano</t>
  </si>
  <si>
    <t>Vouloutsi</t>
  </si>
  <si>
    <t xml:space="preserve">De Winter, J. C. F., Dodou, D., Moorlag, F., Broekens, J. (2024). Social robots in education: A meta-analysis of learning outcomes. Manuscript submitted for publication. </t>
  </si>
  <si>
    <t>Duration of training: 30 min</t>
  </si>
  <si>
    <t>Duration: 3 sessions x 2 h per session</t>
  </si>
  <si>
    <t>Total duration and time interval between training and post-test based on personal communication with Peura</t>
  </si>
  <si>
    <t>The reported standard deviation values are very small. We here assumed that these are actually SEs, so that the standard deviations are at similar levels as other papers of Lubold et al. where the same metrics are used. Lubold (personal communication) mentioned they would be standard deviations</t>
  </si>
  <si>
    <t>Jimenez, F., &amp; Kanoh, M. (2013). Effect of advances in wisdom of robot in collaborative learning. Proceedings of the 1st International Conference on Human-Agent Interaction, Sapporo, Japan. https://hai-conference.net/ihai2013/proceedings/pdf/III-3-2.pdf </t>
  </si>
  <si>
    <t>Jimenez, F., Kanoh, M., Yoshikawa, T., &amp; Nakamura, T. (2020). Learning effect of collaborative learning with robots speaking a compliment. Journal of Advanced Computational Intelligence and Intelligent Informatics, 24, 396–403. https://doi.org/10.20965/jaciii.2020.p0396</t>
  </si>
  <si>
    <t>What was the time between the end of the training and the post-test? (in days)
Were the pre- and post-tests identical?
What was the scale used for the pre- and post-test? (e.g., 0-100?)
Do I understand it correctly that you assessed the number of correctly translated words out of 500?
Do you have any information about mean age and gender distribution?
What do the error bars in Figure 11 represent? (e.g., +/- 1 SD?)</t>
  </si>
  <si>
    <t>Were the pre- and post-tests identical?
Do you have any information about gender distribution?</t>
  </si>
  <si>
    <t>Jimenez &amp; Kanoh</t>
  </si>
  <si>
    <t>On p. 6, learning gains are reported for the three groups. Could it be possible to share the mean and standard deviation for the pre- and post-tests of each of these groups?</t>
  </si>
  <si>
    <t>Similar to the previous study, Figure 3 shows learning gains. Could it be possible to share the mean and standard deviation for the pre- and post-tests of each of the two groups?
Moreover, could you perhaps indicate what the time interval was between the end of the training and the post-test? (in days)</t>
  </si>
  <si>
    <t>Also here, on p. 694, learning gains are reported. Could it be possible to share the mean and standard deviation for the pre- and post-tests of each of the two groups?
Moreover, could you perhaps indicate what the time interval was between the end of the training and the post-test? (in days)</t>
  </si>
  <si>
    <t>Sarmonov, Shakerimov, Aimysheva, Amirova, &amp; Oralbayeva</t>
  </si>
  <si>
    <t>Walker</t>
  </si>
  <si>
    <t> In both studies, learning gains are reported. Would it be possible for you to please share the corresponding pre- and post-test scores per group?</t>
  </si>
  <si>
    <t>Donnermann, M., Schaper, P., &amp; Lugrin, B. (2021). Towards adaptive robotic tutors in universities: A field study. In R. Ali, B. Lugrin, &amp; F. Charles (Eds.), Persuasive Technology. PERSUASIVE 2021 (pp. 33–46). Cham: Springer. https://doi.org/10.1007/978-3-030-79460-6_3</t>
  </si>
  <si>
    <t>Donnermann (2021)</t>
  </si>
  <si>
    <t>Self-reported exam grade (German system: 1= best possible, 5 = failed)</t>
  </si>
  <si>
    <t>Study took place online. 30 participants had interacted with the robot before. Study does not seem randomized. Students could voluntarily sign up.</t>
  </si>
  <si>
    <t>Darmawansah, D., &amp; Hwang, G. J. (2024). Effects of robot-based multiple low-stakes assessments on students’ oral presentation performance, collective efficacy, and learning attitude. Educational Technology Research and Development. https://doi.org/10.1007/s11423-024-10360-2</t>
  </si>
  <si>
    <t>Darmawansah (2024)</t>
  </si>
  <si>
    <t>Oral presentation (L2)</t>
  </si>
  <si>
    <t>Rubric-based assessment of voice (1-4; mean rank reported)</t>
  </si>
  <si>
    <t>Rubric-based assessment of presentation content (1-4; mean rank reported)</t>
  </si>
  <si>
    <t>Rubric-based assessment of interaction with audience (1-4; mean rank reported)</t>
  </si>
  <si>
    <t>Rubric-based assessment of gesture (1-4; mean rank reported)</t>
  </si>
  <si>
    <t>Rubric-based assessment of linguistic skill (1-4; mean rank reported)</t>
  </si>
  <si>
    <t>Text p. 16 comments on the limited duration of the interaction with the robot: "I expected to use the robot frequently because it was only used during the first hour of the learning process in the class. We did not use it anymore until the end of the class."</t>
  </si>
  <si>
    <t>Walker (2016)</t>
  </si>
  <si>
    <t>Walker, E., Girotto, V., Kim, Y., &amp; Muldner, K. (2016). The effects of physical form and embodied action in a teachable robot for geometry learning. Proceedings of the 2016 IEEE 16th International Conference on Advanced Learning Technologies, Austin, TX, 381–385. https://doi.org/10.1109/ICALT.2016.129</t>
  </si>
  <si>
    <t>Math (Geometry)</t>
  </si>
  <si>
    <t>eTAG</t>
  </si>
  <si>
    <t>vTAG</t>
  </si>
  <si>
    <t>11 knowledge questions (0-11)</t>
  </si>
  <si>
    <t>Do I understand correctly that the sessions with the robot/agent were conducted on an individual basis, with one student at a time, and without co-teaching from a human teacher?</t>
  </si>
  <si>
    <t>Promised to look for data</t>
  </si>
  <si>
    <t>Yoshizawa (2020)</t>
  </si>
  <si>
    <t>Yoshizawa, R., Jimenez, F., &amp; Murakami, K. (2020). Proposal of a behavioral model for robots supporting learning according to learners’ learning performance. Journal of Robotics and Mechatronics, 32, 769–779. https://doi.org/10.20965/jrm.2020.p0769</t>
  </si>
  <si>
    <t>General/factural knowledge (Information Technology)</t>
  </si>
  <si>
    <t>General/factual knowledge (Digital Media)</t>
  </si>
  <si>
    <t>Proposal (behavioral model)</t>
  </si>
  <si>
    <t>Conventional (scaffolding &amp; fading)</t>
  </si>
  <si>
    <t>50 questions on IT (0-50)</t>
  </si>
  <si>
    <t>Okawa (2024)</t>
  </si>
  <si>
    <t>Okawa, K., Jimenez, F., Akizuki, S., &amp; Yoshikawa, T. (2024). Proposal of learning support model for teacher-type robot supporting learning according to learner’s perplexed facial expressions. Journal of Robotics and Mechatronics, 36, 168–180. https://doi.org/10.20965/jrm.2024.p0168</t>
  </si>
  <si>
    <t>Proposal (apprenticeship promotion)</t>
  </si>
  <si>
    <t>Conventional (no apprenticeship promotion)</t>
  </si>
  <si>
    <t>It is assumed that the error bars are standard deviations based on other publications of the same authors (e.g., Okawa et al., 2024)</t>
  </si>
  <si>
    <t>Nasir, J., Bruno, B., &amp; Dillenbourg, P. (2024). Social robots as skilled ignorant peers for supporting learning. Frontiers in Robotics and AI, 11, 1385780. https://doi.org/10.3389/frobt.2024.1385780</t>
  </si>
  <si>
    <t>Learning gains for robot conditions</t>
  </si>
  <si>
    <t>Hu, C. C., Yang, Y. F., Cheng, Y. W., &amp; Chen, N. S. (2024). Integrating educational robot and low-cost self-made toys to enhance STEM learning performance for primary school students. Behaviour &amp; Information Technology, 43, 1614–1635. https://doi.org/10.1080/0144929X.2023.2222308</t>
  </si>
  <si>
    <t>Participants programmed a social robot</t>
  </si>
  <si>
    <t xml:space="preserve">d = 1.72 reported between control and personalized robot conditions. Means and standard deviations adjusted slightly within rounding tolerance to match this Cohen's d. 
</t>
  </si>
  <si>
    <t>The age is an estimate (university students)</t>
  </si>
  <si>
    <t>In Tables 6 and 7, the scores of the post-test for the two groups are reported. Could it be possible to please also share the corresponding pre-test scores?</t>
  </si>
  <si>
    <t>Zachrisson</t>
  </si>
  <si>
    <t>Age, gender (based on n=30 and n=28 of the two groups), and training duration based on communication with Donnermann</t>
  </si>
  <si>
    <t>First session: 40 minutes; second session: 35 minutes; third session: 45 minutes. Adaptive condition: N = 30, 28 females and 2 males, mean age of M = 19.80 (SD = 1.61); Non-adaptive condition: N = 28, 24 females and 4 males, mean age of M = 19.64 (SD = 1.28)</t>
  </si>
  <si>
    <t>Medians are used because means are not available. Standard deviation is based on simulation to obtain the same mean ranks as reported in the text. The p-value and effect size (&gt; 1) could not be replicated using the simulation.</t>
  </si>
  <si>
    <t>SDs have been estimated using a computer simulation to obtain the same 'sum of ranks'. The simulation assumes a normal distribution and does not take into account ties.</t>
  </si>
  <si>
    <t>https://www.researchgate.net/publication/383908660_Social_Robots_A_Meta-Analysis_of_Learning_Outcomes</t>
  </si>
  <si>
    <t>https://doi.org/10.13140/RG.2.2.10148.49289</t>
  </si>
  <si>
    <t>Current authors' literature searches</t>
  </si>
  <si>
    <t>Standard deviations based on Figure 10a (Chandra et al., 2020), assuming that the error bars are standard errors. This is supported by various simulations to match the effect sizes, p-values, and test statistics reported in the text. An earlier publication of the same study (Chandra et al., 2018) does not provide additional information.</t>
  </si>
  <si>
    <t xml:space="preserve">Error bars are standard deviations (personal communication with Kanoh), which is also supported by simulations. Information on gender and age via personal communication with Kanoh. </t>
  </si>
  <si>
    <t>Experiment 1: Table 1 provides raw data corresponding to Figure 9; based on these raw data, the error bars in Figure 9 are standard deviations (these data are not used here). Here, Figure 7 is used; we assume that the error bars represent  error bars also for this figure. Total duration of training sessions is based on personal communication with Jimenez ("30 to 40 minutes")</t>
  </si>
  <si>
    <t>Only the results for the 'far' condition are reported separately for the two groups, robot and control, so only these results are included here (i.e., the corresponding results for the 'close' condition are not available)</t>
  </si>
  <si>
    <t>Bhat, A., Chojnacki, A., &amp; Knapp, E. (2016). The future is Nao: Teaching mathematics to young schoolchildren using humanoid robots. Proceedings of the New Friends 2016 2nd International Conference on Social Robots in Therapy and Education, Barcelona, Spain.</t>
  </si>
  <si>
    <t>Standard deviations based on computer simulations to match the results of Welch's test reported in the text. Means of pre-test and post-test from the dissertation of the first author, Figure 5.10 (https://infoscience.epfl.ch/record/265505/files/EPFL_TH9244.pdf).</t>
  </si>
  <si>
    <t>"Since the target words were all unknown to the learners, the score of the pre-test for all of the participants was zero". Accordingly, only results for the post-test are reported here. Information on duration of training, time interval, and scoring range from personal communication with Banaeian.</t>
  </si>
  <si>
    <t>The paper reports that the participants were in the fourth grade; the material seems more suitable for younger children.</t>
  </si>
  <si>
    <t>Number of correctly translated words out of 500 (0-500)</t>
  </si>
  <si>
    <t>Time interval, similarity of pre- and post-tests, scoring scale, age, gender, and meaning of error bars from personal communication with Jimenez. Number of sessions: the authors report 18 times, although 2x per week x 2 months x 4 weeks would be 16 sessions.</t>
  </si>
  <si>
    <t>Time interval: 1 week. Pre-and post-tests were identical. Scale: 0-500. Correct translation of English words into Japanese is scored as a correct answer. There are 8 men and 2 women in each group. The experiment was conducted on first to fourth year university students, with an average age of 20 (±1.5) years in the robot collaboration group and 19 (±1.5) years in the single system group. The error bars in Figure 11 represents the standard deviation.</t>
  </si>
  <si>
    <t>Pre- and post-tests were identical. The onomatopoeia group consists of 9 men and 1 woman, the original text group consists of 9 men, and the adjective/adverb group consists of 8 men and 1 woman.</t>
  </si>
  <si>
    <t>Similarity of pre- and post-tests and gender information from personal communication with Jimenez</t>
  </si>
  <si>
    <t>Thesis supervisor (Alireza Kamelabad) responded that he will look for the data</t>
  </si>
  <si>
    <t>Training duration: 10-15 min</t>
  </si>
  <si>
    <t>Study took place online. Duration of training session from personal communication with Li (10-15 min).</t>
  </si>
  <si>
    <t>No data available; advised to contact the supervisor; confirmed that pre- and post-test were different and the samples independent; indicated that SDs in Table 14.4 of Lubold (2018) would be SD. Supervisor (Erin Walker) responded and will look for the data.</t>
  </si>
  <si>
    <t>Training duration: about 30 min</t>
  </si>
  <si>
    <t>Al Hakim, V. G., Yang, S. H., Wang, J. H., Lin, H. H., &amp; Chen, G. D. (2024). Digital twins of pet robots to prolong interdependent relationships and effects on student learning performance. IEEE Transactions on Learning Technologies, 17, 1883–1897. https://doi.org/10.1109/TLT.2024.3416209</t>
  </si>
  <si>
    <t>A virtual twin robot was used for the majority of the training</t>
  </si>
  <si>
    <t>Text p. 694 mentions learning gains (2.15 (1.20) and 3.67 (1.82 for robot and human, respectively). Scoring scale, time interval and pre- and post-test scores from personal communication with Telisheva.</t>
  </si>
  <si>
    <t>Text p. 6 mentions learning gains (learned letters: Qwriter: 1.15 ± 1.41, CoWriter: 1.29 ± 1.44, Human: 3.42 ± 2.57). Scoring scale, pre- and post-test scores from personal communication with Telisheva.</t>
  </si>
  <si>
    <t>Based on Figure 3, learning gains: 3.18 (1.70) and 3.41 (1.16) for robot and human, respectively. Scoring scale, time interval and pre- and post-test scores from personal communication with Telisheva.</t>
  </si>
  <si>
    <t xml:space="preserve">Information used to improve our annotations </t>
  </si>
  <si>
    <t>Number of Cyrillic-based Kazakh alphabet letters correctly converted to an equivalent in the Latin-based Kazakh alphabet (0-35)</t>
  </si>
  <si>
    <t>Robot extra teaching features</t>
  </si>
  <si>
    <t>NA</t>
  </si>
  <si>
    <t>Students had access to interactive apps next to those available for both groups</t>
  </si>
  <si>
    <t>Explanations and hints</t>
  </si>
  <si>
    <t>Robots ask the robot to move to points (spatial representation when learning geometry)</t>
  </si>
  <si>
    <t>Feedback, hints</t>
  </si>
  <si>
    <t>Tablet on robot body</t>
  </si>
  <si>
    <t>Teaching features (Identical between conditions = 0; Extra teaching features in robot condition = 1; Other = 2)</t>
  </si>
  <si>
    <t>Robot exhibited primarily emotions. It also gave hints, but some were incorrect, so it more at a social/companionship level</t>
  </si>
  <si>
    <t>Two Virtual Interface groups: One used the same powerpoint with the robot; the other also had an AR phone app  with 3D models and city tours</t>
  </si>
  <si>
    <t>Tablet on robot body. For one robot condition, teaching features were identical to the virtual interface condition. The other robot condition included gamification elements</t>
  </si>
  <si>
    <t>Virtual interface was a virtual representation of the robot</t>
  </si>
  <si>
    <t>Some extra feedback/confirmation but no additiona teaching features</t>
  </si>
  <si>
    <t>Counts</t>
  </si>
  <si>
    <t>Robot condition (Virtual interface absent, i.e., robot only, = 0; Virtual interface present, i.e., together with the robot= 1; Other = 2)</t>
  </si>
  <si>
    <t>Q&amp;A and questions for real-life application of knowledge</t>
  </si>
  <si>
    <t>Variety of interactive elements: Guided Repeated Oral Reading, Paired Reading, Shared Reading, Interactive Question, Simple Feedback, Interactive Feedback, Read Presented Picurebook, Making/Understanding, Compound Sound and Text. The virtual interface could only read aloud and pose simple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</si>
</sst>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809]dd\ mmmm\ yyyy;@"/>
  </numFmts>
  <fonts count="16" x14ac:knownFonts="1">
    <font>
      <sz val="10"/>
      <color rgb="FF000000"/>
      <name val="Calibri"/>
      <scheme val="minor"/>
    </font>
    <font>
      <sz val="11"/>
      <color theme="1"/>
      <name val="Calibri"/>
      <family val="2"/>
      <scheme val="minor"/>
    </font>
    <font>
      <b/>
      <sz val="10"/>
      <color theme="1"/>
      <name val="Arial"/>
      <family val="2"/>
    </font>
    <font>
      <sz val="10"/>
      <color theme="1"/>
      <name val="Arial"/>
      <family val="2"/>
    </font>
    <font>
      <sz val="10"/>
      <color rgb="FF000000"/>
      <name val="Arial"/>
      <family val="2"/>
    </font>
    <font>
      <sz val="10"/>
      <color rgb="FF222222"/>
      <name val="Arial"/>
      <family val="2"/>
    </font>
    <font>
      <b/>
      <sz val="10"/>
      <color rgb="FF000000"/>
      <name val="Arial"/>
      <family val="2"/>
    </font>
    <font>
      <u/>
      <sz val="10"/>
      <color rgb="FF0563C1"/>
      <name val="Arial"/>
      <family val="2"/>
    </font>
    <font>
      <sz val="10"/>
      <color rgb="FF1F1F1F"/>
      <name val="Arial"/>
      <family val="2"/>
    </font>
    <font>
      <sz val="10"/>
      <name val="Arial"/>
      <family val="2"/>
    </font>
    <font>
      <i/>
      <sz val="10"/>
      <name val="Arial"/>
      <family val="2"/>
    </font>
    <font>
      <b/>
      <sz val="10"/>
      <name val="Arial"/>
      <family val="2"/>
    </font>
    <font>
      <u/>
      <sz val="10"/>
      <name val="Arial"/>
      <family val="2"/>
    </font>
    <font>
      <sz val="11"/>
      <color rgb="FF000000"/>
      <name val="Arial"/>
      <family val="2"/>
    </font>
    <font>
      <u/>
      <sz val="10"/>
      <color theme="10"/>
      <name val="Calibri"/>
      <scheme val="minor"/>
    </font>
    <font>
      <u/>
      <sz val="10"/>
      <color theme="10"/>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14" fillId="0" borderId="0" applyNumberFormat="0" applyFill="0" applyBorder="0" applyAlignment="0" applyProtection="0"/>
  </cellStyleXfs>
  <cellXfs count="92">
    <xf numFmtId="0" fontId="0" fillId="0" borderId="0" xfId="0"/>
    <xf numFmtId="0" fontId="3" fillId="0" borderId="0" xfId="0" applyFont="1"/>
    <xf numFmtId="0" fontId="3" fillId="0" borderId="0" xfId="0" applyFont="1" applyAlignment="1">
      <alignment horizontal="left"/>
    </xf>
    <xf numFmtId="0" fontId="4" fillId="0" borderId="0" xfId="0" applyFont="1" applyAlignment="1">
      <alignment horizontal="left"/>
    </xf>
    <xf numFmtId="0" fontId="4" fillId="0" borderId="0" xfId="0" applyFont="1"/>
    <xf numFmtId="0" fontId="6" fillId="0" borderId="0" xfId="0" applyFont="1"/>
    <xf numFmtId="0" fontId="5" fillId="0" borderId="0" xfId="0" applyFont="1" applyAlignment="1">
      <alignment horizontal="left"/>
    </xf>
    <xf numFmtId="0" fontId="7" fillId="0" borderId="0" xfId="0" applyFont="1"/>
    <xf numFmtId="0" fontId="8" fillId="0" borderId="0" xfId="0" applyFont="1"/>
    <xf numFmtId="0" fontId="9" fillId="0" borderId="0" xfId="0" applyFont="1"/>
    <xf numFmtId="0" fontId="9" fillId="0" borderId="0" xfId="0" applyFont="1" applyAlignment="1">
      <alignment horizontal="left"/>
    </xf>
    <xf numFmtId="0" fontId="4" fillId="0" borderId="0" xfId="0" applyFont="1" applyAlignment="1">
      <alignment wrapText="1"/>
    </xf>
    <xf numFmtId="0" fontId="11" fillId="0" borderId="0" xfId="1" applyFont="1" applyAlignment="1">
      <alignment horizontal="left" vertical="top"/>
    </xf>
    <xf numFmtId="0" fontId="2" fillId="0" borderId="0" xfId="1" applyFont="1" applyAlignment="1">
      <alignment horizontal="left"/>
    </xf>
    <xf numFmtId="0" fontId="3" fillId="0" borderId="0" xfId="1" applyFont="1" applyAlignment="1">
      <alignment horizontal="center"/>
    </xf>
    <xf numFmtId="0" fontId="3" fillId="0" borderId="0" xfId="1" applyFont="1" applyAlignment="1">
      <alignment horizontal="left"/>
    </xf>
    <xf numFmtId="0" fontId="9" fillId="0" borderId="0" xfId="1" applyFont="1" applyAlignment="1">
      <alignment vertical="top"/>
    </xf>
    <xf numFmtId="0" fontId="3" fillId="0" borderId="0" xfId="1" applyFont="1"/>
    <xf numFmtId="0" fontId="9" fillId="0" borderId="0" xfId="1" applyFont="1" applyAlignment="1">
      <alignment horizontal="left" vertical="top"/>
    </xf>
    <xf numFmtId="0" fontId="4" fillId="0" borderId="0" xfId="1" applyFont="1" applyAlignment="1">
      <alignment vertical="top"/>
    </xf>
    <xf numFmtId="0" fontId="9" fillId="0" borderId="0" xfId="1" applyFont="1"/>
    <xf numFmtId="0" fontId="9" fillId="0" borderId="0" xfId="1" applyFont="1" applyAlignment="1">
      <alignment horizontal="left"/>
    </xf>
    <xf numFmtId="0" fontId="13" fillId="0" borderId="0" xfId="0" applyFont="1"/>
    <xf numFmtId="0" fontId="15" fillId="0" borderId="0" xfId="2" applyFont="1"/>
    <xf numFmtId="2" fontId="2" fillId="0" borderId="0" xfId="1" applyNumberFormat="1" applyFont="1" applyAlignment="1">
      <alignment horizontal="center"/>
    </xf>
    <xf numFmtId="2" fontId="3" fillId="0" borderId="0" xfId="1" applyNumberFormat="1" applyFont="1" applyAlignment="1">
      <alignment horizontal="center"/>
    </xf>
    <xf numFmtId="3" fontId="2" fillId="0" borderId="0" xfId="1" applyNumberFormat="1" applyFont="1" applyAlignment="1">
      <alignment horizontal="center"/>
    </xf>
    <xf numFmtId="3" fontId="3" fillId="0" borderId="0" xfId="1" applyNumberFormat="1" applyFont="1" applyAlignment="1">
      <alignment horizontal="center"/>
    </xf>
    <xf numFmtId="0" fontId="2" fillId="0" borderId="0" xfId="1" applyFont="1" applyAlignment="1">
      <alignment horizontal="center"/>
    </xf>
    <xf numFmtId="1" fontId="2" fillId="0" borderId="0" xfId="1" applyNumberFormat="1" applyFont="1" applyAlignment="1">
      <alignment horizontal="center"/>
    </xf>
    <xf numFmtId="1" fontId="3" fillId="0" borderId="0" xfId="1" applyNumberFormat="1" applyFont="1" applyAlignment="1">
      <alignment horizontal="center"/>
    </xf>
    <xf numFmtId="2" fontId="2" fillId="0" borderId="0" xfId="1" applyNumberFormat="1" applyFont="1" applyAlignment="1">
      <alignment horizontal="left"/>
    </xf>
    <xf numFmtId="2" fontId="2" fillId="0" borderId="0" xfId="1" applyNumberFormat="1" applyFont="1" applyAlignment="1">
      <alignment horizontal="fill"/>
    </xf>
    <xf numFmtId="164" fontId="2" fillId="0" borderId="0" xfId="1" applyNumberFormat="1" applyFont="1" applyAlignment="1">
      <alignment horizontal="center"/>
    </xf>
    <xf numFmtId="164" fontId="3" fillId="0" borderId="0" xfId="1" applyNumberFormat="1" applyFont="1" applyAlignment="1">
      <alignment horizontal="center"/>
    </xf>
    <xf numFmtId="3" fontId="3" fillId="0" borderId="0" xfId="1" applyNumberFormat="1" applyFont="1" applyAlignment="1">
      <alignment horizontal="left"/>
    </xf>
    <xf numFmtId="0" fontId="11" fillId="0" borderId="0" xfId="1" applyFont="1" applyAlignment="1">
      <alignment horizontal="right" vertical="top"/>
    </xf>
    <xf numFmtId="0" fontId="6" fillId="0" borderId="0" xfId="0" applyFont="1" applyAlignment="1">
      <alignment horizontal="left"/>
    </xf>
    <xf numFmtId="2" fontId="3" fillId="0" borderId="0" xfId="1" applyNumberFormat="1" applyFont="1" applyAlignment="1">
      <alignment horizontal="left"/>
    </xf>
    <xf numFmtId="0" fontId="11" fillId="0" borderId="0" xfId="1" applyFont="1" applyAlignment="1">
      <alignment vertical="top"/>
    </xf>
    <xf numFmtId="0" fontId="2" fillId="0" borderId="0" xfId="0" applyFont="1" applyAlignment="1">
      <alignment horizontal="left"/>
    </xf>
    <xf numFmtId="14" fontId="2" fillId="0" borderId="0" xfId="0" applyNumberFormat="1" applyFont="1" applyAlignment="1">
      <alignment horizontal="left"/>
    </xf>
    <xf numFmtId="166" fontId="2" fillId="0" borderId="0" xfId="0" applyNumberFormat="1" applyFont="1" applyAlignment="1">
      <alignment horizontal="left"/>
    </xf>
    <xf numFmtId="0" fontId="2" fillId="0" borderId="0" xfId="0" applyFont="1"/>
    <xf numFmtId="0" fontId="3" fillId="0" borderId="0" xfId="0" applyFont="1" applyAlignment="1">
      <alignment horizontal="center"/>
    </xf>
    <xf numFmtId="166" fontId="3" fillId="0" borderId="0" xfId="0" applyNumberFormat="1" applyFont="1" applyAlignment="1">
      <alignment horizontal="left"/>
    </xf>
    <xf numFmtId="0" fontId="8" fillId="0" borderId="0" xfId="0" applyFont="1" applyAlignment="1">
      <alignment horizontal="left"/>
    </xf>
    <xf numFmtId="0" fontId="4" fillId="0" borderId="0" xfId="0" applyFont="1" applyAlignment="1">
      <alignment horizontal="center"/>
    </xf>
    <xf numFmtId="0" fontId="3" fillId="0" borderId="0" xfId="0" applyFont="1" applyAlignment="1">
      <alignment horizontal="right"/>
    </xf>
    <xf numFmtId="164" fontId="3" fillId="0" borderId="0" xfId="0" applyNumberFormat="1" applyFont="1" applyAlignment="1">
      <alignment horizontal="right"/>
    </xf>
    <xf numFmtId="2" fontId="3" fillId="0" borderId="0" xfId="0" applyNumberFormat="1" applyFont="1" applyAlignment="1">
      <alignment horizontal="right"/>
    </xf>
    <xf numFmtId="166" fontId="4" fillId="0" borderId="0" xfId="0" applyNumberFormat="1" applyFont="1" applyAlignment="1">
      <alignment horizontal="left"/>
    </xf>
    <xf numFmtId="2" fontId="4" fillId="0" borderId="0" xfId="0" applyNumberFormat="1" applyFont="1"/>
    <xf numFmtId="0" fontId="11" fillId="0" borderId="0" xfId="0" applyFont="1" applyAlignment="1">
      <alignment vertical="top"/>
    </xf>
    <xf numFmtId="0" fontId="11" fillId="0" borderId="0" xfId="0" applyFont="1" applyAlignment="1">
      <alignment horizontal="left" vertical="top"/>
    </xf>
    <xf numFmtId="164" fontId="11" fillId="0" borderId="0" xfId="0" applyNumberFormat="1" applyFont="1" applyAlignment="1">
      <alignment horizontal="left" vertical="top"/>
    </xf>
    <xf numFmtId="2" fontId="11" fillId="0" borderId="0" xfId="0" applyNumberFormat="1" applyFont="1" applyAlignment="1">
      <alignment horizontal="left" vertical="top"/>
    </xf>
    <xf numFmtId="4" fontId="11" fillId="0" borderId="0" xfId="0" applyNumberFormat="1" applyFont="1" applyAlignment="1">
      <alignment horizontal="center" vertical="top"/>
    </xf>
    <xf numFmtId="0" fontId="11" fillId="0" borderId="0" xfId="0" applyFont="1" applyAlignment="1">
      <alignment horizontal="right"/>
    </xf>
    <xf numFmtId="0" fontId="11" fillId="0" borderId="0" xfId="0" applyFont="1"/>
    <xf numFmtId="0" fontId="11" fillId="0" borderId="0" xfId="0" applyFont="1" applyAlignment="1">
      <alignment horizontal="left"/>
    </xf>
    <xf numFmtId="0" fontId="9" fillId="0" borderId="0" xfId="0" applyFont="1" applyAlignment="1">
      <alignment vertical="top"/>
    </xf>
    <xf numFmtId="0" fontId="9" fillId="0" borderId="0" xfId="0" applyFont="1" applyAlignment="1">
      <alignment horizontal="left" vertical="top"/>
    </xf>
    <xf numFmtId="0" fontId="9" fillId="0" borderId="0" xfId="0" applyFont="1" applyAlignment="1">
      <alignment horizontal="center" vertical="top"/>
    </xf>
    <xf numFmtId="164" fontId="9" fillId="0" borderId="0" xfId="0" applyNumberFormat="1" applyFont="1" applyAlignment="1">
      <alignment horizontal="left" vertical="top"/>
    </xf>
    <xf numFmtId="2" fontId="9" fillId="0" borderId="0" xfId="0" applyNumberFormat="1" applyFont="1" applyAlignment="1">
      <alignment horizontal="left" vertical="top"/>
    </xf>
    <xf numFmtId="4" fontId="9" fillId="0" borderId="0" xfId="0" applyNumberFormat="1" applyFont="1" applyAlignment="1">
      <alignment horizontal="center" vertical="top"/>
    </xf>
    <xf numFmtId="0" fontId="9" fillId="0" borderId="0" xfId="0" applyFont="1" applyAlignment="1">
      <alignment horizontal="right"/>
    </xf>
    <xf numFmtId="165" fontId="9" fillId="0" borderId="0" xfId="0" applyNumberFormat="1" applyFont="1"/>
    <xf numFmtId="16" fontId="9" fillId="0" borderId="0" xfId="0" applyNumberFormat="1" applyFont="1" applyAlignment="1">
      <alignment horizontal="right"/>
    </xf>
    <xf numFmtId="4" fontId="9" fillId="0" borderId="0" xfId="0" applyNumberFormat="1" applyFont="1" applyAlignment="1">
      <alignment horizontal="left" vertical="top"/>
    </xf>
    <xf numFmtId="0" fontId="9" fillId="0" borderId="0" xfId="0" applyFont="1" applyAlignment="1">
      <alignment horizontal="left" vertical="top" wrapText="1"/>
    </xf>
    <xf numFmtId="2" fontId="9" fillId="0" borderId="0" xfId="0" applyNumberFormat="1" applyFont="1" applyAlignment="1">
      <alignment horizontal="right"/>
    </xf>
    <xf numFmtId="0" fontId="12" fillId="0" borderId="0" xfId="0" applyFont="1" applyAlignment="1">
      <alignment horizontal="left" vertical="top"/>
    </xf>
    <xf numFmtId="4" fontId="9" fillId="0" borderId="0" xfId="0" applyNumberFormat="1" applyFont="1"/>
    <xf numFmtId="2" fontId="9" fillId="0" borderId="0" xfId="0" applyNumberFormat="1" applyFont="1" applyAlignment="1">
      <alignment vertical="top"/>
    </xf>
    <xf numFmtId="2" fontId="9" fillId="0" borderId="0" xfId="0" applyNumberFormat="1" applyFont="1" applyAlignment="1">
      <alignment horizontal="center" vertical="top"/>
    </xf>
    <xf numFmtId="1" fontId="9" fillId="0" borderId="0" xfId="0" applyNumberFormat="1" applyFont="1" applyAlignment="1">
      <alignment horizontal="left" vertical="top"/>
    </xf>
    <xf numFmtId="0" fontId="4" fillId="0" borderId="0" xfId="0" applyFont="1" applyAlignment="1">
      <alignment vertical="top"/>
    </xf>
    <xf numFmtId="164" fontId="9" fillId="0" borderId="0" xfId="0" applyNumberFormat="1" applyFont="1" applyAlignment="1">
      <alignment horizontal="left"/>
    </xf>
    <xf numFmtId="2" fontId="9" fillId="0" borderId="0" xfId="0" applyNumberFormat="1" applyFont="1" applyAlignment="1">
      <alignment horizontal="left"/>
    </xf>
    <xf numFmtId="4" fontId="9" fillId="0" borderId="0" xfId="0" applyNumberFormat="1" applyFont="1" applyAlignment="1">
      <alignment horizontal="center"/>
    </xf>
    <xf numFmtId="0" fontId="9" fillId="0" borderId="0" xfId="0" applyFont="1" applyAlignment="1">
      <alignment horizontal="center"/>
    </xf>
    <xf numFmtId="164" fontId="9" fillId="0" borderId="0" xfId="0" applyNumberFormat="1" applyFont="1"/>
    <xf numFmtId="2" fontId="9" fillId="0" borderId="0" xfId="0" applyNumberFormat="1" applyFont="1"/>
    <xf numFmtId="2" fontId="2" fillId="0" borderId="0" xfId="1" applyNumberFormat="1" applyFont="1" applyAlignment="1">
      <alignment horizontal="center"/>
    </xf>
    <xf numFmtId="0" fontId="3" fillId="0" borderId="0" xfId="1" applyFont="1" applyAlignment="1">
      <alignment horizontal="center"/>
    </xf>
    <xf numFmtId="1" fontId="2" fillId="0" borderId="0" xfId="1" applyNumberFormat="1" applyFont="1" applyAlignment="1">
      <alignment horizontal="center"/>
    </xf>
    <xf numFmtId="1" fontId="3" fillId="0" borderId="0" xfId="1" applyNumberFormat="1" applyFont="1" applyAlignment="1">
      <alignment horizontal="center"/>
    </xf>
    <xf numFmtId="0" fontId="1" fillId="0" borderId="0" xfId="1" applyAlignment="1">
      <alignment horizontal="center"/>
    </xf>
    <xf numFmtId="3" fontId="2" fillId="0" borderId="0" xfId="1" applyNumberFormat="1" applyFont="1" applyAlignment="1">
      <alignment horizontal="center"/>
    </xf>
    <xf numFmtId="3" fontId="3" fillId="0" borderId="0" xfId="1" applyNumberFormat="1" applyFont="1" applyAlignment="1">
      <alignment horizontal="center"/>
    </xf>
  </cellXfs>
  <cellStyles count="3">
    <cellStyle name="Hyperlink" xfId="2" builtinId="8"/>
    <cellStyle name="Normal" xfId="0" builtinId="0"/>
    <cellStyle name="Normal 2" xfId="1" xr:uid="{51FA4736-0E14-4C1D-8424-4668E47464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ecd.org/education/eag2013%20(eng)--FINAL%2020%20June%202013.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hyperlink" Target="https://doi.org/10.13140/RG.2.2.10148.49289" TargetMode="External"/><Relationship Id="rId1" Type="http://schemas.openxmlformats.org/officeDocument/2006/relationships/hyperlink" Target="https://www.researchgate.net/publication/383908660_Social_Robots_A_Meta-Analysis_of_Learning_Outcom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L902"/>
  <sheetViews>
    <sheetView tabSelected="1" zoomScaleNormal="100" workbookViewId="0">
      <pane xSplit="3" ySplit="1" topLeftCell="L2" activePane="bottomRight" state="frozen"/>
      <selection pane="topRight" activeCell="D1" sqref="D1"/>
      <selection pane="bottomLeft" activeCell="A2" sqref="A2"/>
      <selection pane="bottomRight"/>
    </sheetView>
  </sheetViews>
  <sheetFormatPr defaultColWidth="14.4140625" defaultRowHeight="12.75" customHeight="1" x14ac:dyDescent="0.3"/>
  <cols>
    <col min="1" max="2" width="5.25" style="9" customWidth="1"/>
    <col min="3" max="3" width="50.33203125" style="9" customWidth="1"/>
    <col min="4" max="4" width="7.1640625" style="9" customWidth="1"/>
    <col min="5" max="5" width="6.25" style="9" customWidth="1"/>
    <col min="6" max="6" width="26.4140625" style="9" customWidth="1"/>
    <col min="7" max="7" width="10.08203125" style="9" customWidth="1"/>
    <col min="8" max="10" width="12.9140625" style="9" customWidth="1"/>
    <col min="11" max="12" width="13.58203125" style="9" customWidth="1"/>
    <col min="13" max="13" width="7.6640625" style="9" customWidth="1"/>
    <col min="14" max="14" width="9.83203125" style="9" customWidth="1"/>
    <col min="15" max="15" width="10.58203125" style="9" customWidth="1"/>
    <col min="16" max="16" width="16.1640625" style="9" customWidth="1"/>
    <col min="17" max="17" width="9.83203125" style="83" customWidth="1"/>
    <col min="18" max="18" width="9.83203125" style="84" customWidth="1"/>
    <col min="19" max="19" width="7" style="9" customWidth="1"/>
    <col min="20" max="20" width="6.1640625" style="9" customWidth="1"/>
    <col min="21" max="21" width="7.83203125" style="9" customWidth="1"/>
    <col min="22" max="22" width="8.25" style="9" bestFit="1" customWidth="1"/>
    <col min="23" max="23" width="4" style="9" customWidth="1"/>
    <col min="24" max="24" width="6.83203125" style="9" customWidth="1"/>
    <col min="25" max="25" width="6.4140625" style="9" customWidth="1"/>
    <col min="26" max="26" width="8.58203125" style="9" customWidth="1"/>
    <col min="27" max="27" width="11.4140625" style="9" customWidth="1"/>
    <col min="28" max="28" width="7.4140625" style="9" customWidth="1"/>
    <col min="29" max="29" width="6.6640625" style="9" customWidth="1"/>
    <col min="30" max="30" width="6.1640625" style="9" customWidth="1"/>
    <col min="31" max="31" width="9.1640625" style="67" customWidth="1"/>
    <col min="32" max="35" width="9.1640625" style="9" customWidth="1"/>
    <col min="36" max="38" width="12.6640625" style="9" customWidth="1"/>
    <col min="39" max="16384" width="14.4140625" style="9"/>
  </cols>
  <sheetData>
    <row r="1" spans="1:38" ht="12.75" customHeight="1" x14ac:dyDescent="0.3">
      <c r="A1" s="53" t="s">
        <v>1305</v>
      </c>
      <c r="B1" s="53" t="s">
        <v>1491</v>
      </c>
      <c r="C1" s="54" t="s">
        <v>0</v>
      </c>
      <c r="D1" s="54" t="s">
        <v>1</v>
      </c>
      <c r="E1" s="54" t="s">
        <v>2</v>
      </c>
      <c r="F1" s="54" t="s">
        <v>3</v>
      </c>
      <c r="G1" s="54" t="s">
        <v>4</v>
      </c>
      <c r="H1" s="54" t="s">
        <v>1242</v>
      </c>
      <c r="I1" s="54" t="s">
        <v>5</v>
      </c>
      <c r="J1" s="54" t="s">
        <v>1221</v>
      </c>
      <c r="K1" s="54" t="s">
        <v>1471</v>
      </c>
      <c r="L1" s="54" t="s">
        <v>6</v>
      </c>
      <c r="M1" s="54" t="s">
        <v>7</v>
      </c>
      <c r="N1" s="54" t="s">
        <v>8</v>
      </c>
      <c r="O1" s="54" t="s">
        <v>9</v>
      </c>
      <c r="P1" s="54" t="s">
        <v>10</v>
      </c>
      <c r="Q1" s="55" t="s">
        <v>11</v>
      </c>
      <c r="R1" s="56" t="s">
        <v>12</v>
      </c>
      <c r="S1" s="57" t="s">
        <v>13</v>
      </c>
      <c r="T1" s="57" t="s">
        <v>14</v>
      </c>
      <c r="U1" s="57" t="s">
        <v>15</v>
      </c>
      <c r="V1" s="57" t="s">
        <v>16</v>
      </c>
      <c r="W1" s="54" t="s">
        <v>17</v>
      </c>
      <c r="X1" s="54" t="s">
        <v>18</v>
      </c>
      <c r="Y1" s="54" t="s">
        <v>19</v>
      </c>
      <c r="Z1" s="54" t="s">
        <v>20</v>
      </c>
      <c r="AA1" s="54" t="s">
        <v>21</v>
      </c>
      <c r="AB1" s="54" t="s">
        <v>22</v>
      </c>
      <c r="AC1" s="54" t="s">
        <v>23</v>
      </c>
      <c r="AD1" s="53" t="s">
        <v>24</v>
      </c>
      <c r="AE1" s="58"/>
      <c r="AF1" s="5" t="s">
        <v>590</v>
      </c>
      <c r="AG1" s="59"/>
      <c r="AH1" s="59"/>
      <c r="AI1" s="59"/>
      <c r="AJ1" s="60"/>
      <c r="AK1" s="60"/>
      <c r="AL1" s="60"/>
    </row>
    <row r="2" spans="1:38" ht="12.75" customHeight="1" x14ac:dyDescent="0.3">
      <c r="A2" s="61">
        <v>1</v>
      </c>
      <c r="B2" s="61">
        <v>1</v>
      </c>
      <c r="C2" s="61" t="s">
        <v>821</v>
      </c>
      <c r="D2" s="62" t="s">
        <v>25</v>
      </c>
      <c r="E2" s="62" t="s">
        <v>26</v>
      </c>
      <c r="F2" s="62" t="s">
        <v>27</v>
      </c>
      <c r="G2" s="62" t="s">
        <v>2</v>
      </c>
      <c r="H2" s="63">
        <v>1</v>
      </c>
      <c r="I2" s="62"/>
      <c r="J2" s="62">
        <v>1</v>
      </c>
      <c r="K2" s="62">
        <v>0</v>
      </c>
      <c r="L2" s="62">
        <v>15</v>
      </c>
      <c r="M2" s="62">
        <v>4</v>
      </c>
      <c r="N2" s="62">
        <v>0</v>
      </c>
      <c r="O2" s="62">
        <v>1</v>
      </c>
      <c r="P2" s="62" t="s">
        <v>29</v>
      </c>
      <c r="Q2" s="64">
        <v>5.5</v>
      </c>
      <c r="R2" s="65">
        <f>10/15</f>
        <v>0.66666666666666663</v>
      </c>
      <c r="S2" s="66">
        <v>2.4300000000000002</v>
      </c>
      <c r="T2" s="66">
        <v>2.41</v>
      </c>
      <c r="U2" s="66">
        <v>3.64</v>
      </c>
      <c r="V2" s="66">
        <v>3.08</v>
      </c>
      <c r="W2" s="62">
        <v>15</v>
      </c>
      <c r="X2" s="62">
        <v>0</v>
      </c>
      <c r="Y2" s="62">
        <v>0</v>
      </c>
      <c r="Z2" s="62" t="s">
        <v>30</v>
      </c>
      <c r="AA2" s="62" t="s">
        <v>1199</v>
      </c>
      <c r="AB2" s="62" t="s">
        <v>17</v>
      </c>
      <c r="AC2" s="62" t="s">
        <v>17</v>
      </c>
      <c r="AD2" s="61" t="s">
        <v>17</v>
      </c>
      <c r="AF2" s="4" t="s">
        <v>591</v>
      </c>
      <c r="AH2" s="68"/>
      <c r="AI2" s="67"/>
      <c r="AJ2" s="67"/>
      <c r="AK2" s="67"/>
    </row>
    <row r="3" spans="1:38" ht="12.75" customHeight="1" x14ac:dyDescent="0.3">
      <c r="A3" s="61">
        <v>2</v>
      </c>
      <c r="B3" s="61">
        <v>1</v>
      </c>
      <c r="C3" s="61" t="s">
        <v>821</v>
      </c>
      <c r="D3" s="62" t="s">
        <v>25</v>
      </c>
      <c r="E3" s="62" t="s">
        <v>26</v>
      </c>
      <c r="F3" s="62" t="s">
        <v>27</v>
      </c>
      <c r="G3" s="62" t="s">
        <v>2</v>
      </c>
      <c r="H3" s="63">
        <v>1</v>
      </c>
      <c r="I3" s="62"/>
      <c r="J3" s="62">
        <v>1</v>
      </c>
      <c r="K3" s="62">
        <v>0</v>
      </c>
      <c r="L3" s="62">
        <v>15</v>
      </c>
      <c r="M3" s="62">
        <v>4</v>
      </c>
      <c r="N3" s="62">
        <v>7</v>
      </c>
      <c r="O3" s="62">
        <v>1</v>
      </c>
      <c r="P3" s="62" t="s">
        <v>29</v>
      </c>
      <c r="Q3" s="64">
        <v>5.5</v>
      </c>
      <c r="R3" s="65">
        <f>10/15</f>
        <v>0.66666666666666663</v>
      </c>
      <c r="S3" s="66">
        <v>2.4300000000000002</v>
      </c>
      <c r="T3" s="66">
        <v>2.41</v>
      </c>
      <c r="U3" s="66">
        <v>4.21</v>
      </c>
      <c r="V3" s="66">
        <v>3.14</v>
      </c>
      <c r="W3" s="62">
        <v>14</v>
      </c>
      <c r="X3" s="62">
        <v>0</v>
      </c>
      <c r="Y3" s="62">
        <v>0</v>
      </c>
      <c r="Z3" s="62" t="s">
        <v>30</v>
      </c>
      <c r="AA3" s="62"/>
      <c r="AB3" s="62" t="s">
        <v>17</v>
      </c>
      <c r="AC3" s="62" t="s">
        <v>17</v>
      </c>
      <c r="AD3" s="61" t="s">
        <v>17</v>
      </c>
      <c r="AF3" s="4" t="s">
        <v>591</v>
      </c>
      <c r="AH3" s="68"/>
      <c r="AJ3" s="67"/>
      <c r="AK3" s="67"/>
      <c r="AL3" s="67"/>
    </row>
    <row r="4" spans="1:38" ht="12.75" customHeight="1" x14ac:dyDescent="0.3">
      <c r="A4" s="61">
        <v>3</v>
      </c>
      <c r="B4" s="61">
        <v>2</v>
      </c>
      <c r="C4" s="62" t="s">
        <v>803</v>
      </c>
      <c r="D4" s="62" t="s">
        <v>31</v>
      </c>
      <c r="E4" s="62" t="s">
        <v>32</v>
      </c>
      <c r="F4" s="62" t="s">
        <v>33</v>
      </c>
      <c r="G4" s="62" t="s">
        <v>34</v>
      </c>
      <c r="H4" s="63">
        <v>1</v>
      </c>
      <c r="I4" s="62"/>
      <c r="J4" s="62">
        <v>2</v>
      </c>
      <c r="K4" s="62" t="s">
        <v>32</v>
      </c>
      <c r="L4" s="62">
        <v>45</v>
      </c>
      <c r="M4" s="62">
        <v>1</v>
      </c>
      <c r="N4" s="62">
        <v>1</v>
      </c>
      <c r="O4" s="62">
        <v>1</v>
      </c>
      <c r="P4" s="62" t="s">
        <v>35</v>
      </c>
      <c r="Q4" s="64">
        <f>5</f>
        <v>5</v>
      </c>
      <c r="R4" s="65">
        <f>4/10</f>
        <v>0.4</v>
      </c>
      <c r="S4" s="66">
        <f>AVERAGE(0,1,4,1,0,4)</f>
        <v>1.6666666666666667</v>
      </c>
      <c r="T4" s="66">
        <f>STDEV(0,1,4,1,0,4)</f>
        <v>1.8618986725025255</v>
      </c>
      <c r="U4" s="66">
        <f>AVERAGE(3,4,5,2,1,4)</f>
        <v>3.1666666666666665</v>
      </c>
      <c r="V4" s="66">
        <f>STDEV(3,4,5,2,1,4)</f>
        <v>1.4719601443879746</v>
      </c>
      <c r="W4" s="62">
        <v>6</v>
      </c>
      <c r="X4" s="62">
        <v>0</v>
      </c>
      <c r="Y4" s="62">
        <v>0</v>
      </c>
      <c r="Z4" s="62" t="s">
        <v>36</v>
      </c>
      <c r="AA4" s="62"/>
      <c r="AB4" s="62" t="s">
        <v>17</v>
      </c>
      <c r="AC4" s="62" t="s">
        <v>17</v>
      </c>
      <c r="AD4" s="61" t="s">
        <v>17</v>
      </c>
      <c r="AF4" s="4" t="s">
        <v>592</v>
      </c>
      <c r="AJ4" s="69"/>
      <c r="AK4" s="69"/>
      <c r="AL4" s="69"/>
    </row>
    <row r="5" spans="1:38" ht="12.75" customHeight="1" x14ac:dyDescent="0.3">
      <c r="A5" s="61">
        <v>4</v>
      </c>
      <c r="B5" s="61">
        <v>2</v>
      </c>
      <c r="C5" s="62" t="s">
        <v>803</v>
      </c>
      <c r="D5" s="62" t="s">
        <v>31</v>
      </c>
      <c r="E5" s="62" t="s">
        <v>37</v>
      </c>
      <c r="F5" s="62" t="s">
        <v>33</v>
      </c>
      <c r="G5" s="62" t="s">
        <v>2</v>
      </c>
      <c r="H5" s="63">
        <v>1</v>
      </c>
      <c r="I5" s="62"/>
      <c r="J5" s="62">
        <v>1</v>
      </c>
      <c r="K5" s="62">
        <v>0</v>
      </c>
      <c r="L5" s="62">
        <v>45</v>
      </c>
      <c r="M5" s="62">
        <v>1</v>
      </c>
      <c r="N5" s="62">
        <v>1</v>
      </c>
      <c r="O5" s="62">
        <v>1</v>
      </c>
      <c r="P5" s="62" t="s">
        <v>35</v>
      </c>
      <c r="Q5" s="64">
        <f>5</f>
        <v>5</v>
      </c>
      <c r="R5" s="65">
        <f>4/10</f>
        <v>0.4</v>
      </c>
      <c r="S5" s="66">
        <f>AVERAGE(2,3,0,0)</f>
        <v>1.25</v>
      </c>
      <c r="T5" s="66">
        <f>STDEV(2,3,0,0)</f>
        <v>1.5</v>
      </c>
      <c r="U5" s="66">
        <f>AVERAGE(5,4,2,6)</f>
        <v>4.25</v>
      </c>
      <c r="V5" s="66">
        <f>STDEV(5,4,2,6)</f>
        <v>1.707825127659933</v>
      </c>
      <c r="W5" s="62">
        <v>4</v>
      </c>
      <c r="X5" s="62">
        <v>0</v>
      </c>
      <c r="Y5" s="62">
        <v>0</v>
      </c>
      <c r="Z5" s="62" t="s">
        <v>36</v>
      </c>
      <c r="AA5" s="62"/>
      <c r="AB5" s="62" t="s">
        <v>17</v>
      </c>
      <c r="AC5" s="62" t="s">
        <v>17</v>
      </c>
      <c r="AD5" s="61" t="s">
        <v>17</v>
      </c>
      <c r="AF5" s="4" t="s">
        <v>592</v>
      </c>
      <c r="AJ5" s="69"/>
      <c r="AK5" s="69"/>
      <c r="AL5" s="69"/>
    </row>
    <row r="6" spans="1:38" ht="12.75" customHeight="1" x14ac:dyDescent="0.3">
      <c r="A6" s="61">
        <v>5</v>
      </c>
      <c r="B6" s="61">
        <v>3</v>
      </c>
      <c r="C6" s="61" t="s">
        <v>744</v>
      </c>
      <c r="D6" s="62" t="s">
        <v>38</v>
      </c>
      <c r="E6" s="62" t="s">
        <v>32</v>
      </c>
      <c r="F6" s="62" t="s">
        <v>39</v>
      </c>
      <c r="G6" s="62" t="s">
        <v>34</v>
      </c>
      <c r="H6" s="63">
        <v>1</v>
      </c>
      <c r="I6" s="62"/>
      <c r="J6" s="62">
        <v>2</v>
      </c>
      <c r="K6" s="62" t="s">
        <v>32</v>
      </c>
      <c r="L6" s="62">
        <f>AVERAGE(15,20)</f>
        <v>17.5</v>
      </c>
      <c r="M6" s="62">
        <v>1</v>
      </c>
      <c r="N6" s="62">
        <v>0</v>
      </c>
      <c r="O6" s="62">
        <v>1</v>
      </c>
      <c r="P6" s="62" t="s">
        <v>1243</v>
      </c>
      <c r="Q6" s="64">
        <f>7</f>
        <v>7</v>
      </c>
      <c r="R6" s="65" t="s">
        <v>28</v>
      </c>
      <c r="S6" s="66">
        <v>12.37</v>
      </c>
      <c r="T6" s="66">
        <v>2.4792999999999998</v>
      </c>
      <c r="U6" s="66">
        <v>15</v>
      </c>
      <c r="V6" s="66">
        <v>1.8499000000000001</v>
      </c>
      <c r="W6" s="62">
        <v>16</v>
      </c>
      <c r="X6" s="62">
        <v>0</v>
      </c>
      <c r="Y6" s="62">
        <v>0</v>
      </c>
      <c r="Z6" s="62" t="s">
        <v>40</v>
      </c>
      <c r="AA6" s="62" t="s">
        <v>1635</v>
      </c>
      <c r="AB6" s="62" t="s">
        <v>17</v>
      </c>
      <c r="AC6" s="62" t="s">
        <v>17</v>
      </c>
      <c r="AD6" s="61" t="s">
        <v>17</v>
      </c>
      <c r="AF6" s="4" t="s">
        <v>593</v>
      </c>
      <c r="AJ6" s="69"/>
      <c r="AK6" s="69"/>
      <c r="AL6" s="69"/>
    </row>
    <row r="7" spans="1:38" ht="12.75" customHeight="1" x14ac:dyDescent="0.3">
      <c r="A7" s="61">
        <v>6</v>
      </c>
      <c r="B7" s="61">
        <v>3</v>
      </c>
      <c r="C7" s="61" t="s">
        <v>744</v>
      </c>
      <c r="D7" s="62" t="s">
        <v>38</v>
      </c>
      <c r="E7" s="62" t="s">
        <v>26</v>
      </c>
      <c r="F7" s="62" t="s">
        <v>39</v>
      </c>
      <c r="G7" s="62" t="s">
        <v>2</v>
      </c>
      <c r="H7" s="63">
        <v>1</v>
      </c>
      <c r="I7" s="62"/>
      <c r="J7" s="62">
        <v>2</v>
      </c>
      <c r="K7" s="62">
        <v>0</v>
      </c>
      <c r="L7" s="62">
        <f>AVERAGE(15,20)</f>
        <v>17.5</v>
      </c>
      <c r="M7" s="62">
        <v>1</v>
      </c>
      <c r="N7" s="62">
        <v>0</v>
      </c>
      <c r="O7" s="62">
        <v>1</v>
      </c>
      <c r="P7" s="62" t="s">
        <v>1243</v>
      </c>
      <c r="Q7" s="64">
        <f>7</f>
        <v>7</v>
      </c>
      <c r="R7" s="65" t="s">
        <v>28</v>
      </c>
      <c r="S7" s="66">
        <v>11.95</v>
      </c>
      <c r="T7" s="66">
        <v>2.4792999999999998</v>
      </c>
      <c r="U7" s="66">
        <v>14.29</v>
      </c>
      <c r="V7" s="66">
        <v>1.8499000000000001</v>
      </c>
      <c r="W7" s="62">
        <v>24</v>
      </c>
      <c r="X7" s="62">
        <v>0</v>
      </c>
      <c r="Y7" s="62">
        <v>0</v>
      </c>
      <c r="Z7" s="62" t="s">
        <v>40</v>
      </c>
      <c r="AA7" s="62"/>
      <c r="AB7" s="62" t="s">
        <v>17</v>
      </c>
      <c r="AC7" s="62" t="s">
        <v>17</v>
      </c>
      <c r="AD7" s="61" t="s">
        <v>17</v>
      </c>
      <c r="AF7" s="4" t="s">
        <v>593</v>
      </c>
      <c r="AJ7" s="69"/>
      <c r="AK7" s="69"/>
      <c r="AL7" s="69"/>
    </row>
    <row r="8" spans="1:38" ht="12.75" customHeight="1" x14ac:dyDescent="0.3">
      <c r="A8" s="61">
        <v>7</v>
      </c>
      <c r="B8" s="61">
        <v>4</v>
      </c>
      <c r="C8" s="61" t="s">
        <v>790</v>
      </c>
      <c r="D8" s="62" t="s">
        <v>41</v>
      </c>
      <c r="E8" s="62" t="s">
        <v>32</v>
      </c>
      <c r="F8" s="62" t="s">
        <v>42</v>
      </c>
      <c r="G8" s="62" t="s">
        <v>34</v>
      </c>
      <c r="H8" s="63">
        <v>0</v>
      </c>
      <c r="I8" s="62"/>
      <c r="J8" s="62">
        <v>1</v>
      </c>
      <c r="K8" s="62" t="s">
        <v>32</v>
      </c>
      <c r="L8" s="62">
        <v>10</v>
      </c>
      <c r="M8" s="62">
        <v>1</v>
      </c>
      <c r="N8" s="62">
        <v>0</v>
      </c>
      <c r="O8" s="62" t="s">
        <v>32</v>
      </c>
      <c r="P8" s="62" t="s">
        <v>43</v>
      </c>
      <c r="Q8" s="64">
        <v>3.69</v>
      </c>
      <c r="R8" s="65">
        <f>13/(13+21)</f>
        <v>0.38235294117647056</v>
      </c>
      <c r="S8" s="66"/>
      <c r="T8" s="66"/>
      <c r="U8" s="66">
        <v>1.73</v>
      </c>
      <c r="V8" s="66">
        <v>1.03</v>
      </c>
      <c r="W8" s="62">
        <v>15</v>
      </c>
      <c r="X8" s="62">
        <v>0</v>
      </c>
      <c r="Y8" s="62">
        <v>1</v>
      </c>
      <c r="Z8" s="62" t="s">
        <v>44</v>
      </c>
      <c r="AA8" s="62" t="s">
        <v>1633</v>
      </c>
      <c r="AB8" s="62" t="s">
        <v>45</v>
      </c>
      <c r="AC8" s="62" t="s">
        <v>17</v>
      </c>
      <c r="AD8" s="61" t="s">
        <v>45</v>
      </c>
      <c r="AF8" s="4" t="s">
        <v>594</v>
      </c>
      <c r="AJ8" s="67"/>
      <c r="AK8" s="67"/>
      <c r="AL8" s="67"/>
    </row>
    <row r="9" spans="1:38" ht="12.75" customHeight="1" x14ac:dyDescent="0.3">
      <c r="A9" s="61">
        <v>8</v>
      </c>
      <c r="B9" s="61">
        <v>4</v>
      </c>
      <c r="C9" s="61" t="s">
        <v>790</v>
      </c>
      <c r="D9" s="62" t="s">
        <v>41</v>
      </c>
      <c r="E9" s="62" t="s">
        <v>46</v>
      </c>
      <c r="F9" s="62" t="s">
        <v>42</v>
      </c>
      <c r="G9" s="62" t="s">
        <v>2</v>
      </c>
      <c r="H9" s="63">
        <v>0</v>
      </c>
      <c r="I9" s="62"/>
      <c r="J9" s="62">
        <v>1</v>
      </c>
      <c r="K9" s="62">
        <v>0</v>
      </c>
      <c r="L9" s="62">
        <v>10</v>
      </c>
      <c r="M9" s="62">
        <v>1</v>
      </c>
      <c r="N9" s="62">
        <v>0</v>
      </c>
      <c r="O9" s="62" t="s">
        <v>32</v>
      </c>
      <c r="P9" s="62" t="s">
        <v>43</v>
      </c>
      <c r="Q9" s="64">
        <v>3.69</v>
      </c>
      <c r="R9" s="65">
        <f>13/(13+21)</f>
        <v>0.38235294117647056</v>
      </c>
      <c r="S9" s="66"/>
      <c r="T9" s="66"/>
      <c r="U9" s="66">
        <v>1.76</v>
      </c>
      <c r="V9" s="66">
        <v>1.1100000000000001</v>
      </c>
      <c r="W9" s="62">
        <v>15</v>
      </c>
      <c r="X9" s="62">
        <v>0</v>
      </c>
      <c r="Y9" s="62">
        <v>1</v>
      </c>
      <c r="Z9" s="62" t="s">
        <v>44</v>
      </c>
      <c r="AA9" s="62"/>
      <c r="AB9" s="62" t="s">
        <v>45</v>
      </c>
      <c r="AC9" s="62" t="s">
        <v>17</v>
      </c>
      <c r="AD9" s="61" t="s">
        <v>45</v>
      </c>
      <c r="AF9" s="4" t="s">
        <v>594</v>
      </c>
      <c r="AJ9" s="67"/>
      <c r="AK9" s="67"/>
      <c r="AL9" s="67"/>
    </row>
    <row r="10" spans="1:38" ht="12.75" customHeight="1" x14ac:dyDescent="0.3">
      <c r="A10" s="61">
        <v>9</v>
      </c>
      <c r="B10" s="61">
        <v>5</v>
      </c>
      <c r="C10" s="61" t="s">
        <v>786</v>
      </c>
      <c r="D10" s="62" t="s">
        <v>47</v>
      </c>
      <c r="E10" s="62" t="s">
        <v>32</v>
      </c>
      <c r="F10" s="62" t="s">
        <v>48</v>
      </c>
      <c r="G10" s="62" t="s">
        <v>34</v>
      </c>
      <c r="H10" s="63">
        <v>1</v>
      </c>
      <c r="I10" s="62"/>
      <c r="J10" s="62">
        <v>1</v>
      </c>
      <c r="K10" s="70" t="s">
        <v>32</v>
      </c>
      <c r="L10" s="70">
        <f>13+10/60</f>
        <v>13.166666666666666</v>
      </c>
      <c r="M10" s="62">
        <v>1</v>
      </c>
      <c r="N10" s="62">
        <v>0</v>
      </c>
      <c r="O10" s="62">
        <v>2</v>
      </c>
      <c r="P10" s="62" t="s">
        <v>1311</v>
      </c>
      <c r="Q10" s="64">
        <v>8.8000000000000007</v>
      </c>
      <c r="R10" s="65">
        <f>10/(10+12)</f>
        <v>0.45454545454545453</v>
      </c>
      <c r="S10" s="66">
        <v>5.2</v>
      </c>
      <c r="T10" s="66">
        <v>2.23277700180049</v>
      </c>
      <c r="U10" s="66">
        <v>7.6</v>
      </c>
      <c r="V10" s="66">
        <v>3.20031370258071</v>
      </c>
      <c r="W10" s="62">
        <v>11</v>
      </c>
      <c r="X10" s="62">
        <v>0</v>
      </c>
      <c r="Y10" s="62">
        <v>0</v>
      </c>
      <c r="Z10" s="62" t="s">
        <v>49</v>
      </c>
      <c r="AA10" s="62" t="s">
        <v>1336</v>
      </c>
      <c r="AB10" s="62" t="s">
        <v>17</v>
      </c>
      <c r="AC10" s="62" t="s">
        <v>17</v>
      </c>
      <c r="AD10" s="61" t="s">
        <v>17</v>
      </c>
      <c r="AF10" s="4" t="s">
        <v>595</v>
      </c>
      <c r="AJ10" s="67"/>
      <c r="AK10" s="67"/>
      <c r="AL10" s="67"/>
    </row>
    <row r="11" spans="1:38" ht="12.75" customHeight="1" x14ac:dyDescent="0.3">
      <c r="A11" s="61">
        <v>10</v>
      </c>
      <c r="B11" s="61">
        <v>5</v>
      </c>
      <c r="C11" s="61" t="s">
        <v>786</v>
      </c>
      <c r="D11" s="62" t="s">
        <v>47</v>
      </c>
      <c r="E11" s="62" t="s">
        <v>26</v>
      </c>
      <c r="F11" s="62" t="s">
        <v>48</v>
      </c>
      <c r="G11" s="62" t="s">
        <v>2</v>
      </c>
      <c r="H11" s="63">
        <v>1</v>
      </c>
      <c r="I11" s="62"/>
      <c r="J11" s="62">
        <v>1</v>
      </c>
      <c r="K11" s="62">
        <v>0</v>
      </c>
      <c r="L11" s="70">
        <f>14+5/60</f>
        <v>14.083333333333334</v>
      </c>
      <c r="M11" s="62">
        <v>1</v>
      </c>
      <c r="N11" s="62">
        <v>0</v>
      </c>
      <c r="O11" s="62">
        <v>2</v>
      </c>
      <c r="P11" s="62" t="s">
        <v>1311</v>
      </c>
      <c r="Q11" s="64">
        <v>8.8000000000000007</v>
      </c>
      <c r="R11" s="65">
        <f>10/(10+12)</f>
        <v>0.45454545454545453</v>
      </c>
      <c r="S11" s="66">
        <v>5.0999999999999996</v>
      </c>
      <c r="T11" s="66">
        <v>2.5304806020405599</v>
      </c>
      <c r="U11" s="66">
        <v>7</v>
      </c>
      <c r="V11" s="66">
        <v>3.12588780252069</v>
      </c>
      <c r="W11" s="62">
        <v>11</v>
      </c>
      <c r="X11" s="62">
        <v>0</v>
      </c>
      <c r="Y11" s="62">
        <v>0</v>
      </c>
      <c r="Z11" s="62" t="s">
        <v>49</v>
      </c>
      <c r="AA11" s="62"/>
      <c r="AB11" s="62" t="s">
        <v>17</v>
      </c>
      <c r="AC11" s="62" t="s">
        <v>17</v>
      </c>
      <c r="AD11" s="61" t="s">
        <v>17</v>
      </c>
      <c r="AF11" s="4" t="s">
        <v>595</v>
      </c>
      <c r="AJ11" s="67"/>
      <c r="AK11" s="67"/>
      <c r="AL11" s="67"/>
    </row>
    <row r="12" spans="1:38" ht="12.75" customHeight="1" x14ac:dyDescent="0.3">
      <c r="A12" s="61">
        <v>11</v>
      </c>
      <c r="B12" s="61">
        <v>6</v>
      </c>
      <c r="C12" s="61" t="s">
        <v>734</v>
      </c>
      <c r="D12" s="62" t="s">
        <v>50</v>
      </c>
      <c r="E12" s="62" t="s">
        <v>32</v>
      </c>
      <c r="F12" s="62" t="s">
        <v>33</v>
      </c>
      <c r="G12" s="62" t="s">
        <v>34</v>
      </c>
      <c r="H12" s="63">
        <v>0</v>
      </c>
      <c r="I12" s="62"/>
      <c r="J12" s="62" t="s">
        <v>51</v>
      </c>
      <c r="K12" s="70" t="s">
        <v>32</v>
      </c>
      <c r="L12" s="62">
        <v>600</v>
      </c>
      <c r="M12" s="62">
        <f>2*4*4</f>
        <v>32</v>
      </c>
      <c r="N12" s="62">
        <v>0</v>
      </c>
      <c r="O12" s="62">
        <v>1</v>
      </c>
      <c r="P12" s="62" t="s">
        <v>52</v>
      </c>
      <c r="Q12" s="64">
        <v>12</v>
      </c>
      <c r="R12" s="65">
        <v>0</v>
      </c>
      <c r="S12" s="66">
        <v>13.31</v>
      </c>
      <c r="T12" s="66">
        <v>5.1639999999999997</v>
      </c>
      <c r="U12" s="66">
        <v>30.5</v>
      </c>
      <c r="V12" s="66">
        <v>5.1639999999999997</v>
      </c>
      <c r="W12" s="62">
        <v>16</v>
      </c>
      <c r="X12" s="62">
        <v>0</v>
      </c>
      <c r="Y12" s="62">
        <v>0</v>
      </c>
      <c r="Z12" s="62" t="s">
        <v>53</v>
      </c>
      <c r="AA12" s="62" t="s">
        <v>1318</v>
      </c>
      <c r="AB12" s="62" t="s">
        <v>45</v>
      </c>
      <c r="AC12" s="62" t="s">
        <v>45</v>
      </c>
      <c r="AD12" s="61" t="s">
        <v>45</v>
      </c>
      <c r="AF12" s="4" t="s">
        <v>596</v>
      </c>
      <c r="AJ12" s="67"/>
      <c r="AK12" s="67"/>
      <c r="AL12" s="67"/>
    </row>
    <row r="13" spans="1:38" ht="12.75" customHeight="1" x14ac:dyDescent="0.3">
      <c r="A13" s="61">
        <v>12</v>
      </c>
      <c r="B13" s="61">
        <v>6</v>
      </c>
      <c r="C13" s="61" t="s">
        <v>734</v>
      </c>
      <c r="D13" s="62" t="s">
        <v>50</v>
      </c>
      <c r="E13" s="62" t="s">
        <v>32</v>
      </c>
      <c r="F13" s="62" t="s">
        <v>33</v>
      </c>
      <c r="G13" s="62" t="s">
        <v>34</v>
      </c>
      <c r="H13" s="63">
        <v>0</v>
      </c>
      <c r="I13" s="62"/>
      <c r="J13" s="62" t="s">
        <v>51</v>
      </c>
      <c r="K13" s="70" t="s">
        <v>32</v>
      </c>
      <c r="L13" s="62">
        <v>600</v>
      </c>
      <c r="M13" s="62">
        <f>2*4*4</f>
        <v>32</v>
      </c>
      <c r="N13" s="62">
        <v>14</v>
      </c>
      <c r="O13" s="62">
        <v>1</v>
      </c>
      <c r="P13" s="62" t="s">
        <v>52</v>
      </c>
      <c r="Q13" s="64">
        <v>12</v>
      </c>
      <c r="R13" s="65">
        <v>0</v>
      </c>
      <c r="S13" s="66">
        <v>13.31</v>
      </c>
      <c r="T13" s="66">
        <v>5.1639999999999997</v>
      </c>
      <c r="U13" s="66">
        <v>27.06</v>
      </c>
      <c r="V13" s="66">
        <v>5.1639999999999997</v>
      </c>
      <c r="W13" s="62">
        <v>16</v>
      </c>
      <c r="X13" s="62">
        <v>0</v>
      </c>
      <c r="Y13" s="62">
        <v>0</v>
      </c>
      <c r="Z13" s="62" t="s">
        <v>53</v>
      </c>
      <c r="AA13" s="62"/>
      <c r="AB13" s="62" t="s">
        <v>45</v>
      </c>
      <c r="AC13" s="62" t="s">
        <v>45</v>
      </c>
      <c r="AD13" s="61" t="s">
        <v>45</v>
      </c>
      <c r="AF13" s="4" t="s">
        <v>596</v>
      </c>
      <c r="AJ13" s="67"/>
      <c r="AK13" s="67"/>
      <c r="AL13" s="67"/>
    </row>
    <row r="14" spans="1:38" ht="12.75" customHeight="1" x14ac:dyDescent="0.3">
      <c r="A14" s="61">
        <v>13</v>
      </c>
      <c r="B14" s="61">
        <v>6</v>
      </c>
      <c r="C14" s="61" t="s">
        <v>734</v>
      </c>
      <c r="D14" s="62" t="s">
        <v>50</v>
      </c>
      <c r="E14" s="62" t="s">
        <v>26</v>
      </c>
      <c r="F14" s="62" t="s">
        <v>33</v>
      </c>
      <c r="G14" s="62" t="s">
        <v>2</v>
      </c>
      <c r="H14" s="63">
        <v>0</v>
      </c>
      <c r="I14" s="62"/>
      <c r="J14" s="62" t="s">
        <v>51</v>
      </c>
      <c r="K14" s="62">
        <v>1</v>
      </c>
      <c r="L14" s="62">
        <v>600</v>
      </c>
      <c r="M14" s="62">
        <v>10</v>
      </c>
      <c r="N14" s="62">
        <v>0</v>
      </c>
      <c r="O14" s="62">
        <v>1</v>
      </c>
      <c r="P14" s="62" t="s">
        <v>52</v>
      </c>
      <c r="Q14" s="64">
        <v>12</v>
      </c>
      <c r="R14" s="65">
        <v>0</v>
      </c>
      <c r="S14" s="66">
        <v>13.53</v>
      </c>
      <c r="T14" s="66">
        <v>8.6739999999999995</v>
      </c>
      <c r="U14" s="66">
        <v>39.770000000000003</v>
      </c>
      <c r="V14" s="66">
        <v>8.6739999999999995</v>
      </c>
      <c r="W14" s="62">
        <v>30</v>
      </c>
      <c r="X14" s="62">
        <v>0</v>
      </c>
      <c r="Y14" s="62">
        <v>0</v>
      </c>
      <c r="Z14" s="62" t="s">
        <v>54</v>
      </c>
      <c r="AA14" s="62"/>
      <c r="AB14" s="62" t="s">
        <v>45</v>
      </c>
      <c r="AC14" s="62" t="s">
        <v>45</v>
      </c>
      <c r="AD14" s="61" t="s">
        <v>45</v>
      </c>
      <c r="AF14" s="4" t="s">
        <v>596</v>
      </c>
      <c r="AJ14" s="67"/>
      <c r="AK14" s="67"/>
      <c r="AL14" s="67"/>
    </row>
    <row r="15" spans="1:38" ht="12.75" customHeight="1" x14ac:dyDescent="0.3">
      <c r="A15" s="61">
        <v>14</v>
      </c>
      <c r="B15" s="61">
        <v>6</v>
      </c>
      <c r="C15" s="61" t="s">
        <v>734</v>
      </c>
      <c r="D15" s="62" t="s">
        <v>50</v>
      </c>
      <c r="E15" s="62" t="s">
        <v>26</v>
      </c>
      <c r="F15" s="62" t="s">
        <v>33</v>
      </c>
      <c r="G15" s="62" t="s">
        <v>2</v>
      </c>
      <c r="H15" s="63">
        <v>0</v>
      </c>
      <c r="I15" s="62"/>
      <c r="J15" s="62" t="s">
        <v>51</v>
      </c>
      <c r="K15" s="62">
        <v>1</v>
      </c>
      <c r="L15" s="62">
        <v>600</v>
      </c>
      <c r="M15" s="62">
        <v>10</v>
      </c>
      <c r="N15" s="62">
        <v>14</v>
      </c>
      <c r="O15" s="62">
        <v>1</v>
      </c>
      <c r="P15" s="62" t="s">
        <v>52</v>
      </c>
      <c r="Q15" s="64">
        <v>12</v>
      </c>
      <c r="R15" s="65">
        <v>0</v>
      </c>
      <c r="S15" s="66">
        <v>13.53</v>
      </c>
      <c r="T15" s="66">
        <v>8.6739999999999995</v>
      </c>
      <c r="U15" s="66">
        <v>39.5</v>
      </c>
      <c r="V15" s="66">
        <v>8.6739999999999995</v>
      </c>
      <c r="W15" s="62">
        <v>30</v>
      </c>
      <c r="X15" s="62">
        <v>0</v>
      </c>
      <c r="Y15" s="62">
        <v>0</v>
      </c>
      <c r="Z15" s="62" t="s">
        <v>54</v>
      </c>
      <c r="AA15" s="62"/>
      <c r="AB15" s="62" t="s">
        <v>45</v>
      </c>
      <c r="AC15" s="62" t="s">
        <v>45</v>
      </c>
      <c r="AD15" s="61" t="s">
        <v>45</v>
      </c>
      <c r="AF15" s="4" t="s">
        <v>596</v>
      </c>
      <c r="AJ15" s="67"/>
      <c r="AK15" s="67"/>
      <c r="AL15" s="67"/>
    </row>
    <row r="16" spans="1:38" ht="12.75" customHeight="1" x14ac:dyDescent="0.3">
      <c r="A16" s="61">
        <v>15</v>
      </c>
      <c r="B16" s="61">
        <v>7</v>
      </c>
      <c r="C16" s="61" t="s">
        <v>732</v>
      </c>
      <c r="D16" s="62" t="s">
        <v>50</v>
      </c>
      <c r="E16" s="62" t="s">
        <v>32</v>
      </c>
      <c r="F16" s="62" t="s">
        <v>33</v>
      </c>
      <c r="G16" s="62" t="s">
        <v>34</v>
      </c>
      <c r="H16" s="63">
        <v>0</v>
      </c>
      <c r="I16" s="62"/>
      <c r="J16" s="62" t="s">
        <v>51</v>
      </c>
      <c r="K16" s="70" t="s">
        <v>32</v>
      </c>
      <c r="L16" s="62">
        <f>32*60</f>
        <v>1920</v>
      </c>
      <c r="M16" s="62">
        <v>8</v>
      </c>
      <c r="N16" s="62" t="s">
        <v>28</v>
      </c>
      <c r="O16" s="62" t="s">
        <v>32</v>
      </c>
      <c r="P16" s="62" t="s">
        <v>55</v>
      </c>
      <c r="Q16" s="64">
        <v>4.5</v>
      </c>
      <c r="R16" s="65" t="s">
        <v>28</v>
      </c>
      <c r="S16" s="66"/>
      <c r="T16" s="66"/>
      <c r="U16" s="66">
        <v>14.92</v>
      </c>
      <c r="V16" s="66">
        <v>1.61</v>
      </c>
      <c r="W16" s="62">
        <v>19</v>
      </c>
      <c r="X16" s="62">
        <v>0</v>
      </c>
      <c r="Y16" s="62">
        <v>0</v>
      </c>
      <c r="Z16" s="62" t="s">
        <v>56</v>
      </c>
      <c r="AA16" s="62"/>
      <c r="AB16" s="62" t="s">
        <v>17</v>
      </c>
      <c r="AC16" s="62" t="s">
        <v>17</v>
      </c>
      <c r="AD16" s="61" t="s">
        <v>17</v>
      </c>
      <c r="AF16" s="4" t="s">
        <v>597</v>
      </c>
      <c r="AJ16" s="67"/>
      <c r="AK16" s="67"/>
      <c r="AL16" s="67"/>
    </row>
    <row r="17" spans="1:38" ht="12.75" customHeight="1" x14ac:dyDescent="0.3">
      <c r="A17" s="61">
        <v>16</v>
      </c>
      <c r="B17" s="61">
        <v>7</v>
      </c>
      <c r="C17" s="61" t="s">
        <v>732</v>
      </c>
      <c r="D17" s="62" t="s">
        <v>50</v>
      </c>
      <c r="E17" s="62" t="s">
        <v>26</v>
      </c>
      <c r="F17" s="62" t="s">
        <v>33</v>
      </c>
      <c r="G17" s="62" t="s">
        <v>2</v>
      </c>
      <c r="H17" s="63">
        <v>0</v>
      </c>
      <c r="I17" s="62"/>
      <c r="J17" s="62" t="s">
        <v>51</v>
      </c>
      <c r="K17" s="62">
        <v>1</v>
      </c>
      <c r="L17" s="62">
        <f>8*60</f>
        <v>480</v>
      </c>
      <c r="M17" s="62">
        <v>8</v>
      </c>
      <c r="N17" s="62" t="s">
        <v>28</v>
      </c>
      <c r="O17" s="62" t="s">
        <v>32</v>
      </c>
      <c r="P17" s="62" t="s">
        <v>55</v>
      </c>
      <c r="Q17" s="64">
        <v>4.5</v>
      </c>
      <c r="R17" s="65" t="s">
        <v>28</v>
      </c>
      <c r="S17" s="66"/>
      <c r="T17" s="66"/>
      <c r="U17" s="66">
        <v>17.21</v>
      </c>
      <c r="V17" s="66">
        <v>2.0699999999999998</v>
      </c>
      <c r="W17" s="62">
        <v>19</v>
      </c>
      <c r="X17" s="62">
        <v>0</v>
      </c>
      <c r="Y17" s="62">
        <v>0</v>
      </c>
      <c r="Z17" s="62" t="s">
        <v>56</v>
      </c>
      <c r="AA17" s="62"/>
      <c r="AB17" s="62" t="s">
        <v>17</v>
      </c>
      <c r="AC17" s="62" t="s">
        <v>17</v>
      </c>
      <c r="AD17" s="61" t="s">
        <v>17</v>
      </c>
      <c r="AF17" s="4" t="s">
        <v>597</v>
      </c>
      <c r="AJ17" s="67"/>
      <c r="AK17" s="67"/>
      <c r="AL17" s="67"/>
    </row>
    <row r="18" spans="1:38" ht="12.75" customHeight="1" x14ac:dyDescent="0.3">
      <c r="A18" s="61">
        <v>17</v>
      </c>
      <c r="B18" s="61">
        <v>8</v>
      </c>
      <c r="C18" s="61" t="s">
        <v>809</v>
      </c>
      <c r="D18" s="62" t="s">
        <v>57</v>
      </c>
      <c r="E18" s="62" t="s">
        <v>32</v>
      </c>
      <c r="F18" s="62" t="s">
        <v>58</v>
      </c>
      <c r="G18" s="62" t="s">
        <v>34</v>
      </c>
      <c r="H18" s="63">
        <v>0</v>
      </c>
      <c r="I18" s="62"/>
      <c r="J18" s="62" t="s">
        <v>51</v>
      </c>
      <c r="K18" s="70" t="s">
        <v>32</v>
      </c>
      <c r="L18" s="62">
        <v>9.5</v>
      </c>
      <c r="M18" s="62">
        <v>1</v>
      </c>
      <c r="N18" s="62">
        <v>1</v>
      </c>
      <c r="O18" s="62" t="s">
        <v>32</v>
      </c>
      <c r="P18" s="62" t="s">
        <v>1245</v>
      </c>
      <c r="Q18" s="64">
        <v>11</v>
      </c>
      <c r="R18" s="65">
        <v>0.5</v>
      </c>
      <c r="S18" s="66"/>
      <c r="T18" s="66"/>
      <c r="U18" s="66">
        <v>1.08</v>
      </c>
      <c r="V18" s="66">
        <v>7.6999999999999999E-2</v>
      </c>
      <c r="W18" s="62">
        <v>19</v>
      </c>
      <c r="X18" s="62">
        <v>0</v>
      </c>
      <c r="Y18" s="62">
        <v>0</v>
      </c>
      <c r="Z18" s="62" t="s">
        <v>1244</v>
      </c>
      <c r="AA18" s="62" t="s">
        <v>1383</v>
      </c>
      <c r="AB18" s="62" t="s">
        <v>17</v>
      </c>
      <c r="AC18" s="62" t="s">
        <v>17</v>
      </c>
      <c r="AD18" s="61" t="s">
        <v>17</v>
      </c>
      <c r="AF18" s="4" t="s">
        <v>598</v>
      </c>
      <c r="AJ18" s="67"/>
      <c r="AK18" s="67"/>
      <c r="AL18" s="67"/>
    </row>
    <row r="19" spans="1:38" ht="12.75" customHeight="1" x14ac:dyDescent="0.3">
      <c r="A19" s="61">
        <v>18</v>
      </c>
      <c r="B19" s="61">
        <v>8</v>
      </c>
      <c r="C19" s="61" t="s">
        <v>809</v>
      </c>
      <c r="D19" s="62" t="s">
        <v>57</v>
      </c>
      <c r="E19" s="62" t="s">
        <v>32</v>
      </c>
      <c r="F19" s="62" t="s">
        <v>58</v>
      </c>
      <c r="G19" s="62" t="s">
        <v>60</v>
      </c>
      <c r="H19" s="63">
        <v>0</v>
      </c>
      <c r="I19" s="62"/>
      <c r="J19" s="62" t="s">
        <v>32</v>
      </c>
      <c r="K19" s="62" t="s">
        <v>32</v>
      </c>
      <c r="L19" s="62" t="s">
        <v>32</v>
      </c>
      <c r="M19" s="62" t="s">
        <v>32</v>
      </c>
      <c r="N19" s="62" t="s">
        <v>32</v>
      </c>
      <c r="O19" s="62" t="s">
        <v>32</v>
      </c>
      <c r="P19" s="62" t="s">
        <v>1245</v>
      </c>
      <c r="Q19" s="64">
        <v>11</v>
      </c>
      <c r="R19" s="65">
        <v>0.5</v>
      </c>
      <c r="S19" s="66"/>
      <c r="T19" s="66"/>
      <c r="U19" s="66">
        <v>1.1299999999999999</v>
      </c>
      <c r="V19" s="66">
        <v>7.6999999999999999E-2</v>
      </c>
      <c r="W19" s="62">
        <v>11</v>
      </c>
      <c r="X19" s="62">
        <v>0</v>
      </c>
      <c r="Y19" s="62">
        <v>0</v>
      </c>
      <c r="Z19" s="62" t="s">
        <v>61</v>
      </c>
      <c r="AA19" s="62"/>
      <c r="AB19" s="62" t="s">
        <v>17</v>
      </c>
      <c r="AC19" s="62" t="s">
        <v>17</v>
      </c>
      <c r="AD19" s="61" t="s">
        <v>17</v>
      </c>
      <c r="AF19" s="4" t="s">
        <v>598</v>
      </c>
      <c r="AJ19" s="67"/>
      <c r="AK19" s="67"/>
      <c r="AL19" s="67"/>
    </row>
    <row r="20" spans="1:38" ht="12.75" customHeight="1" x14ac:dyDescent="0.3">
      <c r="A20" s="61">
        <v>19</v>
      </c>
      <c r="B20" s="61">
        <v>8</v>
      </c>
      <c r="C20" s="61" t="s">
        <v>809</v>
      </c>
      <c r="D20" s="62" t="s">
        <v>57</v>
      </c>
      <c r="E20" s="62" t="s">
        <v>26</v>
      </c>
      <c r="F20" s="62" t="s">
        <v>58</v>
      </c>
      <c r="G20" s="62" t="s">
        <v>2</v>
      </c>
      <c r="H20" s="63">
        <v>0</v>
      </c>
      <c r="I20" s="62"/>
      <c r="J20" s="62" t="s">
        <v>51</v>
      </c>
      <c r="K20" s="62">
        <v>0</v>
      </c>
      <c r="L20" s="62">
        <v>9.5</v>
      </c>
      <c r="M20" s="62">
        <v>1</v>
      </c>
      <c r="N20" s="62">
        <v>1</v>
      </c>
      <c r="O20" s="62" t="s">
        <v>32</v>
      </c>
      <c r="P20" s="62" t="s">
        <v>1245</v>
      </c>
      <c r="Q20" s="64">
        <v>11</v>
      </c>
      <c r="R20" s="65">
        <v>0.5</v>
      </c>
      <c r="S20" s="66"/>
      <c r="T20" s="66"/>
      <c r="U20" s="66">
        <v>1.1000000000000001</v>
      </c>
      <c r="V20" s="66">
        <v>7.6999999999999999E-2</v>
      </c>
      <c r="W20" s="62">
        <v>20</v>
      </c>
      <c r="X20" s="62">
        <v>0</v>
      </c>
      <c r="Y20" s="62">
        <v>0</v>
      </c>
      <c r="Z20" s="62" t="s">
        <v>59</v>
      </c>
      <c r="AA20" s="62"/>
      <c r="AB20" s="62" t="s">
        <v>17</v>
      </c>
      <c r="AC20" s="62" t="s">
        <v>17</v>
      </c>
      <c r="AD20" s="61" t="s">
        <v>17</v>
      </c>
      <c r="AF20" s="4" t="s">
        <v>598</v>
      </c>
      <c r="AJ20" s="67"/>
      <c r="AK20" s="67"/>
      <c r="AL20" s="67"/>
    </row>
    <row r="21" spans="1:38" ht="12.75" customHeight="1" x14ac:dyDescent="0.3">
      <c r="A21" s="61">
        <v>20</v>
      </c>
      <c r="B21" s="61">
        <v>9</v>
      </c>
      <c r="C21" s="61" t="s">
        <v>752</v>
      </c>
      <c r="D21" s="62" t="s">
        <v>62</v>
      </c>
      <c r="E21" s="62" t="s">
        <v>32</v>
      </c>
      <c r="F21" s="62" t="s">
        <v>63</v>
      </c>
      <c r="G21" s="62" t="s">
        <v>34</v>
      </c>
      <c r="H21" s="63">
        <v>0</v>
      </c>
      <c r="I21" s="61"/>
      <c r="J21" s="62" t="s">
        <v>51</v>
      </c>
      <c r="K21" s="62" t="s">
        <v>32</v>
      </c>
      <c r="L21" s="62">
        <f>6*40</f>
        <v>240</v>
      </c>
      <c r="M21" s="62">
        <v>6</v>
      </c>
      <c r="N21" s="62">
        <v>0</v>
      </c>
      <c r="O21" s="62">
        <v>2</v>
      </c>
      <c r="P21" s="62" t="s">
        <v>65</v>
      </c>
      <c r="Q21" s="64">
        <v>8.6999999999999993</v>
      </c>
      <c r="R21" s="65">
        <f>27/(27+25)</f>
        <v>0.51923076923076927</v>
      </c>
      <c r="S21" s="66">
        <v>75.260000000000005</v>
      </c>
      <c r="T21" s="66">
        <v>11.336</v>
      </c>
      <c r="U21" s="66">
        <v>79.78</v>
      </c>
      <c r="V21" s="66">
        <v>17.655999999999999</v>
      </c>
      <c r="W21" s="62">
        <v>27</v>
      </c>
      <c r="X21" s="62">
        <v>0</v>
      </c>
      <c r="Y21" s="62">
        <v>0</v>
      </c>
      <c r="Z21" s="62" t="s">
        <v>66</v>
      </c>
      <c r="AA21" s="62" t="s">
        <v>1190</v>
      </c>
      <c r="AB21" s="62" t="s">
        <v>17</v>
      </c>
      <c r="AC21" s="62" t="s">
        <v>17</v>
      </c>
      <c r="AD21" s="61" t="s">
        <v>17</v>
      </c>
      <c r="AF21" s="4" t="s">
        <v>599</v>
      </c>
      <c r="AJ21" s="67"/>
      <c r="AK21" s="67"/>
      <c r="AL21" s="67"/>
    </row>
    <row r="22" spans="1:38" ht="12.75" customHeight="1" x14ac:dyDescent="0.3">
      <c r="A22" s="61">
        <v>21</v>
      </c>
      <c r="B22" s="61">
        <v>9</v>
      </c>
      <c r="C22" s="61" t="s">
        <v>752</v>
      </c>
      <c r="D22" s="62" t="s">
        <v>62</v>
      </c>
      <c r="E22" s="62" t="s">
        <v>67</v>
      </c>
      <c r="F22" s="62" t="s">
        <v>63</v>
      </c>
      <c r="G22" s="62" t="s">
        <v>2</v>
      </c>
      <c r="H22" s="63">
        <v>0</v>
      </c>
      <c r="I22" s="62"/>
      <c r="J22" s="62" t="s">
        <v>51</v>
      </c>
      <c r="K22" s="62">
        <v>1</v>
      </c>
      <c r="L22" s="62">
        <f>6*40</f>
        <v>240</v>
      </c>
      <c r="M22" s="62">
        <v>6</v>
      </c>
      <c r="N22" s="62">
        <v>0</v>
      </c>
      <c r="O22" s="62">
        <v>2</v>
      </c>
      <c r="P22" s="62" t="s">
        <v>65</v>
      </c>
      <c r="Q22" s="64">
        <v>8.6999999999999993</v>
      </c>
      <c r="R22" s="65">
        <f>27/(27+25)</f>
        <v>0.51923076923076927</v>
      </c>
      <c r="S22" s="66">
        <v>74.36</v>
      </c>
      <c r="T22" s="66">
        <v>13.218999999999999</v>
      </c>
      <c r="U22" s="66">
        <v>90.84</v>
      </c>
      <c r="V22" s="66">
        <v>10.609</v>
      </c>
      <c r="W22" s="62">
        <v>25</v>
      </c>
      <c r="X22" s="62">
        <v>0</v>
      </c>
      <c r="Y22" s="62">
        <v>0</v>
      </c>
      <c r="Z22" s="62" t="s">
        <v>66</v>
      </c>
      <c r="AA22" s="62"/>
      <c r="AB22" s="62" t="s">
        <v>17</v>
      </c>
      <c r="AC22" s="62" t="s">
        <v>17</v>
      </c>
      <c r="AD22" s="61" t="s">
        <v>17</v>
      </c>
      <c r="AF22" s="4" t="s">
        <v>599</v>
      </c>
      <c r="AJ22" s="67"/>
      <c r="AK22" s="67"/>
      <c r="AL22" s="67"/>
    </row>
    <row r="23" spans="1:38" ht="12.75" customHeight="1" x14ac:dyDescent="0.3">
      <c r="A23" s="61">
        <v>22</v>
      </c>
      <c r="B23" s="61">
        <v>10</v>
      </c>
      <c r="C23" s="61" t="s">
        <v>775</v>
      </c>
      <c r="D23" s="62" t="s">
        <v>68</v>
      </c>
      <c r="E23" s="62" t="s">
        <v>69</v>
      </c>
      <c r="F23" s="62" t="s">
        <v>70</v>
      </c>
      <c r="G23" s="62" t="s">
        <v>2</v>
      </c>
      <c r="H23" s="63">
        <v>0</v>
      </c>
      <c r="I23" s="62"/>
      <c r="J23" s="62">
        <v>1</v>
      </c>
      <c r="K23" s="62">
        <v>0</v>
      </c>
      <c r="L23" s="62">
        <f t="shared" ref="L23:L43" si="0">7*30</f>
        <v>210</v>
      </c>
      <c r="M23" s="62">
        <v>7</v>
      </c>
      <c r="N23" s="62">
        <v>0</v>
      </c>
      <c r="O23" s="62">
        <v>1</v>
      </c>
      <c r="P23" s="62" t="s">
        <v>71</v>
      </c>
      <c r="Q23" s="64">
        <v>19.3</v>
      </c>
      <c r="R23" s="65">
        <v>0</v>
      </c>
      <c r="S23" s="66">
        <v>4.33</v>
      </c>
      <c r="T23" s="66">
        <v>0.71099999999999997</v>
      </c>
      <c r="U23" s="66">
        <v>5.65</v>
      </c>
      <c r="V23" s="66">
        <v>0.4</v>
      </c>
      <c r="W23" s="62">
        <v>9</v>
      </c>
      <c r="X23" s="62">
        <v>0</v>
      </c>
      <c r="Y23" s="62">
        <v>0</v>
      </c>
      <c r="Z23" s="62" t="s">
        <v>72</v>
      </c>
      <c r="AA23" s="62" t="s">
        <v>73</v>
      </c>
      <c r="AB23" s="62" t="s">
        <v>17</v>
      </c>
      <c r="AC23" s="62" t="s">
        <v>17</v>
      </c>
      <c r="AD23" s="61" t="s">
        <v>45</v>
      </c>
      <c r="AF23" s="11" t="s">
        <v>600</v>
      </c>
      <c r="AJ23" s="67"/>
      <c r="AK23" s="67"/>
      <c r="AL23" s="67"/>
    </row>
    <row r="24" spans="1:38" ht="12.75" customHeight="1" x14ac:dyDescent="0.3">
      <c r="A24" s="61">
        <v>23</v>
      </c>
      <c r="B24" s="61">
        <v>10</v>
      </c>
      <c r="C24" s="61" t="s">
        <v>775</v>
      </c>
      <c r="D24" s="62" t="s">
        <v>68</v>
      </c>
      <c r="E24" s="62" t="s">
        <v>69</v>
      </c>
      <c r="F24" s="62" t="s">
        <v>70</v>
      </c>
      <c r="G24" s="62" t="s">
        <v>2</v>
      </c>
      <c r="H24" s="63">
        <v>0</v>
      </c>
      <c r="I24" s="62"/>
      <c r="J24" s="62">
        <v>1</v>
      </c>
      <c r="K24" s="62">
        <v>0</v>
      </c>
      <c r="L24" s="62">
        <f t="shared" si="0"/>
        <v>210</v>
      </c>
      <c r="M24" s="62">
        <v>7</v>
      </c>
      <c r="N24" s="62">
        <v>0</v>
      </c>
      <c r="O24" s="62">
        <v>2</v>
      </c>
      <c r="P24" s="62" t="s">
        <v>71</v>
      </c>
      <c r="Q24" s="64">
        <v>19.3</v>
      </c>
      <c r="R24" s="65">
        <v>0</v>
      </c>
      <c r="S24" s="66">
        <v>4.33</v>
      </c>
      <c r="T24" s="66">
        <v>0.71099999999999997</v>
      </c>
      <c r="U24" s="66">
        <v>4.58</v>
      </c>
      <c r="V24" s="66">
        <v>0.59</v>
      </c>
      <c r="W24" s="62">
        <v>9</v>
      </c>
      <c r="X24" s="62">
        <v>0</v>
      </c>
      <c r="Y24" s="62">
        <v>0</v>
      </c>
      <c r="Z24" s="62" t="s">
        <v>72</v>
      </c>
      <c r="AA24" s="62" t="s">
        <v>74</v>
      </c>
      <c r="AB24" s="62" t="s">
        <v>17</v>
      </c>
      <c r="AC24" s="62" t="s">
        <v>17</v>
      </c>
      <c r="AD24" s="61" t="s">
        <v>45</v>
      </c>
      <c r="AF24" s="11" t="s">
        <v>600</v>
      </c>
      <c r="AJ24" s="67"/>
      <c r="AK24" s="67"/>
      <c r="AL24" s="67"/>
    </row>
    <row r="25" spans="1:38" ht="12.75" customHeight="1" x14ac:dyDescent="0.3">
      <c r="A25" s="61">
        <v>24</v>
      </c>
      <c r="B25" s="61">
        <v>10</v>
      </c>
      <c r="C25" s="61" t="s">
        <v>775</v>
      </c>
      <c r="D25" s="62" t="s">
        <v>68</v>
      </c>
      <c r="E25" s="62" t="s">
        <v>69</v>
      </c>
      <c r="F25" s="62" t="s">
        <v>70</v>
      </c>
      <c r="G25" s="62" t="s">
        <v>2</v>
      </c>
      <c r="H25" s="63">
        <v>0</v>
      </c>
      <c r="I25" s="62"/>
      <c r="J25" s="62">
        <v>1</v>
      </c>
      <c r="K25" s="62">
        <v>0</v>
      </c>
      <c r="L25" s="62">
        <f t="shared" si="0"/>
        <v>210</v>
      </c>
      <c r="M25" s="62">
        <v>7</v>
      </c>
      <c r="N25" s="62">
        <v>0</v>
      </c>
      <c r="O25" s="62">
        <v>2</v>
      </c>
      <c r="P25" s="62" t="s">
        <v>71</v>
      </c>
      <c r="Q25" s="64">
        <v>19.3</v>
      </c>
      <c r="R25" s="65">
        <v>0</v>
      </c>
      <c r="S25" s="66">
        <v>4.33</v>
      </c>
      <c r="T25" s="66">
        <v>0.71099999999999997</v>
      </c>
      <c r="U25" s="66">
        <v>4.7699999999999996</v>
      </c>
      <c r="V25" s="66">
        <v>0.44600000000000001</v>
      </c>
      <c r="W25" s="62">
        <v>9</v>
      </c>
      <c r="X25" s="62">
        <v>0</v>
      </c>
      <c r="Y25" s="62">
        <v>0</v>
      </c>
      <c r="Z25" s="62" t="s">
        <v>72</v>
      </c>
      <c r="AA25" s="62" t="s">
        <v>75</v>
      </c>
      <c r="AB25" s="62" t="s">
        <v>17</v>
      </c>
      <c r="AC25" s="62" t="s">
        <v>17</v>
      </c>
      <c r="AD25" s="61" t="s">
        <v>45</v>
      </c>
      <c r="AF25" s="11" t="s">
        <v>600</v>
      </c>
      <c r="AJ25" s="67"/>
      <c r="AK25" s="67"/>
      <c r="AL25" s="67"/>
    </row>
    <row r="26" spans="1:38" ht="12.75" customHeight="1" x14ac:dyDescent="0.3">
      <c r="A26" s="61">
        <v>25</v>
      </c>
      <c r="B26" s="61">
        <v>10</v>
      </c>
      <c r="C26" s="61" t="s">
        <v>775</v>
      </c>
      <c r="D26" s="62" t="s">
        <v>68</v>
      </c>
      <c r="E26" s="62" t="s">
        <v>69</v>
      </c>
      <c r="F26" s="62" t="s">
        <v>70</v>
      </c>
      <c r="G26" s="62" t="s">
        <v>2</v>
      </c>
      <c r="H26" s="63">
        <v>0</v>
      </c>
      <c r="I26" s="62"/>
      <c r="J26" s="62">
        <v>1</v>
      </c>
      <c r="K26" s="62">
        <v>0</v>
      </c>
      <c r="L26" s="62">
        <f t="shared" si="0"/>
        <v>210</v>
      </c>
      <c r="M26" s="62">
        <v>7</v>
      </c>
      <c r="N26" s="62">
        <v>0</v>
      </c>
      <c r="O26" s="62">
        <v>1</v>
      </c>
      <c r="P26" s="62" t="s">
        <v>76</v>
      </c>
      <c r="Q26" s="64">
        <v>19.3</v>
      </c>
      <c r="R26" s="65">
        <v>0</v>
      </c>
      <c r="S26" s="66">
        <v>9.76</v>
      </c>
      <c r="T26" s="66">
        <v>4.2</v>
      </c>
      <c r="U26" s="66">
        <v>0.78</v>
      </c>
      <c r="V26" s="66">
        <v>1</v>
      </c>
      <c r="W26" s="62">
        <v>9</v>
      </c>
      <c r="X26" s="62">
        <v>1</v>
      </c>
      <c r="Y26" s="62">
        <v>0</v>
      </c>
      <c r="Z26" s="62" t="s">
        <v>72</v>
      </c>
      <c r="AA26" s="62" t="s">
        <v>73</v>
      </c>
      <c r="AB26" s="62" t="s">
        <v>17</v>
      </c>
      <c r="AC26" s="62" t="s">
        <v>17</v>
      </c>
      <c r="AD26" s="61" t="s">
        <v>45</v>
      </c>
      <c r="AF26" s="11" t="s">
        <v>600</v>
      </c>
      <c r="AJ26" s="67"/>
      <c r="AK26" s="67"/>
      <c r="AL26" s="67"/>
    </row>
    <row r="27" spans="1:38" ht="12.75" customHeight="1" x14ac:dyDescent="0.3">
      <c r="A27" s="61">
        <v>26</v>
      </c>
      <c r="B27" s="61">
        <v>10</v>
      </c>
      <c r="C27" s="61" t="s">
        <v>775</v>
      </c>
      <c r="D27" s="62" t="s">
        <v>68</v>
      </c>
      <c r="E27" s="62" t="s">
        <v>69</v>
      </c>
      <c r="F27" s="62" t="s">
        <v>70</v>
      </c>
      <c r="G27" s="62" t="s">
        <v>2</v>
      </c>
      <c r="H27" s="63">
        <v>0</v>
      </c>
      <c r="I27" s="62"/>
      <c r="J27" s="62">
        <v>1</v>
      </c>
      <c r="K27" s="62">
        <v>0</v>
      </c>
      <c r="L27" s="62">
        <f t="shared" si="0"/>
        <v>210</v>
      </c>
      <c r="M27" s="62">
        <v>7</v>
      </c>
      <c r="N27" s="62">
        <v>0</v>
      </c>
      <c r="O27" s="62">
        <v>2</v>
      </c>
      <c r="P27" s="62" t="s">
        <v>76</v>
      </c>
      <c r="Q27" s="64">
        <v>19.3</v>
      </c>
      <c r="R27" s="65">
        <v>0</v>
      </c>
      <c r="S27" s="66">
        <v>9.76</v>
      </c>
      <c r="T27" s="66">
        <v>4.2</v>
      </c>
      <c r="U27" s="66">
        <v>2.12</v>
      </c>
      <c r="V27" s="66">
        <v>1.4</v>
      </c>
      <c r="W27" s="62">
        <v>9</v>
      </c>
      <c r="X27" s="62">
        <v>1</v>
      </c>
      <c r="Y27" s="62">
        <v>0</v>
      </c>
      <c r="Z27" s="62" t="s">
        <v>72</v>
      </c>
      <c r="AA27" s="62" t="s">
        <v>74</v>
      </c>
      <c r="AB27" s="62" t="s">
        <v>17</v>
      </c>
      <c r="AC27" s="62" t="s">
        <v>17</v>
      </c>
      <c r="AD27" s="61" t="s">
        <v>45</v>
      </c>
      <c r="AF27" s="11" t="s">
        <v>600</v>
      </c>
      <c r="AJ27" s="67"/>
      <c r="AK27" s="67"/>
      <c r="AL27" s="67"/>
    </row>
    <row r="28" spans="1:38" ht="12.75" customHeight="1" x14ac:dyDescent="0.3">
      <c r="A28" s="61">
        <v>27</v>
      </c>
      <c r="B28" s="61">
        <v>10</v>
      </c>
      <c r="C28" s="61" t="s">
        <v>775</v>
      </c>
      <c r="D28" s="62" t="s">
        <v>68</v>
      </c>
      <c r="E28" s="62" t="s">
        <v>69</v>
      </c>
      <c r="F28" s="62" t="s">
        <v>70</v>
      </c>
      <c r="G28" s="62" t="s">
        <v>2</v>
      </c>
      <c r="H28" s="63">
        <v>0</v>
      </c>
      <c r="I28" s="62"/>
      <c r="J28" s="62">
        <v>1</v>
      </c>
      <c r="K28" s="62">
        <v>0</v>
      </c>
      <c r="L28" s="62">
        <f t="shared" si="0"/>
        <v>210</v>
      </c>
      <c r="M28" s="62">
        <v>7</v>
      </c>
      <c r="N28" s="62">
        <v>0</v>
      </c>
      <c r="O28" s="62">
        <v>2</v>
      </c>
      <c r="P28" s="62" t="s">
        <v>76</v>
      </c>
      <c r="Q28" s="64">
        <v>19.3</v>
      </c>
      <c r="R28" s="65">
        <v>0</v>
      </c>
      <c r="S28" s="66">
        <v>9.76</v>
      </c>
      <c r="T28" s="66">
        <v>4.2</v>
      </c>
      <c r="U28" s="66">
        <v>2.65</v>
      </c>
      <c r="V28" s="66">
        <v>2.6</v>
      </c>
      <c r="W28" s="62">
        <v>9</v>
      </c>
      <c r="X28" s="62">
        <v>1</v>
      </c>
      <c r="Y28" s="62">
        <v>0</v>
      </c>
      <c r="Z28" s="62" t="s">
        <v>72</v>
      </c>
      <c r="AA28" s="62" t="s">
        <v>75</v>
      </c>
      <c r="AB28" s="62" t="s">
        <v>17</v>
      </c>
      <c r="AC28" s="62" t="s">
        <v>17</v>
      </c>
      <c r="AD28" s="61" t="s">
        <v>45</v>
      </c>
      <c r="AF28" s="11" t="s">
        <v>600</v>
      </c>
      <c r="AJ28" s="67"/>
      <c r="AK28" s="67"/>
      <c r="AL28" s="67"/>
    </row>
    <row r="29" spans="1:38" ht="12.75" customHeight="1" x14ac:dyDescent="0.3">
      <c r="A29" s="61">
        <v>28</v>
      </c>
      <c r="B29" s="61">
        <v>10</v>
      </c>
      <c r="C29" s="61" t="s">
        <v>775</v>
      </c>
      <c r="D29" s="62" t="s">
        <v>68</v>
      </c>
      <c r="E29" s="62" t="s">
        <v>69</v>
      </c>
      <c r="F29" s="62" t="s">
        <v>70</v>
      </c>
      <c r="G29" s="62" t="s">
        <v>2</v>
      </c>
      <c r="H29" s="63">
        <v>0</v>
      </c>
      <c r="I29" s="62"/>
      <c r="J29" s="62">
        <v>1</v>
      </c>
      <c r="K29" s="62">
        <v>0</v>
      </c>
      <c r="L29" s="62">
        <f t="shared" si="0"/>
        <v>210</v>
      </c>
      <c r="M29" s="62">
        <v>7</v>
      </c>
      <c r="N29" s="62">
        <v>0</v>
      </c>
      <c r="O29" s="62">
        <v>1</v>
      </c>
      <c r="P29" s="62" t="s">
        <v>77</v>
      </c>
      <c r="Q29" s="64">
        <v>19.3</v>
      </c>
      <c r="R29" s="65">
        <v>0</v>
      </c>
      <c r="S29" s="66">
        <v>0.92</v>
      </c>
      <c r="T29" s="66">
        <v>0.31</v>
      </c>
      <c r="U29" s="66">
        <v>1.57</v>
      </c>
      <c r="V29" s="66">
        <v>0.3</v>
      </c>
      <c r="W29" s="62">
        <v>9</v>
      </c>
      <c r="X29" s="62">
        <v>0</v>
      </c>
      <c r="Y29" s="62">
        <v>0</v>
      </c>
      <c r="Z29" s="62" t="s">
        <v>78</v>
      </c>
      <c r="AA29" s="62" t="s">
        <v>73</v>
      </c>
      <c r="AB29" s="62" t="s">
        <v>17</v>
      </c>
      <c r="AC29" s="62" t="s">
        <v>17</v>
      </c>
      <c r="AD29" s="61" t="s">
        <v>45</v>
      </c>
      <c r="AF29" s="11" t="s">
        <v>600</v>
      </c>
      <c r="AJ29" s="67"/>
      <c r="AK29" s="67"/>
      <c r="AL29" s="67"/>
    </row>
    <row r="30" spans="1:38" ht="12.75" customHeight="1" x14ac:dyDescent="0.3">
      <c r="A30" s="61">
        <v>29</v>
      </c>
      <c r="B30" s="61">
        <v>10</v>
      </c>
      <c r="C30" s="61" t="s">
        <v>775</v>
      </c>
      <c r="D30" s="62" t="s">
        <v>68</v>
      </c>
      <c r="E30" s="62" t="s">
        <v>69</v>
      </c>
      <c r="F30" s="62" t="s">
        <v>70</v>
      </c>
      <c r="G30" s="62" t="s">
        <v>2</v>
      </c>
      <c r="H30" s="63">
        <v>0</v>
      </c>
      <c r="I30" s="62"/>
      <c r="J30" s="62">
        <v>1</v>
      </c>
      <c r="K30" s="62">
        <v>0</v>
      </c>
      <c r="L30" s="62">
        <f t="shared" si="0"/>
        <v>210</v>
      </c>
      <c r="M30" s="62">
        <v>7</v>
      </c>
      <c r="N30" s="62">
        <v>0</v>
      </c>
      <c r="O30" s="62">
        <v>2</v>
      </c>
      <c r="P30" s="62" t="s">
        <v>77</v>
      </c>
      <c r="Q30" s="64">
        <v>19.3</v>
      </c>
      <c r="R30" s="65">
        <v>0</v>
      </c>
      <c r="S30" s="66">
        <v>0.92</v>
      </c>
      <c r="T30" s="66">
        <v>0.31</v>
      </c>
      <c r="U30" s="66">
        <v>1.37</v>
      </c>
      <c r="V30" s="66">
        <v>0.18</v>
      </c>
      <c r="W30" s="62">
        <v>9</v>
      </c>
      <c r="X30" s="62">
        <v>0</v>
      </c>
      <c r="Y30" s="62">
        <v>0</v>
      </c>
      <c r="Z30" s="62" t="s">
        <v>78</v>
      </c>
      <c r="AA30" s="62" t="s">
        <v>74</v>
      </c>
      <c r="AB30" s="62" t="s">
        <v>17</v>
      </c>
      <c r="AC30" s="62" t="s">
        <v>17</v>
      </c>
      <c r="AD30" s="61" t="s">
        <v>45</v>
      </c>
      <c r="AF30" s="11" t="s">
        <v>600</v>
      </c>
      <c r="AJ30" s="67"/>
      <c r="AK30" s="67"/>
      <c r="AL30" s="67"/>
    </row>
    <row r="31" spans="1:38" ht="12.75" customHeight="1" x14ac:dyDescent="0.3">
      <c r="A31" s="61">
        <v>30</v>
      </c>
      <c r="B31" s="61">
        <v>10</v>
      </c>
      <c r="C31" s="61" t="s">
        <v>775</v>
      </c>
      <c r="D31" s="62" t="s">
        <v>68</v>
      </c>
      <c r="E31" s="62" t="s">
        <v>69</v>
      </c>
      <c r="F31" s="62" t="s">
        <v>70</v>
      </c>
      <c r="G31" s="62" t="s">
        <v>2</v>
      </c>
      <c r="H31" s="63">
        <v>0</v>
      </c>
      <c r="I31" s="62"/>
      <c r="J31" s="62">
        <v>1</v>
      </c>
      <c r="K31" s="62">
        <v>0</v>
      </c>
      <c r="L31" s="62">
        <f t="shared" si="0"/>
        <v>210</v>
      </c>
      <c r="M31" s="62">
        <v>7</v>
      </c>
      <c r="N31" s="62">
        <v>0</v>
      </c>
      <c r="O31" s="62">
        <v>2</v>
      </c>
      <c r="P31" s="62" t="s">
        <v>77</v>
      </c>
      <c r="Q31" s="64">
        <v>19.3</v>
      </c>
      <c r="R31" s="65">
        <v>0</v>
      </c>
      <c r="S31" s="66">
        <v>0.92</v>
      </c>
      <c r="T31" s="66">
        <v>0.31</v>
      </c>
      <c r="U31" s="66">
        <v>1.51</v>
      </c>
      <c r="V31" s="66">
        <v>0.21</v>
      </c>
      <c r="W31" s="62">
        <v>9</v>
      </c>
      <c r="X31" s="62">
        <v>0</v>
      </c>
      <c r="Y31" s="62">
        <v>0</v>
      </c>
      <c r="Z31" s="62" t="s">
        <v>78</v>
      </c>
      <c r="AA31" s="62" t="s">
        <v>75</v>
      </c>
      <c r="AB31" s="62" t="s">
        <v>17</v>
      </c>
      <c r="AC31" s="62" t="s">
        <v>17</v>
      </c>
      <c r="AD31" s="61" t="s">
        <v>45</v>
      </c>
      <c r="AF31" s="11" t="s">
        <v>600</v>
      </c>
      <c r="AJ31" s="67"/>
      <c r="AK31" s="67"/>
      <c r="AL31" s="67"/>
    </row>
    <row r="32" spans="1:38" ht="12.75" customHeight="1" x14ac:dyDescent="0.3">
      <c r="A32" s="61">
        <v>31</v>
      </c>
      <c r="B32" s="61">
        <v>10</v>
      </c>
      <c r="C32" s="61" t="s">
        <v>775</v>
      </c>
      <c r="D32" s="62" t="s">
        <v>68</v>
      </c>
      <c r="E32" s="62" t="s">
        <v>69</v>
      </c>
      <c r="F32" s="62" t="s">
        <v>70</v>
      </c>
      <c r="G32" s="62" t="s">
        <v>2</v>
      </c>
      <c r="H32" s="63">
        <v>0</v>
      </c>
      <c r="I32" s="62"/>
      <c r="J32" s="62">
        <v>1</v>
      </c>
      <c r="K32" s="62">
        <v>0</v>
      </c>
      <c r="L32" s="62">
        <f t="shared" si="0"/>
        <v>210</v>
      </c>
      <c r="M32" s="62">
        <v>7</v>
      </c>
      <c r="N32" s="62">
        <v>0</v>
      </c>
      <c r="O32" s="62">
        <v>1</v>
      </c>
      <c r="P32" s="62" t="s">
        <v>79</v>
      </c>
      <c r="Q32" s="64">
        <v>19.3</v>
      </c>
      <c r="R32" s="65">
        <v>0</v>
      </c>
      <c r="S32" s="66">
        <v>4.84</v>
      </c>
      <c r="T32" s="66">
        <v>4.46</v>
      </c>
      <c r="U32" s="66">
        <v>1.94</v>
      </c>
      <c r="V32" s="66">
        <v>1.04</v>
      </c>
      <c r="W32" s="62">
        <v>9</v>
      </c>
      <c r="X32" s="62">
        <v>1</v>
      </c>
      <c r="Y32" s="62">
        <v>0</v>
      </c>
      <c r="Z32" s="62" t="s">
        <v>78</v>
      </c>
      <c r="AA32" s="62" t="s">
        <v>73</v>
      </c>
      <c r="AB32" s="62" t="s">
        <v>17</v>
      </c>
      <c r="AC32" s="62" t="s">
        <v>17</v>
      </c>
      <c r="AD32" s="61" t="s">
        <v>45</v>
      </c>
      <c r="AF32" s="11" t="s">
        <v>600</v>
      </c>
      <c r="AJ32" s="67"/>
      <c r="AK32" s="67"/>
      <c r="AL32" s="67"/>
    </row>
    <row r="33" spans="1:38" ht="12.75" customHeight="1" x14ac:dyDescent="0.3">
      <c r="A33" s="61">
        <v>32</v>
      </c>
      <c r="B33" s="61">
        <v>10</v>
      </c>
      <c r="C33" s="61" t="s">
        <v>775</v>
      </c>
      <c r="D33" s="62" t="s">
        <v>68</v>
      </c>
      <c r="E33" s="62" t="s">
        <v>69</v>
      </c>
      <c r="F33" s="62" t="s">
        <v>70</v>
      </c>
      <c r="G33" s="62" t="s">
        <v>2</v>
      </c>
      <c r="H33" s="63">
        <v>0</v>
      </c>
      <c r="I33" s="62"/>
      <c r="J33" s="62">
        <v>1</v>
      </c>
      <c r="K33" s="62">
        <v>0</v>
      </c>
      <c r="L33" s="62">
        <f t="shared" si="0"/>
        <v>210</v>
      </c>
      <c r="M33" s="62">
        <v>7</v>
      </c>
      <c r="N33" s="62">
        <v>0</v>
      </c>
      <c r="O33" s="62">
        <v>2</v>
      </c>
      <c r="P33" s="62" t="s">
        <v>79</v>
      </c>
      <c r="Q33" s="64">
        <v>19.3</v>
      </c>
      <c r="R33" s="65">
        <v>0</v>
      </c>
      <c r="S33" s="66">
        <v>4.84</v>
      </c>
      <c r="T33" s="66">
        <v>4.46</v>
      </c>
      <c r="U33" s="66">
        <v>1.69</v>
      </c>
      <c r="V33" s="66">
        <v>0.47</v>
      </c>
      <c r="W33" s="62">
        <v>9</v>
      </c>
      <c r="X33" s="62">
        <v>1</v>
      </c>
      <c r="Y33" s="62">
        <v>0</v>
      </c>
      <c r="Z33" s="62" t="s">
        <v>78</v>
      </c>
      <c r="AA33" s="62" t="s">
        <v>74</v>
      </c>
      <c r="AB33" s="62" t="s">
        <v>17</v>
      </c>
      <c r="AC33" s="62" t="s">
        <v>17</v>
      </c>
      <c r="AD33" s="61" t="s">
        <v>45</v>
      </c>
      <c r="AF33" s="11" t="s">
        <v>600</v>
      </c>
      <c r="AJ33" s="67"/>
      <c r="AK33" s="67"/>
      <c r="AL33" s="67"/>
    </row>
    <row r="34" spans="1:38" ht="12.75" customHeight="1" x14ac:dyDescent="0.3">
      <c r="A34" s="61">
        <v>33</v>
      </c>
      <c r="B34" s="61">
        <v>10</v>
      </c>
      <c r="C34" s="61" t="s">
        <v>775</v>
      </c>
      <c r="D34" s="62" t="s">
        <v>68</v>
      </c>
      <c r="E34" s="62" t="s">
        <v>69</v>
      </c>
      <c r="F34" s="62" t="s">
        <v>70</v>
      </c>
      <c r="G34" s="62" t="s">
        <v>2</v>
      </c>
      <c r="H34" s="63">
        <v>0</v>
      </c>
      <c r="I34" s="62"/>
      <c r="J34" s="62">
        <v>1</v>
      </c>
      <c r="K34" s="62">
        <v>0</v>
      </c>
      <c r="L34" s="62">
        <f t="shared" si="0"/>
        <v>210</v>
      </c>
      <c r="M34" s="62">
        <v>7</v>
      </c>
      <c r="N34" s="62">
        <v>0</v>
      </c>
      <c r="O34" s="62">
        <v>2</v>
      </c>
      <c r="P34" s="62" t="s">
        <v>79</v>
      </c>
      <c r="Q34" s="64">
        <v>19.3</v>
      </c>
      <c r="R34" s="65">
        <v>0</v>
      </c>
      <c r="S34" s="66">
        <v>4.84</v>
      </c>
      <c r="T34" s="66">
        <v>4.46</v>
      </c>
      <c r="U34" s="66">
        <v>1.82</v>
      </c>
      <c r="V34" s="66">
        <v>0.87</v>
      </c>
      <c r="W34" s="62">
        <v>9</v>
      </c>
      <c r="X34" s="62">
        <v>1</v>
      </c>
      <c r="Y34" s="62">
        <v>0</v>
      </c>
      <c r="Z34" s="62" t="s">
        <v>78</v>
      </c>
      <c r="AA34" s="62" t="s">
        <v>75</v>
      </c>
      <c r="AB34" s="62" t="s">
        <v>17</v>
      </c>
      <c r="AC34" s="62" t="s">
        <v>17</v>
      </c>
      <c r="AD34" s="61" t="s">
        <v>45</v>
      </c>
      <c r="AF34" s="11" t="s">
        <v>600</v>
      </c>
      <c r="AJ34" s="67"/>
      <c r="AK34" s="67"/>
      <c r="AL34" s="67"/>
    </row>
    <row r="35" spans="1:38" ht="12.75" customHeight="1" x14ac:dyDescent="0.3">
      <c r="A35" s="61">
        <v>34</v>
      </c>
      <c r="B35" s="61">
        <v>10</v>
      </c>
      <c r="C35" s="61" t="s">
        <v>775</v>
      </c>
      <c r="D35" s="62" t="s">
        <v>68</v>
      </c>
      <c r="E35" s="62" t="s">
        <v>69</v>
      </c>
      <c r="F35" s="62" t="s">
        <v>70</v>
      </c>
      <c r="G35" s="62" t="s">
        <v>2</v>
      </c>
      <c r="H35" s="63">
        <v>0</v>
      </c>
      <c r="I35" s="62"/>
      <c r="J35" s="62">
        <v>1</v>
      </c>
      <c r="K35" s="62">
        <v>0</v>
      </c>
      <c r="L35" s="62">
        <f t="shared" si="0"/>
        <v>210</v>
      </c>
      <c r="M35" s="62">
        <v>7</v>
      </c>
      <c r="N35" s="62">
        <v>0</v>
      </c>
      <c r="O35" s="62">
        <v>1</v>
      </c>
      <c r="P35" s="62" t="s">
        <v>80</v>
      </c>
      <c r="Q35" s="64">
        <v>19.3</v>
      </c>
      <c r="R35" s="65">
        <v>0</v>
      </c>
      <c r="S35" s="66">
        <v>50.37</v>
      </c>
      <c r="T35" s="66">
        <v>25.75</v>
      </c>
      <c r="U35" s="66">
        <v>67.41</v>
      </c>
      <c r="V35" s="66">
        <v>21.87</v>
      </c>
      <c r="W35" s="62">
        <v>9</v>
      </c>
      <c r="X35" s="62">
        <v>0</v>
      </c>
      <c r="Y35" s="62">
        <v>0</v>
      </c>
      <c r="Z35" s="62" t="s">
        <v>78</v>
      </c>
      <c r="AA35" s="62" t="s">
        <v>73</v>
      </c>
      <c r="AB35" s="62" t="s">
        <v>17</v>
      </c>
      <c r="AC35" s="62" t="s">
        <v>17</v>
      </c>
      <c r="AD35" s="61" t="s">
        <v>45</v>
      </c>
      <c r="AF35" s="11" t="s">
        <v>600</v>
      </c>
      <c r="AJ35" s="67"/>
      <c r="AK35" s="67"/>
      <c r="AL35" s="67"/>
    </row>
    <row r="36" spans="1:38" ht="12.75" customHeight="1" x14ac:dyDescent="0.3">
      <c r="A36" s="61">
        <v>35</v>
      </c>
      <c r="B36" s="61">
        <v>10</v>
      </c>
      <c r="C36" s="61" t="s">
        <v>775</v>
      </c>
      <c r="D36" s="62" t="s">
        <v>68</v>
      </c>
      <c r="E36" s="62" t="s">
        <v>69</v>
      </c>
      <c r="F36" s="62" t="s">
        <v>70</v>
      </c>
      <c r="G36" s="62" t="s">
        <v>2</v>
      </c>
      <c r="H36" s="63">
        <v>0</v>
      </c>
      <c r="I36" s="62"/>
      <c r="J36" s="62">
        <v>1</v>
      </c>
      <c r="K36" s="62">
        <v>0</v>
      </c>
      <c r="L36" s="62">
        <f t="shared" si="0"/>
        <v>210</v>
      </c>
      <c r="M36" s="62">
        <v>7</v>
      </c>
      <c r="N36" s="62">
        <v>0</v>
      </c>
      <c r="O36" s="62">
        <v>2</v>
      </c>
      <c r="P36" s="62" t="s">
        <v>80</v>
      </c>
      <c r="Q36" s="64">
        <v>19.3</v>
      </c>
      <c r="R36" s="65">
        <v>0</v>
      </c>
      <c r="S36" s="66">
        <v>50.37</v>
      </c>
      <c r="T36" s="66">
        <v>25.75</v>
      </c>
      <c r="U36" s="66">
        <v>74.069999999999993</v>
      </c>
      <c r="V36" s="66">
        <v>19.32</v>
      </c>
      <c r="W36" s="62">
        <v>9</v>
      </c>
      <c r="X36" s="62">
        <v>0</v>
      </c>
      <c r="Y36" s="62">
        <v>0</v>
      </c>
      <c r="Z36" s="62" t="s">
        <v>78</v>
      </c>
      <c r="AA36" s="62" t="s">
        <v>74</v>
      </c>
      <c r="AB36" s="62" t="s">
        <v>17</v>
      </c>
      <c r="AC36" s="62" t="s">
        <v>17</v>
      </c>
      <c r="AD36" s="61" t="s">
        <v>45</v>
      </c>
      <c r="AF36" s="11" t="s">
        <v>600</v>
      </c>
      <c r="AJ36" s="67"/>
      <c r="AK36" s="67"/>
      <c r="AL36" s="67"/>
    </row>
    <row r="37" spans="1:38" ht="12.75" customHeight="1" x14ac:dyDescent="0.3">
      <c r="A37" s="61">
        <v>36</v>
      </c>
      <c r="B37" s="61">
        <v>10</v>
      </c>
      <c r="C37" s="61" t="s">
        <v>775</v>
      </c>
      <c r="D37" s="62" t="s">
        <v>68</v>
      </c>
      <c r="E37" s="62" t="s">
        <v>69</v>
      </c>
      <c r="F37" s="62" t="s">
        <v>70</v>
      </c>
      <c r="G37" s="62" t="s">
        <v>2</v>
      </c>
      <c r="H37" s="63">
        <v>0</v>
      </c>
      <c r="I37" s="62"/>
      <c r="J37" s="62">
        <v>1</v>
      </c>
      <c r="K37" s="62">
        <v>0</v>
      </c>
      <c r="L37" s="62">
        <f t="shared" si="0"/>
        <v>210</v>
      </c>
      <c r="M37" s="62">
        <v>7</v>
      </c>
      <c r="N37" s="62">
        <v>0</v>
      </c>
      <c r="O37" s="62">
        <v>2</v>
      </c>
      <c r="P37" s="62" t="s">
        <v>80</v>
      </c>
      <c r="Q37" s="64">
        <v>19.3</v>
      </c>
      <c r="R37" s="65">
        <v>0</v>
      </c>
      <c r="S37" s="66">
        <v>50.37</v>
      </c>
      <c r="T37" s="66">
        <v>25.75</v>
      </c>
      <c r="U37" s="66">
        <v>68.89</v>
      </c>
      <c r="V37" s="66">
        <v>16.920000000000002</v>
      </c>
      <c r="W37" s="62">
        <v>9</v>
      </c>
      <c r="X37" s="62">
        <v>0</v>
      </c>
      <c r="Y37" s="62">
        <v>0</v>
      </c>
      <c r="Z37" s="62" t="s">
        <v>78</v>
      </c>
      <c r="AA37" s="62" t="s">
        <v>75</v>
      </c>
      <c r="AB37" s="62" t="s">
        <v>17</v>
      </c>
      <c r="AC37" s="62" t="s">
        <v>17</v>
      </c>
      <c r="AD37" s="61" t="s">
        <v>45</v>
      </c>
      <c r="AF37" s="11" t="s">
        <v>600</v>
      </c>
      <c r="AJ37" s="67"/>
      <c r="AK37" s="67"/>
      <c r="AL37" s="67"/>
    </row>
    <row r="38" spans="1:38" ht="12.75" customHeight="1" x14ac:dyDescent="0.3">
      <c r="A38" s="61">
        <v>37</v>
      </c>
      <c r="B38" s="61">
        <v>10</v>
      </c>
      <c r="C38" s="61" t="s">
        <v>775</v>
      </c>
      <c r="D38" s="62" t="s">
        <v>68</v>
      </c>
      <c r="E38" s="62" t="s">
        <v>69</v>
      </c>
      <c r="F38" s="62" t="s">
        <v>70</v>
      </c>
      <c r="G38" s="62" t="s">
        <v>2</v>
      </c>
      <c r="H38" s="63">
        <v>0</v>
      </c>
      <c r="I38" s="62"/>
      <c r="J38" s="62">
        <v>1</v>
      </c>
      <c r="K38" s="62">
        <v>0</v>
      </c>
      <c r="L38" s="62">
        <f t="shared" si="0"/>
        <v>210</v>
      </c>
      <c r="M38" s="62">
        <v>7</v>
      </c>
      <c r="N38" s="62">
        <v>0</v>
      </c>
      <c r="O38" s="62">
        <v>1</v>
      </c>
      <c r="P38" s="62" t="s">
        <v>81</v>
      </c>
      <c r="Q38" s="64">
        <v>19.3</v>
      </c>
      <c r="R38" s="65">
        <v>0</v>
      </c>
      <c r="S38" s="66">
        <v>81.5</v>
      </c>
      <c r="T38" s="66">
        <v>20.100000000000001</v>
      </c>
      <c r="U38" s="66">
        <v>91.9</v>
      </c>
      <c r="V38" s="66">
        <v>8.18</v>
      </c>
      <c r="W38" s="62">
        <v>9</v>
      </c>
      <c r="X38" s="62">
        <v>0</v>
      </c>
      <c r="Y38" s="62">
        <v>0</v>
      </c>
      <c r="Z38" s="62" t="s">
        <v>82</v>
      </c>
      <c r="AA38" s="62" t="s">
        <v>73</v>
      </c>
      <c r="AB38" s="62" t="s">
        <v>17</v>
      </c>
      <c r="AC38" s="62" t="s">
        <v>17</v>
      </c>
      <c r="AD38" s="61" t="s">
        <v>45</v>
      </c>
      <c r="AF38" s="11" t="s">
        <v>600</v>
      </c>
      <c r="AJ38" s="67"/>
      <c r="AK38" s="67"/>
      <c r="AL38" s="67"/>
    </row>
    <row r="39" spans="1:38" ht="12.75" customHeight="1" x14ac:dyDescent="0.3">
      <c r="A39" s="61">
        <v>38</v>
      </c>
      <c r="B39" s="61">
        <v>10</v>
      </c>
      <c r="C39" s="61" t="s">
        <v>775</v>
      </c>
      <c r="D39" s="62" t="s">
        <v>68</v>
      </c>
      <c r="E39" s="62" t="s">
        <v>69</v>
      </c>
      <c r="F39" s="62" t="s">
        <v>70</v>
      </c>
      <c r="G39" s="62" t="s">
        <v>2</v>
      </c>
      <c r="H39" s="63">
        <v>0</v>
      </c>
      <c r="I39" s="62"/>
      <c r="J39" s="62">
        <v>1</v>
      </c>
      <c r="K39" s="62">
        <v>0</v>
      </c>
      <c r="L39" s="62">
        <f t="shared" si="0"/>
        <v>210</v>
      </c>
      <c r="M39" s="62">
        <v>7</v>
      </c>
      <c r="N39" s="62">
        <v>0</v>
      </c>
      <c r="O39" s="62">
        <v>2</v>
      </c>
      <c r="P39" s="62" t="s">
        <v>81</v>
      </c>
      <c r="Q39" s="64">
        <v>19.3</v>
      </c>
      <c r="R39" s="65">
        <v>0</v>
      </c>
      <c r="S39" s="66">
        <v>81.5</v>
      </c>
      <c r="T39" s="66">
        <v>20.100000000000001</v>
      </c>
      <c r="U39" s="66">
        <v>93.3</v>
      </c>
      <c r="V39" s="66">
        <v>5.44</v>
      </c>
      <c r="W39" s="62">
        <v>9</v>
      </c>
      <c r="X39" s="62">
        <v>0</v>
      </c>
      <c r="Y39" s="62">
        <v>0</v>
      </c>
      <c r="Z39" s="62" t="s">
        <v>82</v>
      </c>
      <c r="AA39" s="62" t="s">
        <v>74</v>
      </c>
      <c r="AB39" s="62" t="s">
        <v>17</v>
      </c>
      <c r="AC39" s="62" t="s">
        <v>17</v>
      </c>
      <c r="AD39" s="61" t="s">
        <v>45</v>
      </c>
      <c r="AF39" s="11" t="s">
        <v>600</v>
      </c>
      <c r="AJ39" s="67"/>
      <c r="AK39" s="67"/>
      <c r="AL39" s="67"/>
    </row>
    <row r="40" spans="1:38" ht="12.75" customHeight="1" x14ac:dyDescent="0.3">
      <c r="A40" s="61">
        <v>39</v>
      </c>
      <c r="B40" s="61">
        <v>10</v>
      </c>
      <c r="C40" s="61" t="s">
        <v>775</v>
      </c>
      <c r="D40" s="62" t="s">
        <v>68</v>
      </c>
      <c r="E40" s="62" t="s">
        <v>69</v>
      </c>
      <c r="F40" s="62" t="s">
        <v>70</v>
      </c>
      <c r="G40" s="62" t="s">
        <v>2</v>
      </c>
      <c r="H40" s="63">
        <v>0</v>
      </c>
      <c r="I40" s="62"/>
      <c r="J40" s="62">
        <v>1</v>
      </c>
      <c r="K40" s="62">
        <v>0</v>
      </c>
      <c r="L40" s="62">
        <f t="shared" si="0"/>
        <v>210</v>
      </c>
      <c r="M40" s="62">
        <v>7</v>
      </c>
      <c r="N40" s="62">
        <v>0</v>
      </c>
      <c r="O40" s="62">
        <v>2</v>
      </c>
      <c r="P40" s="62" t="s">
        <v>81</v>
      </c>
      <c r="Q40" s="64">
        <v>19.3</v>
      </c>
      <c r="R40" s="65">
        <v>0</v>
      </c>
      <c r="S40" s="66">
        <v>81.5</v>
      </c>
      <c r="T40" s="66">
        <v>20.100000000000001</v>
      </c>
      <c r="U40" s="66">
        <v>91.1</v>
      </c>
      <c r="V40" s="66">
        <v>9.44</v>
      </c>
      <c r="W40" s="62">
        <v>9</v>
      </c>
      <c r="X40" s="62">
        <v>0</v>
      </c>
      <c r="Y40" s="62">
        <v>0</v>
      </c>
      <c r="Z40" s="62" t="s">
        <v>82</v>
      </c>
      <c r="AA40" s="62" t="s">
        <v>75</v>
      </c>
      <c r="AB40" s="62" t="s">
        <v>17</v>
      </c>
      <c r="AC40" s="62" t="s">
        <v>17</v>
      </c>
      <c r="AD40" s="61" t="s">
        <v>45</v>
      </c>
      <c r="AF40" s="11" t="s">
        <v>600</v>
      </c>
      <c r="AJ40" s="67"/>
      <c r="AK40" s="67"/>
      <c r="AL40" s="67"/>
    </row>
    <row r="41" spans="1:38" ht="12.75" customHeight="1" x14ac:dyDescent="0.3">
      <c r="A41" s="61">
        <v>40</v>
      </c>
      <c r="B41" s="61">
        <v>10</v>
      </c>
      <c r="C41" s="61" t="s">
        <v>775</v>
      </c>
      <c r="D41" s="62" t="s">
        <v>68</v>
      </c>
      <c r="E41" s="62" t="s">
        <v>69</v>
      </c>
      <c r="F41" s="62" t="s">
        <v>70</v>
      </c>
      <c r="G41" s="62" t="s">
        <v>2</v>
      </c>
      <c r="H41" s="63">
        <v>0</v>
      </c>
      <c r="I41" s="62"/>
      <c r="J41" s="62">
        <v>1</v>
      </c>
      <c r="K41" s="62">
        <v>0</v>
      </c>
      <c r="L41" s="62">
        <f t="shared" si="0"/>
        <v>210</v>
      </c>
      <c r="M41" s="62">
        <v>7</v>
      </c>
      <c r="N41" s="62">
        <v>0</v>
      </c>
      <c r="O41" s="62">
        <v>1</v>
      </c>
      <c r="P41" s="62" t="s">
        <v>83</v>
      </c>
      <c r="Q41" s="64">
        <v>19.3</v>
      </c>
      <c r="R41" s="65">
        <v>0</v>
      </c>
      <c r="S41" s="66">
        <v>97.04</v>
      </c>
      <c r="T41" s="66">
        <v>4.57</v>
      </c>
      <c r="U41" s="66">
        <v>97.78</v>
      </c>
      <c r="V41" s="66">
        <v>4.4400000000000004</v>
      </c>
      <c r="W41" s="62">
        <v>9</v>
      </c>
      <c r="X41" s="62">
        <v>0</v>
      </c>
      <c r="Y41" s="62">
        <v>0</v>
      </c>
      <c r="Z41" s="62" t="s">
        <v>84</v>
      </c>
      <c r="AA41" s="62" t="s">
        <v>73</v>
      </c>
      <c r="AB41" s="62" t="s">
        <v>17</v>
      </c>
      <c r="AC41" s="62" t="s">
        <v>17</v>
      </c>
      <c r="AD41" s="61" t="s">
        <v>45</v>
      </c>
      <c r="AF41" s="11" t="s">
        <v>600</v>
      </c>
      <c r="AJ41" s="67"/>
      <c r="AK41" s="67"/>
      <c r="AL41" s="67"/>
    </row>
    <row r="42" spans="1:38" ht="12.75" customHeight="1" x14ac:dyDescent="0.3">
      <c r="A42" s="61">
        <v>41</v>
      </c>
      <c r="B42" s="61">
        <v>10</v>
      </c>
      <c r="C42" s="61" t="s">
        <v>775</v>
      </c>
      <c r="D42" s="62" t="s">
        <v>68</v>
      </c>
      <c r="E42" s="62" t="s">
        <v>69</v>
      </c>
      <c r="F42" s="62" t="s">
        <v>70</v>
      </c>
      <c r="G42" s="62" t="s">
        <v>2</v>
      </c>
      <c r="H42" s="63">
        <v>0</v>
      </c>
      <c r="I42" s="62"/>
      <c r="J42" s="62">
        <v>1</v>
      </c>
      <c r="K42" s="62">
        <v>0</v>
      </c>
      <c r="L42" s="62">
        <f t="shared" si="0"/>
        <v>210</v>
      </c>
      <c r="M42" s="62">
        <v>7</v>
      </c>
      <c r="N42" s="62">
        <v>0</v>
      </c>
      <c r="O42" s="62">
        <v>2</v>
      </c>
      <c r="P42" s="62" t="s">
        <v>83</v>
      </c>
      <c r="Q42" s="64">
        <v>19.3</v>
      </c>
      <c r="R42" s="65">
        <v>0</v>
      </c>
      <c r="S42" s="66">
        <v>97.04</v>
      </c>
      <c r="T42" s="66">
        <v>4.57</v>
      </c>
      <c r="U42" s="66">
        <v>97.78</v>
      </c>
      <c r="V42" s="66">
        <v>4.4400000000000004</v>
      </c>
      <c r="W42" s="62">
        <v>9</v>
      </c>
      <c r="X42" s="62">
        <v>0</v>
      </c>
      <c r="Y42" s="62">
        <v>0</v>
      </c>
      <c r="Z42" s="62" t="s">
        <v>84</v>
      </c>
      <c r="AA42" s="62" t="s">
        <v>74</v>
      </c>
      <c r="AB42" s="62" t="s">
        <v>17</v>
      </c>
      <c r="AC42" s="62" t="s">
        <v>17</v>
      </c>
      <c r="AD42" s="61" t="s">
        <v>45</v>
      </c>
      <c r="AF42" s="11" t="s">
        <v>600</v>
      </c>
      <c r="AJ42" s="67"/>
      <c r="AK42" s="67"/>
      <c r="AL42" s="67"/>
    </row>
    <row r="43" spans="1:38" ht="12.75" customHeight="1" x14ac:dyDescent="0.3">
      <c r="A43" s="61">
        <v>42</v>
      </c>
      <c r="B43" s="61">
        <v>10</v>
      </c>
      <c r="C43" s="61" t="s">
        <v>775</v>
      </c>
      <c r="D43" s="62" t="s">
        <v>68</v>
      </c>
      <c r="E43" s="62" t="s">
        <v>69</v>
      </c>
      <c r="F43" s="62" t="s">
        <v>70</v>
      </c>
      <c r="G43" s="62" t="s">
        <v>2</v>
      </c>
      <c r="H43" s="63">
        <v>0</v>
      </c>
      <c r="I43" s="62"/>
      <c r="J43" s="62">
        <v>1</v>
      </c>
      <c r="K43" s="62">
        <v>0</v>
      </c>
      <c r="L43" s="62">
        <f t="shared" si="0"/>
        <v>210</v>
      </c>
      <c r="M43" s="62">
        <v>7</v>
      </c>
      <c r="N43" s="62">
        <v>0</v>
      </c>
      <c r="O43" s="62">
        <v>2</v>
      </c>
      <c r="P43" s="62" t="s">
        <v>83</v>
      </c>
      <c r="Q43" s="64">
        <v>19.3</v>
      </c>
      <c r="R43" s="65">
        <v>0</v>
      </c>
      <c r="S43" s="66">
        <v>97.04</v>
      </c>
      <c r="T43" s="66">
        <v>4.57</v>
      </c>
      <c r="U43" s="66">
        <v>98.52</v>
      </c>
      <c r="V43" s="66">
        <v>2.77</v>
      </c>
      <c r="W43" s="62">
        <v>9</v>
      </c>
      <c r="X43" s="62">
        <v>0</v>
      </c>
      <c r="Y43" s="62">
        <v>0</v>
      </c>
      <c r="Z43" s="62" t="s">
        <v>84</v>
      </c>
      <c r="AA43" s="62" t="s">
        <v>75</v>
      </c>
      <c r="AB43" s="62" t="s">
        <v>17</v>
      </c>
      <c r="AC43" s="62" t="s">
        <v>17</v>
      </c>
      <c r="AD43" s="61" t="s">
        <v>45</v>
      </c>
      <c r="AF43" s="11" t="s">
        <v>600</v>
      </c>
      <c r="AJ43" s="67"/>
      <c r="AK43" s="67"/>
      <c r="AL43" s="67"/>
    </row>
    <row r="44" spans="1:38" ht="12.75" customHeight="1" x14ac:dyDescent="0.3">
      <c r="A44" s="61">
        <v>43</v>
      </c>
      <c r="B44" s="61">
        <v>11</v>
      </c>
      <c r="C44" s="61" t="s">
        <v>823</v>
      </c>
      <c r="D44" s="62" t="s">
        <v>31</v>
      </c>
      <c r="E44" s="62" t="s">
        <v>32</v>
      </c>
      <c r="F44" s="62" t="s">
        <v>85</v>
      </c>
      <c r="G44" s="62" t="s">
        <v>34</v>
      </c>
      <c r="H44" s="63">
        <v>1</v>
      </c>
      <c r="I44" s="62"/>
      <c r="J44" s="62" t="s">
        <v>51</v>
      </c>
      <c r="K44" s="62" t="s">
        <v>32</v>
      </c>
      <c r="L44" s="62">
        <v>60</v>
      </c>
      <c r="M44" s="62">
        <v>1</v>
      </c>
      <c r="N44" s="62">
        <v>28</v>
      </c>
      <c r="O44" s="62">
        <v>1</v>
      </c>
      <c r="P44" s="62" t="s">
        <v>86</v>
      </c>
      <c r="Q44" s="64">
        <v>9</v>
      </c>
      <c r="R44" s="65">
        <f>27/58</f>
        <v>0.46551724137931033</v>
      </c>
      <c r="S44" s="66">
        <v>6.2</v>
      </c>
      <c r="T44" s="66">
        <v>1.7</v>
      </c>
      <c r="U44" s="66">
        <v>6.9</v>
      </c>
      <c r="V44" s="66">
        <v>1.1000000000000001</v>
      </c>
      <c r="W44" s="62">
        <v>58</v>
      </c>
      <c r="X44" s="62">
        <v>0</v>
      </c>
      <c r="Y44" s="62">
        <v>0</v>
      </c>
      <c r="Z44" s="62" t="s">
        <v>66</v>
      </c>
      <c r="AA44" s="62" t="s">
        <v>1324</v>
      </c>
      <c r="AB44" s="62" t="s">
        <v>17</v>
      </c>
      <c r="AC44" s="62" t="s">
        <v>17</v>
      </c>
      <c r="AD44" s="61" t="s">
        <v>17</v>
      </c>
      <c r="AF44" s="4" t="s">
        <v>601</v>
      </c>
      <c r="AJ44" s="67"/>
      <c r="AK44" s="67"/>
      <c r="AL44" s="67"/>
    </row>
    <row r="45" spans="1:38" ht="12.75" customHeight="1" x14ac:dyDescent="0.3">
      <c r="A45" s="61">
        <v>44</v>
      </c>
      <c r="B45" s="61">
        <v>11</v>
      </c>
      <c r="C45" s="61" t="s">
        <v>823</v>
      </c>
      <c r="D45" s="62" t="s">
        <v>31</v>
      </c>
      <c r="E45" s="62" t="s">
        <v>32</v>
      </c>
      <c r="F45" s="62" t="s">
        <v>85</v>
      </c>
      <c r="G45" s="62" t="s">
        <v>60</v>
      </c>
      <c r="H45" s="63">
        <v>1</v>
      </c>
      <c r="I45" s="62"/>
      <c r="J45" s="62" t="s">
        <v>32</v>
      </c>
      <c r="K45" s="62" t="s">
        <v>32</v>
      </c>
      <c r="L45" s="62" t="s">
        <v>32</v>
      </c>
      <c r="M45" s="62" t="s">
        <v>32</v>
      </c>
      <c r="N45" s="62" t="s">
        <v>32</v>
      </c>
      <c r="O45" s="62">
        <v>1</v>
      </c>
      <c r="P45" s="62" t="s">
        <v>86</v>
      </c>
      <c r="Q45" s="64">
        <v>9</v>
      </c>
      <c r="R45" s="65">
        <f>16/33</f>
        <v>0.48484848484848486</v>
      </c>
      <c r="S45" s="66">
        <v>5.5</v>
      </c>
      <c r="T45" s="66">
        <v>1.5</v>
      </c>
      <c r="U45" s="66">
        <v>6.1</v>
      </c>
      <c r="V45" s="66">
        <v>1.4</v>
      </c>
      <c r="W45" s="62">
        <v>33</v>
      </c>
      <c r="X45" s="62">
        <v>0</v>
      </c>
      <c r="Y45" s="62">
        <v>0</v>
      </c>
      <c r="Z45" s="62" t="s">
        <v>66</v>
      </c>
      <c r="AA45" s="62"/>
      <c r="AB45" s="62" t="s">
        <v>17</v>
      </c>
      <c r="AC45" s="62" t="s">
        <v>17</v>
      </c>
      <c r="AD45" s="61" t="s">
        <v>17</v>
      </c>
      <c r="AF45" s="4" t="s">
        <v>601</v>
      </c>
      <c r="AJ45" s="67"/>
      <c r="AK45" s="67"/>
      <c r="AL45" s="67"/>
    </row>
    <row r="46" spans="1:38" ht="12.75" customHeight="1" x14ac:dyDescent="0.3">
      <c r="A46" s="61">
        <v>45</v>
      </c>
      <c r="B46" s="61">
        <v>11</v>
      </c>
      <c r="C46" s="61" t="s">
        <v>823</v>
      </c>
      <c r="D46" s="62" t="s">
        <v>31</v>
      </c>
      <c r="E46" s="62" t="s">
        <v>26</v>
      </c>
      <c r="F46" s="62" t="s">
        <v>85</v>
      </c>
      <c r="G46" s="62" t="s">
        <v>2</v>
      </c>
      <c r="H46" s="63">
        <v>1</v>
      </c>
      <c r="I46" s="62"/>
      <c r="J46" s="62" t="s">
        <v>51</v>
      </c>
      <c r="K46" s="62">
        <v>1</v>
      </c>
      <c r="L46" s="62">
        <v>60</v>
      </c>
      <c r="M46" s="62">
        <v>1</v>
      </c>
      <c r="N46" s="62">
        <v>28</v>
      </c>
      <c r="O46" s="62">
        <v>1</v>
      </c>
      <c r="P46" s="62" t="s">
        <v>86</v>
      </c>
      <c r="Q46" s="64">
        <v>9</v>
      </c>
      <c r="R46" s="65">
        <f>27/54</f>
        <v>0.5</v>
      </c>
      <c r="S46" s="66">
        <v>5.9</v>
      </c>
      <c r="T46" s="66">
        <v>1.3</v>
      </c>
      <c r="U46" s="66">
        <v>6.9</v>
      </c>
      <c r="V46" s="66">
        <v>1.1000000000000001</v>
      </c>
      <c r="W46" s="62">
        <v>54</v>
      </c>
      <c r="X46" s="62">
        <v>0</v>
      </c>
      <c r="Y46" s="62">
        <v>0</v>
      </c>
      <c r="Z46" s="62" t="s">
        <v>66</v>
      </c>
      <c r="AA46" s="62"/>
      <c r="AB46" s="62" t="s">
        <v>17</v>
      </c>
      <c r="AC46" s="62" t="s">
        <v>17</v>
      </c>
      <c r="AD46" s="61" t="s">
        <v>17</v>
      </c>
      <c r="AF46" s="4" t="s">
        <v>601</v>
      </c>
      <c r="AJ46" s="67"/>
      <c r="AK46" s="67"/>
      <c r="AL46" s="67"/>
    </row>
    <row r="47" spans="1:38" ht="12.75" customHeight="1" x14ac:dyDescent="0.3">
      <c r="A47" s="61">
        <v>46</v>
      </c>
      <c r="B47" s="61">
        <v>12</v>
      </c>
      <c r="C47" s="61" t="s">
        <v>811</v>
      </c>
      <c r="D47" s="62" t="s">
        <v>41</v>
      </c>
      <c r="E47" s="62" t="s">
        <v>32</v>
      </c>
      <c r="F47" s="62" t="s">
        <v>42</v>
      </c>
      <c r="G47" s="62" t="s">
        <v>60</v>
      </c>
      <c r="H47" s="63">
        <v>0</v>
      </c>
      <c r="I47" s="62"/>
      <c r="J47" s="62" t="s">
        <v>32</v>
      </c>
      <c r="K47" s="62" t="s">
        <v>32</v>
      </c>
      <c r="L47" s="62" t="s">
        <v>32</v>
      </c>
      <c r="M47" s="62" t="s">
        <v>32</v>
      </c>
      <c r="N47" s="62" t="s">
        <v>32</v>
      </c>
      <c r="O47" s="62">
        <v>1</v>
      </c>
      <c r="P47" s="62" t="s">
        <v>87</v>
      </c>
      <c r="Q47" s="64">
        <v>5.36</v>
      </c>
      <c r="R47" s="65">
        <v>0.45</v>
      </c>
      <c r="S47" s="66">
        <v>0.79</v>
      </c>
      <c r="T47" s="66">
        <v>0.09</v>
      </c>
      <c r="U47" s="66">
        <v>0.747</v>
      </c>
      <c r="V47" s="66">
        <v>0.10299999999999999</v>
      </c>
      <c r="W47" s="62">
        <v>23</v>
      </c>
      <c r="X47" s="62">
        <v>1</v>
      </c>
      <c r="Y47" s="62">
        <v>0</v>
      </c>
      <c r="Z47" s="62" t="s">
        <v>88</v>
      </c>
      <c r="AA47" s="62"/>
      <c r="AB47" s="62" t="s">
        <v>17</v>
      </c>
      <c r="AC47" s="62" t="s">
        <v>17</v>
      </c>
      <c r="AD47" s="61" t="s">
        <v>45</v>
      </c>
      <c r="AF47" s="4" t="s">
        <v>602</v>
      </c>
      <c r="AJ47" s="67"/>
      <c r="AK47" s="67"/>
      <c r="AL47" s="67"/>
    </row>
    <row r="48" spans="1:38" ht="12.75" customHeight="1" x14ac:dyDescent="0.3">
      <c r="A48" s="61">
        <v>47</v>
      </c>
      <c r="B48" s="61">
        <v>12</v>
      </c>
      <c r="C48" s="61" t="s">
        <v>811</v>
      </c>
      <c r="D48" s="62" t="s">
        <v>41</v>
      </c>
      <c r="E48" s="62" t="s">
        <v>89</v>
      </c>
      <c r="F48" s="62" t="s">
        <v>42</v>
      </c>
      <c r="G48" s="62" t="s">
        <v>2</v>
      </c>
      <c r="H48" s="63">
        <v>0</v>
      </c>
      <c r="I48" s="62" t="s">
        <v>90</v>
      </c>
      <c r="J48" s="62">
        <v>1</v>
      </c>
      <c r="K48" s="62">
        <v>0</v>
      </c>
      <c r="L48" s="62" t="s">
        <v>28</v>
      </c>
      <c r="M48" s="62">
        <v>7</v>
      </c>
      <c r="N48" s="62" t="s">
        <v>28</v>
      </c>
      <c r="O48" s="62">
        <v>1</v>
      </c>
      <c r="P48" s="62" t="s">
        <v>87</v>
      </c>
      <c r="Q48" s="64">
        <v>5.36</v>
      </c>
      <c r="R48" s="65">
        <v>0.45</v>
      </c>
      <c r="S48" s="66">
        <v>0.74</v>
      </c>
      <c r="T48" s="66">
        <v>0.13</v>
      </c>
      <c r="U48" s="66">
        <v>0.51300000000000001</v>
      </c>
      <c r="V48" s="66">
        <v>0.16300000000000001</v>
      </c>
      <c r="W48" s="62">
        <v>22</v>
      </c>
      <c r="X48" s="62">
        <v>1</v>
      </c>
      <c r="Y48" s="62">
        <v>0</v>
      </c>
      <c r="Z48" s="62" t="s">
        <v>88</v>
      </c>
      <c r="AA48" s="71" t="s">
        <v>1619</v>
      </c>
      <c r="AB48" s="62" t="s">
        <v>17</v>
      </c>
      <c r="AC48" s="62" t="s">
        <v>17</v>
      </c>
      <c r="AD48" s="61" t="s">
        <v>45</v>
      </c>
      <c r="AF48" s="4" t="s">
        <v>602</v>
      </c>
      <c r="AJ48" s="67"/>
      <c r="AK48" s="67"/>
      <c r="AL48" s="67"/>
    </row>
    <row r="49" spans="1:38" ht="12.75" customHeight="1" x14ac:dyDescent="0.3">
      <c r="A49" s="61">
        <v>48</v>
      </c>
      <c r="B49" s="61">
        <v>12</v>
      </c>
      <c r="C49" s="61" t="s">
        <v>811</v>
      </c>
      <c r="D49" s="62" t="s">
        <v>41</v>
      </c>
      <c r="E49" s="62" t="s">
        <v>89</v>
      </c>
      <c r="F49" s="62" t="s">
        <v>42</v>
      </c>
      <c r="G49" s="62" t="s">
        <v>2</v>
      </c>
      <c r="H49" s="63">
        <v>0</v>
      </c>
      <c r="I49" s="62" t="s">
        <v>91</v>
      </c>
      <c r="J49" s="62">
        <v>1</v>
      </c>
      <c r="K49" s="62">
        <v>0</v>
      </c>
      <c r="L49" s="62" t="s">
        <v>28</v>
      </c>
      <c r="M49" s="62">
        <v>7</v>
      </c>
      <c r="N49" s="62" t="s">
        <v>28</v>
      </c>
      <c r="O49" s="62">
        <v>1</v>
      </c>
      <c r="P49" s="62" t="s">
        <v>87</v>
      </c>
      <c r="Q49" s="64">
        <v>5.36</v>
      </c>
      <c r="R49" s="65">
        <v>0.45</v>
      </c>
      <c r="S49" s="66">
        <v>0.75</v>
      </c>
      <c r="T49" s="66">
        <v>0.13</v>
      </c>
      <c r="U49" s="66">
        <v>0.61</v>
      </c>
      <c r="V49" s="66">
        <v>0.13</v>
      </c>
      <c r="W49" s="62">
        <v>20</v>
      </c>
      <c r="X49" s="62">
        <v>1</v>
      </c>
      <c r="Y49" s="62">
        <v>0</v>
      </c>
      <c r="Z49" s="62" t="s">
        <v>88</v>
      </c>
      <c r="AA49" s="62" t="s">
        <v>92</v>
      </c>
      <c r="AB49" s="62" t="s">
        <v>17</v>
      </c>
      <c r="AC49" s="62" t="s">
        <v>17</v>
      </c>
      <c r="AD49" s="61" t="s">
        <v>45</v>
      </c>
      <c r="AF49" s="4" t="s">
        <v>602</v>
      </c>
      <c r="AJ49" s="67"/>
      <c r="AK49" s="67"/>
      <c r="AL49" s="67"/>
    </row>
    <row r="50" spans="1:38" ht="12.75" customHeight="1" x14ac:dyDescent="0.3">
      <c r="A50" s="61">
        <v>49</v>
      </c>
      <c r="B50" s="61">
        <v>13</v>
      </c>
      <c r="C50" s="61" t="s">
        <v>754</v>
      </c>
      <c r="D50" s="62" t="s">
        <v>31</v>
      </c>
      <c r="E50" s="62" t="s">
        <v>32</v>
      </c>
      <c r="F50" s="62" t="s">
        <v>93</v>
      </c>
      <c r="G50" s="62" t="s">
        <v>34</v>
      </c>
      <c r="H50" s="63">
        <v>1</v>
      </c>
      <c r="I50" s="62" t="s">
        <v>727</v>
      </c>
      <c r="J50" s="62" t="s">
        <v>51</v>
      </c>
      <c r="K50" s="62" t="s">
        <v>32</v>
      </c>
      <c r="L50" s="62">
        <f t="shared" ref="L50:L57" si="1">2*15</f>
        <v>30</v>
      </c>
      <c r="M50" s="62">
        <v>3</v>
      </c>
      <c r="N50" s="62">
        <v>0</v>
      </c>
      <c r="O50" s="62" t="s">
        <v>32</v>
      </c>
      <c r="P50" s="62" t="s">
        <v>94</v>
      </c>
      <c r="Q50" s="64">
        <v>5.0999999999999996</v>
      </c>
      <c r="R50" s="65">
        <f t="shared" ref="R50:R57" si="2">45/81</f>
        <v>0.55555555555555558</v>
      </c>
      <c r="S50" s="66"/>
      <c r="T50" s="66"/>
      <c r="U50" s="66">
        <v>3.1</v>
      </c>
      <c r="V50" s="66">
        <v>1.34</v>
      </c>
      <c r="W50" s="62">
        <v>21</v>
      </c>
      <c r="X50" s="62">
        <v>0</v>
      </c>
      <c r="Y50" s="62">
        <v>0</v>
      </c>
      <c r="Z50" s="62" t="s">
        <v>95</v>
      </c>
      <c r="AA50" s="62" t="s">
        <v>728</v>
      </c>
      <c r="AB50" s="62" t="s">
        <v>17</v>
      </c>
      <c r="AC50" s="62" t="s">
        <v>17</v>
      </c>
      <c r="AD50" s="61" t="s">
        <v>17</v>
      </c>
      <c r="AF50" s="4" t="s">
        <v>694</v>
      </c>
      <c r="AJ50" s="67"/>
      <c r="AK50" s="67"/>
      <c r="AL50" s="67"/>
    </row>
    <row r="51" spans="1:38" ht="12.75" customHeight="1" x14ac:dyDescent="0.3">
      <c r="A51" s="61">
        <v>50</v>
      </c>
      <c r="B51" s="61">
        <v>13</v>
      </c>
      <c r="C51" s="61" t="s">
        <v>754</v>
      </c>
      <c r="D51" s="62" t="s">
        <v>31</v>
      </c>
      <c r="E51" s="62" t="s">
        <v>32</v>
      </c>
      <c r="F51" s="62" t="s">
        <v>93</v>
      </c>
      <c r="G51" s="62" t="s">
        <v>34</v>
      </c>
      <c r="H51" s="63">
        <v>1</v>
      </c>
      <c r="I51" s="62" t="s">
        <v>96</v>
      </c>
      <c r="J51" s="62" t="s">
        <v>51</v>
      </c>
      <c r="K51" s="62" t="s">
        <v>32</v>
      </c>
      <c r="L51" s="62">
        <f t="shared" si="1"/>
        <v>30</v>
      </c>
      <c r="M51" s="62">
        <v>3</v>
      </c>
      <c r="N51" s="62">
        <v>0</v>
      </c>
      <c r="O51" s="62" t="s">
        <v>32</v>
      </c>
      <c r="P51" s="62" t="s">
        <v>94</v>
      </c>
      <c r="Q51" s="64">
        <v>5.0999999999999996</v>
      </c>
      <c r="R51" s="65">
        <f t="shared" si="2"/>
        <v>0.55555555555555558</v>
      </c>
      <c r="S51" s="66"/>
      <c r="T51" s="66"/>
      <c r="U51" s="66">
        <v>2.68</v>
      </c>
      <c r="V51" s="66">
        <v>1.45</v>
      </c>
      <c r="W51" s="62">
        <v>19</v>
      </c>
      <c r="X51" s="62">
        <v>0</v>
      </c>
      <c r="Y51" s="62">
        <v>0</v>
      </c>
      <c r="Z51" s="62" t="s">
        <v>95</v>
      </c>
      <c r="AA51" s="62"/>
      <c r="AB51" s="62" t="s">
        <v>17</v>
      </c>
      <c r="AC51" s="62" t="s">
        <v>17</v>
      </c>
      <c r="AD51" s="61" t="s">
        <v>17</v>
      </c>
      <c r="AF51" s="4" t="s">
        <v>694</v>
      </c>
      <c r="AJ51" s="67"/>
      <c r="AK51" s="67"/>
      <c r="AL51" s="67"/>
    </row>
    <row r="52" spans="1:38" ht="12.75" customHeight="1" x14ac:dyDescent="0.3">
      <c r="A52" s="61">
        <v>51</v>
      </c>
      <c r="B52" s="61">
        <v>13</v>
      </c>
      <c r="C52" s="61" t="s">
        <v>754</v>
      </c>
      <c r="D52" s="62" t="s">
        <v>31</v>
      </c>
      <c r="E52" s="62" t="s">
        <v>26</v>
      </c>
      <c r="F52" s="62" t="s">
        <v>93</v>
      </c>
      <c r="G52" s="62" t="s">
        <v>2</v>
      </c>
      <c r="H52" s="63">
        <v>1</v>
      </c>
      <c r="I52" s="62" t="s">
        <v>727</v>
      </c>
      <c r="J52" s="62" t="s">
        <v>51</v>
      </c>
      <c r="K52" s="62">
        <v>0</v>
      </c>
      <c r="L52" s="62">
        <f t="shared" si="1"/>
        <v>30</v>
      </c>
      <c r="M52" s="62">
        <v>3</v>
      </c>
      <c r="N52" s="62">
        <v>0</v>
      </c>
      <c r="O52" s="62" t="s">
        <v>32</v>
      </c>
      <c r="P52" s="62" t="s">
        <v>94</v>
      </c>
      <c r="Q52" s="64">
        <v>5.0999999999999996</v>
      </c>
      <c r="R52" s="65">
        <f t="shared" si="2"/>
        <v>0.55555555555555558</v>
      </c>
      <c r="S52" s="66"/>
      <c r="T52" s="66"/>
      <c r="U52" s="66">
        <v>2.9</v>
      </c>
      <c r="V52" s="66">
        <v>1.51</v>
      </c>
      <c r="W52" s="62">
        <v>21</v>
      </c>
      <c r="X52" s="62">
        <v>0</v>
      </c>
      <c r="Y52" s="62">
        <v>0</v>
      </c>
      <c r="Z52" s="62" t="s">
        <v>95</v>
      </c>
      <c r="AA52" s="62"/>
      <c r="AB52" s="62" t="s">
        <v>17</v>
      </c>
      <c r="AC52" s="62" t="s">
        <v>17</v>
      </c>
      <c r="AD52" s="61" t="s">
        <v>17</v>
      </c>
      <c r="AF52" s="4" t="s">
        <v>694</v>
      </c>
      <c r="AJ52" s="67"/>
      <c r="AK52" s="67"/>
      <c r="AL52" s="67"/>
    </row>
    <row r="53" spans="1:38" ht="12.75" customHeight="1" x14ac:dyDescent="0.3">
      <c r="A53" s="61">
        <v>52</v>
      </c>
      <c r="B53" s="61">
        <v>13</v>
      </c>
      <c r="C53" s="61" t="s">
        <v>754</v>
      </c>
      <c r="D53" s="62" t="s">
        <v>31</v>
      </c>
      <c r="E53" s="62" t="s">
        <v>26</v>
      </c>
      <c r="F53" s="62" t="s">
        <v>93</v>
      </c>
      <c r="G53" s="62" t="s">
        <v>2</v>
      </c>
      <c r="H53" s="63">
        <v>1</v>
      </c>
      <c r="I53" s="62" t="s">
        <v>96</v>
      </c>
      <c r="J53" s="62" t="s">
        <v>51</v>
      </c>
      <c r="K53" s="62">
        <v>0</v>
      </c>
      <c r="L53" s="62">
        <f t="shared" si="1"/>
        <v>30</v>
      </c>
      <c r="M53" s="62">
        <v>3</v>
      </c>
      <c r="N53" s="62">
        <v>0</v>
      </c>
      <c r="O53" s="62" t="s">
        <v>32</v>
      </c>
      <c r="P53" s="62" t="s">
        <v>94</v>
      </c>
      <c r="Q53" s="64">
        <v>5.0999999999999996</v>
      </c>
      <c r="R53" s="65">
        <f t="shared" si="2"/>
        <v>0.55555555555555558</v>
      </c>
      <c r="S53" s="66"/>
      <c r="T53" s="66"/>
      <c r="U53" s="66">
        <v>2.6</v>
      </c>
      <c r="V53" s="66">
        <v>1.47</v>
      </c>
      <c r="W53" s="62">
        <v>20</v>
      </c>
      <c r="X53" s="62">
        <v>0</v>
      </c>
      <c r="Y53" s="62">
        <v>0</v>
      </c>
      <c r="Z53" s="62" t="s">
        <v>95</v>
      </c>
      <c r="AA53" s="62"/>
      <c r="AB53" s="62" t="s">
        <v>17</v>
      </c>
      <c r="AC53" s="62" t="s">
        <v>17</v>
      </c>
      <c r="AD53" s="61" t="s">
        <v>17</v>
      </c>
      <c r="AF53" s="4" t="s">
        <v>694</v>
      </c>
      <c r="AJ53" s="67"/>
      <c r="AK53" s="67"/>
      <c r="AL53" s="67"/>
    </row>
    <row r="54" spans="1:38" ht="12.75" customHeight="1" x14ac:dyDescent="0.3">
      <c r="A54" s="61">
        <v>53</v>
      </c>
      <c r="B54" s="61">
        <v>13</v>
      </c>
      <c r="C54" s="61" t="s">
        <v>754</v>
      </c>
      <c r="D54" s="62" t="s">
        <v>31</v>
      </c>
      <c r="E54" s="62" t="s">
        <v>32</v>
      </c>
      <c r="F54" s="62" t="s">
        <v>93</v>
      </c>
      <c r="G54" s="62" t="s">
        <v>34</v>
      </c>
      <c r="H54" s="63">
        <v>1</v>
      </c>
      <c r="I54" s="62" t="s">
        <v>727</v>
      </c>
      <c r="J54" s="62" t="s">
        <v>51</v>
      </c>
      <c r="K54" s="62" t="s">
        <v>32</v>
      </c>
      <c r="L54" s="62">
        <f t="shared" si="1"/>
        <v>30</v>
      </c>
      <c r="M54" s="62">
        <v>3</v>
      </c>
      <c r="N54" s="62">
        <v>0</v>
      </c>
      <c r="O54" s="62" t="s">
        <v>32</v>
      </c>
      <c r="P54" s="62" t="s">
        <v>94</v>
      </c>
      <c r="Q54" s="64">
        <v>5.0999999999999996</v>
      </c>
      <c r="R54" s="65">
        <f t="shared" si="2"/>
        <v>0.55555555555555558</v>
      </c>
      <c r="S54" s="66"/>
      <c r="T54" s="66"/>
      <c r="U54" s="66">
        <v>7.57</v>
      </c>
      <c r="V54" s="66">
        <v>2.44</v>
      </c>
      <c r="W54" s="62">
        <v>21</v>
      </c>
      <c r="X54" s="62">
        <v>0</v>
      </c>
      <c r="Y54" s="62">
        <v>0</v>
      </c>
      <c r="Z54" s="62" t="s">
        <v>95</v>
      </c>
      <c r="AA54" s="62"/>
      <c r="AB54" s="62" t="s">
        <v>17</v>
      </c>
      <c r="AC54" s="62" t="s">
        <v>17</v>
      </c>
      <c r="AD54" s="61" t="s">
        <v>17</v>
      </c>
      <c r="AF54" s="4" t="s">
        <v>694</v>
      </c>
      <c r="AJ54" s="67"/>
      <c r="AK54" s="67"/>
      <c r="AL54" s="67"/>
    </row>
    <row r="55" spans="1:38" ht="12.75" customHeight="1" x14ac:dyDescent="0.3">
      <c r="A55" s="61">
        <v>54</v>
      </c>
      <c r="B55" s="61">
        <v>13</v>
      </c>
      <c r="C55" s="61" t="s">
        <v>754</v>
      </c>
      <c r="D55" s="62" t="s">
        <v>31</v>
      </c>
      <c r="E55" s="62" t="s">
        <v>32</v>
      </c>
      <c r="F55" s="62" t="s">
        <v>93</v>
      </c>
      <c r="G55" s="62" t="s">
        <v>34</v>
      </c>
      <c r="H55" s="63">
        <v>1</v>
      </c>
      <c r="I55" s="62" t="s">
        <v>96</v>
      </c>
      <c r="J55" s="62" t="s">
        <v>51</v>
      </c>
      <c r="K55" s="62" t="s">
        <v>32</v>
      </c>
      <c r="L55" s="62">
        <f t="shared" si="1"/>
        <v>30</v>
      </c>
      <c r="M55" s="62">
        <v>3</v>
      </c>
      <c r="N55" s="62">
        <v>0</v>
      </c>
      <c r="O55" s="62" t="s">
        <v>32</v>
      </c>
      <c r="P55" s="62" t="s">
        <v>94</v>
      </c>
      <c r="Q55" s="64">
        <v>5.0999999999999996</v>
      </c>
      <c r="R55" s="65">
        <f t="shared" si="2"/>
        <v>0.55555555555555558</v>
      </c>
      <c r="S55" s="66"/>
      <c r="T55" s="66"/>
      <c r="U55" s="66">
        <v>4.63</v>
      </c>
      <c r="V55" s="66">
        <v>2.71</v>
      </c>
      <c r="W55" s="62">
        <v>19</v>
      </c>
      <c r="X55" s="62">
        <v>0</v>
      </c>
      <c r="Y55" s="62">
        <v>0</v>
      </c>
      <c r="Z55" s="62" t="s">
        <v>95</v>
      </c>
      <c r="AA55" s="62"/>
      <c r="AB55" s="62" t="s">
        <v>17</v>
      </c>
      <c r="AC55" s="62" t="s">
        <v>17</v>
      </c>
      <c r="AD55" s="61" t="s">
        <v>17</v>
      </c>
      <c r="AF55" s="4" t="s">
        <v>694</v>
      </c>
      <c r="AJ55" s="67"/>
      <c r="AK55" s="67"/>
      <c r="AL55" s="67"/>
    </row>
    <row r="56" spans="1:38" ht="12.75" customHeight="1" x14ac:dyDescent="0.3">
      <c r="A56" s="61">
        <v>55</v>
      </c>
      <c r="B56" s="61">
        <v>13</v>
      </c>
      <c r="C56" s="61" t="s">
        <v>754</v>
      </c>
      <c r="D56" s="62" t="s">
        <v>31</v>
      </c>
      <c r="E56" s="62" t="s">
        <v>26</v>
      </c>
      <c r="F56" s="62" t="s">
        <v>93</v>
      </c>
      <c r="G56" s="62" t="s">
        <v>2</v>
      </c>
      <c r="H56" s="63">
        <v>1</v>
      </c>
      <c r="I56" s="62" t="s">
        <v>727</v>
      </c>
      <c r="J56" s="62" t="s">
        <v>51</v>
      </c>
      <c r="K56" s="62">
        <v>0</v>
      </c>
      <c r="L56" s="62">
        <f t="shared" si="1"/>
        <v>30</v>
      </c>
      <c r="M56" s="62">
        <v>3</v>
      </c>
      <c r="N56" s="62">
        <v>0</v>
      </c>
      <c r="O56" s="62" t="s">
        <v>32</v>
      </c>
      <c r="P56" s="62" t="s">
        <v>94</v>
      </c>
      <c r="Q56" s="64">
        <v>5.0999999999999996</v>
      </c>
      <c r="R56" s="65">
        <f t="shared" si="2"/>
        <v>0.55555555555555558</v>
      </c>
      <c r="S56" s="66"/>
      <c r="T56" s="66"/>
      <c r="U56" s="66">
        <v>8.24</v>
      </c>
      <c r="V56" s="66">
        <v>4.29</v>
      </c>
      <c r="W56" s="62">
        <v>21</v>
      </c>
      <c r="X56" s="62">
        <v>0</v>
      </c>
      <c r="Y56" s="62">
        <v>0</v>
      </c>
      <c r="Z56" s="62" t="s">
        <v>95</v>
      </c>
      <c r="AA56" s="62"/>
      <c r="AB56" s="62" t="s">
        <v>17</v>
      </c>
      <c r="AC56" s="62" t="s">
        <v>17</v>
      </c>
      <c r="AD56" s="61" t="s">
        <v>17</v>
      </c>
      <c r="AF56" s="4" t="s">
        <v>694</v>
      </c>
      <c r="AJ56" s="67"/>
      <c r="AK56" s="67"/>
      <c r="AL56" s="67"/>
    </row>
    <row r="57" spans="1:38" ht="12.75" customHeight="1" x14ac:dyDescent="0.3">
      <c r="A57" s="61">
        <v>56</v>
      </c>
      <c r="B57" s="61">
        <v>13</v>
      </c>
      <c r="C57" s="61" t="s">
        <v>754</v>
      </c>
      <c r="D57" s="62" t="s">
        <v>31</v>
      </c>
      <c r="E57" s="62" t="s">
        <v>26</v>
      </c>
      <c r="F57" s="62" t="s">
        <v>93</v>
      </c>
      <c r="G57" s="62" t="s">
        <v>2</v>
      </c>
      <c r="H57" s="63">
        <v>1</v>
      </c>
      <c r="I57" s="62" t="s">
        <v>96</v>
      </c>
      <c r="J57" s="62" t="s">
        <v>51</v>
      </c>
      <c r="K57" s="62">
        <v>0</v>
      </c>
      <c r="L57" s="62">
        <f t="shared" si="1"/>
        <v>30</v>
      </c>
      <c r="M57" s="62">
        <v>3</v>
      </c>
      <c r="N57" s="62">
        <v>0</v>
      </c>
      <c r="O57" s="62" t="s">
        <v>32</v>
      </c>
      <c r="P57" s="62" t="s">
        <v>94</v>
      </c>
      <c r="Q57" s="64">
        <v>5.0999999999999996</v>
      </c>
      <c r="R57" s="65">
        <f t="shared" si="2"/>
        <v>0.55555555555555558</v>
      </c>
      <c r="S57" s="66"/>
      <c r="T57" s="66"/>
      <c r="U57" s="66">
        <v>5.4</v>
      </c>
      <c r="V57" s="66">
        <v>1.6</v>
      </c>
      <c r="W57" s="62">
        <v>20</v>
      </c>
      <c r="X57" s="62">
        <v>0</v>
      </c>
      <c r="Y57" s="62">
        <v>0</v>
      </c>
      <c r="Z57" s="62" t="s">
        <v>95</v>
      </c>
      <c r="AA57" s="62"/>
      <c r="AB57" s="62" t="s">
        <v>17</v>
      </c>
      <c r="AC57" s="62" t="s">
        <v>17</v>
      </c>
      <c r="AD57" s="61" t="s">
        <v>17</v>
      </c>
      <c r="AF57" s="4" t="s">
        <v>694</v>
      </c>
      <c r="AJ57" s="67"/>
      <c r="AK57" s="67"/>
      <c r="AL57" s="67"/>
    </row>
    <row r="58" spans="1:38" ht="12.75" customHeight="1" x14ac:dyDescent="0.3">
      <c r="A58" s="61">
        <v>57</v>
      </c>
      <c r="B58" s="61">
        <v>14</v>
      </c>
      <c r="C58" s="61" t="s">
        <v>832</v>
      </c>
      <c r="D58" s="62" t="s">
        <v>25</v>
      </c>
      <c r="E58" s="62" t="s">
        <v>32</v>
      </c>
      <c r="F58" s="62" t="s">
        <v>27</v>
      </c>
      <c r="G58" s="62" t="s">
        <v>64</v>
      </c>
      <c r="H58" s="63">
        <v>1</v>
      </c>
      <c r="I58" s="62"/>
      <c r="J58" s="62">
        <v>1</v>
      </c>
      <c r="K58" s="62">
        <v>0</v>
      </c>
      <c r="L58" s="62">
        <f t="shared" ref="L58:L81" si="3">7*17</f>
        <v>119</v>
      </c>
      <c r="M58" s="62">
        <v>7</v>
      </c>
      <c r="N58" s="62">
        <v>2</v>
      </c>
      <c r="O58" s="62">
        <v>1</v>
      </c>
      <c r="P58" s="62" t="s">
        <v>97</v>
      </c>
      <c r="Q58" s="64">
        <f t="shared" ref="Q58:Q81" si="4">(5*12+8)/12</f>
        <v>5.666666666666667</v>
      </c>
      <c r="R58" s="65">
        <f>24/54</f>
        <v>0.44444444444444442</v>
      </c>
      <c r="S58" s="66">
        <v>4.04</v>
      </c>
      <c r="T58" s="66">
        <v>2.76</v>
      </c>
      <c r="U58" s="66">
        <v>7.96</v>
      </c>
      <c r="V58" s="66">
        <v>4.63</v>
      </c>
      <c r="W58" s="62">
        <v>54</v>
      </c>
      <c r="X58" s="62">
        <v>0</v>
      </c>
      <c r="Y58" s="62">
        <v>0</v>
      </c>
      <c r="Z58" s="62" t="s">
        <v>98</v>
      </c>
      <c r="AA58" s="62"/>
      <c r="AB58" s="62" t="s">
        <v>17</v>
      </c>
      <c r="AC58" s="62" t="s">
        <v>17</v>
      </c>
      <c r="AD58" s="61" t="s">
        <v>45</v>
      </c>
      <c r="AF58" s="4" t="s">
        <v>603</v>
      </c>
      <c r="AJ58" s="67"/>
      <c r="AK58" s="67"/>
      <c r="AL58" s="67"/>
    </row>
    <row r="59" spans="1:38" ht="12.75" customHeight="1" x14ac:dyDescent="0.3">
      <c r="A59" s="61">
        <v>58</v>
      </c>
      <c r="B59" s="61">
        <v>14</v>
      </c>
      <c r="C59" s="61" t="s">
        <v>832</v>
      </c>
      <c r="D59" s="62" t="s">
        <v>25</v>
      </c>
      <c r="E59" s="62" t="s">
        <v>32</v>
      </c>
      <c r="F59" s="62" t="s">
        <v>27</v>
      </c>
      <c r="G59" s="62" t="s">
        <v>64</v>
      </c>
      <c r="H59" s="63">
        <v>1</v>
      </c>
      <c r="I59" s="62"/>
      <c r="J59" s="62">
        <v>1</v>
      </c>
      <c r="K59" s="62">
        <v>0</v>
      </c>
      <c r="L59" s="62">
        <f t="shared" si="3"/>
        <v>119</v>
      </c>
      <c r="M59" s="62">
        <v>7</v>
      </c>
      <c r="N59" s="62">
        <f>2*7+5</f>
        <v>19</v>
      </c>
      <c r="O59" s="62">
        <v>1</v>
      </c>
      <c r="P59" s="62" t="s">
        <v>97</v>
      </c>
      <c r="Q59" s="64">
        <f t="shared" si="4"/>
        <v>5.666666666666667</v>
      </c>
      <c r="R59" s="65">
        <f>24/54</f>
        <v>0.44444444444444442</v>
      </c>
      <c r="S59" s="66">
        <v>4.04</v>
      </c>
      <c r="T59" s="66">
        <v>2.76</v>
      </c>
      <c r="U59" s="66">
        <v>8.6300000000000008</v>
      </c>
      <c r="V59" s="66">
        <v>4.62</v>
      </c>
      <c r="W59" s="62">
        <v>54</v>
      </c>
      <c r="X59" s="62">
        <v>0</v>
      </c>
      <c r="Y59" s="62">
        <v>0</v>
      </c>
      <c r="Z59" s="62" t="s">
        <v>98</v>
      </c>
      <c r="AA59" s="62"/>
      <c r="AB59" s="62" t="s">
        <v>17</v>
      </c>
      <c r="AC59" s="62" t="s">
        <v>17</v>
      </c>
      <c r="AD59" s="61" t="s">
        <v>45</v>
      </c>
      <c r="AF59" s="4" t="s">
        <v>603</v>
      </c>
      <c r="AJ59" s="67"/>
      <c r="AK59" s="67"/>
      <c r="AL59" s="67"/>
    </row>
    <row r="60" spans="1:38" ht="12.75" customHeight="1" x14ac:dyDescent="0.3">
      <c r="A60" s="61">
        <v>59</v>
      </c>
      <c r="B60" s="61">
        <v>14</v>
      </c>
      <c r="C60" s="61" t="s">
        <v>832</v>
      </c>
      <c r="D60" s="62" t="s">
        <v>25</v>
      </c>
      <c r="E60" s="62" t="s">
        <v>32</v>
      </c>
      <c r="F60" s="62" t="s">
        <v>27</v>
      </c>
      <c r="G60" s="62" t="s">
        <v>99</v>
      </c>
      <c r="H60" s="63">
        <v>1</v>
      </c>
      <c r="I60" s="62"/>
      <c r="J60" s="62">
        <v>1</v>
      </c>
      <c r="K60" s="62">
        <v>0</v>
      </c>
      <c r="L60" s="62">
        <f t="shared" si="3"/>
        <v>119</v>
      </c>
      <c r="M60" s="62">
        <v>7</v>
      </c>
      <c r="N60" s="62">
        <v>2</v>
      </c>
      <c r="O60" s="62">
        <v>1</v>
      </c>
      <c r="P60" s="62" t="s">
        <v>97</v>
      </c>
      <c r="Q60" s="64">
        <f t="shared" si="4"/>
        <v>5.666666666666667</v>
      </c>
      <c r="R60" s="65">
        <f>14/32</f>
        <v>0.4375</v>
      </c>
      <c r="S60" s="66">
        <v>2.48</v>
      </c>
      <c r="T60" s="66">
        <v>2.25</v>
      </c>
      <c r="U60" s="66">
        <v>3.48</v>
      </c>
      <c r="V60" s="66">
        <v>2.75</v>
      </c>
      <c r="W60" s="62">
        <v>32</v>
      </c>
      <c r="X60" s="62">
        <v>0</v>
      </c>
      <c r="Y60" s="62">
        <v>0</v>
      </c>
      <c r="Z60" s="62" t="s">
        <v>98</v>
      </c>
      <c r="AA60" s="62"/>
      <c r="AB60" s="62" t="s">
        <v>17</v>
      </c>
      <c r="AC60" s="62" t="s">
        <v>17</v>
      </c>
      <c r="AD60" s="61" t="s">
        <v>45</v>
      </c>
      <c r="AF60" s="4" t="s">
        <v>603</v>
      </c>
      <c r="AJ60" s="67"/>
      <c r="AK60" s="67"/>
      <c r="AL60" s="67"/>
    </row>
    <row r="61" spans="1:38" ht="12.75" customHeight="1" x14ac:dyDescent="0.3">
      <c r="A61" s="61">
        <v>60</v>
      </c>
      <c r="B61" s="61">
        <v>14</v>
      </c>
      <c r="C61" s="61" t="s">
        <v>832</v>
      </c>
      <c r="D61" s="62" t="s">
        <v>25</v>
      </c>
      <c r="E61" s="62" t="s">
        <v>32</v>
      </c>
      <c r="F61" s="62" t="s">
        <v>27</v>
      </c>
      <c r="G61" s="62" t="s">
        <v>99</v>
      </c>
      <c r="H61" s="63">
        <v>1</v>
      </c>
      <c r="I61" s="62"/>
      <c r="J61" s="62">
        <v>1</v>
      </c>
      <c r="K61" s="62">
        <v>0</v>
      </c>
      <c r="L61" s="62">
        <f t="shared" si="3"/>
        <v>119</v>
      </c>
      <c r="M61" s="62">
        <v>7</v>
      </c>
      <c r="N61" s="62">
        <f>2*7+5</f>
        <v>19</v>
      </c>
      <c r="O61" s="62">
        <v>1</v>
      </c>
      <c r="P61" s="62" t="s">
        <v>97</v>
      </c>
      <c r="Q61" s="64">
        <f t="shared" si="4"/>
        <v>5.666666666666667</v>
      </c>
      <c r="R61" s="65">
        <f>14/32</f>
        <v>0.4375</v>
      </c>
      <c r="S61" s="66">
        <v>2.48</v>
      </c>
      <c r="T61" s="66">
        <v>2.25</v>
      </c>
      <c r="U61" s="66">
        <v>3.97</v>
      </c>
      <c r="V61" s="66">
        <v>2.82</v>
      </c>
      <c r="W61" s="62">
        <v>32</v>
      </c>
      <c r="X61" s="62">
        <v>0</v>
      </c>
      <c r="Y61" s="62">
        <v>0</v>
      </c>
      <c r="Z61" s="62" t="s">
        <v>98</v>
      </c>
      <c r="AA61" s="62"/>
      <c r="AB61" s="62" t="s">
        <v>17</v>
      </c>
      <c r="AC61" s="62" t="s">
        <v>17</v>
      </c>
      <c r="AD61" s="61" t="s">
        <v>45</v>
      </c>
      <c r="AF61" s="4" t="s">
        <v>603</v>
      </c>
      <c r="AJ61" s="67"/>
      <c r="AK61" s="67"/>
      <c r="AL61" s="67"/>
    </row>
    <row r="62" spans="1:38" ht="12.75" customHeight="1" x14ac:dyDescent="0.3">
      <c r="A62" s="61">
        <v>61</v>
      </c>
      <c r="B62" s="61">
        <v>14</v>
      </c>
      <c r="C62" s="61" t="s">
        <v>832</v>
      </c>
      <c r="D62" s="62" t="s">
        <v>25</v>
      </c>
      <c r="E62" s="62" t="s">
        <v>26</v>
      </c>
      <c r="F62" s="62" t="s">
        <v>27</v>
      </c>
      <c r="G62" s="62" t="s">
        <v>2</v>
      </c>
      <c r="H62" s="63">
        <v>1</v>
      </c>
      <c r="I62" s="62"/>
      <c r="J62" s="62">
        <v>1</v>
      </c>
      <c r="K62" s="62">
        <v>0</v>
      </c>
      <c r="L62" s="62">
        <f t="shared" si="3"/>
        <v>119</v>
      </c>
      <c r="M62" s="62">
        <v>7</v>
      </c>
      <c r="N62" s="62">
        <v>2</v>
      </c>
      <c r="O62" s="62">
        <v>1</v>
      </c>
      <c r="P62" s="62" t="s">
        <v>97</v>
      </c>
      <c r="Q62" s="64">
        <f t="shared" si="4"/>
        <v>5.666666666666667</v>
      </c>
      <c r="R62" s="65">
        <f>31/54</f>
        <v>0.57407407407407407</v>
      </c>
      <c r="S62" s="66">
        <v>3.31</v>
      </c>
      <c r="T62" s="66">
        <v>3.09</v>
      </c>
      <c r="U62" s="66">
        <v>7.41</v>
      </c>
      <c r="V62" s="66">
        <v>5.17</v>
      </c>
      <c r="W62" s="62">
        <v>54</v>
      </c>
      <c r="X62" s="62">
        <v>0</v>
      </c>
      <c r="Y62" s="62">
        <v>0</v>
      </c>
      <c r="Z62" s="62" t="s">
        <v>98</v>
      </c>
      <c r="AA62" s="62"/>
      <c r="AB62" s="62" t="s">
        <v>17</v>
      </c>
      <c r="AC62" s="62" t="s">
        <v>17</v>
      </c>
      <c r="AD62" s="61" t="s">
        <v>45</v>
      </c>
      <c r="AF62" s="4" t="s">
        <v>603</v>
      </c>
      <c r="AJ62" s="67"/>
      <c r="AK62" s="67"/>
      <c r="AL62" s="67"/>
    </row>
    <row r="63" spans="1:38" ht="12.75" customHeight="1" x14ac:dyDescent="0.3">
      <c r="A63" s="61">
        <v>62</v>
      </c>
      <c r="B63" s="61">
        <v>14</v>
      </c>
      <c r="C63" s="61" t="s">
        <v>832</v>
      </c>
      <c r="D63" s="62" t="s">
        <v>25</v>
      </c>
      <c r="E63" s="62" t="s">
        <v>26</v>
      </c>
      <c r="F63" s="62" t="s">
        <v>27</v>
      </c>
      <c r="G63" s="62" t="s">
        <v>2</v>
      </c>
      <c r="H63" s="63">
        <v>1</v>
      </c>
      <c r="I63" s="62"/>
      <c r="J63" s="62">
        <v>1</v>
      </c>
      <c r="K63" s="62">
        <v>0</v>
      </c>
      <c r="L63" s="62">
        <f t="shared" si="3"/>
        <v>119</v>
      </c>
      <c r="M63" s="62">
        <v>7</v>
      </c>
      <c r="N63" s="62">
        <f>2*7+5</f>
        <v>19</v>
      </c>
      <c r="O63" s="62">
        <v>1</v>
      </c>
      <c r="P63" s="62" t="s">
        <v>97</v>
      </c>
      <c r="Q63" s="64">
        <f t="shared" si="4"/>
        <v>5.666666666666667</v>
      </c>
      <c r="R63" s="65">
        <f>31/54</f>
        <v>0.57407407407407407</v>
      </c>
      <c r="S63" s="66">
        <v>3.31</v>
      </c>
      <c r="T63" s="66">
        <v>3.09</v>
      </c>
      <c r="U63" s="66">
        <v>8.1</v>
      </c>
      <c r="V63" s="66">
        <v>5.0599999999999996</v>
      </c>
      <c r="W63" s="62">
        <v>54</v>
      </c>
      <c r="X63" s="62">
        <v>0</v>
      </c>
      <c r="Y63" s="62">
        <v>0</v>
      </c>
      <c r="Z63" s="62" t="s">
        <v>98</v>
      </c>
      <c r="AA63" s="62"/>
      <c r="AB63" s="62" t="s">
        <v>17</v>
      </c>
      <c r="AC63" s="62" t="s">
        <v>17</v>
      </c>
      <c r="AD63" s="61" t="s">
        <v>45</v>
      </c>
      <c r="AF63" s="4" t="s">
        <v>603</v>
      </c>
      <c r="AJ63" s="67"/>
      <c r="AK63" s="67"/>
      <c r="AL63" s="67"/>
    </row>
    <row r="64" spans="1:38" ht="12.75" customHeight="1" x14ac:dyDescent="0.3">
      <c r="A64" s="61">
        <v>63</v>
      </c>
      <c r="B64" s="61">
        <v>14</v>
      </c>
      <c r="C64" s="61" t="s">
        <v>832</v>
      </c>
      <c r="D64" s="62" t="s">
        <v>25</v>
      </c>
      <c r="E64" s="62" t="s">
        <v>26</v>
      </c>
      <c r="F64" s="62" t="s">
        <v>27</v>
      </c>
      <c r="G64" s="62" t="s">
        <v>2</v>
      </c>
      <c r="H64" s="63">
        <v>1</v>
      </c>
      <c r="I64" s="62"/>
      <c r="J64" s="62">
        <v>1</v>
      </c>
      <c r="K64" s="62">
        <v>0</v>
      </c>
      <c r="L64" s="62">
        <f t="shared" si="3"/>
        <v>119</v>
      </c>
      <c r="M64" s="62">
        <v>7</v>
      </c>
      <c r="N64" s="62">
        <v>2</v>
      </c>
      <c r="O64" s="62">
        <v>1</v>
      </c>
      <c r="P64" s="62" t="s">
        <v>97</v>
      </c>
      <c r="Q64" s="64">
        <f t="shared" si="4"/>
        <v>5.666666666666667</v>
      </c>
      <c r="R64" s="65">
        <f>28/54</f>
        <v>0.51851851851851849</v>
      </c>
      <c r="S64" s="66">
        <v>3.47</v>
      </c>
      <c r="T64" s="66">
        <v>3.19</v>
      </c>
      <c r="U64" s="66">
        <v>7.69</v>
      </c>
      <c r="V64" s="66">
        <v>4.92</v>
      </c>
      <c r="W64" s="62">
        <v>54</v>
      </c>
      <c r="X64" s="62">
        <v>0</v>
      </c>
      <c r="Y64" s="62">
        <v>0</v>
      </c>
      <c r="Z64" s="62" t="s">
        <v>98</v>
      </c>
      <c r="AA64" s="62"/>
      <c r="AB64" s="62" t="s">
        <v>17</v>
      </c>
      <c r="AC64" s="62" t="s">
        <v>17</v>
      </c>
      <c r="AD64" s="61" t="s">
        <v>45</v>
      </c>
      <c r="AF64" s="4" t="s">
        <v>603</v>
      </c>
      <c r="AJ64" s="67"/>
      <c r="AK64" s="67"/>
      <c r="AL64" s="67"/>
    </row>
    <row r="65" spans="1:38" ht="12.75" customHeight="1" x14ac:dyDescent="0.3">
      <c r="A65" s="61">
        <v>64</v>
      </c>
      <c r="B65" s="61">
        <v>14</v>
      </c>
      <c r="C65" s="61" t="s">
        <v>832</v>
      </c>
      <c r="D65" s="62" t="s">
        <v>25</v>
      </c>
      <c r="E65" s="62" t="s">
        <v>26</v>
      </c>
      <c r="F65" s="62" t="s">
        <v>27</v>
      </c>
      <c r="G65" s="62" t="s">
        <v>2</v>
      </c>
      <c r="H65" s="63">
        <v>1</v>
      </c>
      <c r="I65" s="62"/>
      <c r="J65" s="62">
        <v>1</v>
      </c>
      <c r="K65" s="62">
        <v>0</v>
      </c>
      <c r="L65" s="62">
        <f t="shared" si="3"/>
        <v>119</v>
      </c>
      <c r="M65" s="62">
        <v>7</v>
      </c>
      <c r="N65" s="62">
        <f>2*7+5</f>
        <v>19</v>
      </c>
      <c r="O65" s="62">
        <v>1</v>
      </c>
      <c r="P65" s="62" t="s">
        <v>97</v>
      </c>
      <c r="Q65" s="64">
        <f t="shared" si="4"/>
        <v>5.666666666666667</v>
      </c>
      <c r="R65" s="65">
        <f>28/54</f>
        <v>0.51851851851851849</v>
      </c>
      <c r="S65" s="66">
        <v>3.47</v>
      </c>
      <c r="T65" s="66">
        <v>3.19</v>
      </c>
      <c r="U65" s="66">
        <v>7.88</v>
      </c>
      <c r="V65" s="66">
        <v>4.79</v>
      </c>
      <c r="W65" s="62">
        <v>54</v>
      </c>
      <c r="X65" s="62">
        <v>0</v>
      </c>
      <c r="Y65" s="62">
        <v>0</v>
      </c>
      <c r="Z65" s="62" t="s">
        <v>98</v>
      </c>
      <c r="AA65" s="62"/>
      <c r="AB65" s="62" t="s">
        <v>17</v>
      </c>
      <c r="AC65" s="62" t="s">
        <v>17</v>
      </c>
      <c r="AD65" s="61" t="s">
        <v>45</v>
      </c>
      <c r="AF65" s="4" t="s">
        <v>603</v>
      </c>
      <c r="AJ65" s="67"/>
      <c r="AK65" s="67"/>
      <c r="AL65" s="67"/>
    </row>
    <row r="66" spans="1:38" ht="12.75" customHeight="1" x14ac:dyDescent="0.3">
      <c r="A66" s="61">
        <v>65</v>
      </c>
      <c r="B66" s="61">
        <v>14</v>
      </c>
      <c r="C66" s="61" t="s">
        <v>832</v>
      </c>
      <c r="D66" s="62" t="s">
        <v>25</v>
      </c>
      <c r="E66" s="62" t="s">
        <v>32</v>
      </c>
      <c r="F66" s="62" t="s">
        <v>27</v>
      </c>
      <c r="G66" s="62" t="s">
        <v>64</v>
      </c>
      <c r="H66" s="63">
        <v>1</v>
      </c>
      <c r="I66" s="62"/>
      <c r="J66" s="62">
        <v>1</v>
      </c>
      <c r="K66" s="62">
        <v>0</v>
      </c>
      <c r="L66" s="62">
        <f t="shared" si="3"/>
        <v>119</v>
      </c>
      <c r="M66" s="62">
        <v>7</v>
      </c>
      <c r="N66" s="62">
        <v>2</v>
      </c>
      <c r="O66" s="62" t="s">
        <v>32</v>
      </c>
      <c r="P66" s="62" t="s">
        <v>100</v>
      </c>
      <c r="Q66" s="64">
        <f t="shared" si="4"/>
        <v>5.666666666666667</v>
      </c>
      <c r="R66" s="65">
        <f>24/54</f>
        <v>0.44444444444444442</v>
      </c>
      <c r="S66" s="66"/>
      <c r="T66" s="66"/>
      <c r="U66" s="66">
        <v>6.57</v>
      </c>
      <c r="V66" s="66">
        <v>4.01</v>
      </c>
      <c r="W66" s="62">
        <v>54</v>
      </c>
      <c r="X66" s="62">
        <v>0</v>
      </c>
      <c r="Y66" s="62">
        <v>0</v>
      </c>
      <c r="Z66" s="62" t="s">
        <v>98</v>
      </c>
      <c r="AA66" s="62"/>
      <c r="AB66" s="62" t="s">
        <v>17</v>
      </c>
      <c r="AC66" s="62" t="s">
        <v>17</v>
      </c>
      <c r="AD66" s="61" t="s">
        <v>45</v>
      </c>
      <c r="AF66" s="4" t="s">
        <v>603</v>
      </c>
      <c r="AJ66" s="67"/>
      <c r="AK66" s="67"/>
      <c r="AL66" s="67"/>
    </row>
    <row r="67" spans="1:38" ht="12.75" customHeight="1" x14ac:dyDescent="0.3">
      <c r="A67" s="61">
        <v>66</v>
      </c>
      <c r="B67" s="61">
        <v>14</v>
      </c>
      <c r="C67" s="61" t="s">
        <v>832</v>
      </c>
      <c r="D67" s="62" t="s">
        <v>25</v>
      </c>
      <c r="E67" s="62" t="s">
        <v>32</v>
      </c>
      <c r="F67" s="62" t="s">
        <v>27</v>
      </c>
      <c r="G67" s="62" t="s">
        <v>64</v>
      </c>
      <c r="H67" s="63">
        <v>1</v>
      </c>
      <c r="I67" s="62"/>
      <c r="J67" s="62">
        <v>1</v>
      </c>
      <c r="K67" s="62">
        <v>0</v>
      </c>
      <c r="L67" s="62">
        <f t="shared" si="3"/>
        <v>119</v>
      </c>
      <c r="M67" s="62">
        <v>7</v>
      </c>
      <c r="N67" s="62">
        <f>2*7+5</f>
        <v>19</v>
      </c>
      <c r="O67" s="62" t="s">
        <v>32</v>
      </c>
      <c r="P67" s="62" t="s">
        <v>100</v>
      </c>
      <c r="Q67" s="64">
        <f t="shared" si="4"/>
        <v>5.666666666666667</v>
      </c>
      <c r="R67" s="65">
        <f>24/54</f>
        <v>0.44444444444444442</v>
      </c>
      <c r="S67" s="66"/>
      <c r="T67" s="66"/>
      <c r="U67" s="66">
        <v>6.67</v>
      </c>
      <c r="V67" s="66">
        <v>4.2</v>
      </c>
      <c r="W67" s="62">
        <v>54</v>
      </c>
      <c r="X67" s="62">
        <v>0</v>
      </c>
      <c r="Y67" s="62">
        <v>0</v>
      </c>
      <c r="Z67" s="62" t="s">
        <v>98</v>
      </c>
      <c r="AA67" s="62"/>
      <c r="AB67" s="62" t="s">
        <v>17</v>
      </c>
      <c r="AC67" s="62" t="s">
        <v>17</v>
      </c>
      <c r="AD67" s="61" t="s">
        <v>45</v>
      </c>
      <c r="AF67" s="4" t="s">
        <v>603</v>
      </c>
      <c r="AJ67" s="67"/>
      <c r="AK67" s="67"/>
      <c r="AL67" s="67"/>
    </row>
    <row r="68" spans="1:38" ht="12.75" customHeight="1" x14ac:dyDescent="0.3">
      <c r="A68" s="61">
        <v>67</v>
      </c>
      <c r="B68" s="61">
        <v>14</v>
      </c>
      <c r="C68" s="61" t="s">
        <v>832</v>
      </c>
      <c r="D68" s="62" t="s">
        <v>25</v>
      </c>
      <c r="E68" s="62" t="s">
        <v>32</v>
      </c>
      <c r="F68" s="62" t="s">
        <v>27</v>
      </c>
      <c r="G68" s="62" t="s">
        <v>99</v>
      </c>
      <c r="H68" s="63">
        <v>1</v>
      </c>
      <c r="I68" s="62"/>
      <c r="J68" s="62">
        <v>1</v>
      </c>
      <c r="K68" s="62">
        <v>0</v>
      </c>
      <c r="L68" s="62">
        <f t="shared" si="3"/>
        <v>119</v>
      </c>
      <c r="M68" s="62">
        <v>7</v>
      </c>
      <c r="N68" s="62">
        <v>2</v>
      </c>
      <c r="O68" s="62" t="s">
        <v>32</v>
      </c>
      <c r="P68" s="62" t="s">
        <v>100</v>
      </c>
      <c r="Q68" s="64">
        <f t="shared" si="4"/>
        <v>5.666666666666667</v>
      </c>
      <c r="R68" s="65">
        <f>14/32</f>
        <v>0.4375</v>
      </c>
      <c r="S68" s="66"/>
      <c r="T68" s="66"/>
      <c r="U68" s="66">
        <v>3.07</v>
      </c>
      <c r="V68" s="66">
        <v>2.27</v>
      </c>
      <c r="W68" s="62">
        <v>32</v>
      </c>
      <c r="X68" s="62">
        <v>0</v>
      </c>
      <c r="Y68" s="62">
        <v>0</v>
      </c>
      <c r="Z68" s="62" t="s">
        <v>98</v>
      </c>
      <c r="AA68" s="62"/>
      <c r="AB68" s="62" t="s">
        <v>17</v>
      </c>
      <c r="AC68" s="62" t="s">
        <v>17</v>
      </c>
      <c r="AD68" s="61" t="s">
        <v>45</v>
      </c>
      <c r="AF68" s="4" t="s">
        <v>603</v>
      </c>
      <c r="AJ68" s="67"/>
      <c r="AK68" s="67"/>
      <c r="AL68" s="67"/>
    </row>
    <row r="69" spans="1:38" ht="12.75" customHeight="1" x14ac:dyDescent="0.3">
      <c r="A69" s="61">
        <v>68</v>
      </c>
      <c r="B69" s="61">
        <v>14</v>
      </c>
      <c r="C69" s="61" t="s">
        <v>832</v>
      </c>
      <c r="D69" s="62" t="s">
        <v>25</v>
      </c>
      <c r="E69" s="62" t="s">
        <v>32</v>
      </c>
      <c r="F69" s="62" t="s">
        <v>27</v>
      </c>
      <c r="G69" s="62" t="s">
        <v>99</v>
      </c>
      <c r="H69" s="63">
        <v>1</v>
      </c>
      <c r="I69" s="62"/>
      <c r="J69" s="62">
        <v>1</v>
      </c>
      <c r="K69" s="62">
        <v>0</v>
      </c>
      <c r="L69" s="62">
        <f t="shared" si="3"/>
        <v>119</v>
      </c>
      <c r="M69" s="62">
        <v>7</v>
      </c>
      <c r="N69" s="62">
        <f>2*7+5</f>
        <v>19</v>
      </c>
      <c r="O69" s="62" t="s">
        <v>32</v>
      </c>
      <c r="P69" s="62" t="s">
        <v>100</v>
      </c>
      <c r="Q69" s="64">
        <f t="shared" si="4"/>
        <v>5.666666666666667</v>
      </c>
      <c r="R69" s="65">
        <f>14/32</f>
        <v>0.4375</v>
      </c>
      <c r="S69" s="66"/>
      <c r="T69" s="66"/>
      <c r="U69" s="66">
        <v>3.52</v>
      </c>
      <c r="V69" s="66">
        <v>2.17</v>
      </c>
      <c r="W69" s="62">
        <v>32</v>
      </c>
      <c r="X69" s="62">
        <v>0</v>
      </c>
      <c r="Y69" s="62">
        <v>0</v>
      </c>
      <c r="Z69" s="62" t="s">
        <v>98</v>
      </c>
      <c r="AA69" s="62"/>
      <c r="AB69" s="62" t="s">
        <v>17</v>
      </c>
      <c r="AC69" s="62" t="s">
        <v>17</v>
      </c>
      <c r="AD69" s="61" t="s">
        <v>45</v>
      </c>
      <c r="AF69" s="4" t="s">
        <v>603</v>
      </c>
      <c r="AJ69" s="67"/>
      <c r="AK69" s="67"/>
      <c r="AL69" s="67"/>
    </row>
    <row r="70" spans="1:38" ht="12.75" customHeight="1" x14ac:dyDescent="0.3">
      <c r="A70" s="61">
        <v>69</v>
      </c>
      <c r="B70" s="61">
        <v>14</v>
      </c>
      <c r="C70" s="61" t="s">
        <v>832</v>
      </c>
      <c r="D70" s="62" t="s">
        <v>25</v>
      </c>
      <c r="E70" s="62" t="s">
        <v>26</v>
      </c>
      <c r="F70" s="62" t="s">
        <v>27</v>
      </c>
      <c r="G70" s="62" t="s">
        <v>2</v>
      </c>
      <c r="H70" s="63">
        <v>1</v>
      </c>
      <c r="I70" s="62"/>
      <c r="J70" s="62">
        <v>1</v>
      </c>
      <c r="K70" s="62">
        <v>0</v>
      </c>
      <c r="L70" s="62">
        <f t="shared" si="3"/>
        <v>119</v>
      </c>
      <c r="M70" s="62">
        <v>7</v>
      </c>
      <c r="N70" s="62">
        <v>2</v>
      </c>
      <c r="O70" s="62" t="s">
        <v>32</v>
      </c>
      <c r="P70" s="62" t="s">
        <v>100</v>
      </c>
      <c r="Q70" s="64">
        <f t="shared" si="4"/>
        <v>5.666666666666667</v>
      </c>
      <c r="R70" s="65">
        <f>31/54</f>
        <v>0.57407407407407407</v>
      </c>
      <c r="S70" s="66"/>
      <c r="T70" s="66"/>
      <c r="U70" s="66">
        <v>6</v>
      </c>
      <c r="V70" s="66">
        <v>4.2300000000000004</v>
      </c>
      <c r="W70" s="62">
        <v>54</v>
      </c>
      <c r="X70" s="62">
        <v>0</v>
      </c>
      <c r="Y70" s="62">
        <v>0</v>
      </c>
      <c r="Z70" s="62" t="s">
        <v>98</v>
      </c>
      <c r="AA70" s="62"/>
      <c r="AB70" s="62" t="s">
        <v>17</v>
      </c>
      <c r="AC70" s="62" t="s">
        <v>17</v>
      </c>
      <c r="AD70" s="61" t="s">
        <v>45</v>
      </c>
      <c r="AF70" s="4" t="s">
        <v>603</v>
      </c>
      <c r="AJ70" s="67"/>
      <c r="AK70" s="67"/>
      <c r="AL70" s="67"/>
    </row>
    <row r="71" spans="1:38" ht="12.75" customHeight="1" x14ac:dyDescent="0.3">
      <c r="A71" s="61">
        <v>70</v>
      </c>
      <c r="B71" s="61">
        <v>14</v>
      </c>
      <c r="C71" s="61" t="s">
        <v>832</v>
      </c>
      <c r="D71" s="62" t="s">
        <v>25</v>
      </c>
      <c r="E71" s="62" t="s">
        <v>26</v>
      </c>
      <c r="F71" s="62" t="s">
        <v>27</v>
      </c>
      <c r="G71" s="62" t="s">
        <v>2</v>
      </c>
      <c r="H71" s="63">
        <v>1</v>
      </c>
      <c r="I71" s="62"/>
      <c r="J71" s="62">
        <v>1</v>
      </c>
      <c r="K71" s="62">
        <v>0</v>
      </c>
      <c r="L71" s="62">
        <f t="shared" si="3"/>
        <v>119</v>
      </c>
      <c r="M71" s="62">
        <v>7</v>
      </c>
      <c r="N71" s="62">
        <f>2*7+5</f>
        <v>19</v>
      </c>
      <c r="O71" s="62" t="s">
        <v>32</v>
      </c>
      <c r="P71" s="62" t="s">
        <v>100</v>
      </c>
      <c r="Q71" s="64">
        <f t="shared" si="4"/>
        <v>5.666666666666667</v>
      </c>
      <c r="R71" s="65">
        <f>31/54</f>
        <v>0.57407407407407407</v>
      </c>
      <c r="S71" s="66"/>
      <c r="T71" s="66"/>
      <c r="U71" s="66">
        <v>6.45</v>
      </c>
      <c r="V71" s="66">
        <v>4.62</v>
      </c>
      <c r="W71" s="62">
        <v>54</v>
      </c>
      <c r="X71" s="62">
        <v>0</v>
      </c>
      <c r="Y71" s="62">
        <v>0</v>
      </c>
      <c r="Z71" s="62" t="s">
        <v>98</v>
      </c>
      <c r="AA71" s="62"/>
      <c r="AB71" s="62" t="s">
        <v>17</v>
      </c>
      <c r="AC71" s="62" t="s">
        <v>17</v>
      </c>
      <c r="AD71" s="61" t="s">
        <v>45</v>
      </c>
      <c r="AF71" s="4" t="s">
        <v>603</v>
      </c>
      <c r="AJ71" s="67"/>
      <c r="AK71" s="67"/>
      <c r="AL71" s="67"/>
    </row>
    <row r="72" spans="1:38" ht="12.75" customHeight="1" x14ac:dyDescent="0.3">
      <c r="A72" s="61">
        <v>71</v>
      </c>
      <c r="B72" s="61">
        <v>14</v>
      </c>
      <c r="C72" s="61" t="s">
        <v>832</v>
      </c>
      <c r="D72" s="62" t="s">
        <v>25</v>
      </c>
      <c r="E72" s="62" t="s">
        <v>26</v>
      </c>
      <c r="F72" s="62" t="s">
        <v>27</v>
      </c>
      <c r="G72" s="62" t="s">
        <v>2</v>
      </c>
      <c r="H72" s="63">
        <v>1</v>
      </c>
      <c r="I72" s="62"/>
      <c r="J72" s="62">
        <v>1</v>
      </c>
      <c r="K72" s="62">
        <v>0</v>
      </c>
      <c r="L72" s="62">
        <f t="shared" si="3"/>
        <v>119</v>
      </c>
      <c r="M72" s="62">
        <v>7</v>
      </c>
      <c r="N72" s="62">
        <v>2</v>
      </c>
      <c r="O72" s="62" t="s">
        <v>32</v>
      </c>
      <c r="P72" s="62" t="s">
        <v>100</v>
      </c>
      <c r="Q72" s="64">
        <f t="shared" si="4"/>
        <v>5.666666666666667</v>
      </c>
      <c r="R72" s="65">
        <f>28/54</f>
        <v>0.51851851851851849</v>
      </c>
      <c r="S72" s="66"/>
      <c r="T72" s="66"/>
      <c r="U72" s="66">
        <v>6.43</v>
      </c>
      <c r="V72" s="66">
        <v>4.2</v>
      </c>
      <c r="W72" s="62">
        <v>54</v>
      </c>
      <c r="X72" s="62">
        <v>0</v>
      </c>
      <c r="Y72" s="62">
        <v>0</v>
      </c>
      <c r="Z72" s="62" t="s">
        <v>98</v>
      </c>
      <c r="AA72" s="62"/>
      <c r="AB72" s="62" t="s">
        <v>17</v>
      </c>
      <c r="AC72" s="62" t="s">
        <v>17</v>
      </c>
      <c r="AD72" s="61" t="s">
        <v>45</v>
      </c>
      <c r="AF72" s="4" t="s">
        <v>603</v>
      </c>
      <c r="AJ72" s="67"/>
      <c r="AK72" s="67"/>
      <c r="AL72" s="67"/>
    </row>
    <row r="73" spans="1:38" ht="12.75" customHeight="1" x14ac:dyDescent="0.3">
      <c r="A73" s="61">
        <v>72</v>
      </c>
      <c r="B73" s="61">
        <v>14</v>
      </c>
      <c r="C73" s="61" t="s">
        <v>832</v>
      </c>
      <c r="D73" s="62" t="s">
        <v>25</v>
      </c>
      <c r="E73" s="62" t="s">
        <v>26</v>
      </c>
      <c r="F73" s="62" t="s">
        <v>27</v>
      </c>
      <c r="G73" s="62" t="s">
        <v>2</v>
      </c>
      <c r="H73" s="63">
        <v>1</v>
      </c>
      <c r="I73" s="62"/>
      <c r="J73" s="62">
        <v>1</v>
      </c>
      <c r="K73" s="62">
        <v>0</v>
      </c>
      <c r="L73" s="62">
        <f t="shared" si="3"/>
        <v>119</v>
      </c>
      <c r="M73" s="62">
        <v>7</v>
      </c>
      <c r="N73" s="62">
        <f>2*7+5</f>
        <v>19</v>
      </c>
      <c r="O73" s="62" t="s">
        <v>32</v>
      </c>
      <c r="P73" s="62" t="s">
        <v>100</v>
      </c>
      <c r="Q73" s="64">
        <f t="shared" si="4"/>
        <v>5.666666666666667</v>
      </c>
      <c r="R73" s="65">
        <f>28/54</f>
        <v>0.51851851851851849</v>
      </c>
      <c r="S73" s="66"/>
      <c r="T73" s="66"/>
      <c r="U73" s="66">
        <v>6.43</v>
      </c>
      <c r="V73" s="66">
        <v>4.6500000000000004</v>
      </c>
      <c r="W73" s="62">
        <v>54</v>
      </c>
      <c r="X73" s="62">
        <v>0</v>
      </c>
      <c r="Y73" s="62">
        <v>0</v>
      </c>
      <c r="Z73" s="62" t="s">
        <v>98</v>
      </c>
      <c r="AA73" s="62"/>
      <c r="AB73" s="62" t="s">
        <v>17</v>
      </c>
      <c r="AC73" s="62" t="s">
        <v>17</v>
      </c>
      <c r="AD73" s="61" t="s">
        <v>45</v>
      </c>
      <c r="AF73" s="4" t="s">
        <v>603</v>
      </c>
      <c r="AJ73" s="67"/>
      <c r="AK73" s="67"/>
      <c r="AL73" s="67"/>
    </row>
    <row r="74" spans="1:38" ht="12.75" customHeight="1" x14ac:dyDescent="0.3">
      <c r="A74" s="61">
        <v>73</v>
      </c>
      <c r="B74" s="61">
        <v>14</v>
      </c>
      <c r="C74" s="61" t="s">
        <v>832</v>
      </c>
      <c r="D74" s="62" t="s">
        <v>25</v>
      </c>
      <c r="E74" s="62" t="s">
        <v>32</v>
      </c>
      <c r="F74" s="62" t="s">
        <v>101</v>
      </c>
      <c r="G74" s="62" t="s">
        <v>64</v>
      </c>
      <c r="H74" s="63">
        <v>1</v>
      </c>
      <c r="I74" s="62"/>
      <c r="J74" s="62">
        <v>1</v>
      </c>
      <c r="K74" s="62">
        <v>0</v>
      </c>
      <c r="L74" s="62">
        <f t="shared" si="3"/>
        <v>119</v>
      </c>
      <c r="M74" s="62">
        <v>7</v>
      </c>
      <c r="N74" s="62">
        <v>2</v>
      </c>
      <c r="O74" s="62" t="s">
        <v>32</v>
      </c>
      <c r="P74" s="62" t="s">
        <v>102</v>
      </c>
      <c r="Q74" s="64">
        <f t="shared" si="4"/>
        <v>5.666666666666667</v>
      </c>
      <c r="R74" s="65">
        <f>24/54</f>
        <v>0.44444444444444442</v>
      </c>
      <c r="S74" s="66"/>
      <c r="T74" s="66"/>
      <c r="U74" s="66">
        <v>29.73</v>
      </c>
      <c r="V74" s="66">
        <v>6.27</v>
      </c>
      <c r="W74" s="62">
        <v>54</v>
      </c>
      <c r="X74" s="62">
        <v>0</v>
      </c>
      <c r="Y74" s="62">
        <v>0</v>
      </c>
      <c r="Z74" s="62" t="s">
        <v>98</v>
      </c>
      <c r="AA74" s="62"/>
      <c r="AB74" s="62" t="s">
        <v>17</v>
      </c>
      <c r="AC74" s="62" t="s">
        <v>17</v>
      </c>
      <c r="AD74" s="61" t="s">
        <v>45</v>
      </c>
      <c r="AF74" s="4" t="s">
        <v>603</v>
      </c>
      <c r="AJ74" s="67"/>
      <c r="AK74" s="67"/>
      <c r="AL74" s="67"/>
    </row>
    <row r="75" spans="1:38" ht="12.75" customHeight="1" x14ac:dyDescent="0.3">
      <c r="A75" s="61">
        <v>74</v>
      </c>
      <c r="B75" s="61">
        <v>14</v>
      </c>
      <c r="C75" s="61" t="s">
        <v>832</v>
      </c>
      <c r="D75" s="62" t="s">
        <v>25</v>
      </c>
      <c r="E75" s="62" t="s">
        <v>32</v>
      </c>
      <c r="F75" s="62" t="s">
        <v>101</v>
      </c>
      <c r="G75" s="62" t="s">
        <v>64</v>
      </c>
      <c r="H75" s="63">
        <v>1</v>
      </c>
      <c r="I75" s="62"/>
      <c r="J75" s="62">
        <v>1</v>
      </c>
      <c r="K75" s="62">
        <v>0</v>
      </c>
      <c r="L75" s="62">
        <f t="shared" si="3"/>
        <v>119</v>
      </c>
      <c r="M75" s="62">
        <v>7</v>
      </c>
      <c r="N75" s="62">
        <f>2*7+5</f>
        <v>19</v>
      </c>
      <c r="O75" s="62" t="s">
        <v>32</v>
      </c>
      <c r="P75" s="62" t="s">
        <v>102</v>
      </c>
      <c r="Q75" s="64">
        <f t="shared" si="4"/>
        <v>5.666666666666667</v>
      </c>
      <c r="R75" s="65">
        <f>24/54</f>
        <v>0.44444444444444442</v>
      </c>
      <c r="S75" s="66"/>
      <c r="T75" s="66"/>
      <c r="U75" s="66">
        <v>30.25</v>
      </c>
      <c r="V75" s="66">
        <v>6.58</v>
      </c>
      <c r="W75" s="62">
        <v>54</v>
      </c>
      <c r="X75" s="62">
        <v>0</v>
      </c>
      <c r="Y75" s="62">
        <v>0</v>
      </c>
      <c r="Z75" s="62" t="s">
        <v>98</v>
      </c>
      <c r="AA75" s="62"/>
      <c r="AB75" s="62" t="s">
        <v>17</v>
      </c>
      <c r="AC75" s="62" t="s">
        <v>17</v>
      </c>
      <c r="AD75" s="61" t="s">
        <v>45</v>
      </c>
      <c r="AF75" s="4" t="s">
        <v>603</v>
      </c>
      <c r="AJ75" s="67"/>
      <c r="AK75" s="67"/>
      <c r="AL75" s="67"/>
    </row>
    <row r="76" spans="1:38" ht="12.75" customHeight="1" x14ac:dyDescent="0.3">
      <c r="A76" s="61">
        <v>75</v>
      </c>
      <c r="B76" s="61">
        <v>14</v>
      </c>
      <c r="C76" s="61" t="s">
        <v>832</v>
      </c>
      <c r="D76" s="62" t="s">
        <v>25</v>
      </c>
      <c r="E76" s="62" t="s">
        <v>32</v>
      </c>
      <c r="F76" s="62" t="s">
        <v>101</v>
      </c>
      <c r="G76" s="62" t="s">
        <v>99</v>
      </c>
      <c r="H76" s="63">
        <v>1</v>
      </c>
      <c r="I76" s="62"/>
      <c r="J76" s="62">
        <v>1</v>
      </c>
      <c r="K76" s="62">
        <v>0</v>
      </c>
      <c r="L76" s="62">
        <f t="shared" si="3"/>
        <v>119</v>
      </c>
      <c r="M76" s="62">
        <v>7</v>
      </c>
      <c r="N76" s="62">
        <v>2</v>
      </c>
      <c r="O76" s="62" t="s">
        <v>32</v>
      </c>
      <c r="P76" s="62" t="s">
        <v>102</v>
      </c>
      <c r="Q76" s="64">
        <f t="shared" si="4"/>
        <v>5.666666666666667</v>
      </c>
      <c r="R76" s="65">
        <f>14/32</f>
        <v>0.4375</v>
      </c>
      <c r="S76" s="66"/>
      <c r="T76" s="66"/>
      <c r="U76" s="66">
        <v>24.31</v>
      </c>
      <c r="V76" s="66">
        <v>6.25</v>
      </c>
      <c r="W76" s="62">
        <v>32</v>
      </c>
      <c r="X76" s="62">
        <v>0</v>
      </c>
      <c r="Y76" s="62">
        <v>0</v>
      </c>
      <c r="Z76" s="62" t="s">
        <v>98</v>
      </c>
      <c r="AA76" s="62"/>
      <c r="AB76" s="62" t="s">
        <v>17</v>
      </c>
      <c r="AC76" s="62" t="s">
        <v>17</v>
      </c>
      <c r="AD76" s="61" t="s">
        <v>45</v>
      </c>
      <c r="AF76" s="4" t="s">
        <v>603</v>
      </c>
      <c r="AJ76" s="67"/>
      <c r="AK76" s="67"/>
      <c r="AL76" s="67"/>
    </row>
    <row r="77" spans="1:38" ht="12.75" customHeight="1" x14ac:dyDescent="0.3">
      <c r="A77" s="61">
        <v>76</v>
      </c>
      <c r="B77" s="61">
        <v>14</v>
      </c>
      <c r="C77" s="61" t="s">
        <v>832</v>
      </c>
      <c r="D77" s="62" t="s">
        <v>25</v>
      </c>
      <c r="E77" s="62" t="s">
        <v>32</v>
      </c>
      <c r="F77" s="62" t="s">
        <v>101</v>
      </c>
      <c r="G77" s="62" t="s">
        <v>99</v>
      </c>
      <c r="H77" s="63">
        <v>1</v>
      </c>
      <c r="I77" s="62"/>
      <c r="J77" s="62">
        <v>1</v>
      </c>
      <c r="K77" s="62">
        <v>0</v>
      </c>
      <c r="L77" s="62">
        <f t="shared" si="3"/>
        <v>119</v>
      </c>
      <c r="M77" s="62">
        <v>7</v>
      </c>
      <c r="N77" s="62">
        <f>2*7+5</f>
        <v>19</v>
      </c>
      <c r="O77" s="62" t="s">
        <v>32</v>
      </c>
      <c r="P77" s="62" t="s">
        <v>102</v>
      </c>
      <c r="Q77" s="64">
        <f t="shared" si="4"/>
        <v>5.666666666666667</v>
      </c>
      <c r="R77" s="65">
        <f>14/32</f>
        <v>0.4375</v>
      </c>
      <c r="S77" s="66"/>
      <c r="T77" s="66"/>
      <c r="U77" s="66">
        <v>25.62</v>
      </c>
      <c r="V77" s="66">
        <v>5.34</v>
      </c>
      <c r="W77" s="62">
        <v>32</v>
      </c>
      <c r="X77" s="62">
        <v>0</v>
      </c>
      <c r="Y77" s="62">
        <v>0</v>
      </c>
      <c r="Z77" s="62" t="s">
        <v>98</v>
      </c>
      <c r="AA77" s="62"/>
      <c r="AB77" s="62" t="s">
        <v>17</v>
      </c>
      <c r="AC77" s="62" t="s">
        <v>17</v>
      </c>
      <c r="AD77" s="61" t="s">
        <v>45</v>
      </c>
      <c r="AF77" s="4" t="s">
        <v>603</v>
      </c>
      <c r="AJ77" s="67"/>
      <c r="AK77" s="67"/>
      <c r="AL77" s="67"/>
    </row>
    <row r="78" spans="1:38" ht="12.75" customHeight="1" x14ac:dyDescent="0.3">
      <c r="A78" s="61">
        <v>77</v>
      </c>
      <c r="B78" s="61">
        <v>14</v>
      </c>
      <c r="C78" s="61" t="s">
        <v>832</v>
      </c>
      <c r="D78" s="62" t="s">
        <v>25</v>
      </c>
      <c r="E78" s="62" t="s">
        <v>26</v>
      </c>
      <c r="F78" s="62" t="s">
        <v>101</v>
      </c>
      <c r="G78" s="62" t="s">
        <v>2</v>
      </c>
      <c r="H78" s="63">
        <v>1</v>
      </c>
      <c r="I78" s="62"/>
      <c r="J78" s="62">
        <v>1</v>
      </c>
      <c r="K78" s="62">
        <v>0</v>
      </c>
      <c r="L78" s="62">
        <f t="shared" si="3"/>
        <v>119</v>
      </c>
      <c r="M78" s="62">
        <v>7</v>
      </c>
      <c r="N78" s="62">
        <v>2</v>
      </c>
      <c r="O78" s="62" t="s">
        <v>32</v>
      </c>
      <c r="P78" s="62" t="s">
        <v>102</v>
      </c>
      <c r="Q78" s="64">
        <f t="shared" si="4"/>
        <v>5.666666666666667</v>
      </c>
      <c r="R78" s="65">
        <f>31/54</f>
        <v>0.57407407407407407</v>
      </c>
      <c r="S78" s="66"/>
      <c r="T78" s="66"/>
      <c r="U78" s="66">
        <v>29.47</v>
      </c>
      <c r="V78" s="66">
        <v>5.85</v>
      </c>
      <c r="W78" s="62">
        <v>54</v>
      </c>
      <c r="X78" s="62">
        <v>0</v>
      </c>
      <c r="Y78" s="62">
        <v>0</v>
      </c>
      <c r="Z78" s="62" t="s">
        <v>98</v>
      </c>
      <c r="AA78" s="62"/>
      <c r="AB78" s="62" t="s">
        <v>17</v>
      </c>
      <c r="AC78" s="62" t="s">
        <v>17</v>
      </c>
      <c r="AD78" s="61" t="s">
        <v>45</v>
      </c>
      <c r="AF78" s="4" t="s">
        <v>603</v>
      </c>
      <c r="AJ78" s="67"/>
      <c r="AK78" s="67"/>
      <c r="AL78" s="67"/>
    </row>
    <row r="79" spans="1:38" ht="12.75" customHeight="1" x14ac:dyDescent="0.3">
      <c r="A79" s="61">
        <v>78</v>
      </c>
      <c r="B79" s="61">
        <v>14</v>
      </c>
      <c r="C79" s="61" t="s">
        <v>832</v>
      </c>
      <c r="D79" s="62" t="s">
        <v>25</v>
      </c>
      <c r="E79" s="62" t="s">
        <v>26</v>
      </c>
      <c r="F79" s="62" t="s">
        <v>101</v>
      </c>
      <c r="G79" s="62" t="s">
        <v>2</v>
      </c>
      <c r="H79" s="63">
        <v>1</v>
      </c>
      <c r="I79" s="62"/>
      <c r="J79" s="62">
        <v>1</v>
      </c>
      <c r="K79" s="62">
        <v>0</v>
      </c>
      <c r="L79" s="62">
        <f t="shared" si="3"/>
        <v>119</v>
      </c>
      <c r="M79" s="62">
        <v>7</v>
      </c>
      <c r="N79" s="62">
        <f>2*7+5</f>
        <v>19</v>
      </c>
      <c r="O79" s="62" t="s">
        <v>32</v>
      </c>
      <c r="P79" s="62" t="s">
        <v>102</v>
      </c>
      <c r="Q79" s="64">
        <f t="shared" si="4"/>
        <v>5.666666666666667</v>
      </c>
      <c r="R79" s="65">
        <f>31/54</f>
        <v>0.57407407407407407</v>
      </c>
      <c r="S79" s="66"/>
      <c r="T79" s="66"/>
      <c r="U79" s="66">
        <v>30.43</v>
      </c>
      <c r="V79" s="66">
        <v>6.22</v>
      </c>
      <c r="W79" s="62">
        <v>54</v>
      </c>
      <c r="X79" s="62">
        <v>0</v>
      </c>
      <c r="Y79" s="62">
        <v>0</v>
      </c>
      <c r="Z79" s="62" t="s">
        <v>98</v>
      </c>
      <c r="AA79" s="62"/>
      <c r="AB79" s="62" t="s">
        <v>17</v>
      </c>
      <c r="AC79" s="62" t="s">
        <v>17</v>
      </c>
      <c r="AD79" s="61" t="s">
        <v>45</v>
      </c>
      <c r="AF79" s="4" t="s">
        <v>603</v>
      </c>
      <c r="AJ79" s="67"/>
      <c r="AK79" s="67"/>
      <c r="AL79" s="67"/>
    </row>
    <row r="80" spans="1:38" ht="12.75" customHeight="1" x14ac:dyDescent="0.3">
      <c r="A80" s="61">
        <v>79</v>
      </c>
      <c r="B80" s="61">
        <v>14</v>
      </c>
      <c r="C80" s="61" t="s">
        <v>832</v>
      </c>
      <c r="D80" s="62" t="s">
        <v>25</v>
      </c>
      <c r="E80" s="62" t="s">
        <v>26</v>
      </c>
      <c r="F80" s="62" t="s">
        <v>101</v>
      </c>
      <c r="G80" s="62" t="s">
        <v>2</v>
      </c>
      <c r="H80" s="63">
        <v>1</v>
      </c>
      <c r="I80" s="62"/>
      <c r="J80" s="62">
        <v>1</v>
      </c>
      <c r="K80" s="62">
        <v>0</v>
      </c>
      <c r="L80" s="62">
        <f t="shared" si="3"/>
        <v>119</v>
      </c>
      <c r="M80" s="62">
        <v>7</v>
      </c>
      <c r="N80" s="62">
        <v>2</v>
      </c>
      <c r="O80" s="62" t="s">
        <v>32</v>
      </c>
      <c r="P80" s="62" t="s">
        <v>102</v>
      </c>
      <c r="Q80" s="64">
        <f t="shared" si="4"/>
        <v>5.666666666666667</v>
      </c>
      <c r="R80" s="65">
        <f>28/54</f>
        <v>0.51851851851851849</v>
      </c>
      <c r="S80" s="66"/>
      <c r="T80" s="66"/>
      <c r="U80" s="66">
        <v>29.39</v>
      </c>
      <c r="V80" s="66">
        <v>6.27</v>
      </c>
      <c r="W80" s="62">
        <v>54</v>
      </c>
      <c r="X80" s="62">
        <v>0</v>
      </c>
      <c r="Y80" s="62">
        <v>0</v>
      </c>
      <c r="Z80" s="62" t="s">
        <v>98</v>
      </c>
      <c r="AA80" s="62"/>
      <c r="AB80" s="62" t="s">
        <v>17</v>
      </c>
      <c r="AC80" s="62" t="s">
        <v>17</v>
      </c>
      <c r="AD80" s="61" t="s">
        <v>45</v>
      </c>
      <c r="AF80" s="4" t="s">
        <v>603</v>
      </c>
      <c r="AJ80" s="67"/>
      <c r="AK80" s="67"/>
      <c r="AL80" s="67"/>
    </row>
    <row r="81" spans="1:38" ht="12.75" customHeight="1" x14ac:dyDescent="0.3">
      <c r="A81" s="61">
        <v>80</v>
      </c>
      <c r="B81" s="61">
        <v>14</v>
      </c>
      <c r="C81" s="61" t="s">
        <v>832</v>
      </c>
      <c r="D81" s="62" t="s">
        <v>25</v>
      </c>
      <c r="E81" s="62" t="s">
        <v>26</v>
      </c>
      <c r="F81" s="62" t="s">
        <v>101</v>
      </c>
      <c r="G81" s="62" t="s">
        <v>2</v>
      </c>
      <c r="H81" s="63">
        <v>1</v>
      </c>
      <c r="I81" s="62"/>
      <c r="J81" s="62">
        <v>1</v>
      </c>
      <c r="K81" s="62">
        <v>0</v>
      </c>
      <c r="L81" s="62">
        <f t="shared" si="3"/>
        <v>119</v>
      </c>
      <c r="M81" s="62">
        <v>7</v>
      </c>
      <c r="N81" s="62">
        <f>2*7+5</f>
        <v>19</v>
      </c>
      <c r="O81" s="62" t="s">
        <v>32</v>
      </c>
      <c r="P81" s="62" t="s">
        <v>102</v>
      </c>
      <c r="Q81" s="64">
        <f t="shared" si="4"/>
        <v>5.666666666666667</v>
      </c>
      <c r="R81" s="65">
        <f>28/54</f>
        <v>0.51851851851851849</v>
      </c>
      <c r="S81" s="66"/>
      <c r="T81" s="66"/>
      <c r="U81" s="66">
        <v>29.75</v>
      </c>
      <c r="V81" s="66">
        <v>6.44</v>
      </c>
      <c r="W81" s="62">
        <v>54</v>
      </c>
      <c r="X81" s="62">
        <v>0</v>
      </c>
      <c r="Y81" s="62">
        <v>0</v>
      </c>
      <c r="Z81" s="62" t="s">
        <v>98</v>
      </c>
      <c r="AA81" s="62"/>
      <c r="AB81" s="62" t="s">
        <v>17</v>
      </c>
      <c r="AC81" s="62" t="s">
        <v>17</v>
      </c>
      <c r="AD81" s="61" t="s">
        <v>45</v>
      </c>
      <c r="AF81" s="4" t="s">
        <v>603</v>
      </c>
      <c r="AJ81" s="67"/>
      <c r="AK81" s="67"/>
      <c r="AL81" s="67"/>
    </row>
    <row r="82" spans="1:38" ht="12.75" customHeight="1" x14ac:dyDescent="0.3">
      <c r="A82" s="61">
        <v>81</v>
      </c>
      <c r="B82" s="61">
        <v>15</v>
      </c>
      <c r="C82" s="61" t="s">
        <v>787</v>
      </c>
      <c r="D82" s="62" t="s">
        <v>47</v>
      </c>
      <c r="E82" s="62" t="s">
        <v>32</v>
      </c>
      <c r="F82" s="62" t="s">
        <v>103</v>
      </c>
      <c r="G82" s="62" t="s">
        <v>60</v>
      </c>
      <c r="H82" s="63">
        <v>1</v>
      </c>
      <c r="I82" s="62"/>
      <c r="J82" s="62" t="s">
        <v>32</v>
      </c>
      <c r="K82" s="62" t="s">
        <v>32</v>
      </c>
      <c r="L82" s="62" t="s">
        <v>32</v>
      </c>
      <c r="M82" s="62" t="s">
        <v>32</v>
      </c>
      <c r="N82" s="62" t="s">
        <v>32</v>
      </c>
      <c r="O82" s="62">
        <v>1</v>
      </c>
      <c r="P82" s="62" t="s">
        <v>104</v>
      </c>
      <c r="Q82" s="64">
        <v>8.8000000000000007</v>
      </c>
      <c r="R82" s="65">
        <f>30/67</f>
        <v>0.44776119402985076</v>
      </c>
      <c r="S82" s="66">
        <v>3.96</v>
      </c>
      <c r="T82" s="66">
        <f>1.26394502677065*(4.66-3.26)</f>
        <v>1.7695230374789104</v>
      </c>
      <c r="U82" s="66">
        <v>3.89</v>
      </c>
      <c r="V82" s="66">
        <f>1.26394502677065*(4.49-3.28)</f>
        <v>1.5293734823924869</v>
      </c>
      <c r="W82" s="62">
        <v>27</v>
      </c>
      <c r="X82" s="62">
        <v>0</v>
      </c>
      <c r="Y82" s="62">
        <v>0</v>
      </c>
      <c r="Z82" s="62" t="s">
        <v>105</v>
      </c>
      <c r="AA82" s="62"/>
      <c r="AB82" s="62" t="s">
        <v>45</v>
      </c>
      <c r="AC82" s="62" t="s">
        <v>17</v>
      </c>
      <c r="AD82" s="61" t="s">
        <v>45</v>
      </c>
      <c r="AF82" s="4" t="s">
        <v>604</v>
      </c>
      <c r="AJ82" s="67"/>
      <c r="AK82" s="67"/>
      <c r="AL82" s="67"/>
    </row>
    <row r="83" spans="1:38" ht="12.75" customHeight="1" x14ac:dyDescent="0.3">
      <c r="A83" s="61">
        <v>82</v>
      </c>
      <c r="B83" s="61">
        <v>15</v>
      </c>
      <c r="C83" s="61" t="s">
        <v>787</v>
      </c>
      <c r="D83" s="62" t="s">
        <v>47</v>
      </c>
      <c r="E83" s="62" t="s">
        <v>26</v>
      </c>
      <c r="F83" s="62" t="s">
        <v>103</v>
      </c>
      <c r="G83" s="62" t="s">
        <v>2</v>
      </c>
      <c r="H83" s="63">
        <v>1</v>
      </c>
      <c r="I83" s="62" t="s">
        <v>106</v>
      </c>
      <c r="J83" s="62">
        <v>1</v>
      </c>
      <c r="K83" s="62">
        <v>0</v>
      </c>
      <c r="L83" s="62">
        <f>5*AVERAGE(30,45)</f>
        <v>187.5</v>
      </c>
      <c r="M83" s="62">
        <v>5</v>
      </c>
      <c r="N83" s="62">
        <v>0</v>
      </c>
      <c r="O83" s="62">
        <v>1</v>
      </c>
      <c r="P83" s="62" t="s">
        <v>104</v>
      </c>
      <c r="Q83" s="64">
        <v>8.8000000000000007</v>
      </c>
      <c r="R83" s="65">
        <f>30/67</f>
        <v>0.44776119402985076</v>
      </c>
      <c r="S83" s="66">
        <v>3.65</v>
      </c>
      <c r="T83" s="66">
        <f>1.06834318162288 *(4.4-2.9)</f>
        <v>1.6025147724343203</v>
      </c>
      <c r="U83" s="66">
        <v>7</v>
      </c>
      <c r="V83" s="66">
        <f>1.06834318162288*(8.28-5.72)</f>
        <v>2.7349585449545719</v>
      </c>
      <c r="W83" s="62">
        <v>20</v>
      </c>
      <c r="X83" s="62">
        <v>0</v>
      </c>
      <c r="Y83" s="62">
        <v>0</v>
      </c>
      <c r="Z83" s="62" t="s">
        <v>105</v>
      </c>
      <c r="AA83" s="62"/>
      <c r="AB83" s="62" t="s">
        <v>45</v>
      </c>
      <c r="AC83" s="62" t="s">
        <v>17</v>
      </c>
      <c r="AD83" s="61" t="s">
        <v>45</v>
      </c>
      <c r="AF83" s="4" t="s">
        <v>604</v>
      </c>
      <c r="AJ83" s="67"/>
      <c r="AK83" s="67"/>
      <c r="AL83" s="67"/>
    </row>
    <row r="84" spans="1:38" ht="12.75" customHeight="1" x14ac:dyDescent="0.3">
      <c r="A84" s="61">
        <v>83</v>
      </c>
      <c r="B84" s="61">
        <v>15</v>
      </c>
      <c r="C84" s="61" t="s">
        <v>787</v>
      </c>
      <c r="D84" s="62" t="s">
        <v>47</v>
      </c>
      <c r="E84" s="62" t="s">
        <v>26</v>
      </c>
      <c r="F84" s="62" t="s">
        <v>103</v>
      </c>
      <c r="G84" s="62" t="s">
        <v>2</v>
      </c>
      <c r="H84" s="63">
        <v>1</v>
      </c>
      <c r="I84" s="62" t="s">
        <v>106</v>
      </c>
      <c r="J84" s="62">
        <v>1</v>
      </c>
      <c r="K84" s="62">
        <v>0</v>
      </c>
      <c r="L84" s="62">
        <f>5*AVERAGE(30,45)</f>
        <v>187.5</v>
      </c>
      <c r="M84" s="62">
        <v>5</v>
      </c>
      <c r="N84" s="62">
        <v>5</v>
      </c>
      <c r="O84" s="62">
        <v>1</v>
      </c>
      <c r="P84" s="62" t="s">
        <v>104</v>
      </c>
      <c r="Q84" s="64">
        <v>8.8000000000000007</v>
      </c>
      <c r="R84" s="65">
        <f>30/67</f>
        <v>0.44776119402985076</v>
      </c>
      <c r="S84" s="66">
        <v>3.65</v>
      </c>
      <c r="T84" s="66">
        <f>1.06834318162288 *(4.4-2.9)</f>
        <v>1.6025147724343203</v>
      </c>
      <c r="U84" s="66">
        <v>6.58</v>
      </c>
      <c r="V84" s="66">
        <f>1.06834318162288 *(7.94-5.22)</f>
        <v>2.905893454014234</v>
      </c>
      <c r="W84" s="62">
        <v>20</v>
      </c>
      <c r="X84" s="62">
        <v>0</v>
      </c>
      <c r="Y84" s="62">
        <v>0</v>
      </c>
      <c r="Z84" s="62" t="s">
        <v>105</v>
      </c>
      <c r="AA84" s="62"/>
      <c r="AB84" s="62" t="s">
        <v>45</v>
      </c>
      <c r="AC84" s="62" t="s">
        <v>17</v>
      </c>
      <c r="AD84" s="61" t="s">
        <v>45</v>
      </c>
      <c r="AF84" s="4" t="s">
        <v>604</v>
      </c>
      <c r="AJ84" s="67"/>
      <c r="AK84" s="67"/>
      <c r="AL84" s="67"/>
    </row>
    <row r="85" spans="1:38" ht="12.75" customHeight="1" x14ac:dyDescent="0.3">
      <c r="A85" s="61">
        <v>84</v>
      </c>
      <c r="B85" s="61">
        <v>15</v>
      </c>
      <c r="C85" s="61" t="s">
        <v>787</v>
      </c>
      <c r="D85" s="62" t="s">
        <v>47</v>
      </c>
      <c r="E85" s="62" t="s">
        <v>26</v>
      </c>
      <c r="F85" s="62" t="s">
        <v>103</v>
      </c>
      <c r="G85" s="62" t="s">
        <v>2</v>
      </c>
      <c r="H85" s="63">
        <v>1</v>
      </c>
      <c r="I85" s="62" t="s">
        <v>107</v>
      </c>
      <c r="J85" s="62">
        <v>1</v>
      </c>
      <c r="K85" s="62">
        <v>0</v>
      </c>
      <c r="L85" s="62">
        <f>5*AVERAGE(30,45)</f>
        <v>187.5</v>
      </c>
      <c r="M85" s="62">
        <v>5</v>
      </c>
      <c r="N85" s="62">
        <v>0</v>
      </c>
      <c r="O85" s="62">
        <v>1</v>
      </c>
      <c r="P85" s="62" t="s">
        <v>104</v>
      </c>
      <c r="Q85" s="64">
        <v>8.8000000000000007</v>
      </c>
      <c r="R85" s="65">
        <f>30/67</f>
        <v>0.44776119402985076</v>
      </c>
      <c r="S85" s="66">
        <v>3.65</v>
      </c>
      <c r="T85" s="66">
        <f>1.06834318162288*(4.2-3.1)</f>
        <v>1.1751774997851681</v>
      </c>
      <c r="U85" s="66">
        <v>7.45</v>
      </c>
      <c r="V85" s="66">
        <f>1.06834318162288 *(8.73-6.17)</f>
        <v>2.7349585449545732</v>
      </c>
      <c r="W85" s="62">
        <v>20</v>
      </c>
      <c r="X85" s="62">
        <v>0</v>
      </c>
      <c r="Y85" s="62">
        <v>0</v>
      </c>
      <c r="Z85" s="62" t="s">
        <v>105</v>
      </c>
      <c r="AA85" s="62"/>
      <c r="AB85" s="62" t="s">
        <v>45</v>
      </c>
      <c r="AC85" s="62" t="s">
        <v>17</v>
      </c>
      <c r="AD85" s="61" t="s">
        <v>45</v>
      </c>
      <c r="AF85" s="4" t="s">
        <v>604</v>
      </c>
      <c r="AJ85" s="67"/>
      <c r="AK85" s="67"/>
      <c r="AL85" s="67"/>
    </row>
    <row r="86" spans="1:38" ht="12.75" customHeight="1" x14ac:dyDescent="0.3">
      <c r="A86" s="61">
        <v>85</v>
      </c>
      <c r="B86" s="61">
        <v>15</v>
      </c>
      <c r="C86" s="61" t="s">
        <v>787</v>
      </c>
      <c r="D86" s="62" t="s">
        <v>47</v>
      </c>
      <c r="E86" s="62" t="s">
        <v>26</v>
      </c>
      <c r="F86" s="62" t="s">
        <v>103</v>
      </c>
      <c r="G86" s="62" t="s">
        <v>2</v>
      </c>
      <c r="H86" s="63">
        <v>1</v>
      </c>
      <c r="I86" s="62" t="s">
        <v>107</v>
      </c>
      <c r="J86" s="62">
        <v>1</v>
      </c>
      <c r="K86" s="62">
        <v>0</v>
      </c>
      <c r="L86" s="62">
        <f>5*AVERAGE(30,45)</f>
        <v>187.5</v>
      </c>
      <c r="M86" s="62">
        <v>5</v>
      </c>
      <c r="N86" s="62">
        <v>5</v>
      </c>
      <c r="O86" s="62">
        <v>1</v>
      </c>
      <c r="P86" s="62" t="s">
        <v>104</v>
      </c>
      <c r="Q86" s="64">
        <v>8.8000000000000007</v>
      </c>
      <c r="R86" s="65">
        <f>30/67</f>
        <v>0.44776119402985076</v>
      </c>
      <c r="S86" s="66">
        <v>3.65</v>
      </c>
      <c r="T86" s="66">
        <f>1.06834318162288*(4.2-3.1)</f>
        <v>1.1751774997851681</v>
      </c>
      <c r="U86" s="66">
        <v>6.84</v>
      </c>
      <c r="V86" s="66">
        <f>1.06834318162288*(8.05-5.64)</f>
        <v>2.5747070677111417</v>
      </c>
      <c r="W86" s="62">
        <v>20</v>
      </c>
      <c r="X86" s="62">
        <v>0</v>
      </c>
      <c r="Y86" s="62">
        <v>0</v>
      </c>
      <c r="Z86" s="62" t="s">
        <v>105</v>
      </c>
      <c r="AA86" s="62"/>
      <c r="AB86" s="62" t="s">
        <v>45</v>
      </c>
      <c r="AC86" s="62" t="s">
        <v>17</v>
      </c>
      <c r="AD86" s="61" t="s">
        <v>45</v>
      </c>
      <c r="AF86" s="4" t="s">
        <v>604</v>
      </c>
      <c r="AJ86" s="67"/>
      <c r="AK86" s="67"/>
      <c r="AL86" s="67"/>
    </row>
    <row r="87" spans="1:38" ht="12.75" customHeight="1" x14ac:dyDescent="0.3">
      <c r="A87" s="61">
        <v>86</v>
      </c>
      <c r="B87" s="61">
        <v>16</v>
      </c>
      <c r="C87" s="62" t="s">
        <v>782</v>
      </c>
      <c r="D87" s="62" t="s">
        <v>47</v>
      </c>
      <c r="E87" s="62" t="s">
        <v>32</v>
      </c>
      <c r="F87" s="62" t="s">
        <v>48</v>
      </c>
      <c r="G87" s="62" t="s">
        <v>64</v>
      </c>
      <c r="H87" s="63">
        <v>1</v>
      </c>
      <c r="I87" s="62" t="s">
        <v>108</v>
      </c>
      <c r="J87" s="62">
        <v>1</v>
      </c>
      <c r="K87" s="62">
        <v>0</v>
      </c>
      <c r="L87" s="62" t="s">
        <v>28</v>
      </c>
      <c r="M87" s="62">
        <v>1</v>
      </c>
      <c r="N87" s="62">
        <v>0</v>
      </c>
      <c r="O87" s="62">
        <v>2</v>
      </c>
      <c r="P87" s="62" t="s">
        <v>109</v>
      </c>
      <c r="Q87" s="64">
        <v>7.5</v>
      </c>
      <c r="R87" s="65">
        <f>22/45</f>
        <v>0.48888888888888887</v>
      </c>
      <c r="S87" s="66">
        <v>5.91</v>
      </c>
      <c r="T87" s="66">
        <f>0.744259000600164*(7.13-4.68)</f>
        <v>1.823434551470402</v>
      </c>
      <c r="U87" s="66">
        <v>7.36</v>
      </c>
      <c r="V87" s="66">
        <f>0.744259000600164*(9.24-5.49)</f>
        <v>2.7909712522506149</v>
      </c>
      <c r="W87" s="62">
        <v>11</v>
      </c>
      <c r="X87" s="62">
        <v>0</v>
      </c>
      <c r="Y87" s="62">
        <v>0</v>
      </c>
      <c r="Z87" s="62" t="s">
        <v>110</v>
      </c>
      <c r="AA87" s="62" t="s">
        <v>111</v>
      </c>
      <c r="AB87" s="62" t="s">
        <v>45</v>
      </c>
      <c r="AC87" s="62" t="s">
        <v>17</v>
      </c>
      <c r="AD87" s="61" t="s">
        <v>45</v>
      </c>
      <c r="AF87" s="4" t="s">
        <v>605</v>
      </c>
      <c r="AJ87" s="67"/>
      <c r="AK87" s="67"/>
      <c r="AL87" s="67"/>
    </row>
    <row r="88" spans="1:38" ht="12.75" customHeight="1" x14ac:dyDescent="0.3">
      <c r="A88" s="61">
        <v>87</v>
      </c>
      <c r="B88" s="61">
        <v>16</v>
      </c>
      <c r="C88" s="62" t="s">
        <v>782</v>
      </c>
      <c r="D88" s="62" t="s">
        <v>47</v>
      </c>
      <c r="E88" s="62" t="s">
        <v>26</v>
      </c>
      <c r="F88" s="62" t="s">
        <v>48</v>
      </c>
      <c r="G88" s="62" t="s">
        <v>2</v>
      </c>
      <c r="H88" s="63">
        <v>1</v>
      </c>
      <c r="I88" s="62" t="s">
        <v>112</v>
      </c>
      <c r="J88" s="62">
        <v>1</v>
      </c>
      <c r="K88" s="62">
        <v>0</v>
      </c>
      <c r="L88" s="62" t="s">
        <v>28</v>
      </c>
      <c r="M88" s="62">
        <v>1</v>
      </c>
      <c r="N88" s="62">
        <v>0</v>
      </c>
      <c r="O88" s="62">
        <v>2</v>
      </c>
      <c r="P88" s="62" t="s">
        <v>109</v>
      </c>
      <c r="Q88" s="64">
        <v>7.5</v>
      </c>
      <c r="R88" s="65">
        <f>22/45</f>
        <v>0.48888888888888887</v>
      </c>
      <c r="S88" s="66">
        <v>6.27</v>
      </c>
      <c r="T88" s="66">
        <f>0.744259000600164*(7.54-5)</f>
        <v>1.8904178615244167</v>
      </c>
      <c r="U88" s="66">
        <v>8.4499999999999993</v>
      </c>
      <c r="V88" s="66">
        <f>0.744259000600164*(10.07-6.84)</f>
        <v>2.4039565719385303</v>
      </c>
      <c r="W88" s="62">
        <v>11</v>
      </c>
      <c r="X88" s="62">
        <v>0</v>
      </c>
      <c r="Y88" s="62">
        <v>0</v>
      </c>
      <c r="Z88" s="62" t="s">
        <v>110</v>
      </c>
      <c r="AA88" s="62"/>
      <c r="AB88" s="62" t="s">
        <v>45</v>
      </c>
      <c r="AC88" s="62" t="s">
        <v>17</v>
      </c>
      <c r="AD88" s="61" t="s">
        <v>45</v>
      </c>
      <c r="AF88" s="4" t="s">
        <v>605</v>
      </c>
      <c r="AJ88" s="67"/>
      <c r="AK88" s="67"/>
      <c r="AL88" s="67"/>
    </row>
    <row r="89" spans="1:38" ht="12.75" customHeight="1" x14ac:dyDescent="0.3">
      <c r="A89" s="61">
        <v>88</v>
      </c>
      <c r="B89" s="61">
        <v>16</v>
      </c>
      <c r="C89" s="62" t="s">
        <v>782</v>
      </c>
      <c r="D89" s="62" t="s">
        <v>47</v>
      </c>
      <c r="E89" s="62" t="s">
        <v>26</v>
      </c>
      <c r="F89" s="62" t="s">
        <v>48</v>
      </c>
      <c r="G89" s="62" t="s">
        <v>2</v>
      </c>
      <c r="H89" s="63">
        <v>1</v>
      </c>
      <c r="I89" s="62" t="s">
        <v>113</v>
      </c>
      <c r="J89" s="62">
        <v>1</v>
      </c>
      <c r="K89" s="62">
        <v>0</v>
      </c>
      <c r="L89" s="62" t="s">
        <v>28</v>
      </c>
      <c r="M89" s="62">
        <v>1</v>
      </c>
      <c r="N89" s="62">
        <v>0</v>
      </c>
      <c r="O89" s="62">
        <v>2</v>
      </c>
      <c r="P89" s="62" t="s">
        <v>109</v>
      </c>
      <c r="Q89" s="64">
        <v>7.5</v>
      </c>
      <c r="R89" s="65">
        <f>22/45</f>
        <v>0.48888888888888887</v>
      </c>
      <c r="S89" s="66">
        <v>5.83</v>
      </c>
      <c r="T89" s="66">
        <f>0.786943428322235*(7.13-4.54)</f>
        <v>2.0381834793545885</v>
      </c>
      <c r="U89" s="66">
        <v>7.17</v>
      </c>
      <c r="V89" s="66">
        <f>0.786943428322235*(8.84-5.5)</f>
        <v>2.6283910505962647</v>
      </c>
      <c r="W89" s="62">
        <v>12</v>
      </c>
      <c r="X89" s="62">
        <v>0</v>
      </c>
      <c r="Y89" s="62">
        <v>0</v>
      </c>
      <c r="Z89" s="62" t="s">
        <v>110</v>
      </c>
      <c r="AA89" s="62"/>
      <c r="AB89" s="62" t="s">
        <v>45</v>
      </c>
      <c r="AC89" s="62" t="s">
        <v>17</v>
      </c>
      <c r="AD89" s="61" t="s">
        <v>45</v>
      </c>
      <c r="AF89" s="4" t="s">
        <v>605</v>
      </c>
      <c r="AJ89" s="67"/>
      <c r="AK89" s="67"/>
      <c r="AL89" s="67"/>
    </row>
    <row r="90" spans="1:38" ht="12.75" customHeight="1" x14ac:dyDescent="0.3">
      <c r="A90" s="61">
        <v>89</v>
      </c>
      <c r="B90" s="61">
        <v>17</v>
      </c>
      <c r="C90" s="61" t="s">
        <v>814</v>
      </c>
      <c r="D90" s="62" t="s">
        <v>41</v>
      </c>
      <c r="E90" s="62" t="s">
        <v>32</v>
      </c>
      <c r="F90" s="62" t="s">
        <v>114</v>
      </c>
      <c r="G90" s="62" t="s">
        <v>2</v>
      </c>
      <c r="H90" s="63">
        <v>0</v>
      </c>
      <c r="I90" s="62" t="s">
        <v>115</v>
      </c>
      <c r="J90" s="62">
        <v>1</v>
      </c>
      <c r="K90" s="62">
        <v>0</v>
      </c>
      <c r="L90" s="62">
        <v>30</v>
      </c>
      <c r="M90" s="62">
        <v>1</v>
      </c>
      <c r="N90" s="62">
        <v>0</v>
      </c>
      <c r="O90" s="62">
        <v>1</v>
      </c>
      <c r="P90" s="62" t="s">
        <v>116</v>
      </c>
      <c r="Q90" s="64">
        <v>11.21</v>
      </c>
      <c r="R90" s="65">
        <f t="shared" ref="R90:R97" si="5">38/(38+14)</f>
        <v>0.73076923076923073</v>
      </c>
      <c r="S90" s="66">
        <v>0.35897435897435892</v>
      </c>
      <c r="T90" s="66">
        <v>0.32522181779399545</v>
      </c>
      <c r="U90" s="66">
        <v>0.57692307692307687</v>
      </c>
      <c r="V90" s="66">
        <v>0.38858351868954888</v>
      </c>
      <c r="W90" s="62">
        <v>13</v>
      </c>
      <c r="X90" s="62">
        <v>0</v>
      </c>
      <c r="Y90" s="62">
        <v>0</v>
      </c>
      <c r="Z90" s="61" t="s">
        <v>117</v>
      </c>
      <c r="AA90" s="62" t="s">
        <v>1313</v>
      </c>
      <c r="AB90" s="62" t="s">
        <v>17</v>
      </c>
      <c r="AC90" s="62" t="s">
        <v>17</v>
      </c>
      <c r="AD90" s="70" t="s">
        <v>45</v>
      </c>
      <c r="AF90" s="4" t="s">
        <v>606</v>
      </c>
      <c r="AJ90" s="67"/>
      <c r="AK90" s="67"/>
      <c r="AL90" s="67"/>
    </row>
    <row r="91" spans="1:38" ht="12.75" customHeight="1" x14ac:dyDescent="0.3">
      <c r="A91" s="61">
        <v>90</v>
      </c>
      <c r="B91" s="61">
        <v>17</v>
      </c>
      <c r="C91" s="61" t="s">
        <v>814</v>
      </c>
      <c r="D91" s="62" t="s">
        <v>41</v>
      </c>
      <c r="E91" s="62" t="s">
        <v>32</v>
      </c>
      <c r="F91" s="62" t="s">
        <v>114</v>
      </c>
      <c r="G91" s="62" t="s">
        <v>2</v>
      </c>
      <c r="H91" s="63">
        <v>0</v>
      </c>
      <c r="I91" s="62" t="s">
        <v>115</v>
      </c>
      <c r="J91" s="62">
        <v>1</v>
      </c>
      <c r="K91" s="62">
        <v>0</v>
      </c>
      <c r="L91" s="62">
        <v>30</v>
      </c>
      <c r="M91" s="62">
        <v>1</v>
      </c>
      <c r="N91" s="62">
        <v>7</v>
      </c>
      <c r="O91" s="62">
        <v>1</v>
      </c>
      <c r="P91" s="62" t="s">
        <v>116</v>
      </c>
      <c r="Q91" s="64">
        <v>11.21</v>
      </c>
      <c r="R91" s="65">
        <f t="shared" si="5"/>
        <v>0.73076923076923073</v>
      </c>
      <c r="S91" s="66">
        <v>0.35897435897435892</v>
      </c>
      <c r="T91" s="66">
        <v>0.32522181779399545</v>
      </c>
      <c r="U91" s="66">
        <v>0.65384615384615385</v>
      </c>
      <c r="V91" s="66">
        <v>0.36299639359969105</v>
      </c>
      <c r="W91" s="62">
        <v>13</v>
      </c>
      <c r="X91" s="62">
        <v>0</v>
      </c>
      <c r="Y91" s="62">
        <v>0</v>
      </c>
      <c r="Z91" s="61" t="s">
        <v>117</v>
      </c>
      <c r="AA91" s="61" t="s">
        <v>1314</v>
      </c>
      <c r="AB91" s="62" t="s">
        <v>17</v>
      </c>
      <c r="AC91" s="62" t="s">
        <v>17</v>
      </c>
      <c r="AD91" s="62" t="s">
        <v>45</v>
      </c>
      <c r="AF91" s="4" t="s">
        <v>606</v>
      </c>
      <c r="AJ91" s="67"/>
      <c r="AK91" s="67"/>
      <c r="AL91" s="67"/>
    </row>
    <row r="92" spans="1:38" ht="12.75" customHeight="1" x14ac:dyDescent="0.3">
      <c r="A92" s="61">
        <v>91</v>
      </c>
      <c r="B92" s="61">
        <v>17</v>
      </c>
      <c r="C92" s="61" t="s">
        <v>814</v>
      </c>
      <c r="D92" s="62" t="s">
        <v>41</v>
      </c>
      <c r="E92" s="62" t="s">
        <v>32</v>
      </c>
      <c r="F92" s="62" t="s">
        <v>114</v>
      </c>
      <c r="G92" s="62" t="s">
        <v>2</v>
      </c>
      <c r="H92" s="63">
        <v>0</v>
      </c>
      <c r="I92" s="62" t="s">
        <v>118</v>
      </c>
      <c r="J92" s="62">
        <v>1</v>
      </c>
      <c r="K92" s="62">
        <v>0</v>
      </c>
      <c r="L92" s="62">
        <v>30</v>
      </c>
      <c r="M92" s="62">
        <v>1</v>
      </c>
      <c r="N92" s="62">
        <v>0</v>
      </c>
      <c r="O92" s="62">
        <v>1</v>
      </c>
      <c r="P92" s="62" t="s">
        <v>116</v>
      </c>
      <c r="Q92" s="64">
        <v>11.21</v>
      </c>
      <c r="R92" s="65">
        <f t="shared" si="5"/>
        <v>0.73076923076923073</v>
      </c>
      <c r="S92" s="66">
        <v>0.30769230769230765</v>
      </c>
      <c r="T92" s="66">
        <v>0.23418647450974797</v>
      </c>
      <c r="U92" s="66">
        <v>0.52564102564102555</v>
      </c>
      <c r="V92" s="66">
        <v>0.35254467700952358</v>
      </c>
      <c r="W92" s="62">
        <v>13</v>
      </c>
      <c r="X92" s="62">
        <v>0</v>
      </c>
      <c r="Y92" s="62">
        <v>0</v>
      </c>
      <c r="Z92" s="61" t="s">
        <v>117</v>
      </c>
      <c r="AA92" s="62"/>
      <c r="AB92" s="62" t="s">
        <v>17</v>
      </c>
      <c r="AC92" s="62" t="s">
        <v>17</v>
      </c>
      <c r="AD92" s="62" t="s">
        <v>45</v>
      </c>
      <c r="AF92" s="4" t="s">
        <v>606</v>
      </c>
      <c r="AJ92" s="67"/>
      <c r="AK92" s="67"/>
      <c r="AL92" s="67"/>
    </row>
    <row r="93" spans="1:38" ht="12.75" customHeight="1" x14ac:dyDescent="0.3">
      <c r="A93" s="61">
        <v>92</v>
      </c>
      <c r="B93" s="61">
        <v>17</v>
      </c>
      <c r="C93" s="61" t="s">
        <v>814</v>
      </c>
      <c r="D93" s="62" t="s">
        <v>41</v>
      </c>
      <c r="E93" s="62" t="s">
        <v>32</v>
      </c>
      <c r="F93" s="62" t="s">
        <v>114</v>
      </c>
      <c r="G93" s="62" t="s">
        <v>2</v>
      </c>
      <c r="H93" s="63">
        <v>0</v>
      </c>
      <c r="I93" s="62" t="s">
        <v>118</v>
      </c>
      <c r="J93" s="62">
        <v>1</v>
      </c>
      <c r="K93" s="62">
        <v>0</v>
      </c>
      <c r="L93" s="62">
        <v>30</v>
      </c>
      <c r="M93" s="62">
        <v>1</v>
      </c>
      <c r="N93" s="62">
        <v>7</v>
      </c>
      <c r="O93" s="62">
        <v>1</v>
      </c>
      <c r="P93" s="62" t="s">
        <v>116</v>
      </c>
      <c r="Q93" s="64">
        <v>11.21</v>
      </c>
      <c r="R93" s="65">
        <f t="shared" si="5"/>
        <v>0.73076923076923073</v>
      </c>
      <c r="S93" s="66">
        <v>0.30769230769230765</v>
      </c>
      <c r="T93" s="66">
        <v>0.23418647450974797</v>
      </c>
      <c r="U93" s="66">
        <v>0.54166666666666663</v>
      </c>
      <c r="V93" s="66">
        <v>0.29356828197599333</v>
      </c>
      <c r="W93" s="62">
        <v>13</v>
      </c>
      <c r="X93" s="62">
        <v>0</v>
      </c>
      <c r="Y93" s="62">
        <v>0</v>
      </c>
      <c r="Z93" s="61" t="s">
        <v>117</v>
      </c>
      <c r="AA93" s="62"/>
      <c r="AB93" s="62" t="s">
        <v>17</v>
      </c>
      <c r="AC93" s="62" t="s">
        <v>17</v>
      </c>
      <c r="AD93" s="62" t="s">
        <v>45</v>
      </c>
      <c r="AF93" s="4" t="s">
        <v>606</v>
      </c>
      <c r="AJ93" s="67"/>
      <c r="AK93" s="67"/>
      <c r="AL93" s="67"/>
    </row>
    <row r="94" spans="1:38" ht="12.75" customHeight="1" x14ac:dyDescent="0.3">
      <c r="A94" s="61">
        <v>93</v>
      </c>
      <c r="B94" s="61">
        <v>17</v>
      </c>
      <c r="C94" s="61" t="s">
        <v>814</v>
      </c>
      <c r="D94" s="62" t="s">
        <v>41</v>
      </c>
      <c r="E94" s="62" t="s">
        <v>26</v>
      </c>
      <c r="F94" s="62" t="s">
        <v>114</v>
      </c>
      <c r="G94" s="62" t="s">
        <v>64</v>
      </c>
      <c r="H94" s="63">
        <v>0</v>
      </c>
      <c r="I94" s="62" t="s">
        <v>115</v>
      </c>
      <c r="J94" s="62">
        <v>1</v>
      </c>
      <c r="K94" s="62">
        <v>0</v>
      </c>
      <c r="L94" s="62">
        <v>30</v>
      </c>
      <c r="M94" s="62">
        <v>1</v>
      </c>
      <c r="N94" s="62">
        <v>0</v>
      </c>
      <c r="O94" s="62">
        <v>1</v>
      </c>
      <c r="P94" s="62" t="s">
        <v>116</v>
      </c>
      <c r="Q94" s="64">
        <v>11.21</v>
      </c>
      <c r="R94" s="65">
        <f t="shared" si="5"/>
        <v>0.73076923076923073</v>
      </c>
      <c r="S94" s="66">
        <v>0.15384615384615385</v>
      </c>
      <c r="T94" s="66">
        <v>0.20929266304249367</v>
      </c>
      <c r="U94" s="66">
        <v>0.30769230769230771</v>
      </c>
      <c r="V94" s="66">
        <v>0.37172118338431859</v>
      </c>
      <c r="W94" s="62">
        <v>13</v>
      </c>
      <c r="X94" s="62">
        <v>0</v>
      </c>
      <c r="Y94" s="62">
        <v>0</v>
      </c>
      <c r="Z94" s="61" t="s">
        <v>117</v>
      </c>
      <c r="AA94" s="62"/>
      <c r="AB94" s="62" t="s">
        <v>17</v>
      </c>
      <c r="AC94" s="62" t="s">
        <v>17</v>
      </c>
      <c r="AD94" s="62" t="s">
        <v>45</v>
      </c>
      <c r="AF94" s="4" t="s">
        <v>606</v>
      </c>
      <c r="AJ94" s="67"/>
      <c r="AK94" s="67"/>
      <c r="AL94" s="67"/>
    </row>
    <row r="95" spans="1:38" ht="12.75" customHeight="1" x14ac:dyDescent="0.3">
      <c r="A95" s="61">
        <v>94</v>
      </c>
      <c r="B95" s="61">
        <v>17</v>
      </c>
      <c r="C95" s="61" t="s">
        <v>814</v>
      </c>
      <c r="D95" s="62" t="s">
        <v>41</v>
      </c>
      <c r="E95" s="62" t="s">
        <v>26</v>
      </c>
      <c r="F95" s="62" t="s">
        <v>114</v>
      </c>
      <c r="G95" s="62" t="s">
        <v>64</v>
      </c>
      <c r="H95" s="63">
        <v>0</v>
      </c>
      <c r="I95" s="62" t="s">
        <v>115</v>
      </c>
      <c r="J95" s="62">
        <v>1</v>
      </c>
      <c r="K95" s="62">
        <v>0</v>
      </c>
      <c r="L95" s="62">
        <v>30</v>
      </c>
      <c r="M95" s="62">
        <v>1</v>
      </c>
      <c r="N95" s="62">
        <v>7</v>
      </c>
      <c r="O95" s="62">
        <v>1</v>
      </c>
      <c r="P95" s="62" t="s">
        <v>116</v>
      </c>
      <c r="Q95" s="64">
        <v>11.21</v>
      </c>
      <c r="R95" s="65">
        <f t="shared" si="5"/>
        <v>0.73076923076923073</v>
      </c>
      <c r="S95" s="66">
        <v>0.15384615384615385</v>
      </c>
      <c r="T95" s="66">
        <v>0.20929266304249367</v>
      </c>
      <c r="U95" s="66">
        <v>0.44871794871794868</v>
      </c>
      <c r="V95" s="66">
        <v>0.34950106888391236</v>
      </c>
      <c r="W95" s="62">
        <v>13</v>
      </c>
      <c r="X95" s="62">
        <v>0</v>
      </c>
      <c r="Y95" s="62">
        <v>0</v>
      </c>
      <c r="Z95" s="61" t="s">
        <v>117</v>
      </c>
      <c r="AA95" s="62"/>
      <c r="AB95" s="62" t="s">
        <v>17</v>
      </c>
      <c r="AC95" s="62" t="s">
        <v>17</v>
      </c>
      <c r="AD95" s="62" t="s">
        <v>45</v>
      </c>
      <c r="AF95" s="4" t="s">
        <v>606</v>
      </c>
      <c r="AJ95" s="67"/>
      <c r="AK95" s="67"/>
      <c r="AL95" s="67"/>
    </row>
    <row r="96" spans="1:38" ht="12.75" customHeight="1" x14ac:dyDescent="0.3">
      <c r="A96" s="61">
        <v>95</v>
      </c>
      <c r="B96" s="61">
        <v>17</v>
      </c>
      <c r="C96" s="61" t="s">
        <v>814</v>
      </c>
      <c r="D96" s="62" t="s">
        <v>41</v>
      </c>
      <c r="E96" s="62" t="s">
        <v>26</v>
      </c>
      <c r="F96" s="62" t="s">
        <v>114</v>
      </c>
      <c r="G96" s="62" t="s">
        <v>64</v>
      </c>
      <c r="H96" s="63">
        <v>0</v>
      </c>
      <c r="I96" s="62" t="s">
        <v>118</v>
      </c>
      <c r="J96" s="62">
        <v>1</v>
      </c>
      <c r="K96" s="62">
        <v>0</v>
      </c>
      <c r="L96" s="62">
        <v>30</v>
      </c>
      <c r="M96" s="62">
        <v>1</v>
      </c>
      <c r="N96" s="62">
        <v>0</v>
      </c>
      <c r="O96" s="62">
        <v>1</v>
      </c>
      <c r="P96" s="62" t="s">
        <v>116</v>
      </c>
      <c r="Q96" s="64">
        <v>11.21</v>
      </c>
      <c r="R96" s="65">
        <f t="shared" si="5"/>
        <v>0.73076923076923073</v>
      </c>
      <c r="S96" s="66">
        <v>0.14102564102564102</v>
      </c>
      <c r="T96" s="66">
        <v>0.24387073312091895</v>
      </c>
      <c r="U96" s="66">
        <v>0.16666666666666666</v>
      </c>
      <c r="V96" s="66">
        <v>0.26352313834736496</v>
      </c>
      <c r="W96" s="62">
        <v>13</v>
      </c>
      <c r="X96" s="62">
        <v>0</v>
      </c>
      <c r="Y96" s="62">
        <v>0</v>
      </c>
      <c r="Z96" s="61" t="s">
        <v>117</v>
      </c>
      <c r="AA96" s="62"/>
      <c r="AB96" s="62" t="s">
        <v>17</v>
      </c>
      <c r="AC96" s="62" t="s">
        <v>17</v>
      </c>
      <c r="AD96" s="62" t="s">
        <v>45</v>
      </c>
      <c r="AF96" s="4" t="s">
        <v>606</v>
      </c>
      <c r="AJ96" s="67"/>
      <c r="AK96" s="67"/>
      <c r="AL96" s="67"/>
    </row>
    <row r="97" spans="1:38" ht="12.75" customHeight="1" x14ac:dyDescent="0.3">
      <c r="A97" s="61">
        <v>96</v>
      </c>
      <c r="B97" s="61">
        <v>17</v>
      </c>
      <c r="C97" s="61" t="s">
        <v>814</v>
      </c>
      <c r="D97" s="62" t="s">
        <v>41</v>
      </c>
      <c r="E97" s="62" t="s">
        <v>26</v>
      </c>
      <c r="F97" s="62" t="s">
        <v>114</v>
      </c>
      <c r="G97" s="62" t="s">
        <v>64</v>
      </c>
      <c r="H97" s="63">
        <v>0</v>
      </c>
      <c r="I97" s="62" t="s">
        <v>118</v>
      </c>
      <c r="J97" s="62">
        <v>1</v>
      </c>
      <c r="K97" s="62">
        <v>0</v>
      </c>
      <c r="L97" s="62">
        <v>30</v>
      </c>
      <c r="M97" s="62">
        <v>1</v>
      </c>
      <c r="N97" s="62">
        <v>7</v>
      </c>
      <c r="O97" s="62">
        <v>1</v>
      </c>
      <c r="P97" s="62" t="s">
        <v>116</v>
      </c>
      <c r="Q97" s="64">
        <v>11.21</v>
      </c>
      <c r="R97" s="65">
        <f t="shared" si="5"/>
        <v>0.73076923076923073</v>
      </c>
      <c r="S97" s="66">
        <v>0.14102564102564102</v>
      </c>
      <c r="T97" s="66">
        <v>0.24387073312091895</v>
      </c>
      <c r="U97" s="66">
        <v>0.21794871794871792</v>
      </c>
      <c r="V97" s="66">
        <v>0.26688025634181189</v>
      </c>
      <c r="W97" s="62">
        <v>13</v>
      </c>
      <c r="X97" s="62">
        <v>0</v>
      </c>
      <c r="Y97" s="62">
        <v>0</v>
      </c>
      <c r="Z97" s="61" t="s">
        <v>117</v>
      </c>
      <c r="AA97" s="62"/>
      <c r="AB97" s="62" t="s">
        <v>17</v>
      </c>
      <c r="AC97" s="62" t="s">
        <v>17</v>
      </c>
      <c r="AD97" s="62" t="s">
        <v>45</v>
      </c>
      <c r="AF97" s="4" t="s">
        <v>606</v>
      </c>
      <c r="AJ97" s="67"/>
      <c r="AK97" s="67"/>
      <c r="AL97" s="67"/>
    </row>
    <row r="98" spans="1:38" ht="12.75" customHeight="1" x14ac:dyDescent="0.3">
      <c r="A98" s="61">
        <v>97</v>
      </c>
      <c r="B98" s="61">
        <v>18</v>
      </c>
      <c r="C98" s="61" t="s">
        <v>751</v>
      </c>
      <c r="D98" s="62" t="s">
        <v>41</v>
      </c>
      <c r="E98" s="62" t="s">
        <v>89</v>
      </c>
      <c r="F98" s="62" t="s">
        <v>42</v>
      </c>
      <c r="G98" s="62" t="s">
        <v>2</v>
      </c>
      <c r="H98" s="63">
        <v>0</v>
      </c>
      <c r="I98" s="62" t="s">
        <v>119</v>
      </c>
      <c r="J98" s="62">
        <v>1</v>
      </c>
      <c r="K98" s="62">
        <v>0</v>
      </c>
      <c r="L98" s="62">
        <f t="shared" ref="L98:L103" si="6">2*30</f>
        <v>60</v>
      </c>
      <c r="M98" s="62">
        <v>2</v>
      </c>
      <c r="N98" s="62">
        <v>0</v>
      </c>
      <c r="O98" s="62">
        <v>1</v>
      </c>
      <c r="P98" s="62" t="s">
        <v>120</v>
      </c>
      <c r="Q98" s="64">
        <v>6</v>
      </c>
      <c r="R98" s="65">
        <f>1-0.5789</f>
        <v>0.42110000000000003</v>
      </c>
      <c r="S98" s="66">
        <v>2.68</v>
      </c>
      <c r="T98" s="66">
        <v>1.38</v>
      </c>
      <c r="U98" s="66">
        <v>4.63</v>
      </c>
      <c r="V98" s="66">
        <v>1.74</v>
      </c>
      <c r="W98" s="62">
        <v>19</v>
      </c>
      <c r="X98" s="62">
        <v>0</v>
      </c>
      <c r="Y98" s="62">
        <v>0</v>
      </c>
      <c r="Z98" s="62" t="s">
        <v>36</v>
      </c>
      <c r="AA98" s="62"/>
      <c r="AB98" s="62" t="s">
        <v>17</v>
      </c>
      <c r="AC98" s="62" t="s">
        <v>17</v>
      </c>
      <c r="AD98" s="61" t="s">
        <v>45</v>
      </c>
      <c r="AF98" s="4" t="s">
        <v>607</v>
      </c>
      <c r="AJ98" s="67"/>
      <c r="AK98" s="67"/>
      <c r="AL98" s="67"/>
    </row>
    <row r="99" spans="1:38" ht="12.75" customHeight="1" x14ac:dyDescent="0.3">
      <c r="A99" s="61">
        <v>98</v>
      </c>
      <c r="B99" s="61">
        <v>18</v>
      </c>
      <c r="C99" s="61" t="s">
        <v>751</v>
      </c>
      <c r="D99" s="62" t="s">
        <v>41</v>
      </c>
      <c r="E99" s="62" t="s">
        <v>89</v>
      </c>
      <c r="F99" s="62" t="s">
        <v>42</v>
      </c>
      <c r="G99" s="62" t="s">
        <v>2</v>
      </c>
      <c r="H99" s="63">
        <v>0</v>
      </c>
      <c r="I99" s="62" t="s">
        <v>119</v>
      </c>
      <c r="J99" s="62">
        <v>1</v>
      </c>
      <c r="K99" s="62">
        <v>0</v>
      </c>
      <c r="L99" s="62">
        <f t="shared" si="6"/>
        <v>60</v>
      </c>
      <c r="M99" s="62">
        <v>2</v>
      </c>
      <c r="N99" s="62">
        <v>21</v>
      </c>
      <c r="O99" s="62">
        <v>1</v>
      </c>
      <c r="P99" s="62" t="s">
        <v>121</v>
      </c>
      <c r="Q99" s="64">
        <v>6</v>
      </c>
      <c r="R99" s="65">
        <f>1-0.5789</f>
        <v>0.42110000000000003</v>
      </c>
      <c r="S99" s="66">
        <v>2.68</v>
      </c>
      <c r="T99" s="66">
        <v>1.38</v>
      </c>
      <c r="U99" s="66">
        <v>4.74</v>
      </c>
      <c r="V99" s="66">
        <v>1.65</v>
      </c>
      <c r="W99" s="62">
        <v>19</v>
      </c>
      <c r="X99" s="62">
        <v>0</v>
      </c>
      <c r="Y99" s="62">
        <v>0</v>
      </c>
      <c r="Z99" s="62" t="s">
        <v>36</v>
      </c>
      <c r="AA99" s="62"/>
      <c r="AB99" s="62" t="s">
        <v>17</v>
      </c>
      <c r="AC99" s="62" t="s">
        <v>17</v>
      </c>
      <c r="AD99" s="61" t="s">
        <v>45</v>
      </c>
      <c r="AF99" s="4" t="s">
        <v>607</v>
      </c>
      <c r="AJ99" s="67"/>
      <c r="AK99" s="67"/>
      <c r="AL99" s="67"/>
    </row>
    <row r="100" spans="1:38" ht="12.75" customHeight="1" x14ac:dyDescent="0.3">
      <c r="A100" s="61">
        <v>99</v>
      </c>
      <c r="B100" s="61">
        <v>18</v>
      </c>
      <c r="C100" s="61" t="s">
        <v>751</v>
      </c>
      <c r="D100" s="62" t="s">
        <v>41</v>
      </c>
      <c r="E100" s="62" t="s">
        <v>89</v>
      </c>
      <c r="F100" s="62" t="s">
        <v>42</v>
      </c>
      <c r="G100" s="62" t="s">
        <v>2</v>
      </c>
      <c r="H100" s="63">
        <v>0</v>
      </c>
      <c r="I100" s="62" t="s">
        <v>122</v>
      </c>
      <c r="J100" s="62">
        <v>1</v>
      </c>
      <c r="K100" s="62">
        <v>0</v>
      </c>
      <c r="L100" s="62">
        <f t="shared" si="6"/>
        <v>60</v>
      </c>
      <c r="M100" s="62">
        <v>2</v>
      </c>
      <c r="N100" s="62">
        <v>0</v>
      </c>
      <c r="O100" s="62">
        <v>1</v>
      </c>
      <c r="P100" s="62" t="s">
        <v>120</v>
      </c>
      <c r="Q100" s="64">
        <v>5.85</v>
      </c>
      <c r="R100" s="65">
        <f>1-0.619</f>
        <v>0.38100000000000001</v>
      </c>
      <c r="S100" s="66">
        <v>2.4300000000000002</v>
      </c>
      <c r="T100" s="66">
        <v>1.43</v>
      </c>
      <c r="U100" s="66">
        <v>6</v>
      </c>
      <c r="V100" s="66">
        <v>2.0699999999999998</v>
      </c>
      <c r="W100" s="62">
        <v>21</v>
      </c>
      <c r="X100" s="62">
        <v>0</v>
      </c>
      <c r="Y100" s="62">
        <v>0</v>
      </c>
      <c r="Z100" s="62" t="s">
        <v>123</v>
      </c>
      <c r="AA100" s="62"/>
      <c r="AB100" s="62" t="s">
        <v>17</v>
      </c>
      <c r="AC100" s="62" t="s">
        <v>17</v>
      </c>
      <c r="AD100" s="61" t="s">
        <v>45</v>
      </c>
      <c r="AF100" s="4" t="s">
        <v>607</v>
      </c>
      <c r="AJ100" s="67"/>
      <c r="AK100" s="67"/>
      <c r="AL100" s="67"/>
    </row>
    <row r="101" spans="1:38" ht="12.75" customHeight="1" x14ac:dyDescent="0.3">
      <c r="A101" s="61">
        <v>100</v>
      </c>
      <c r="B101" s="61">
        <v>18</v>
      </c>
      <c r="C101" s="61" t="s">
        <v>751</v>
      </c>
      <c r="D101" s="62" t="s">
        <v>41</v>
      </c>
      <c r="E101" s="62" t="s">
        <v>89</v>
      </c>
      <c r="F101" s="62" t="s">
        <v>42</v>
      </c>
      <c r="G101" s="62" t="s">
        <v>2</v>
      </c>
      <c r="H101" s="63">
        <v>0</v>
      </c>
      <c r="I101" s="62" t="s">
        <v>122</v>
      </c>
      <c r="J101" s="62">
        <v>1</v>
      </c>
      <c r="K101" s="62">
        <v>0</v>
      </c>
      <c r="L101" s="62">
        <f t="shared" si="6"/>
        <v>60</v>
      </c>
      <c r="M101" s="62">
        <v>2</v>
      </c>
      <c r="N101" s="62">
        <v>21</v>
      </c>
      <c r="O101" s="62">
        <v>1</v>
      </c>
      <c r="P101" s="62" t="s">
        <v>121</v>
      </c>
      <c r="Q101" s="64">
        <v>5.85</v>
      </c>
      <c r="R101" s="65">
        <f>1-0.619</f>
        <v>0.38100000000000001</v>
      </c>
      <c r="S101" s="66">
        <v>2.4300000000000002</v>
      </c>
      <c r="T101" s="66">
        <v>1.43</v>
      </c>
      <c r="U101" s="66">
        <v>5.0999999999999996</v>
      </c>
      <c r="V101" s="66">
        <v>1.95</v>
      </c>
      <c r="W101" s="62">
        <v>21</v>
      </c>
      <c r="X101" s="62">
        <v>0</v>
      </c>
      <c r="Y101" s="62">
        <v>0</v>
      </c>
      <c r="Z101" s="62" t="s">
        <v>36</v>
      </c>
      <c r="AA101" s="62"/>
      <c r="AB101" s="62" t="s">
        <v>17</v>
      </c>
      <c r="AC101" s="62" t="s">
        <v>17</v>
      </c>
      <c r="AD101" s="61" t="s">
        <v>45</v>
      </c>
      <c r="AF101" s="4" t="s">
        <v>607</v>
      </c>
      <c r="AJ101" s="67"/>
      <c r="AK101" s="67"/>
      <c r="AL101" s="67"/>
    </row>
    <row r="102" spans="1:38" ht="12.75" customHeight="1" x14ac:dyDescent="0.3">
      <c r="A102" s="61">
        <v>101</v>
      </c>
      <c r="B102" s="61">
        <v>18</v>
      </c>
      <c r="C102" s="61" t="s">
        <v>751</v>
      </c>
      <c r="D102" s="62" t="s">
        <v>41</v>
      </c>
      <c r="E102" s="62" t="s">
        <v>89</v>
      </c>
      <c r="F102" s="62" t="s">
        <v>42</v>
      </c>
      <c r="G102" s="62" t="s">
        <v>2</v>
      </c>
      <c r="H102" s="63">
        <v>0</v>
      </c>
      <c r="I102" s="62" t="s">
        <v>124</v>
      </c>
      <c r="J102" s="62">
        <v>1</v>
      </c>
      <c r="K102" s="62">
        <v>0</v>
      </c>
      <c r="L102" s="62">
        <f t="shared" si="6"/>
        <v>60</v>
      </c>
      <c r="M102" s="62">
        <v>2</v>
      </c>
      <c r="N102" s="62">
        <v>0</v>
      </c>
      <c r="O102" s="62">
        <v>1</v>
      </c>
      <c r="P102" s="62" t="s">
        <v>120</v>
      </c>
      <c r="Q102" s="64">
        <v>5.95</v>
      </c>
      <c r="R102" s="65">
        <f>1-0.559</f>
        <v>0.44099999999999995</v>
      </c>
      <c r="S102" s="66">
        <v>2.58</v>
      </c>
      <c r="T102" s="66">
        <v>1.43</v>
      </c>
      <c r="U102" s="66">
        <v>7.37</v>
      </c>
      <c r="V102" s="66">
        <v>2.41</v>
      </c>
      <c r="W102" s="62">
        <v>19</v>
      </c>
      <c r="X102" s="62">
        <v>0</v>
      </c>
      <c r="Y102" s="62">
        <v>0</v>
      </c>
      <c r="Z102" s="62" t="s">
        <v>36</v>
      </c>
      <c r="AA102" s="62"/>
      <c r="AB102" s="62" t="s">
        <v>17</v>
      </c>
      <c r="AC102" s="62" t="s">
        <v>17</v>
      </c>
      <c r="AD102" s="61" t="s">
        <v>45</v>
      </c>
      <c r="AF102" s="4" t="s">
        <v>607</v>
      </c>
      <c r="AJ102" s="67"/>
      <c r="AK102" s="67"/>
      <c r="AL102" s="67"/>
    </row>
    <row r="103" spans="1:38" ht="12.75" customHeight="1" x14ac:dyDescent="0.3">
      <c r="A103" s="61">
        <v>102</v>
      </c>
      <c r="B103" s="61">
        <v>18</v>
      </c>
      <c r="C103" s="61" t="s">
        <v>751</v>
      </c>
      <c r="D103" s="62" t="s">
        <v>41</v>
      </c>
      <c r="E103" s="62" t="s">
        <v>89</v>
      </c>
      <c r="F103" s="62" t="s">
        <v>42</v>
      </c>
      <c r="G103" s="62" t="s">
        <v>2</v>
      </c>
      <c r="H103" s="63">
        <v>0</v>
      </c>
      <c r="I103" s="62" t="s">
        <v>124</v>
      </c>
      <c r="J103" s="62">
        <v>1</v>
      </c>
      <c r="K103" s="62">
        <v>0</v>
      </c>
      <c r="L103" s="62">
        <f t="shared" si="6"/>
        <v>60</v>
      </c>
      <c r="M103" s="62">
        <v>2</v>
      </c>
      <c r="N103" s="62">
        <v>21</v>
      </c>
      <c r="O103" s="62">
        <v>1</v>
      </c>
      <c r="P103" s="62" t="s">
        <v>121</v>
      </c>
      <c r="Q103" s="64">
        <v>5.95</v>
      </c>
      <c r="R103" s="65">
        <f>1-0.559</f>
        <v>0.44099999999999995</v>
      </c>
      <c r="S103" s="66">
        <v>2.58</v>
      </c>
      <c r="T103" s="66">
        <v>1.43</v>
      </c>
      <c r="U103" s="66">
        <v>6.05</v>
      </c>
      <c r="V103" s="66">
        <v>2.14</v>
      </c>
      <c r="W103" s="62">
        <v>19</v>
      </c>
      <c r="X103" s="62">
        <v>0</v>
      </c>
      <c r="Y103" s="62">
        <v>0</v>
      </c>
      <c r="Z103" s="62" t="s">
        <v>36</v>
      </c>
      <c r="AA103" s="62"/>
      <c r="AB103" s="62" t="s">
        <v>17</v>
      </c>
      <c r="AC103" s="62" t="s">
        <v>17</v>
      </c>
      <c r="AD103" s="61" t="s">
        <v>45</v>
      </c>
      <c r="AF103" s="4" t="s">
        <v>607</v>
      </c>
      <c r="AJ103" s="67"/>
      <c r="AK103" s="67"/>
      <c r="AL103" s="67"/>
    </row>
    <row r="104" spans="1:38" ht="12.75" customHeight="1" x14ac:dyDescent="0.3">
      <c r="A104" s="61">
        <v>103</v>
      </c>
      <c r="B104" s="61">
        <v>19</v>
      </c>
      <c r="C104" s="61" t="s">
        <v>747</v>
      </c>
      <c r="D104" s="62" t="s">
        <v>38</v>
      </c>
      <c r="E104" s="62" t="s">
        <v>26</v>
      </c>
      <c r="F104" s="62" t="s">
        <v>39</v>
      </c>
      <c r="G104" s="62" t="s">
        <v>2</v>
      </c>
      <c r="H104" s="63">
        <v>1</v>
      </c>
      <c r="I104" s="62" t="s">
        <v>125</v>
      </c>
      <c r="J104" s="62">
        <v>1</v>
      </c>
      <c r="K104" s="62">
        <v>0</v>
      </c>
      <c r="L104" s="62">
        <f>4*14</f>
        <v>56</v>
      </c>
      <c r="M104" s="62">
        <v>4</v>
      </c>
      <c r="N104" s="62" t="s">
        <v>28</v>
      </c>
      <c r="O104" s="62">
        <v>1</v>
      </c>
      <c r="P104" s="62" t="s">
        <v>126</v>
      </c>
      <c r="Q104" s="64">
        <v>7.92</v>
      </c>
      <c r="R104" s="65">
        <f>5/13</f>
        <v>0.38461538461538464</v>
      </c>
      <c r="S104" s="66">
        <v>6.5</v>
      </c>
      <c r="T104" s="66">
        <f>(6.6503-S104)*SQRT(W104)</f>
        <v>0.54191435670223631</v>
      </c>
      <c r="U104" s="66">
        <v>7.1</v>
      </c>
      <c r="V104" s="66">
        <f>(7.2-U104)*SQRT(W104)</f>
        <v>0.36055512754640084</v>
      </c>
      <c r="W104" s="62">
        <v>13</v>
      </c>
      <c r="X104" s="62">
        <v>0</v>
      </c>
      <c r="Y104" s="62">
        <v>0</v>
      </c>
      <c r="Z104" s="62" t="s">
        <v>127</v>
      </c>
      <c r="AA104" s="62" t="s">
        <v>1630</v>
      </c>
      <c r="AB104" s="62" t="s">
        <v>17</v>
      </c>
      <c r="AC104" s="62" t="s">
        <v>17</v>
      </c>
      <c r="AD104" s="61" t="s">
        <v>45</v>
      </c>
      <c r="AF104" s="4" t="s">
        <v>695</v>
      </c>
      <c r="AJ104" s="72"/>
      <c r="AK104" s="72"/>
      <c r="AL104" s="72"/>
    </row>
    <row r="105" spans="1:38" ht="12.75" customHeight="1" x14ac:dyDescent="0.3">
      <c r="A105" s="61">
        <v>104</v>
      </c>
      <c r="B105" s="61">
        <v>19</v>
      </c>
      <c r="C105" s="61" t="s">
        <v>747</v>
      </c>
      <c r="D105" s="62" t="s">
        <v>38</v>
      </c>
      <c r="E105" s="62" t="s">
        <v>26</v>
      </c>
      <c r="F105" s="62" t="s">
        <v>39</v>
      </c>
      <c r="G105" s="62" t="s">
        <v>2</v>
      </c>
      <c r="H105" s="63">
        <v>1</v>
      </c>
      <c r="I105" s="62" t="s">
        <v>128</v>
      </c>
      <c r="J105" s="62">
        <v>1</v>
      </c>
      <c r="K105" s="62">
        <v>0</v>
      </c>
      <c r="L105" s="62">
        <f>4*14</f>
        <v>56</v>
      </c>
      <c r="M105" s="62">
        <v>4</v>
      </c>
      <c r="N105" s="62" t="s">
        <v>28</v>
      </c>
      <c r="O105" s="62">
        <v>1</v>
      </c>
      <c r="P105" s="62" t="s">
        <v>126</v>
      </c>
      <c r="Q105" s="64">
        <v>8.08</v>
      </c>
      <c r="R105" s="65">
        <f>7/12</f>
        <v>0.58333333333333337</v>
      </c>
      <c r="S105" s="66">
        <v>6.8</v>
      </c>
      <c r="T105" s="66">
        <f>(6.9547-S105)*SQRT(W105)</f>
        <v>0.53589651986181086</v>
      </c>
      <c r="U105" s="66">
        <v>6.9</v>
      </c>
      <c r="V105" s="66">
        <f>(7-U105)*SQRT(W105)</f>
        <v>0.34641016151377418</v>
      </c>
      <c r="W105" s="62">
        <v>12</v>
      </c>
      <c r="X105" s="62">
        <v>0</v>
      </c>
      <c r="Y105" s="62">
        <v>0</v>
      </c>
      <c r="Z105" s="62" t="s">
        <v>127</v>
      </c>
      <c r="AA105" s="62"/>
      <c r="AB105" s="62" t="s">
        <v>17</v>
      </c>
      <c r="AC105" s="62" t="s">
        <v>17</v>
      </c>
      <c r="AD105" s="61" t="s">
        <v>45</v>
      </c>
      <c r="AF105" s="4" t="s">
        <v>695</v>
      </c>
      <c r="AJ105" s="72"/>
      <c r="AK105" s="72"/>
      <c r="AL105" s="72"/>
    </row>
    <row r="106" spans="1:38" ht="12.75" customHeight="1" x14ac:dyDescent="0.3">
      <c r="A106" s="61">
        <v>105</v>
      </c>
      <c r="B106" s="61">
        <v>20</v>
      </c>
      <c r="C106" s="61" t="s">
        <v>746</v>
      </c>
      <c r="D106" s="62" t="s">
        <v>38</v>
      </c>
      <c r="E106" s="62" t="s">
        <v>26</v>
      </c>
      <c r="F106" s="62" t="s">
        <v>39</v>
      </c>
      <c r="G106" s="62" t="s">
        <v>2</v>
      </c>
      <c r="H106" s="63">
        <v>1</v>
      </c>
      <c r="I106" s="62" t="s">
        <v>129</v>
      </c>
      <c r="J106" s="62">
        <v>1</v>
      </c>
      <c r="K106" s="62">
        <v>0</v>
      </c>
      <c r="L106" s="62">
        <f>14.5*4</f>
        <v>58</v>
      </c>
      <c r="M106" s="62">
        <v>4</v>
      </c>
      <c r="N106" s="62" t="s">
        <v>28</v>
      </c>
      <c r="O106" s="62">
        <v>1</v>
      </c>
      <c r="P106" s="62" t="s">
        <v>130</v>
      </c>
      <c r="Q106" s="64">
        <v>8.5</v>
      </c>
      <c r="R106" s="65">
        <f>5/13</f>
        <v>0.38461538461538464</v>
      </c>
      <c r="S106" s="66">
        <v>3.52</v>
      </c>
      <c r="T106" s="66">
        <v>0.23</v>
      </c>
      <c r="U106" s="66">
        <v>3.71</v>
      </c>
      <c r="V106" s="66">
        <v>0.23</v>
      </c>
      <c r="W106" s="62">
        <v>13</v>
      </c>
      <c r="X106" s="62">
        <v>0</v>
      </c>
      <c r="Y106" s="62">
        <v>0</v>
      </c>
      <c r="Z106" s="62" t="s">
        <v>131</v>
      </c>
      <c r="AA106" s="62" t="s">
        <v>1337</v>
      </c>
      <c r="AB106" s="62" t="s">
        <v>17</v>
      </c>
      <c r="AC106" s="62" t="s">
        <v>17</v>
      </c>
      <c r="AD106" s="61" t="s">
        <v>45</v>
      </c>
      <c r="AF106" s="4" t="s">
        <v>608</v>
      </c>
      <c r="AJ106" s="67"/>
      <c r="AK106" s="67"/>
      <c r="AL106" s="67"/>
    </row>
    <row r="107" spans="1:38" ht="12.75" customHeight="1" x14ac:dyDescent="0.3">
      <c r="A107" s="61">
        <v>106</v>
      </c>
      <c r="B107" s="61">
        <v>20</v>
      </c>
      <c r="C107" s="61" t="s">
        <v>746</v>
      </c>
      <c r="D107" s="62" t="s">
        <v>38</v>
      </c>
      <c r="E107" s="62" t="s">
        <v>26</v>
      </c>
      <c r="F107" s="62" t="s">
        <v>39</v>
      </c>
      <c r="G107" s="62" t="s">
        <v>2</v>
      </c>
      <c r="H107" s="63">
        <v>1</v>
      </c>
      <c r="I107" s="62" t="s">
        <v>132</v>
      </c>
      <c r="J107" s="62">
        <v>1</v>
      </c>
      <c r="K107" s="62">
        <v>0</v>
      </c>
      <c r="L107" s="62">
        <f>14.5*4</f>
        <v>58</v>
      </c>
      <c r="M107" s="62">
        <v>4</v>
      </c>
      <c r="N107" s="62" t="s">
        <v>28</v>
      </c>
      <c r="O107" s="62">
        <v>1</v>
      </c>
      <c r="P107" s="62" t="s">
        <v>130</v>
      </c>
      <c r="Q107" s="64">
        <v>8.1999999999999993</v>
      </c>
      <c r="R107" s="65">
        <v>0.5</v>
      </c>
      <c r="S107" s="66">
        <v>3.48</v>
      </c>
      <c r="T107" s="66">
        <v>0.23</v>
      </c>
      <c r="U107" s="66">
        <v>3.68</v>
      </c>
      <c r="V107" s="66">
        <v>0.23</v>
      </c>
      <c r="W107" s="62">
        <v>12</v>
      </c>
      <c r="X107" s="62">
        <v>0</v>
      </c>
      <c r="Y107" s="62">
        <v>0</v>
      </c>
      <c r="Z107" s="62" t="s">
        <v>131</v>
      </c>
      <c r="AA107" s="62"/>
      <c r="AB107" s="62" t="s">
        <v>17</v>
      </c>
      <c r="AC107" s="62" t="s">
        <v>17</v>
      </c>
      <c r="AD107" s="61" t="s">
        <v>45</v>
      </c>
      <c r="AF107" s="4" t="s">
        <v>608</v>
      </c>
      <c r="AJ107" s="67"/>
      <c r="AK107" s="67"/>
      <c r="AL107" s="67"/>
    </row>
    <row r="108" spans="1:38" ht="12.75" customHeight="1" x14ac:dyDescent="0.3">
      <c r="A108" s="61">
        <v>107</v>
      </c>
      <c r="B108" s="61">
        <v>20</v>
      </c>
      <c r="C108" s="61" t="s">
        <v>746</v>
      </c>
      <c r="D108" s="62" t="s">
        <v>38</v>
      </c>
      <c r="E108" s="62" t="s">
        <v>26</v>
      </c>
      <c r="F108" s="62" t="s">
        <v>39</v>
      </c>
      <c r="G108" s="62" t="s">
        <v>2</v>
      </c>
      <c r="H108" s="63">
        <v>1</v>
      </c>
      <c r="I108" s="62" t="s">
        <v>128</v>
      </c>
      <c r="J108" s="62">
        <v>1</v>
      </c>
      <c r="K108" s="62">
        <v>0</v>
      </c>
      <c r="L108" s="62">
        <f>14.5*4</f>
        <v>58</v>
      </c>
      <c r="M108" s="62">
        <v>4</v>
      </c>
      <c r="N108" s="62" t="s">
        <v>28</v>
      </c>
      <c r="O108" s="62">
        <v>1</v>
      </c>
      <c r="P108" s="62" t="s">
        <v>130</v>
      </c>
      <c r="Q108" s="64">
        <v>8.5</v>
      </c>
      <c r="R108" s="65">
        <f>8/12</f>
        <v>0.66666666666666663</v>
      </c>
      <c r="S108" s="66">
        <v>3.53</v>
      </c>
      <c r="T108" s="66">
        <v>0.23</v>
      </c>
      <c r="U108" s="66">
        <v>3.64</v>
      </c>
      <c r="V108" s="66">
        <f>3.8686-U108</f>
        <v>0.22859999999999969</v>
      </c>
      <c r="W108" s="62">
        <v>12</v>
      </c>
      <c r="X108" s="62">
        <v>0</v>
      </c>
      <c r="Y108" s="62">
        <v>0</v>
      </c>
      <c r="Z108" s="62" t="s">
        <v>131</v>
      </c>
      <c r="AA108" s="62"/>
      <c r="AB108" s="62" t="s">
        <v>17</v>
      </c>
      <c r="AC108" s="62" t="s">
        <v>17</v>
      </c>
      <c r="AD108" s="61" t="s">
        <v>45</v>
      </c>
      <c r="AF108" s="4" t="s">
        <v>608</v>
      </c>
      <c r="AJ108" s="67"/>
      <c r="AK108" s="67"/>
      <c r="AL108" s="67"/>
    </row>
    <row r="109" spans="1:38" ht="12.75" customHeight="1" x14ac:dyDescent="0.3">
      <c r="A109" s="61">
        <v>108</v>
      </c>
      <c r="B109" s="61">
        <v>21</v>
      </c>
      <c r="C109" s="61" t="s">
        <v>745</v>
      </c>
      <c r="D109" s="62" t="s">
        <v>38</v>
      </c>
      <c r="E109" s="62" t="s">
        <v>26</v>
      </c>
      <c r="F109" s="62" t="s">
        <v>39</v>
      </c>
      <c r="G109" s="62" t="s">
        <v>2</v>
      </c>
      <c r="H109" s="63">
        <v>1</v>
      </c>
      <c r="I109" s="62" t="s">
        <v>133</v>
      </c>
      <c r="J109" s="62">
        <v>2</v>
      </c>
      <c r="K109" s="62">
        <v>0</v>
      </c>
      <c r="L109" s="62">
        <f>AVERAGE(15,20)</f>
        <v>17.5</v>
      </c>
      <c r="M109" s="62">
        <v>1</v>
      </c>
      <c r="N109" s="62">
        <v>0</v>
      </c>
      <c r="O109" s="62">
        <v>1</v>
      </c>
      <c r="P109" s="62" t="s">
        <v>1243</v>
      </c>
      <c r="Q109" s="64">
        <v>7</v>
      </c>
      <c r="R109" s="65" t="s">
        <v>28</v>
      </c>
      <c r="S109" s="66">
        <v>11.95</v>
      </c>
      <c r="T109" s="66">
        <v>2.4792999999999998</v>
      </c>
      <c r="U109" s="66">
        <v>14.29</v>
      </c>
      <c r="V109" s="66">
        <v>1.8499000000000001</v>
      </c>
      <c r="W109" s="62">
        <v>24</v>
      </c>
      <c r="X109" s="62">
        <v>0</v>
      </c>
      <c r="Y109" s="62">
        <v>0</v>
      </c>
      <c r="Z109" s="62" t="s">
        <v>117</v>
      </c>
      <c r="AA109" s="62" t="s">
        <v>1319</v>
      </c>
      <c r="AB109" s="62" t="s">
        <v>45</v>
      </c>
      <c r="AC109" s="62" t="s">
        <v>17</v>
      </c>
      <c r="AD109" s="61" t="s">
        <v>45</v>
      </c>
      <c r="AF109" s="4" t="s">
        <v>609</v>
      </c>
      <c r="AJ109" s="67"/>
      <c r="AK109" s="67"/>
      <c r="AL109" s="67"/>
    </row>
    <row r="110" spans="1:38" ht="12.75" customHeight="1" x14ac:dyDescent="0.3">
      <c r="A110" s="61">
        <v>109</v>
      </c>
      <c r="B110" s="61">
        <v>21</v>
      </c>
      <c r="C110" s="61" t="s">
        <v>745</v>
      </c>
      <c r="D110" s="62" t="s">
        <v>38</v>
      </c>
      <c r="E110" s="62" t="s">
        <v>26</v>
      </c>
      <c r="F110" s="62" t="s">
        <v>39</v>
      </c>
      <c r="G110" s="62" t="s">
        <v>2</v>
      </c>
      <c r="H110" s="63">
        <v>1</v>
      </c>
      <c r="I110" s="62" t="s">
        <v>134</v>
      </c>
      <c r="J110" s="62">
        <v>2</v>
      </c>
      <c r="K110" s="62">
        <v>0</v>
      </c>
      <c r="L110" s="62">
        <f>AVERAGE(15,20)</f>
        <v>17.5</v>
      </c>
      <c r="M110" s="62">
        <v>1</v>
      </c>
      <c r="N110" s="62">
        <v>0</v>
      </c>
      <c r="O110" s="62">
        <v>1</v>
      </c>
      <c r="P110" s="62" t="s">
        <v>1243</v>
      </c>
      <c r="Q110" s="64">
        <v>7</v>
      </c>
      <c r="R110" s="65" t="s">
        <v>28</v>
      </c>
      <c r="S110" s="66">
        <v>15.37</v>
      </c>
      <c r="T110" s="66">
        <v>1.8499000000000001</v>
      </c>
      <c r="U110" s="66">
        <v>15.37</v>
      </c>
      <c r="V110" s="66">
        <v>1.8499000000000001</v>
      </c>
      <c r="W110" s="62">
        <v>16</v>
      </c>
      <c r="X110" s="62">
        <v>0</v>
      </c>
      <c r="Y110" s="62">
        <v>0</v>
      </c>
      <c r="Z110" s="62" t="s">
        <v>117</v>
      </c>
      <c r="AA110" s="62" t="s">
        <v>1338</v>
      </c>
      <c r="AB110" s="62" t="s">
        <v>45</v>
      </c>
      <c r="AC110" s="62" t="s">
        <v>17</v>
      </c>
      <c r="AD110" s="61" t="s">
        <v>45</v>
      </c>
      <c r="AF110" s="4" t="s">
        <v>609</v>
      </c>
      <c r="AJ110" s="67"/>
      <c r="AK110" s="67"/>
      <c r="AL110" s="67"/>
    </row>
    <row r="111" spans="1:38" ht="12.75" customHeight="1" x14ac:dyDescent="0.3">
      <c r="A111" s="61">
        <v>110</v>
      </c>
      <c r="B111" s="61">
        <v>22</v>
      </c>
      <c r="C111" s="61" t="s">
        <v>766</v>
      </c>
      <c r="D111" s="62" t="s">
        <v>25</v>
      </c>
      <c r="E111" s="62" t="s">
        <v>26</v>
      </c>
      <c r="F111" s="62" t="s">
        <v>135</v>
      </c>
      <c r="G111" s="62" t="s">
        <v>2</v>
      </c>
      <c r="H111" s="63">
        <v>1</v>
      </c>
      <c r="I111" s="62" t="s">
        <v>136</v>
      </c>
      <c r="J111" s="62">
        <v>1</v>
      </c>
      <c r="K111" s="62">
        <v>0</v>
      </c>
      <c r="L111" s="62">
        <f>45+20</f>
        <v>65</v>
      </c>
      <c r="M111" s="62">
        <v>2</v>
      </c>
      <c r="N111" s="62">
        <v>0</v>
      </c>
      <c r="O111" s="62">
        <v>2</v>
      </c>
      <c r="P111" s="62" t="s">
        <v>137</v>
      </c>
      <c r="Q111" s="64">
        <v>8.17</v>
      </c>
      <c r="R111" s="65">
        <f>13/20</f>
        <v>0.65</v>
      </c>
      <c r="S111" s="66">
        <v>15.95</v>
      </c>
      <c r="T111" s="66">
        <v>4.0449999999999999</v>
      </c>
      <c r="U111" s="66">
        <v>16.25</v>
      </c>
      <c r="V111" s="66">
        <v>4.4349999999999996</v>
      </c>
      <c r="W111" s="62">
        <v>20</v>
      </c>
      <c r="X111" s="62">
        <v>0</v>
      </c>
      <c r="Y111" s="62">
        <v>0</v>
      </c>
      <c r="Z111" s="62" t="s">
        <v>138</v>
      </c>
      <c r="AA111" s="62"/>
      <c r="AB111" s="62" t="s">
        <v>17</v>
      </c>
      <c r="AC111" s="62" t="s">
        <v>17</v>
      </c>
      <c r="AD111" s="61" t="s">
        <v>45</v>
      </c>
      <c r="AF111" s="4" t="s">
        <v>696</v>
      </c>
      <c r="AJ111" s="67"/>
      <c r="AK111" s="67"/>
      <c r="AL111" s="67"/>
    </row>
    <row r="112" spans="1:38" ht="12.75" customHeight="1" x14ac:dyDescent="0.3">
      <c r="A112" s="61">
        <v>111</v>
      </c>
      <c r="B112" s="61">
        <v>22</v>
      </c>
      <c r="C112" s="61" t="s">
        <v>766</v>
      </c>
      <c r="D112" s="62" t="s">
        <v>25</v>
      </c>
      <c r="E112" s="62" t="s">
        <v>26</v>
      </c>
      <c r="F112" s="62" t="s">
        <v>135</v>
      </c>
      <c r="G112" s="62" t="s">
        <v>2</v>
      </c>
      <c r="H112" s="63">
        <v>1</v>
      </c>
      <c r="I112" s="62" t="s">
        <v>136</v>
      </c>
      <c r="J112" s="62">
        <v>1</v>
      </c>
      <c r="K112" s="62">
        <v>0</v>
      </c>
      <c r="L112" s="62">
        <f>45+20</f>
        <v>65</v>
      </c>
      <c r="M112" s="62">
        <v>2</v>
      </c>
      <c r="N112" s="62">
        <v>14</v>
      </c>
      <c r="O112" s="62">
        <v>2</v>
      </c>
      <c r="P112" s="62" t="s">
        <v>137</v>
      </c>
      <c r="Q112" s="64">
        <v>8.17</v>
      </c>
      <c r="R112" s="65">
        <f>13/20</f>
        <v>0.65</v>
      </c>
      <c r="S112" s="66">
        <v>15.95</v>
      </c>
      <c r="T112" s="66">
        <v>4.0449999999999999</v>
      </c>
      <c r="U112" s="66">
        <v>15.35</v>
      </c>
      <c r="V112" s="66">
        <v>5.2640000000000002</v>
      </c>
      <c r="W112" s="62">
        <v>20</v>
      </c>
      <c r="X112" s="62">
        <v>0</v>
      </c>
      <c r="Y112" s="62">
        <v>0</v>
      </c>
      <c r="Z112" s="62" t="s">
        <v>138</v>
      </c>
      <c r="AA112" s="62"/>
      <c r="AB112" s="62" t="s">
        <v>17</v>
      </c>
      <c r="AC112" s="62" t="s">
        <v>17</v>
      </c>
      <c r="AD112" s="61" t="s">
        <v>45</v>
      </c>
      <c r="AF112" s="4" t="s">
        <v>696</v>
      </c>
      <c r="AJ112" s="67"/>
      <c r="AK112" s="67"/>
      <c r="AL112" s="67"/>
    </row>
    <row r="113" spans="1:38" ht="12.75" customHeight="1" x14ac:dyDescent="0.3">
      <c r="A113" s="61">
        <v>112</v>
      </c>
      <c r="B113" s="61">
        <v>22</v>
      </c>
      <c r="C113" s="61" t="s">
        <v>766</v>
      </c>
      <c r="D113" s="62" t="s">
        <v>25</v>
      </c>
      <c r="E113" s="62" t="s">
        <v>26</v>
      </c>
      <c r="F113" s="62" t="s">
        <v>135</v>
      </c>
      <c r="G113" s="62" t="s">
        <v>2</v>
      </c>
      <c r="H113" s="63">
        <v>1</v>
      </c>
      <c r="I113" s="62" t="s">
        <v>139</v>
      </c>
      <c r="J113" s="62">
        <v>1</v>
      </c>
      <c r="K113" s="62">
        <v>0</v>
      </c>
      <c r="L113" s="62">
        <f>45+20</f>
        <v>65</v>
      </c>
      <c r="M113" s="62">
        <v>2</v>
      </c>
      <c r="N113" s="62">
        <v>0</v>
      </c>
      <c r="O113" s="62">
        <v>2</v>
      </c>
      <c r="P113" s="62" t="s">
        <v>137</v>
      </c>
      <c r="Q113" s="64">
        <v>8.17</v>
      </c>
      <c r="R113" s="65">
        <f>10/21</f>
        <v>0.47619047619047616</v>
      </c>
      <c r="S113" s="66">
        <v>15.86</v>
      </c>
      <c r="T113" s="66">
        <v>4.7670000000000003</v>
      </c>
      <c r="U113" s="66">
        <v>16.57</v>
      </c>
      <c r="V113" s="66">
        <v>3.7360000000000002</v>
      </c>
      <c r="W113" s="62">
        <v>21</v>
      </c>
      <c r="X113" s="62">
        <v>0</v>
      </c>
      <c r="Y113" s="62">
        <v>0</v>
      </c>
      <c r="Z113" s="62" t="s">
        <v>138</v>
      </c>
      <c r="AA113" s="62"/>
      <c r="AB113" s="62" t="s">
        <v>17</v>
      </c>
      <c r="AC113" s="62" t="s">
        <v>17</v>
      </c>
      <c r="AD113" s="61" t="s">
        <v>45</v>
      </c>
      <c r="AF113" s="4" t="s">
        <v>696</v>
      </c>
      <c r="AJ113" s="67"/>
      <c r="AK113" s="67"/>
      <c r="AL113" s="67"/>
    </row>
    <row r="114" spans="1:38" ht="12.75" customHeight="1" x14ac:dyDescent="0.3">
      <c r="A114" s="61">
        <v>113</v>
      </c>
      <c r="B114" s="61">
        <v>22</v>
      </c>
      <c r="C114" s="61" t="s">
        <v>766</v>
      </c>
      <c r="D114" s="62" t="s">
        <v>25</v>
      </c>
      <c r="E114" s="62" t="s">
        <v>26</v>
      </c>
      <c r="F114" s="62" t="s">
        <v>135</v>
      </c>
      <c r="G114" s="62" t="s">
        <v>2</v>
      </c>
      <c r="H114" s="63">
        <v>1</v>
      </c>
      <c r="I114" s="62" t="s">
        <v>139</v>
      </c>
      <c r="J114" s="62">
        <v>1</v>
      </c>
      <c r="K114" s="62">
        <v>0</v>
      </c>
      <c r="L114" s="62">
        <f>45+20</f>
        <v>65</v>
      </c>
      <c r="M114" s="62">
        <v>2</v>
      </c>
      <c r="N114" s="62">
        <v>14</v>
      </c>
      <c r="O114" s="62">
        <v>2</v>
      </c>
      <c r="P114" s="62" t="s">
        <v>137</v>
      </c>
      <c r="Q114" s="64">
        <v>8.17</v>
      </c>
      <c r="R114" s="65">
        <f>10/21</f>
        <v>0.47619047619047616</v>
      </c>
      <c r="S114" s="66">
        <v>15.86</v>
      </c>
      <c r="T114" s="66">
        <v>4.7670000000000003</v>
      </c>
      <c r="U114" s="66">
        <v>17</v>
      </c>
      <c r="V114" s="66">
        <v>2.8460000000000001</v>
      </c>
      <c r="W114" s="62">
        <v>21</v>
      </c>
      <c r="X114" s="62">
        <v>0</v>
      </c>
      <c r="Y114" s="62">
        <v>0</v>
      </c>
      <c r="Z114" s="62" t="s">
        <v>138</v>
      </c>
      <c r="AA114" s="62"/>
      <c r="AB114" s="62" t="s">
        <v>17</v>
      </c>
      <c r="AC114" s="62" t="s">
        <v>17</v>
      </c>
      <c r="AD114" s="61" t="s">
        <v>45</v>
      </c>
      <c r="AF114" s="4" t="s">
        <v>696</v>
      </c>
      <c r="AJ114" s="67"/>
      <c r="AK114" s="67"/>
      <c r="AL114" s="67"/>
    </row>
    <row r="115" spans="1:38" ht="12.75" customHeight="1" x14ac:dyDescent="0.3">
      <c r="A115" s="61">
        <v>114</v>
      </c>
      <c r="B115" s="61">
        <v>23</v>
      </c>
      <c r="C115" s="61" t="s">
        <v>797</v>
      </c>
      <c r="D115" s="62" t="s">
        <v>41</v>
      </c>
      <c r="E115" s="62" t="s">
        <v>26</v>
      </c>
      <c r="F115" s="62" t="s">
        <v>140</v>
      </c>
      <c r="G115" s="62" t="s">
        <v>2</v>
      </c>
      <c r="H115" s="63">
        <v>0</v>
      </c>
      <c r="I115" s="62" t="s">
        <v>141</v>
      </c>
      <c r="J115" s="62">
        <v>1</v>
      </c>
      <c r="K115" s="62">
        <v>0</v>
      </c>
      <c r="L115" s="62">
        <f>AVERAGE(30,45)*2</f>
        <v>75</v>
      </c>
      <c r="M115" s="62">
        <v>2</v>
      </c>
      <c r="N115" s="62">
        <v>0</v>
      </c>
      <c r="O115" s="62" t="s">
        <v>28</v>
      </c>
      <c r="P115" s="62" t="s">
        <v>142</v>
      </c>
      <c r="Q115" s="64">
        <v>9.9499999999999993</v>
      </c>
      <c r="R115" s="65">
        <v>0.5</v>
      </c>
      <c r="S115" s="66">
        <v>3.67</v>
      </c>
      <c r="T115" s="66">
        <v>1.32</v>
      </c>
      <c r="U115" s="66">
        <v>5.44</v>
      </c>
      <c r="V115" s="66">
        <v>2.83</v>
      </c>
      <c r="W115" s="62">
        <v>9</v>
      </c>
      <c r="X115" s="62">
        <v>0</v>
      </c>
      <c r="Y115" s="62">
        <v>0</v>
      </c>
      <c r="Z115" s="62" t="s">
        <v>143</v>
      </c>
      <c r="AA115" s="62"/>
      <c r="AB115" s="62" t="s">
        <v>17</v>
      </c>
      <c r="AC115" s="62" t="s">
        <v>17</v>
      </c>
      <c r="AD115" s="61" t="s">
        <v>45</v>
      </c>
      <c r="AF115" s="4" t="s">
        <v>610</v>
      </c>
      <c r="AJ115" s="67"/>
      <c r="AK115" s="67"/>
      <c r="AL115" s="67"/>
    </row>
    <row r="116" spans="1:38" ht="12.75" customHeight="1" x14ac:dyDescent="0.3">
      <c r="A116" s="61">
        <v>115</v>
      </c>
      <c r="B116" s="61">
        <v>23</v>
      </c>
      <c r="C116" s="61" t="s">
        <v>797</v>
      </c>
      <c r="D116" s="62" t="s">
        <v>41</v>
      </c>
      <c r="E116" s="62" t="s">
        <v>26</v>
      </c>
      <c r="F116" s="62" t="s">
        <v>140</v>
      </c>
      <c r="G116" s="62" t="s">
        <v>2</v>
      </c>
      <c r="H116" s="63">
        <v>0</v>
      </c>
      <c r="I116" s="62" t="s">
        <v>141</v>
      </c>
      <c r="J116" s="62">
        <v>1</v>
      </c>
      <c r="K116" s="62">
        <v>0</v>
      </c>
      <c r="L116" s="62">
        <f>AVERAGE(30,45)*2</f>
        <v>75</v>
      </c>
      <c r="M116" s="62">
        <v>2</v>
      </c>
      <c r="N116" s="62">
        <v>0</v>
      </c>
      <c r="O116" s="62" t="s">
        <v>28</v>
      </c>
      <c r="P116" s="62" t="s">
        <v>144</v>
      </c>
      <c r="Q116" s="64">
        <v>9.9499999999999993</v>
      </c>
      <c r="R116" s="65">
        <v>0.5</v>
      </c>
      <c r="S116" s="66">
        <v>0.28000000000000003</v>
      </c>
      <c r="T116" s="66">
        <v>0.09</v>
      </c>
      <c r="U116" s="66">
        <v>0.39</v>
      </c>
      <c r="V116" s="66">
        <v>0.28999999999999998</v>
      </c>
      <c r="W116" s="62">
        <v>9</v>
      </c>
      <c r="X116" s="62">
        <v>0</v>
      </c>
      <c r="Y116" s="62">
        <v>0</v>
      </c>
      <c r="Z116" s="62" t="s">
        <v>145</v>
      </c>
      <c r="AA116" s="62"/>
      <c r="AB116" s="62" t="s">
        <v>17</v>
      </c>
      <c r="AC116" s="62" t="s">
        <v>17</v>
      </c>
      <c r="AD116" s="61" t="s">
        <v>45</v>
      </c>
      <c r="AF116" s="4" t="s">
        <v>610</v>
      </c>
      <c r="AJ116" s="67"/>
      <c r="AK116" s="67"/>
      <c r="AL116" s="67"/>
    </row>
    <row r="117" spans="1:38" ht="12.75" customHeight="1" x14ac:dyDescent="0.3">
      <c r="A117" s="61">
        <v>116</v>
      </c>
      <c r="B117" s="61">
        <v>23</v>
      </c>
      <c r="C117" s="61" t="s">
        <v>797</v>
      </c>
      <c r="D117" s="62" t="s">
        <v>41</v>
      </c>
      <c r="E117" s="62" t="s">
        <v>26</v>
      </c>
      <c r="F117" s="62" t="s">
        <v>140</v>
      </c>
      <c r="G117" s="62" t="s">
        <v>2</v>
      </c>
      <c r="H117" s="63">
        <v>0</v>
      </c>
      <c r="I117" s="62" t="s">
        <v>146</v>
      </c>
      <c r="J117" s="62">
        <v>1</v>
      </c>
      <c r="K117" s="62">
        <v>0</v>
      </c>
      <c r="L117" s="62">
        <f>AVERAGE(30,45)*2</f>
        <v>75</v>
      </c>
      <c r="M117" s="62">
        <v>2</v>
      </c>
      <c r="N117" s="62">
        <v>0</v>
      </c>
      <c r="O117" s="62" t="s">
        <v>28</v>
      </c>
      <c r="P117" s="62" t="s">
        <v>142</v>
      </c>
      <c r="Q117" s="64">
        <v>9.9499999999999993</v>
      </c>
      <c r="R117" s="65">
        <v>0.5</v>
      </c>
      <c r="S117" s="66">
        <v>4.63</v>
      </c>
      <c r="T117" s="66">
        <v>2.0099999999999998</v>
      </c>
      <c r="U117" s="66">
        <v>4.63</v>
      </c>
      <c r="V117" s="66">
        <v>2.06</v>
      </c>
      <c r="W117" s="62">
        <v>11</v>
      </c>
      <c r="X117" s="62">
        <v>0</v>
      </c>
      <c r="Y117" s="62">
        <v>0</v>
      </c>
      <c r="Z117" s="62" t="s">
        <v>143</v>
      </c>
      <c r="AA117" s="62"/>
      <c r="AB117" s="62" t="s">
        <v>17</v>
      </c>
      <c r="AC117" s="62" t="s">
        <v>17</v>
      </c>
      <c r="AD117" s="61" t="s">
        <v>45</v>
      </c>
      <c r="AF117" s="4" t="s">
        <v>610</v>
      </c>
      <c r="AJ117" s="67"/>
      <c r="AK117" s="67"/>
      <c r="AL117" s="67"/>
    </row>
    <row r="118" spans="1:38" ht="12.75" customHeight="1" x14ac:dyDescent="0.3">
      <c r="A118" s="61">
        <v>117</v>
      </c>
      <c r="B118" s="61">
        <v>23</v>
      </c>
      <c r="C118" s="61" t="s">
        <v>797</v>
      </c>
      <c r="D118" s="62" t="s">
        <v>41</v>
      </c>
      <c r="E118" s="62" t="s">
        <v>26</v>
      </c>
      <c r="F118" s="62" t="s">
        <v>140</v>
      </c>
      <c r="G118" s="62" t="s">
        <v>2</v>
      </c>
      <c r="H118" s="63">
        <v>0</v>
      </c>
      <c r="I118" s="62" t="s">
        <v>146</v>
      </c>
      <c r="J118" s="62">
        <v>1</v>
      </c>
      <c r="K118" s="62">
        <v>0</v>
      </c>
      <c r="L118" s="62">
        <f>AVERAGE(30,45)*2</f>
        <v>75</v>
      </c>
      <c r="M118" s="62">
        <v>2</v>
      </c>
      <c r="N118" s="62">
        <v>0</v>
      </c>
      <c r="O118" s="62" t="s">
        <v>28</v>
      </c>
      <c r="P118" s="62" t="s">
        <v>144</v>
      </c>
      <c r="Q118" s="64">
        <v>9.9499999999999993</v>
      </c>
      <c r="R118" s="65">
        <v>0.5</v>
      </c>
      <c r="S118" s="66">
        <v>0.32</v>
      </c>
      <c r="T118" s="66">
        <v>0.15</v>
      </c>
      <c r="U118" s="66">
        <v>0.46</v>
      </c>
      <c r="V118" s="66">
        <v>0.21</v>
      </c>
      <c r="W118" s="62">
        <v>11</v>
      </c>
      <c r="X118" s="62">
        <v>0</v>
      </c>
      <c r="Y118" s="62">
        <v>0</v>
      </c>
      <c r="Z118" s="62" t="s">
        <v>145</v>
      </c>
      <c r="AA118" s="62"/>
      <c r="AB118" s="62" t="s">
        <v>17</v>
      </c>
      <c r="AC118" s="62" t="s">
        <v>17</v>
      </c>
      <c r="AD118" s="61" t="s">
        <v>45</v>
      </c>
      <c r="AF118" s="4" t="s">
        <v>610</v>
      </c>
      <c r="AJ118" s="67"/>
      <c r="AK118" s="67"/>
      <c r="AL118" s="67"/>
    </row>
    <row r="119" spans="1:38" ht="12.75" customHeight="1" x14ac:dyDescent="0.3">
      <c r="A119" s="61">
        <v>118</v>
      </c>
      <c r="B119" s="61">
        <v>24</v>
      </c>
      <c r="C119" s="61" t="s">
        <v>816</v>
      </c>
      <c r="D119" s="62" t="s">
        <v>41</v>
      </c>
      <c r="E119" s="62" t="s">
        <v>26</v>
      </c>
      <c r="F119" s="62" t="s">
        <v>147</v>
      </c>
      <c r="G119" s="62" t="s">
        <v>2</v>
      </c>
      <c r="H119" s="63">
        <v>0</v>
      </c>
      <c r="I119" s="62" t="s">
        <v>148</v>
      </c>
      <c r="J119" s="62">
        <v>1</v>
      </c>
      <c r="K119" s="62">
        <v>0</v>
      </c>
      <c r="L119" s="62" t="s">
        <v>28</v>
      </c>
      <c r="M119" s="62">
        <v>4</v>
      </c>
      <c r="N119" s="62">
        <v>0</v>
      </c>
      <c r="O119" s="62">
        <v>2</v>
      </c>
      <c r="P119" s="62" t="s">
        <v>149</v>
      </c>
      <c r="Q119" s="64">
        <v>10.9</v>
      </c>
      <c r="R119" s="65">
        <f>8/15</f>
        <v>0.53333333333333333</v>
      </c>
      <c r="S119" s="66">
        <v>0.50833333333333297</v>
      </c>
      <c r="T119" s="66">
        <v>0.26502470684465501</v>
      </c>
      <c r="U119" s="66">
        <v>0.60833333333333295</v>
      </c>
      <c r="V119" s="66">
        <v>0.25383956312900402</v>
      </c>
      <c r="W119" s="62">
        <v>15</v>
      </c>
      <c r="X119" s="62">
        <v>0</v>
      </c>
      <c r="Y119" s="62">
        <v>0</v>
      </c>
      <c r="Z119" s="62" t="s">
        <v>729</v>
      </c>
      <c r="AA119" s="62"/>
      <c r="AB119" s="62" t="s">
        <v>45</v>
      </c>
      <c r="AC119" s="62" t="s">
        <v>45</v>
      </c>
      <c r="AD119" s="61" t="s">
        <v>45</v>
      </c>
      <c r="AF119" s="4" t="s">
        <v>697</v>
      </c>
      <c r="AJ119" s="67"/>
      <c r="AK119" s="67"/>
      <c r="AL119" s="67"/>
    </row>
    <row r="120" spans="1:38" ht="12.75" customHeight="1" x14ac:dyDescent="0.3">
      <c r="A120" s="61">
        <v>119</v>
      </c>
      <c r="B120" s="61">
        <v>24</v>
      </c>
      <c r="C120" s="61" t="s">
        <v>816</v>
      </c>
      <c r="D120" s="62" t="s">
        <v>41</v>
      </c>
      <c r="E120" s="62" t="s">
        <v>26</v>
      </c>
      <c r="F120" s="62" t="s">
        <v>147</v>
      </c>
      <c r="G120" s="62" t="s">
        <v>2</v>
      </c>
      <c r="H120" s="63">
        <v>0</v>
      </c>
      <c r="I120" s="62" t="s">
        <v>141</v>
      </c>
      <c r="J120" s="62">
        <v>1</v>
      </c>
      <c r="K120" s="62">
        <v>0</v>
      </c>
      <c r="L120" s="62" t="s">
        <v>28</v>
      </c>
      <c r="M120" s="62">
        <v>4</v>
      </c>
      <c r="N120" s="62">
        <v>0</v>
      </c>
      <c r="O120" s="62">
        <v>2</v>
      </c>
      <c r="P120" s="62" t="s">
        <v>149</v>
      </c>
      <c r="Q120" s="64">
        <v>10.7</v>
      </c>
      <c r="R120" s="65">
        <f>8/14</f>
        <v>0.5714285714285714</v>
      </c>
      <c r="S120" s="66">
        <v>0.3125</v>
      </c>
      <c r="T120" s="66">
        <v>0.28902189163825298</v>
      </c>
      <c r="U120" s="66">
        <v>0.58035714285714302</v>
      </c>
      <c r="V120" s="66">
        <v>0.30856033125140703</v>
      </c>
      <c r="W120" s="62">
        <v>14</v>
      </c>
      <c r="X120" s="62">
        <v>0</v>
      </c>
      <c r="Y120" s="62">
        <v>0</v>
      </c>
      <c r="Z120" s="62" t="s">
        <v>729</v>
      </c>
      <c r="AA120" s="62"/>
      <c r="AB120" s="62" t="s">
        <v>45</v>
      </c>
      <c r="AC120" s="62" t="s">
        <v>45</v>
      </c>
      <c r="AD120" s="61" t="s">
        <v>45</v>
      </c>
      <c r="AF120" s="4" t="s">
        <v>697</v>
      </c>
      <c r="AJ120" s="67"/>
      <c r="AK120" s="67"/>
      <c r="AL120" s="67"/>
    </row>
    <row r="121" spans="1:38" ht="12.75" customHeight="1" x14ac:dyDescent="0.3">
      <c r="A121" s="61">
        <v>120</v>
      </c>
      <c r="B121" s="61">
        <v>25</v>
      </c>
      <c r="C121" s="61" t="s">
        <v>796</v>
      </c>
      <c r="D121" s="62" t="s">
        <v>41</v>
      </c>
      <c r="E121" s="62" t="s">
        <v>150</v>
      </c>
      <c r="F121" s="62" t="s">
        <v>27</v>
      </c>
      <c r="G121" s="62" t="s">
        <v>2</v>
      </c>
      <c r="H121" s="63">
        <v>0</v>
      </c>
      <c r="I121" s="62" t="s">
        <v>151</v>
      </c>
      <c r="J121" s="62">
        <v>1</v>
      </c>
      <c r="K121" s="62">
        <v>0</v>
      </c>
      <c r="L121" s="62">
        <f>20*3</f>
        <v>60</v>
      </c>
      <c r="M121" s="62">
        <v>3</v>
      </c>
      <c r="N121" s="62">
        <v>2</v>
      </c>
      <c r="O121" s="62">
        <v>2</v>
      </c>
      <c r="P121" s="62" t="s">
        <v>152</v>
      </c>
      <c r="Q121" s="64">
        <v>5.5</v>
      </c>
      <c r="R121" s="65" t="s">
        <v>28</v>
      </c>
      <c r="S121" s="66">
        <v>0.36</v>
      </c>
      <c r="T121" s="66">
        <v>0.13</v>
      </c>
      <c r="U121" s="66">
        <v>0.84</v>
      </c>
      <c r="V121" s="66">
        <v>0.08</v>
      </c>
      <c r="W121" s="62">
        <v>10</v>
      </c>
      <c r="X121" s="62">
        <v>0</v>
      </c>
      <c r="Y121" s="62">
        <v>0</v>
      </c>
      <c r="Z121" s="62" t="s">
        <v>153</v>
      </c>
      <c r="AA121" s="62" t="s">
        <v>154</v>
      </c>
      <c r="AB121" s="62" t="s">
        <v>17</v>
      </c>
      <c r="AC121" s="62" t="s">
        <v>17</v>
      </c>
      <c r="AD121" s="61" t="s">
        <v>45</v>
      </c>
      <c r="AF121" s="4" t="s">
        <v>611</v>
      </c>
      <c r="AJ121" s="67"/>
      <c r="AK121" s="67"/>
      <c r="AL121" s="67"/>
    </row>
    <row r="122" spans="1:38" ht="12.75" customHeight="1" x14ac:dyDescent="0.3">
      <c r="A122" s="61">
        <v>121</v>
      </c>
      <c r="B122" s="61">
        <v>25</v>
      </c>
      <c r="C122" s="61" t="s">
        <v>796</v>
      </c>
      <c r="D122" s="62" t="s">
        <v>41</v>
      </c>
      <c r="E122" s="62" t="s">
        <v>150</v>
      </c>
      <c r="F122" s="62" t="s">
        <v>27</v>
      </c>
      <c r="G122" s="62" t="s">
        <v>2</v>
      </c>
      <c r="H122" s="63">
        <v>0</v>
      </c>
      <c r="I122" s="62" t="s">
        <v>155</v>
      </c>
      <c r="J122" s="62">
        <v>1</v>
      </c>
      <c r="K122" s="62">
        <v>0</v>
      </c>
      <c r="L122" s="62">
        <f>20*3</f>
        <v>60</v>
      </c>
      <c r="M122" s="62">
        <v>3</v>
      </c>
      <c r="N122" s="62">
        <v>2</v>
      </c>
      <c r="O122" s="62">
        <v>2</v>
      </c>
      <c r="P122" s="62" t="s">
        <v>152</v>
      </c>
      <c r="Q122" s="64">
        <v>5.5</v>
      </c>
      <c r="R122" s="65" t="s">
        <v>28</v>
      </c>
      <c r="S122" s="66">
        <v>0.38</v>
      </c>
      <c r="T122" s="66">
        <v>0.11</v>
      </c>
      <c r="U122" s="66">
        <v>0.63</v>
      </c>
      <c r="V122" s="66">
        <v>0.09</v>
      </c>
      <c r="W122" s="62">
        <v>9</v>
      </c>
      <c r="X122" s="62">
        <v>0</v>
      </c>
      <c r="Y122" s="62">
        <v>0</v>
      </c>
      <c r="Z122" s="62" t="s">
        <v>153</v>
      </c>
      <c r="AA122" s="62"/>
      <c r="AB122" s="62" t="s">
        <v>17</v>
      </c>
      <c r="AC122" s="62" t="s">
        <v>17</v>
      </c>
      <c r="AD122" s="61" t="s">
        <v>45</v>
      </c>
      <c r="AF122" s="4" t="s">
        <v>611</v>
      </c>
      <c r="AJ122" s="67"/>
      <c r="AK122" s="67"/>
      <c r="AL122" s="67"/>
    </row>
    <row r="123" spans="1:38" ht="12.75" customHeight="1" x14ac:dyDescent="0.3">
      <c r="A123" s="61">
        <v>122</v>
      </c>
      <c r="B123" s="61">
        <v>26</v>
      </c>
      <c r="C123" s="61" t="s">
        <v>818</v>
      </c>
      <c r="D123" s="62" t="s">
        <v>25</v>
      </c>
      <c r="E123" s="62" t="s">
        <v>32</v>
      </c>
      <c r="F123" s="62" t="s">
        <v>156</v>
      </c>
      <c r="G123" s="62" t="s">
        <v>99</v>
      </c>
      <c r="H123" s="63">
        <v>1</v>
      </c>
      <c r="I123" s="62"/>
      <c r="J123" s="62">
        <v>1</v>
      </c>
      <c r="K123" s="62">
        <v>0</v>
      </c>
      <c r="L123" s="62">
        <f>2*20</f>
        <v>40</v>
      </c>
      <c r="M123" s="62">
        <v>2</v>
      </c>
      <c r="N123" s="62" t="s">
        <v>28</v>
      </c>
      <c r="O123" s="62">
        <v>2</v>
      </c>
      <c r="P123" s="62" t="s">
        <v>157</v>
      </c>
      <c r="Q123" s="64">
        <f>96/12</f>
        <v>8</v>
      </c>
      <c r="R123" s="65">
        <v>0.5</v>
      </c>
      <c r="S123" s="66">
        <v>4.5599999999999996</v>
      </c>
      <c r="T123" s="66">
        <v>2.73</v>
      </c>
      <c r="U123" s="66">
        <v>4.24</v>
      </c>
      <c r="V123" s="66">
        <v>2.67</v>
      </c>
      <c r="W123" s="62">
        <v>25</v>
      </c>
      <c r="X123" s="62">
        <v>0</v>
      </c>
      <c r="Y123" s="62">
        <v>0</v>
      </c>
      <c r="Z123" s="62" t="s">
        <v>66</v>
      </c>
      <c r="AA123" s="62"/>
      <c r="AB123" s="62" t="s">
        <v>17</v>
      </c>
      <c r="AC123" s="62" t="s">
        <v>17</v>
      </c>
      <c r="AD123" s="61" t="s">
        <v>45</v>
      </c>
      <c r="AF123" s="4" t="s">
        <v>612</v>
      </c>
    </row>
    <row r="124" spans="1:38" ht="12.75" customHeight="1" x14ac:dyDescent="0.3">
      <c r="A124" s="61">
        <v>123</v>
      </c>
      <c r="B124" s="61">
        <v>26</v>
      </c>
      <c r="C124" s="61" t="s">
        <v>818</v>
      </c>
      <c r="D124" s="62" t="s">
        <v>25</v>
      </c>
      <c r="E124" s="62" t="s">
        <v>32</v>
      </c>
      <c r="F124" s="62" t="s">
        <v>156</v>
      </c>
      <c r="G124" s="62" t="s">
        <v>99</v>
      </c>
      <c r="H124" s="63">
        <v>1</v>
      </c>
      <c r="I124" s="62"/>
      <c r="J124" s="62">
        <v>1</v>
      </c>
      <c r="K124" s="62">
        <v>0</v>
      </c>
      <c r="L124" s="62">
        <f>2*20</f>
        <v>40</v>
      </c>
      <c r="M124" s="62">
        <v>2</v>
      </c>
      <c r="N124" s="62" t="s">
        <v>28</v>
      </c>
      <c r="O124" s="62">
        <v>2</v>
      </c>
      <c r="P124" s="62" t="s">
        <v>158</v>
      </c>
      <c r="Q124" s="64">
        <f>96/12</f>
        <v>8</v>
      </c>
      <c r="R124" s="65">
        <v>0.5</v>
      </c>
      <c r="S124" s="66">
        <v>74.36</v>
      </c>
      <c r="T124" s="66">
        <v>11.39</v>
      </c>
      <c r="U124" s="66">
        <v>71.88</v>
      </c>
      <c r="V124" s="66">
        <v>14.15</v>
      </c>
      <c r="W124" s="62">
        <v>25</v>
      </c>
      <c r="X124" s="62">
        <v>0</v>
      </c>
      <c r="Y124" s="62">
        <v>0</v>
      </c>
      <c r="Z124" s="62" t="s">
        <v>66</v>
      </c>
      <c r="AA124" s="62"/>
      <c r="AB124" s="62" t="s">
        <v>17</v>
      </c>
      <c r="AC124" s="62" t="s">
        <v>17</v>
      </c>
      <c r="AD124" s="61" t="s">
        <v>45</v>
      </c>
      <c r="AF124" s="4" t="s">
        <v>612</v>
      </c>
    </row>
    <row r="125" spans="1:38" ht="12.75" customHeight="1" x14ac:dyDescent="0.3">
      <c r="A125" s="61">
        <v>124</v>
      </c>
      <c r="B125" s="61">
        <v>26</v>
      </c>
      <c r="C125" s="61" t="s">
        <v>818</v>
      </c>
      <c r="D125" s="62" t="s">
        <v>25</v>
      </c>
      <c r="E125" s="62" t="s">
        <v>159</v>
      </c>
      <c r="F125" s="62" t="s">
        <v>156</v>
      </c>
      <c r="G125" s="62" t="s">
        <v>2</v>
      </c>
      <c r="H125" s="63">
        <v>1</v>
      </c>
      <c r="I125" s="62"/>
      <c r="J125" s="62">
        <v>1</v>
      </c>
      <c r="K125" s="62">
        <v>0</v>
      </c>
      <c r="L125" s="62">
        <f>2*20</f>
        <v>40</v>
      </c>
      <c r="M125" s="62">
        <v>2</v>
      </c>
      <c r="N125" s="62" t="s">
        <v>28</v>
      </c>
      <c r="O125" s="62">
        <v>2</v>
      </c>
      <c r="P125" s="62" t="s">
        <v>157</v>
      </c>
      <c r="Q125" s="64">
        <f>96/12</f>
        <v>8</v>
      </c>
      <c r="R125" s="65">
        <v>0.5</v>
      </c>
      <c r="S125" s="66">
        <v>5.19</v>
      </c>
      <c r="T125" s="66">
        <v>2.5099999999999998</v>
      </c>
      <c r="U125" s="66">
        <v>6.73</v>
      </c>
      <c r="V125" s="66">
        <v>2.93</v>
      </c>
      <c r="W125" s="62">
        <v>25</v>
      </c>
      <c r="X125" s="62">
        <v>0</v>
      </c>
      <c r="Y125" s="62">
        <v>0</v>
      </c>
      <c r="Z125" s="62" t="s">
        <v>66</v>
      </c>
      <c r="AA125" s="62"/>
      <c r="AB125" s="62" t="s">
        <v>17</v>
      </c>
      <c r="AC125" s="62" t="s">
        <v>17</v>
      </c>
      <c r="AD125" s="61" t="s">
        <v>45</v>
      </c>
      <c r="AF125" s="4" t="s">
        <v>612</v>
      </c>
    </row>
    <row r="126" spans="1:38" ht="12.75" customHeight="1" x14ac:dyDescent="0.3">
      <c r="A126" s="61">
        <v>125</v>
      </c>
      <c r="B126" s="61">
        <v>26</v>
      </c>
      <c r="C126" s="61" t="s">
        <v>818</v>
      </c>
      <c r="D126" s="62" t="s">
        <v>25</v>
      </c>
      <c r="E126" s="62" t="s">
        <v>159</v>
      </c>
      <c r="F126" s="62" t="s">
        <v>156</v>
      </c>
      <c r="G126" s="62" t="s">
        <v>2</v>
      </c>
      <c r="H126" s="63">
        <v>1</v>
      </c>
      <c r="I126" s="62"/>
      <c r="J126" s="62">
        <v>1</v>
      </c>
      <c r="K126" s="62">
        <v>0</v>
      </c>
      <c r="L126" s="62">
        <f>2*20</f>
        <v>40</v>
      </c>
      <c r="M126" s="62">
        <v>2</v>
      </c>
      <c r="N126" s="62" t="s">
        <v>28</v>
      </c>
      <c r="O126" s="62">
        <v>2</v>
      </c>
      <c r="P126" s="62" t="s">
        <v>158</v>
      </c>
      <c r="Q126" s="64">
        <f>96/12</f>
        <v>8</v>
      </c>
      <c r="R126" s="65">
        <v>0.5</v>
      </c>
      <c r="S126" s="66">
        <v>74.77</v>
      </c>
      <c r="T126" s="66">
        <v>13.86</v>
      </c>
      <c r="U126" s="66">
        <v>79.77</v>
      </c>
      <c r="V126" s="66">
        <v>14.71</v>
      </c>
      <c r="W126" s="62">
        <v>25</v>
      </c>
      <c r="X126" s="62">
        <v>0</v>
      </c>
      <c r="Y126" s="62">
        <v>0</v>
      </c>
      <c r="Z126" s="62" t="s">
        <v>66</v>
      </c>
      <c r="AA126" s="62"/>
      <c r="AB126" s="62" t="s">
        <v>17</v>
      </c>
      <c r="AC126" s="62" t="s">
        <v>17</v>
      </c>
      <c r="AD126" s="61" t="s">
        <v>45</v>
      </c>
      <c r="AF126" s="4" t="s">
        <v>612</v>
      </c>
    </row>
    <row r="127" spans="1:38" ht="12.75" customHeight="1" x14ac:dyDescent="0.3">
      <c r="A127" s="61">
        <v>126</v>
      </c>
      <c r="B127" s="61">
        <v>27</v>
      </c>
      <c r="C127" s="61" t="s">
        <v>805</v>
      </c>
      <c r="D127" s="62" t="s">
        <v>41</v>
      </c>
      <c r="E127" s="62" t="s">
        <v>160</v>
      </c>
      <c r="F127" s="62" t="s">
        <v>161</v>
      </c>
      <c r="G127" s="62" t="s">
        <v>2</v>
      </c>
      <c r="H127" s="63">
        <v>0</v>
      </c>
      <c r="I127" s="62" t="s">
        <v>162</v>
      </c>
      <c r="J127" s="62">
        <v>1</v>
      </c>
      <c r="K127" s="62">
        <v>0</v>
      </c>
      <c r="L127" s="62" t="s">
        <v>28</v>
      </c>
      <c r="M127" s="62">
        <v>1</v>
      </c>
      <c r="N127" s="62">
        <v>0</v>
      </c>
      <c r="O127" s="62">
        <v>2</v>
      </c>
      <c r="P127" s="62" t="s">
        <v>163</v>
      </c>
      <c r="Q127" s="64">
        <v>11.03</v>
      </c>
      <c r="R127" s="65">
        <f>16/(16+13)</f>
        <v>0.55172413793103448</v>
      </c>
      <c r="S127" s="66">
        <v>3.45</v>
      </c>
      <c r="T127" s="66">
        <v>1.76</v>
      </c>
      <c r="U127" s="66">
        <v>5.4</v>
      </c>
      <c r="V127" s="66">
        <v>2.3199999999999998</v>
      </c>
      <c r="W127" s="62">
        <v>29</v>
      </c>
      <c r="X127" s="62">
        <v>0</v>
      </c>
      <c r="Y127" s="62">
        <v>0</v>
      </c>
      <c r="Z127" s="62" t="s">
        <v>164</v>
      </c>
      <c r="AA127" s="62" t="s">
        <v>1339</v>
      </c>
      <c r="AB127" s="62" t="s">
        <v>17</v>
      </c>
      <c r="AC127" s="62" t="s">
        <v>17</v>
      </c>
      <c r="AD127" s="61" t="s">
        <v>17</v>
      </c>
      <c r="AF127" s="4" t="s">
        <v>613</v>
      </c>
      <c r="AJ127" s="67"/>
      <c r="AK127" s="67"/>
      <c r="AL127" s="67"/>
    </row>
    <row r="128" spans="1:38" ht="12.75" customHeight="1" x14ac:dyDescent="0.3">
      <c r="A128" s="61">
        <v>127</v>
      </c>
      <c r="B128" s="61">
        <v>27</v>
      </c>
      <c r="C128" s="61" t="s">
        <v>805</v>
      </c>
      <c r="D128" s="62" t="s">
        <v>41</v>
      </c>
      <c r="E128" s="62" t="s">
        <v>160</v>
      </c>
      <c r="F128" s="62" t="s">
        <v>161</v>
      </c>
      <c r="G128" s="62" t="s">
        <v>2</v>
      </c>
      <c r="H128" s="63">
        <v>0</v>
      </c>
      <c r="I128" s="62" t="s">
        <v>165</v>
      </c>
      <c r="J128" s="62">
        <v>1</v>
      </c>
      <c r="K128" s="62">
        <v>0</v>
      </c>
      <c r="L128" s="62" t="s">
        <v>28</v>
      </c>
      <c r="M128" s="62">
        <v>1</v>
      </c>
      <c r="N128" s="62">
        <v>0</v>
      </c>
      <c r="O128" s="62">
        <v>2</v>
      </c>
      <c r="P128" s="62" t="s">
        <v>163</v>
      </c>
      <c r="Q128" s="64">
        <v>10.79</v>
      </c>
      <c r="R128" s="65">
        <f>17/(17+12)</f>
        <v>0.58620689655172409</v>
      </c>
      <c r="S128" s="66">
        <v>3.73</v>
      </c>
      <c r="T128" s="66">
        <v>1.56</v>
      </c>
      <c r="U128" s="66">
        <v>5.29</v>
      </c>
      <c r="V128" s="66">
        <v>2.16</v>
      </c>
      <c r="W128" s="62">
        <v>29</v>
      </c>
      <c r="X128" s="62">
        <v>0</v>
      </c>
      <c r="Y128" s="62">
        <v>0</v>
      </c>
      <c r="Z128" s="62" t="s">
        <v>164</v>
      </c>
      <c r="AA128" s="62" t="s">
        <v>1350</v>
      </c>
      <c r="AB128" s="62" t="s">
        <v>17</v>
      </c>
      <c r="AC128" s="62" t="s">
        <v>17</v>
      </c>
      <c r="AD128" s="61" t="s">
        <v>17</v>
      </c>
      <c r="AF128" s="4" t="s">
        <v>613</v>
      </c>
      <c r="AJ128" s="67"/>
      <c r="AK128" s="67"/>
      <c r="AL128" s="67"/>
    </row>
    <row r="129" spans="1:38" ht="12.75" customHeight="1" x14ac:dyDescent="0.3">
      <c r="A129" s="61">
        <v>128</v>
      </c>
      <c r="B129" s="61">
        <v>28</v>
      </c>
      <c r="C129" s="61" t="s">
        <v>757</v>
      </c>
      <c r="D129" s="62" t="s">
        <v>25</v>
      </c>
      <c r="E129" s="62" t="s">
        <v>26</v>
      </c>
      <c r="F129" s="62" t="s">
        <v>33</v>
      </c>
      <c r="G129" s="62" t="s">
        <v>2</v>
      </c>
      <c r="H129" s="63">
        <v>1</v>
      </c>
      <c r="I129" s="62"/>
      <c r="J129" s="62">
        <v>1</v>
      </c>
      <c r="K129" s="62">
        <v>0</v>
      </c>
      <c r="L129" s="62">
        <f>18+38/60</f>
        <v>18.633333333333333</v>
      </c>
      <c r="M129" s="62">
        <v>1</v>
      </c>
      <c r="N129" s="62">
        <v>0</v>
      </c>
      <c r="O129" s="62">
        <v>1</v>
      </c>
      <c r="P129" s="62" t="s">
        <v>1309</v>
      </c>
      <c r="Q129" s="64">
        <f>(5*12+2)/12</f>
        <v>5.166666666666667</v>
      </c>
      <c r="R129" s="65">
        <f>(61-32)/61</f>
        <v>0.47540983606557374</v>
      </c>
      <c r="S129" s="66">
        <v>1.75</v>
      </c>
      <c r="T129" s="66">
        <v>1.1399999999999999</v>
      </c>
      <c r="U129" s="66">
        <v>2.85</v>
      </c>
      <c r="V129" s="66">
        <v>1.61</v>
      </c>
      <c r="W129" s="62">
        <v>61</v>
      </c>
      <c r="X129" s="62">
        <v>0</v>
      </c>
      <c r="Y129" s="62">
        <v>0</v>
      </c>
      <c r="Z129" s="62" t="s">
        <v>166</v>
      </c>
      <c r="AA129" s="62"/>
      <c r="AB129" s="62" t="s">
        <v>17</v>
      </c>
      <c r="AC129" s="62" t="s">
        <v>17</v>
      </c>
      <c r="AD129" s="61" t="s">
        <v>45</v>
      </c>
      <c r="AF129" s="4" t="s">
        <v>614</v>
      </c>
      <c r="AJ129" s="67"/>
      <c r="AK129" s="67"/>
      <c r="AL129" s="67"/>
    </row>
    <row r="130" spans="1:38" ht="12.75" customHeight="1" x14ac:dyDescent="0.3">
      <c r="A130" s="61">
        <v>129</v>
      </c>
      <c r="B130" s="61">
        <v>28</v>
      </c>
      <c r="C130" s="61" t="s">
        <v>757</v>
      </c>
      <c r="D130" s="62" t="s">
        <v>25</v>
      </c>
      <c r="E130" s="62" t="s">
        <v>26</v>
      </c>
      <c r="F130" s="62" t="s">
        <v>33</v>
      </c>
      <c r="G130" s="62" t="s">
        <v>2</v>
      </c>
      <c r="H130" s="63">
        <v>1</v>
      </c>
      <c r="I130" s="61"/>
      <c r="J130" s="62">
        <v>1</v>
      </c>
      <c r="K130" s="62">
        <v>0</v>
      </c>
      <c r="L130" s="62">
        <f>18+38/60</f>
        <v>18.633333333333333</v>
      </c>
      <c r="M130" s="62">
        <v>1</v>
      </c>
      <c r="N130" s="62">
        <v>7</v>
      </c>
      <c r="O130" s="62">
        <v>1</v>
      </c>
      <c r="P130" s="62" t="s">
        <v>1309</v>
      </c>
      <c r="Q130" s="64">
        <f>(5*12+2)/12</f>
        <v>5.166666666666667</v>
      </c>
      <c r="R130" s="65">
        <f>(61-32)/61</f>
        <v>0.47540983606557374</v>
      </c>
      <c r="S130" s="66">
        <v>1.75</v>
      </c>
      <c r="T130" s="66">
        <v>1.1399999999999999</v>
      </c>
      <c r="U130" s="66">
        <v>3.02</v>
      </c>
      <c r="V130" s="66">
        <v>1.4</v>
      </c>
      <c r="W130" s="62">
        <v>61</v>
      </c>
      <c r="X130" s="62">
        <v>0</v>
      </c>
      <c r="Y130" s="62">
        <v>0</v>
      </c>
      <c r="Z130" s="62" t="s">
        <v>166</v>
      </c>
      <c r="AA130" s="62" t="s">
        <v>167</v>
      </c>
      <c r="AB130" s="62" t="s">
        <v>17</v>
      </c>
      <c r="AC130" s="62" t="s">
        <v>17</v>
      </c>
      <c r="AD130" s="61" t="s">
        <v>45</v>
      </c>
      <c r="AF130" s="4" t="s">
        <v>614</v>
      </c>
      <c r="AJ130" s="67"/>
      <c r="AK130" s="67"/>
      <c r="AL130" s="67"/>
    </row>
    <row r="131" spans="1:38" ht="12.75" customHeight="1" x14ac:dyDescent="0.3">
      <c r="A131" s="61">
        <v>130</v>
      </c>
      <c r="B131" s="61">
        <v>29</v>
      </c>
      <c r="C131" s="61" t="s">
        <v>815</v>
      </c>
      <c r="D131" s="62" t="s">
        <v>41</v>
      </c>
      <c r="E131" s="62" t="s">
        <v>26</v>
      </c>
      <c r="F131" s="62" t="s">
        <v>168</v>
      </c>
      <c r="G131" s="62" t="s">
        <v>2</v>
      </c>
      <c r="H131" s="63">
        <v>0</v>
      </c>
      <c r="I131" s="62" t="s">
        <v>169</v>
      </c>
      <c r="J131" s="62">
        <v>1</v>
      </c>
      <c r="K131" s="62">
        <v>0</v>
      </c>
      <c r="L131" s="62">
        <v>40</v>
      </c>
      <c r="M131" s="62">
        <v>1</v>
      </c>
      <c r="N131" s="62">
        <v>0</v>
      </c>
      <c r="O131" s="62">
        <v>1</v>
      </c>
      <c r="P131" s="62" t="s">
        <v>170</v>
      </c>
      <c r="Q131" s="64">
        <v>8.5299999999999994</v>
      </c>
      <c r="R131" s="65">
        <f>(38-13)/38</f>
        <v>0.65789473684210531</v>
      </c>
      <c r="S131" s="66">
        <f>AVERAGE(0, 0, 0, 0, 0.25, 0.25, 0.25, 0.25, 0.75, 0.75, 0.75, 0.75)</f>
        <v>0.33333333333333331</v>
      </c>
      <c r="T131" s="66">
        <f>STDEV(0, 0, 0, 0, 0.25, 0.25, 0.25, 0.25, 0.75, 0.75, 0.75, 0.75)</f>
        <v>0.3256694736394648</v>
      </c>
      <c r="U131" s="66">
        <f>AVERAGE(0, 0, 0, 0, 0.25, 0.25, 0.25, 0.75, 0.75, 0.75, 0.75, 1)</f>
        <v>0.39583333333333331</v>
      </c>
      <c r="V131" s="66">
        <f>STDEV(0, 0, 0, 0, 0.25, 0.25, 0.25, 0.75, 0.75, 0.75, 0.75, 1)</f>
        <v>0.37626050775622161</v>
      </c>
      <c r="W131" s="62">
        <v>12</v>
      </c>
      <c r="X131" s="62">
        <v>0</v>
      </c>
      <c r="Y131" s="62">
        <v>0</v>
      </c>
      <c r="Z131" s="62" t="s">
        <v>171</v>
      </c>
      <c r="AA131" s="62"/>
      <c r="AB131" s="62" t="s">
        <v>45</v>
      </c>
      <c r="AC131" s="62" t="s">
        <v>17</v>
      </c>
      <c r="AD131" s="61" t="s">
        <v>45</v>
      </c>
      <c r="AF131" s="4" t="s">
        <v>615</v>
      </c>
      <c r="AJ131" s="67"/>
      <c r="AK131" s="67"/>
      <c r="AL131" s="67"/>
    </row>
    <row r="132" spans="1:38" ht="12.75" customHeight="1" x14ac:dyDescent="0.3">
      <c r="A132" s="61">
        <v>131</v>
      </c>
      <c r="B132" s="61">
        <v>29</v>
      </c>
      <c r="C132" s="61" t="s">
        <v>815</v>
      </c>
      <c r="D132" s="62" t="s">
        <v>41</v>
      </c>
      <c r="E132" s="62" t="s">
        <v>26</v>
      </c>
      <c r="F132" s="62" t="s">
        <v>168</v>
      </c>
      <c r="G132" s="62" t="s">
        <v>2</v>
      </c>
      <c r="H132" s="63">
        <v>0</v>
      </c>
      <c r="I132" s="62" t="s">
        <v>172</v>
      </c>
      <c r="J132" s="62">
        <v>1</v>
      </c>
      <c r="K132" s="62">
        <v>0</v>
      </c>
      <c r="L132" s="62">
        <v>40</v>
      </c>
      <c r="M132" s="62">
        <v>1</v>
      </c>
      <c r="N132" s="62">
        <v>0</v>
      </c>
      <c r="O132" s="62">
        <v>1</v>
      </c>
      <c r="P132" s="62" t="s">
        <v>170</v>
      </c>
      <c r="Q132" s="64">
        <v>8.5299999999999994</v>
      </c>
      <c r="R132" s="65">
        <f>(38-13)/38</f>
        <v>0.65789473684210531</v>
      </c>
      <c r="S132" s="66">
        <f>AVERAGE(0, 0, 0, 0, 0, 0, 0, 0, 0, 0.25, 0.25, 0.5, 0.75, 0.75)</f>
        <v>0.17857142857142858</v>
      </c>
      <c r="T132" s="66">
        <f>STDEV(0, 0, 0, 0, 0, 0, 0, 0, 0, 0.25, 0.25, 0.5, 0.75, 0.75)</f>
        <v>0.28468220183909643</v>
      </c>
      <c r="U132" s="66">
        <f>AVERAGE(0,0,0.25,0.5,0.5,0.5,0.5,0.5,0.75,0.75,0.75,0.75,1,1)</f>
        <v>0.5535714285714286</v>
      </c>
      <c r="V132" s="66">
        <f>STDEV(0,0,0.25,0.5,0.5,0.5,0.5,0.5,0.75,0.75,0.75,0.75,1,1)</f>
        <v>0.3128432181155269</v>
      </c>
      <c r="W132" s="62">
        <v>14</v>
      </c>
      <c r="X132" s="62">
        <v>0</v>
      </c>
      <c r="Y132" s="62">
        <v>0</v>
      </c>
      <c r="Z132" s="62" t="s">
        <v>171</v>
      </c>
      <c r="AA132" s="62"/>
      <c r="AB132" s="62" t="s">
        <v>45</v>
      </c>
      <c r="AC132" s="62" t="s">
        <v>17</v>
      </c>
      <c r="AD132" s="61" t="s">
        <v>45</v>
      </c>
      <c r="AF132" s="4" t="s">
        <v>615</v>
      </c>
      <c r="AJ132" s="67"/>
      <c r="AK132" s="67"/>
      <c r="AL132" s="67"/>
    </row>
    <row r="133" spans="1:38" ht="12.75" customHeight="1" x14ac:dyDescent="0.3">
      <c r="A133" s="61">
        <v>132</v>
      </c>
      <c r="B133" s="61">
        <v>29</v>
      </c>
      <c r="C133" s="61" t="s">
        <v>815</v>
      </c>
      <c r="D133" s="62" t="s">
        <v>41</v>
      </c>
      <c r="E133" s="62" t="s">
        <v>26</v>
      </c>
      <c r="F133" s="62" t="s">
        <v>168</v>
      </c>
      <c r="G133" s="62" t="s">
        <v>2</v>
      </c>
      <c r="H133" s="63">
        <v>0</v>
      </c>
      <c r="I133" s="62" t="s">
        <v>173</v>
      </c>
      <c r="J133" s="62">
        <v>1</v>
      </c>
      <c r="K133" s="62">
        <v>0</v>
      </c>
      <c r="L133" s="62">
        <v>40</v>
      </c>
      <c r="M133" s="62">
        <v>1</v>
      </c>
      <c r="N133" s="62">
        <v>0</v>
      </c>
      <c r="O133" s="62">
        <v>1</v>
      </c>
      <c r="P133" s="62" t="s">
        <v>170</v>
      </c>
      <c r="Q133" s="64">
        <v>8.5299999999999994</v>
      </c>
      <c r="R133" s="65">
        <f>(38-13)/38</f>
        <v>0.65789473684210531</v>
      </c>
      <c r="S133" s="66">
        <f>AVERAGE(0, 0, 0, 0.25, 0.25, 0.25, 0.25, 0.25, 0.25, 0.25, 0.5, 0.5, 0.5)</f>
        <v>0.25</v>
      </c>
      <c r="T133" s="66">
        <f>STDEV(0, 0, 0, 0.25, 0.25, 0.25, 0.25, 0.25, 0.25, 0.25, 0.5, 0.5, 0.5)</f>
        <v>0.17677669529663689</v>
      </c>
      <c r="U133" s="66">
        <f>AVERAGE(0,0,0.25,0.25,0.25, 0.5,0.5,0.75,0.75,0.75,1,1,)</f>
        <v>0.46153846153846156</v>
      </c>
      <c r="V133" s="66">
        <f>STDEV(0,0,0.25,0.25,0.25, 0.5,0.5,0.75,0.75,0.75,1,1,)</f>
        <v>0.36580609968137839</v>
      </c>
      <c r="W133" s="62">
        <v>12</v>
      </c>
      <c r="X133" s="62">
        <v>0</v>
      </c>
      <c r="Y133" s="62">
        <v>0</v>
      </c>
      <c r="Z133" s="62" t="s">
        <v>171</v>
      </c>
      <c r="AA133" s="62"/>
      <c r="AB133" s="62" t="s">
        <v>45</v>
      </c>
      <c r="AC133" s="62" t="s">
        <v>17</v>
      </c>
      <c r="AD133" s="61" t="s">
        <v>45</v>
      </c>
      <c r="AF133" s="4" t="s">
        <v>615</v>
      </c>
      <c r="AJ133" s="67"/>
      <c r="AK133" s="67"/>
      <c r="AL133" s="67"/>
    </row>
    <row r="134" spans="1:38" ht="12.75" customHeight="1" x14ac:dyDescent="0.3">
      <c r="A134" s="61">
        <v>133</v>
      </c>
      <c r="B134" s="61">
        <v>30</v>
      </c>
      <c r="C134" s="61" t="s">
        <v>807</v>
      </c>
      <c r="D134" s="62" t="s">
        <v>25</v>
      </c>
      <c r="E134" s="62" t="s">
        <v>26</v>
      </c>
      <c r="F134" s="62" t="s">
        <v>33</v>
      </c>
      <c r="G134" s="62" t="s">
        <v>2</v>
      </c>
      <c r="H134" s="63">
        <v>1</v>
      </c>
      <c r="I134" s="62" t="s">
        <v>174</v>
      </c>
      <c r="J134" s="62">
        <v>1</v>
      </c>
      <c r="K134" s="62">
        <v>0</v>
      </c>
      <c r="L134" s="62" t="s">
        <v>28</v>
      </c>
      <c r="M134" s="62">
        <v>1</v>
      </c>
      <c r="N134" s="62">
        <v>0</v>
      </c>
      <c r="O134" s="62">
        <v>2</v>
      </c>
      <c r="P134" s="62" t="s">
        <v>175</v>
      </c>
      <c r="Q134" s="64">
        <v>10.4</v>
      </c>
      <c r="R134" s="65">
        <f>5/16</f>
        <v>0.3125</v>
      </c>
      <c r="S134" s="66">
        <v>15.4</v>
      </c>
      <c r="T134" s="66">
        <v>1.7647338930000001</v>
      </c>
      <c r="U134" s="66">
        <v>17</v>
      </c>
      <c r="V134" s="66">
        <v>2.2677868380000001</v>
      </c>
      <c r="W134" s="62">
        <v>15</v>
      </c>
      <c r="X134" s="62">
        <v>0</v>
      </c>
      <c r="Y134" s="62">
        <v>0</v>
      </c>
      <c r="Z134" s="62" t="s">
        <v>176</v>
      </c>
      <c r="AA134" s="62"/>
      <c r="AB134" s="62" t="s">
        <v>17</v>
      </c>
      <c r="AC134" s="62" t="s">
        <v>17</v>
      </c>
      <c r="AD134" s="61" t="s">
        <v>17</v>
      </c>
      <c r="AF134" s="4" t="s">
        <v>616</v>
      </c>
      <c r="AJ134" s="67"/>
      <c r="AK134" s="67"/>
      <c r="AL134" s="67"/>
    </row>
    <row r="135" spans="1:38" ht="12.75" customHeight="1" x14ac:dyDescent="0.3">
      <c r="A135" s="61">
        <v>134</v>
      </c>
      <c r="B135" s="61">
        <v>30</v>
      </c>
      <c r="C135" s="61" t="s">
        <v>807</v>
      </c>
      <c r="D135" s="62" t="s">
        <v>25</v>
      </c>
      <c r="E135" s="62" t="s">
        <v>26</v>
      </c>
      <c r="F135" s="62" t="s">
        <v>33</v>
      </c>
      <c r="G135" s="62" t="s">
        <v>2</v>
      </c>
      <c r="H135" s="63">
        <v>1</v>
      </c>
      <c r="I135" s="62" t="s">
        <v>177</v>
      </c>
      <c r="J135" s="62">
        <v>1</v>
      </c>
      <c r="K135" s="62">
        <v>0</v>
      </c>
      <c r="L135" s="62" t="s">
        <v>28</v>
      </c>
      <c r="M135" s="62">
        <v>1</v>
      </c>
      <c r="N135" s="62">
        <v>0</v>
      </c>
      <c r="O135" s="62">
        <v>2</v>
      </c>
      <c r="P135" s="62" t="s">
        <v>175</v>
      </c>
      <c r="Q135" s="64">
        <v>10.3</v>
      </c>
      <c r="R135" s="65">
        <f>5/16</f>
        <v>0.3125</v>
      </c>
      <c r="S135" s="66">
        <v>15.866666670000001</v>
      </c>
      <c r="T135" s="66">
        <v>2.133630932</v>
      </c>
      <c r="U135" s="66">
        <v>18.06666667</v>
      </c>
      <c r="V135" s="66">
        <v>1.2798809470000001</v>
      </c>
      <c r="W135" s="62">
        <v>15</v>
      </c>
      <c r="X135" s="62">
        <v>0</v>
      </c>
      <c r="Y135" s="62">
        <v>0</v>
      </c>
      <c r="Z135" s="62" t="s">
        <v>176</v>
      </c>
      <c r="AA135" s="62"/>
      <c r="AB135" s="62" t="s">
        <v>17</v>
      </c>
      <c r="AC135" s="62" t="s">
        <v>17</v>
      </c>
      <c r="AD135" s="61" t="s">
        <v>17</v>
      </c>
      <c r="AF135" s="4" t="s">
        <v>616</v>
      </c>
      <c r="AJ135" s="67"/>
      <c r="AK135" s="67"/>
      <c r="AL135" s="67"/>
    </row>
    <row r="136" spans="1:38" ht="12.75" customHeight="1" x14ac:dyDescent="0.3">
      <c r="A136" s="61">
        <v>135</v>
      </c>
      <c r="B136" s="61">
        <v>31</v>
      </c>
      <c r="C136" s="61" t="s">
        <v>802</v>
      </c>
      <c r="D136" s="62" t="s">
        <v>41</v>
      </c>
      <c r="E136" s="62" t="s">
        <v>26</v>
      </c>
      <c r="F136" s="62" t="s">
        <v>178</v>
      </c>
      <c r="G136" s="62" t="s">
        <v>2</v>
      </c>
      <c r="H136" s="63">
        <v>0</v>
      </c>
      <c r="I136" s="62" t="s">
        <v>179</v>
      </c>
      <c r="J136" s="62">
        <v>1</v>
      </c>
      <c r="K136" s="62">
        <v>0</v>
      </c>
      <c r="L136" s="62">
        <v>30</v>
      </c>
      <c r="M136" s="62">
        <v>1</v>
      </c>
      <c r="N136" s="62">
        <v>0</v>
      </c>
      <c r="O136" s="62">
        <v>2</v>
      </c>
      <c r="P136" s="62" t="s">
        <v>180</v>
      </c>
      <c r="Q136" s="64">
        <v>13.1</v>
      </c>
      <c r="R136" s="65">
        <f>7/16</f>
        <v>0.4375</v>
      </c>
      <c r="S136" s="66">
        <v>0.28000000000000003</v>
      </c>
      <c r="T136" s="66">
        <v>0.19</v>
      </c>
      <c r="U136" s="66">
        <v>0.36</v>
      </c>
      <c r="V136" s="66">
        <v>0.25</v>
      </c>
      <c r="W136" s="62">
        <v>15</v>
      </c>
      <c r="X136" s="62">
        <v>0</v>
      </c>
      <c r="Y136" s="62">
        <v>0</v>
      </c>
      <c r="Z136" s="62" t="s">
        <v>721</v>
      </c>
      <c r="AA136" s="62"/>
      <c r="AB136" s="62" t="s">
        <v>17</v>
      </c>
      <c r="AC136" s="62" t="s">
        <v>17</v>
      </c>
      <c r="AD136" s="61" t="s">
        <v>45</v>
      </c>
      <c r="AF136" s="4" t="s">
        <v>698</v>
      </c>
      <c r="AJ136" s="67"/>
      <c r="AK136" s="67"/>
      <c r="AL136" s="67"/>
    </row>
    <row r="137" spans="1:38" ht="12.75" customHeight="1" x14ac:dyDescent="0.3">
      <c r="A137" s="61">
        <v>136</v>
      </c>
      <c r="B137" s="61">
        <v>31</v>
      </c>
      <c r="C137" s="61" t="s">
        <v>802</v>
      </c>
      <c r="D137" s="62" t="s">
        <v>41</v>
      </c>
      <c r="E137" s="62" t="s">
        <v>26</v>
      </c>
      <c r="F137" s="62" t="s">
        <v>178</v>
      </c>
      <c r="G137" s="62" t="s">
        <v>2</v>
      </c>
      <c r="H137" s="63">
        <v>0</v>
      </c>
      <c r="I137" s="62" t="s">
        <v>181</v>
      </c>
      <c r="J137" s="62">
        <v>1</v>
      </c>
      <c r="K137" s="62">
        <v>0</v>
      </c>
      <c r="L137" s="62">
        <v>30</v>
      </c>
      <c r="M137" s="62">
        <v>1</v>
      </c>
      <c r="N137" s="62">
        <v>0</v>
      </c>
      <c r="O137" s="62">
        <v>2</v>
      </c>
      <c r="P137" s="62" t="s">
        <v>180</v>
      </c>
      <c r="Q137" s="64">
        <v>13.1</v>
      </c>
      <c r="R137" s="65">
        <f>7/16</f>
        <v>0.4375</v>
      </c>
      <c r="S137" s="66">
        <v>0.28999999999999998</v>
      </c>
      <c r="T137" s="66">
        <v>0.19</v>
      </c>
      <c r="U137" s="66">
        <v>0.53</v>
      </c>
      <c r="V137" s="66">
        <v>0.22</v>
      </c>
      <c r="W137" s="62">
        <v>16</v>
      </c>
      <c r="X137" s="62">
        <v>0</v>
      </c>
      <c r="Y137" s="62">
        <v>0</v>
      </c>
      <c r="Z137" s="62" t="s">
        <v>721</v>
      </c>
      <c r="AA137" s="62"/>
      <c r="AB137" s="62" t="s">
        <v>17</v>
      </c>
      <c r="AC137" s="62" t="s">
        <v>17</v>
      </c>
      <c r="AD137" s="61" t="s">
        <v>45</v>
      </c>
      <c r="AF137" s="4" t="s">
        <v>698</v>
      </c>
      <c r="AJ137" s="67"/>
      <c r="AK137" s="67"/>
      <c r="AL137" s="67"/>
    </row>
    <row r="138" spans="1:38" ht="12.75" customHeight="1" x14ac:dyDescent="0.3">
      <c r="A138" s="61">
        <v>137</v>
      </c>
      <c r="B138" s="61">
        <v>31</v>
      </c>
      <c r="C138" s="61" t="s">
        <v>802</v>
      </c>
      <c r="D138" s="62" t="s">
        <v>41</v>
      </c>
      <c r="E138" s="62" t="s">
        <v>26</v>
      </c>
      <c r="F138" s="62" t="s">
        <v>178</v>
      </c>
      <c r="G138" s="62" t="s">
        <v>2</v>
      </c>
      <c r="H138" s="63">
        <v>0</v>
      </c>
      <c r="I138" s="62" t="s">
        <v>182</v>
      </c>
      <c r="J138" s="62">
        <v>1</v>
      </c>
      <c r="K138" s="62">
        <v>0</v>
      </c>
      <c r="L138" s="62">
        <v>30</v>
      </c>
      <c r="M138" s="62">
        <v>1</v>
      </c>
      <c r="N138" s="62">
        <v>0</v>
      </c>
      <c r="O138" s="62">
        <v>2</v>
      </c>
      <c r="P138" s="62" t="s">
        <v>183</v>
      </c>
      <c r="Q138" s="64">
        <v>13.1</v>
      </c>
      <c r="R138" s="65">
        <f>8/16</f>
        <v>0.5</v>
      </c>
      <c r="S138" s="66">
        <v>0.48</v>
      </c>
      <c r="T138" s="66">
        <v>0.18</v>
      </c>
      <c r="U138" s="66">
        <v>0.63</v>
      </c>
      <c r="V138" s="66">
        <v>0.16</v>
      </c>
      <c r="W138" s="62">
        <v>15</v>
      </c>
      <c r="X138" s="62">
        <v>0</v>
      </c>
      <c r="Y138" s="62">
        <v>0</v>
      </c>
      <c r="Z138" s="62" t="s">
        <v>721</v>
      </c>
      <c r="AA138" s="62"/>
      <c r="AB138" s="62" t="s">
        <v>17</v>
      </c>
      <c r="AC138" s="62" t="s">
        <v>17</v>
      </c>
      <c r="AD138" s="61" t="s">
        <v>45</v>
      </c>
      <c r="AF138" s="4" t="s">
        <v>698</v>
      </c>
      <c r="AJ138" s="67"/>
      <c r="AK138" s="67"/>
      <c r="AL138" s="67"/>
    </row>
    <row r="139" spans="1:38" ht="12.75" customHeight="1" x14ac:dyDescent="0.3">
      <c r="A139" s="61">
        <v>138</v>
      </c>
      <c r="B139" s="61">
        <v>32</v>
      </c>
      <c r="C139" s="61" t="s">
        <v>785</v>
      </c>
      <c r="D139" s="62" t="s">
        <v>47</v>
      </c>
      <c r="E139" s="62" t="s">
        <v>26</v>
      </c>
      <c r="F139" s="62" t="s">
        <v>48</v>
      </c>
      <c r="G139" s="62" t="s">
        <v>2</v>
      </c>
      <c r="H139" s="63">
        <v>1</v>
      </c>
      <c r="I139" s="62" t="s">
        <v>184</v>
      </c>
      <c r="J139" s="62">
        <v>1</v>
      </c>
      <c r="K139" s="62">
        <v>0</v>
      </c>
      <c r="L139" s="70">
        <f>14+19/60</f>
        <v>14.316666666666666</v>
      </c>
      <c r="M139" s="62">
        <v>1</v>
      </c>
      <c r="N139" s="62">
        <v>0</v>
      </c>
      <c r="O139" s="62">
        <v>2</v>
      </c>
      <c r="P139" s="62" t="s">
        <v>1312</v>
      </c>
      <c r="Q139" s="64">
        <v>8.74</v>
      </c>
      <c r="R139" s="65">
        <f>4/11</f>
        <v>0.36363636363636365</v>
      </c>
      <c r="S139" s="66">
        <v>5.09</v>
      </c>
      <c r="T139" s="66">
        <f>0.744259000600164*(6.75-3.43)</f>
        <v>2.4709398819925443</v>
      </c>
      <c r="U139" s="66">
        <v>7</v>
      </c>
      <c r="V139" s="66">
        <f>0.744259000600164*(9.12-4.88)</f>
        <v>3.1556581625446949</v>
      </c>
      <c r="W139" s="62">
        <v>11</v>
      </c>
      <c r="X139" s="62">
        <v>0</v>
      </c>
      <c r="Y139" s="62">
        <v>0</v>
      </c>
      <c r="Z139" s="62" t="s">
        <v>185</v>
      </c>
      <c r="AA139" s="62"/>
      <c r="AB139" s="62" t="s">
        <v>45</v>
      </c>
      <c r="AC139" s="62" t="s">
        <v>17</v>
      </c>
      <c r="AD139" s="61" t="s">
        <v>45</v>
      </c>
      <c r="AF139" s="4" t="s">
        <v>617</v>
      </c>
      <c r="AJ139" s="67"/>
      <c r="AK139" s="67"/>
      <c r="AL139" s="67"/>
    </row>
    <row r="140" spans="1:38" ht="12.75" customHeight="1" x14ac:dyDescent="0.3">
      <c r="A140" s="61">
        <v>139</v>
      </c>
      <c r="B140" s="61">
        <v>32</v>
      </c>
      <c r="C140" s="61" t="s">
        <v>785</v>
      </c>
      <c r="D140" s="62" t="s">
        <v>47</v>
      </c>
      <c r="E140" s="62" t="s">
        <v>26</v>
      </c>
      <c r="F140" s="62" t="s">
        <v>48</v>
      </c>
      <c r="G140" s="62" t="s">
        <v>2</v>
      </c>
      <c r="H140" s="63">
        <v>1</v>
      </c>
      <c r="I140" s="62" t="s">
        <v>186</v>
      </c>
      <c r="J140" s="62">
        <v>1</v>
      </c>
      <c r="K140" s="62">
        <v>0</v>
      </c>
      <c r="L140" s="70">
        <f>14+19/60</f>
        <v>14.316666666666666</v>
      </c>
      <c r="M140" s="62">
        <v>1</v>
      </c>
      <c r="N140" s="62">
        <v>0</v>
      </c>
      <c r="O140" s="62">
        <v>2</v>
      </c>
      <c r="P140" s="62" t="s">
        <v>1312</v>
      </c>
      <c r="Q140" s="64">
        <v>8.74</v>
      </c>
      <c r="R140" s="65">
        <f>3/12</f>
        <v>0.25</v>
      </c>
      <c r="S140" s="66">
        <v>7.08</v>
      </c>
      <c r="T140" s="66">
        <f>0.786943428322235*(9.15-5.01)</f>
        <v>3.257945793254053</v>
      </c>
      <c r="U140" s="66">
        <v>8</v>
      </c>
      <c r="V140" s="66">
        <f>0.786943428322235*(9.76-6.24)</f>
        <v>2.7700408676942669</v>
      </c>
      <c r="W140" s="62">
        <v>12</v>
      </c>
      <c r="X140" s="62">
        <v>0</v>
      </c>
      <c r="Y140" s="62">
        <v>0</v>
      </c>
      <c r="Z140" s="62" t="s">
        <v>185</v>
      </c>
      <c r="AA140" s="61"/>
      <c r="AB140" s="62" t="s">
        <v>45</v>
      </c>
      <c r="AC140" s="62" t="s">
        <v>17</v>
      </c>
      <c r="AD140" s="61" t="s">
        <v>45</v>
      </c>
      <c r="AF140" s="4" t="s">
        <v>617</v>
      </c>
    </row>
    <row r="141" spans="1:38" ht="12.75" customHeight="1" x14ac:dyDescent="0.3">
      <c r="A141" s="61">
        <v>140</v>
      </c>
      <c r="B141" s="61">
        <v>33</v>
      </c>
      <c r="C141" s="61" t="s">
        <v>774</v>
      </c>
      <c r="D141" s="62" t="s">
        <v>187</v>
      </c>
      <c r="E141" s="62" t="s">
        <v>32</v>
      </c>
      <c r="F141" s="62" t="s">
        <v>188</v>
      </c>
      <c r="G141" s="62" t="s">
        <v>64</v>
      </c>
      <c r="H141" s="63">
        <v>0</v>
      </c>
      <c r="I141" s="62"/>
      <c r="J141" s="62">
        <v>1</v>
      </c>
      <c r="K141" s="62">
        <v>0</v>
      </c>
      <c r="L141" s="62">
        <v>20</v>
      </c>
      <c r="M141" s="62">
        <v>4</v>
      </c>
      <c r="N141" s="62">
        <v>7</v>
      </c>
      <c r="O141" s="62">
        <v>2</v>
      </c>
      <c r="P141" s="62" t="s">
        <v>189</v>
      </c>
      <c r="Q141" s="64">
        <f>49.41/12</f>
        <v>4.1174999999999997</v>
      </c>
      <c r="R141" s="65">
        <f t="shared" ref="R141:R148" si="7">9/17</f>
        <v>0.52941176470588236</v>
      </c>
      <c r="S141" s="66">
        <v>1.86</v>
      </c>
      <c r="T141" s="66">
        <v>0.99</v>
      </c>
      <c r="U141" s="66">
        <v>1.86</v>
      </c>
      <c r="V141" s="66">
        <v>0.54</v>
      </c>
      <c r="W141" s="62">
        <v>17</v>
      </c>
      <c r="X141" s="62">
        <v>0</v>
      </c>
      <c r="Y141" s="62">
        <v>0</v>
      </c>
      <c r="Z141" s="62" t="s">
        <v>190</v>
      </c>
      <c r="AA141" s="62" t="s">
        <v>1320</v>
      </c>
      <c r="AB141" s="62" t="s">
        <v>45</v>
      </c>
      <c r="AC141" s="62" t="s">
        <v>45</v>
      </c>
      <c r="AD141" s="61" t="s">
        <v>45</v>
      </c>
      <c r="AF141" s="4" t="s">
        <v>618</v>
      </c>
    </row>
    <row r="142" spans="1:38" ht="12.75" customHeight="1" x14ac:dyDescent="0.3">
      <c r="A142" s="61">
        <v>141</v>
      </c>
      <c r="B142" s="61">
        <v>33</v>
      </c>
      <c r="C142" s="61" t="s">
        <v>774</v>
      </c>
      <c r="D142" s="62" t="s">
        <v>187</v>
      </c>
      <c r="E142" s="62" t="s">
        <v>32</v>
      </c>
      <c r="F142" s="62" t="s">
        <v>188</v>
      </c>
      <c r="G142" s="62" t="s">
        <v>64</v>
      </c>
      <c r="H142" s="63">
        <v>0</v>
      </c>
      <c r="I142" s="62"/>
      <c r="J142" s="62">
        <v>1</v>
      </c>
      <c r="K142" s="62">
        <v>0</v>
      </c>
      <c r="L142" s="62">
        <v>20</v>
      </c>
      <c r="M142" s="62">
        <v>4</v>
      </c>
      <c r="N142" s="62">
        <v>7</v>
      </c>
      <c r="O142" s="62">
        <v>2</v>
      </c>
      <c r="P142" s="62" t="s">
        <v>191</v>
      </c>
      <c r="Q142" s="64">
        <f>49.41/12</f>
        <v>4.1174999999999997</v>
      </c>
      <c r="R142" s="65">
        <f t="shared" si="7"/>
        <v>0.52941176470588236</v>
      </c>
      <c r="S142" s="66">
        <v>1.28</v>
      </c>
      <c r="T142" s="66">
        <v>0.96</v>
      </c>
      <c r="U142" s="66">
        <v>1.31</v>
      </c>
      <c r="V142" s="66">
        <v>1.28</v>
      </c>
      <c r="W142" s="62">
        <v>17</v>
      </c>
      <c r="X142" s="62">
        <v>0</v>
      </c>
      <c r="Y142" s="62">
        <v>0</v>
      </c>
      <c r="Z142" s="62" t="s">
        <v>192</v>
      </c>
      <c r="AA142" s="62"/>
      <c r="AB142" s="62" t="s">
        <v>45</v>
      </c>
      <c r="AC142" s="62" t="s">
        <v>45</v>
      </c>
      <c r="AD142" s="61" t="s">
        <v>45</v>
      </c>
      <c r="AF142" s="4" t="s">
        <v>618</v>
      </c>
    </row>
    <row r="143" spans="1:38" ht="12.75" customHeight="1" x14ac:dyDescent="0.3">
      <c r="A143" s="61">
        <v>142</v>
      </c>
      <c r="B143" s="61">
        <v>33</v>
      </c>
      <c r="C143" s="61" t="s">
        <v>774</v>
      </c>
      <c r="D143" s="62" t="s">
        <v>187</v>
      </c>
      <c r="E143" s="62" t="s">
        <v>32</v>
      </c>
      <c r="F143" s="62" t="s">
        <v>188</v>
      </c>
      <c r="G143" s="62" t="s">
        <v>64</v>
      </c>
      <c r="H143" s="63">
        <v>0</v>
      </c>
      <c r="I143" s="62"/>
      <c r="J143" s="62">
        <v>1</v>
      </c>
      <c r="K143" s="62">
        <v>0</v>
      </c>
      <c r="L143" s="62">
        <v>20</v>
      </c>
      <c r="M143" s="62">
        <v>4</v>
      </c>
      <c r="N143" s="62">
        <v>7</v>
      </c>
      <c r="O143" s="62">
        <v>2</v>
      </c>
      <c r="P143" s="62" t="s">
        <v>702</v>
      </c>
      <c r="Q143" s="64">
        <f>49.41/12</f>
        <v>4.1174999999999997</v>
      </c>
      <c r="R143" s="65">
        <f t="shared" si="7"/>
        <v>0.52941176470588236</v>
      </c>
      <c r="S143" s="66">
        <v>4.38</v>
      </c>
      <c r="T143" s="66">
        <v>0.38</v>
      </c>
      <c r="U143" s="66">
        <v>5</v>
      </c>
      <c r="V143" s="66">
        <v>0.64</v>
      </c>
      <c r="W143" s="62">
        <v>17</v>
      </c>
      <c r="X143" s="62">
        <v>0</v>
      </c>
      <c r="Y143" s="62">
        <v>0</v>
      </c>
      <c r="Z143" s="62" t="s">
        <v>193</v>
      </c>
      <c r="AA143" s="62"/>
      <c r="AB143" s="62" t="s">
        <v>45</v>
      </c>
      <c r="AC143" s="62" t="s">
        <v>45</v>
      </c>
      <c r="AD143" s="61" t="s">
        <v>45</v>
      </c>
      <c r="AF143" s="4" t="s">
        <v>618</v>
      </c>
    </row>
    <row r="144" spans="1:38" ht="12.75" customHeight="1" x14ac:dyDescent="0.3">
      <c r="A144" s="61">
        <v>143</v>
      </c>
      <c r="B144" s="61">
        <v>33</v>
      </c>
      <c r="C144" s="61" t="s">
        <v>774</v>
      </c>
      <c r="D144" s="62" t="s">
        <v>187</v>
      </c>
      <c r="E144" s="62" t="s">
        <v>32</v>
      </c>
      <c r="F144" s="62" t="s">
        <v>188</v>
      </c>
      <c r="G144" s="62" t="s">
        <v>64</v>
      </c>
      <c r="H144" s="63">
        <v>0</v>
      </c>
      <c r="I144" s="62"/>
      <c r="J144" s="62">
        <v>1</v>
      </c>
      <c r="K144" s="62">
        <v>0</v>
      </c>
      <c r="L144" s="62">
        <v>20</v>
      </c>
      <c r="M144" s="62">
        <v>4</v>
      </c>
      <c r="N144" s="62">
        <v>7</v>
      </c>
      <c r="O144" s="62">
        <v>2</v>
      </c>
      <c r="P144" s="62" t="s">
        <v>194</v>
      </c>
      <c r="Q144" s="64">
        <f>49.41/12</f>
        <v>4.1174999999999997</v>
      </c>
      <c r="R144" s="65">
        <f t="shared" si="7"/>
        <v>0.52941176470588236</v>
      </c>
      <c r="S144" s="66">
        <v>2.4700000000000002</v>
      </c>
      <c r="T144" s="66">
        <v>2.72</v>
      </c>
      <c r="U144" s="66">
        <v>3.76</v>
      </c>
      <c r="V144" s="66">
        <v>4.5199999999999996</v>
      </c>
      <c r="W144" s="62">
        <v>17</v>
      </c>
      <c r="X144" s="62">
        <v>0</v>
      </c>
      <c r="Y144" s="62">
        <v>0</v>
      </c>
      <c r="Z144" s="62" t="s">
        <v>195</v>
      </c>
      <c r="AA144" s="62"/>
      <c r="AB144" s="62" t="s">
        <v>45</v>
      </c>
      <c r="AC144" s="62" t="s">
        <v>45</v>
      </c>
      <c r="AD144" s="61" t="s">
        <v>45</v>
      </c>
      <c r="AF144" s="4" t="s">
        <v>618</v>
      </c>
    </row>
    <row r="145" spans="1:32" ht="12.75" customHeight="1" x14ac:dyDescent="0.3">
      <c r="A145" s="61">
        <v>144</v>
      </c>
      <c r="B145" s="61">
        <v>33</v>
      </c>
      <c r="C145" s="61" t="s">
        <v>774</v>
      </c>
      <c r="D145" s="62" t="s">
        <v>187</v>
      </c>
      <c r="E145" s="62" t="s">
        <v>196</v>
      </c>
      <c r="F145" s="62" t="s">
        <v>188</v>
      </c>
      <c r="G145" s="62" t="s">
        <v>2</v>
      </c>
      <c r="H145" s="63">
        <v>0</v>
      </c>
      <c r="I145" s="62"/>
      <c r="J145" s="62">
        <v>1</v>
      </c>
      <c r="K145" s="62">
        <v>0</v>
      </c>
      <c r="L145" s="62">
        <f>4*25</f>
        <v>100</v>
      </c>
      <c r="M145" s="62">
        <v>4</v>
      </c>
      <c r="N145" s="62">
        <v>7</v>
      </c>
      <c r="O145" s="62">
        <v>2</v>
      </c>
      <c r="P145" s="62" t="s">
        <v>189</v>
      </c>
      <c r="Q145" s="64">
        <f>50.18/12</f>
        <v>4.1816666666666666</v>
      </c>
      <c r="R145" s="65">
        <f t="shared" si="7"/>
        <v>0.52941176470588236</v>
      </c>
      <c r="S145" s="66">
        <v>1.39</v>
      </c>
      <c r="T145" s="66">
        <v>0.78</v>
      </c>
      <c r="U145" s="66">
        <v>2.4700000000000002</v>
      </c>
      <c r="V145" s="66">
        <v>0.86</v>
      </c>
      <c r="W145" s="62">
        <v>17</v>
      </c>
      <c r="X145" s="62">
        <v>0</v>
      </c>
      <c r="Y145" s="62">
        <v>0</v>
      </c>
      <c r="Z145" s="62" t="s">
        <v>190</v>
      </c>
      <c r="AA145" s="62"/>
      <c r="AB145" s="62" t="s">
        <v>45</v>
      </c>
      <c r="AC145" s="62" t="s">
        <v>45</v>
      </c>
      <c r="AD145" s="61" t="s">
        <v>45</v>
      </c>
      <c r="AF145" s="4" t="s">
        <v>618</v>
      </c>
    </row>
    <row r="146" spans="1:32" ht="12.75" customHeight="1" x14ac:dyDescent="0.3">
      <c r="A146" s="61">
        <v>145</v>
      </c>
      <c r="B146" s="61">
        <v>33</v>
      </c>
      <c r="C146" s="61" t="s">
        <v>774</v>
      </c>
      <c r="D146" s="62" t="s">
        <v>187</v>
      </c>
      <c r="E146" s="62" t="s">
        <v>196</v>
      </c>
      <c r="F146" s="62" t="s">
        <v>188</v>
      </c>
      <c r="G146" s="62" t="s">
        <v>2</v>
      </c>
      <c r="H146" s="63">
        <v>0</v>
      </c>
      <c r="I146" s="62"/>
      <c r="J146" s="62">
        <v>1</v>
      </c>
      <c r="K146" s="62">
        <v>0</v>
      </c>
      <c r="L146" s="62">
        <f>4*25</f>
        <v>100</v>
      </c>
      <c r="M146" s="62">
        <v>4</v>
      </c>
      <c r="N146" s="62">
        <v>7</v>
      </c>
      <c r="O146" s="62">
        <v>2</v>
      </c>
      <c r="P146" s="62" t="s">
        <v>191</v>
      </c>
      <c r="Q146" s="64">
        <f>50.18/12</f>
        <v>4.1816666666666666</v>
      </c>
      <c r="R146" s="65">
        <f t="shared" si="7"/>
        <v>0.52941176470588236</v>
      </c>
      <c r="S146" s="66">
        <v>1.19</v>
      </c>
      <c r="T146" s="66">
        <v>0.9</v>
      </c>
      <c r="U146" s="66">
        <v>2.4700000000000002</v>
      </c>
      <c r="V146" s="66">
        <v>0.86</v>
      </c>
      <c r="W146" s="62">
        <v>17</v>
      </c>
      <c r="X146" s="62">
        <v>0</v>
      </c>
      <c r="Y146" s="62">
        <v>0</v>
      </c>
      <c r="Z146" s="62" t="s">
        <v>192</v>
      </c>
      <c r="AA146" s="62"/>
      <c r="AB146" s="62" t="s">
        <v>45</v>
      </c>
      <c r="AC146" s="62" t="s">
        <v>45</v>
      </c>
      <c r="AD146" s="61" t="s">
        <v>45</v>
      </c>
      <c r="AF146" s="4" t="s">
        <v>618</v>
      </c>
    </row>
    <row r="147" spans="1:32" ht="12.75" customHeight="1" x14ac:dyDescent="0.3">
      <c r="A147" s="61">
        <v>146</v>
      </c>
      <c r="B147" s="61">
        <v>33</v>
      </c>
      <c r="C147" s="61" t="s">
        <v>774</v>
      </c>
      <c r="D147" s="62" t="s">
        <v>187</v>
      </c>
      <c r="E147" s="62" t="s">
        <v>196</v>
      </c>
      <c r="F147" s="62" t="s">
        <v>188</v>
      </c>
      <c r="G147" s="62" t="s">
        <v>2</v>
      </c>
      <c r="H147" s="63">
        <v>0</v>
      </c>
      <c r="I147" s="62"/>
      <c r="J147" s="62">
        <v>1</v>
      </c>
      <c r="K147" s="62">
        <v>0</v>
      </c>
      <c r="L147" s="62">
        <f>4*25</f>
        <v>100</v>
      </c>
      <c r="M147" s="62">
        <v>4</v>
      </c>
      <c r="N147" s="62">
        <v>7</v>
      </c>
      <c r="O147" s="62">
        <v>2</v>
      </c>
      <c r="P147" s="62" t="s">
        <v>702</v>
      </c>
      <c r="Q147" s="64">
        <f>50.18/12</f>
        <v>4.1816666666666666</v>
      </c>
      <c r="R147" s="65">
        <f t="shared" si="7"/>
        <v>0.52941176470588236</v>
      </c>
      <c r="S147" s="66">
        <v>4.4400000000000004</v>
      </c>
      <c r="T147" s="66">
        <v>0.61</v>
      </c>
      <c r="U147" s="66">
        <v>5.2</v>
      </c>
      <c r="V147" s="66">
        <v>0.83</v>
      </c>
      <c r="W147" s="62">
        <v>17</v>
      </c>
      <c r="X147" s="62">
        <v>0</v>
      </c>
      <c r="Y147" s="62">
        <v>0</v>
      </c>
      <c r="Z147" s="62" t="s">
        <v>193</v>
      </c>
      <c r="AA147" s="62"/>
      <c r="AB147" s="62" t="s">
        <v>45</v>
      </c>
      <c r="AC147" s="62" t="s">
        <v>45</v>
      </c>
      <c r="AD147" s="61" t="s">
        <v>45</v>
      </c>
      <c r="AF147" s="4" t="s">
        <v>618</v>
      </c>
    </row>
    <row r="148" spans="1:32" ht="12.75" customHeight="1" x14ac:dyDescent="0.3">
      <c r="A148" s="61">
        <v>147</v>
      </c>
      <c r="B148" s="61">
        <v>33</v>
      </c>
      <c r="C148" s="61" t="s">
        <v>774</v>
      </c>
      <c r="D148" s="62" t="s">
        <v>187</v>
      </c>
      <c r="E148" s="62" t="s">
        <v>196</v>
      </c>
      <c r="F148" s="62" t="s">
        <v>188</v>
      </c>
      <c r="G148" s="62" t="s">
        <v>2</v>
      </c>
      <c r="H148" s="63">
        <v>0</v>
      </c>
      <c r="I148" s="62"/>
      <c r="J148" s="62">
        <v>1</v>
      </c>
      <c r="K148" s="62">
        <v>0</v>
      </c>
      <c r="L148" s="62">
        <f>4*25</f>
        <v>100</v>
      </c>
      <c r="M148" s="62">
        <v>4</v>
      </c>
      <c r="N148" s="62">
        <v>7</v>
      </c>
      <c r="O148" s="62">
        <v>2</v>
      </c>
      <c r="P148" s="62" t="s">
        <v>194</v>
      </c>
      <c r="Q148" s="64">
        <f>50.18/12</f>
        <v>4.1816666666666666</v>
      </c>
      <c r="R148" s="65">
        <f t="shared" si="7"/>
        <v>0.52941176470588236</v>
      </c>
      <c r="S148" s="66">
        <v>3.06</v>
      </c>
      <c r="T148" s="66">
        <v>3.54</v>
      </c>
      <c r="U148" s="66">
        <v>8.35</v>
      </c>
      <c r="V148" s="66">
        <v>5.92</v>
      </c>
      <c r="W148" s="62">
        <v>17</v>
      </c>
      <c r="X148" s="62">
        <v>0</v>
      </c>
      <c r="Y148" s="62">
        <v>0</v>
      </c>
      <c r="Z148" s="62" t="s">
        <v>195</v>
      </c>
      <c r="AA148" s="62"/>
      <c r="AB148" s="62" t="s">
        <v>45</v>
      </c>
      <c r="AC148" s="62" t="s">
        <v>45</v>
      </c>
      <c r="AD148" s="61" t="s">
        <v>45</v>
      </c>
      <c r="AF148" s="4" t="s">
        <v>618</v>
      </c>
    </row>
    <row r="149" spans="1:32" ht="12.75" customHeight="1" x14ac:dyDescent="0.3">
      <c r="A149" s="61">
        <v>148</v>
      </c>
      <c r="B149" s="61">
        <v>34</v>
      </c>
      <c r="C149" s="61" t="s">
        <v>781</v>
      </c>
      <c r="D149" s="62" t="s">
        <v>47</v>
      </c>
      <c r="E149" s="62" t="s">
        <v>32</v>
      </c>
      <c r="F149" s="62" t="s">
        <v>197</v>
      </c>
      <c r="G149" s="62" t="s">
        <v>64</v>
      </c>
      <c r="H149" s="63">
        <v>1</v>
      </c>
      <c r="I149" s="62"/>
      <c r="J149" s="62">
        <v>1</v>
      </c>
      <c r="K149" s="62">
        <v>0</v>
      </c>
      <c r="L149" s="70">
        <f>308/60</f>
        <v>5.1333333333333337</v>
      </c>
      <c r="M149" s="62">
        <v>1</v>
      </c>
      <c r="N149" s="62">
        <v>0</v>
      </c>
      <c r="O149" s="62">
        <v>2</v>
      </c>
      <c r="P149" s="62" t="s">
        <v>198</v>
      </c>
      <c r="Q149" s="64">
        <v>7.9</v>
      </c>
      <c r="R149" s="65">
        <f>11/(11+15)</f>
        <v>0.42307692307692307</v>
      </c>
      <c r="S149" s="66"/>
      <c r="T149" s="66"/>
      <c r="U149" s="66">
        <v>2.42</v>
      </c>
      <c r="V149" s="66">
        <v>2.78</v>
      </c>
      <c r="W149" s="62">
        <v>12</v>
      </c>
      <c r="X149" s="62">
        <v>0</v>
      </c>
      <c r="Y149" s="62">
        <v>0</v>
      </c>
      <c r="Z149" s="62" t="s">
        <v>66</v>
      </c>
      <c r="AA149" s="62"/>
      <c r="AB149" s="62" t="s">
        <v>45</v>
      </c>
      <c r="AC149" s="62" t="s">
        <v>45</v>
      </c>
      <c r="AD149" s="61" t="s">
        <v>45</v>
      </c>
      <c r="AF149" s="4" t="s">
        <v>619</v>
      </c>
    </row>
    <row r="150" spans="1:32" ht="12.75" customHeight="1" x14ac:dyDescent="0.3">
      <c r="A150" s="61">
        <v>149</v>
      </c>
      <c r="B150" s="61">
        <v>34</v>
      </c>
      <c r="C150" s="61" t="s">
        <v>781</v>
      </c>
      <c r="D150" s="62" t="s">
        <v>47</v>
      </c>
      <c r="E150" s="62" t="s">
        <v>26</v>
      </c>
      <c r="F150" s="62" t="s">
        <v>197</v>
      </c>
      <c r="G150" s="62" t="s">
        <v>2</v>
      </c>
      <c r="H150" s="63">
        <v>1</v>
      </c>
      <c r="I150" s="62"/>
      <c r="J150" s="62">
        <v>1</v>
      </c>
      <c r="K150" s="62">
        <v>0</v>
      </c>
      <c r="L150" s="70">
        <f>308/60</f>
        <v>5.1333333333333337</v>
      </c>
      <c r="M150" s="62">
        <v>1</v>
      </c>
      <c r="N150" s="62">
        <v>0</v>
      </c>
      <c r="O150" s="62">
        <v>2</v>
      </c>
      <c r="P150" s="62" t="s">
        <v>198</v>
      </c>
      <c r="Q150" s="64">
        <v>7.9</v>
      </c>
      <c r="R150" s="65">
        <f>11/(11+15)</f>
        <v>0.42307692307692307</v>
      </c>
      <c r="S150" s="66"/>
      <c r="T150" s="66"/>
      <c r="U150" s="66">
        <v>1.71</v>
      </c>
      <c r="V150" s="66">
        <v>4.01</v>
      </c>
      <c r="W150" s="62">
        <v>14</v>
      </c>
      <c r="X150" s="62">
        <v>0</v>
      </c>
      <c r="Y150" s="62">
        <v>0</v>
      </c>
      <c r="Z150" s="62" t="s">
        <v>66</v>
      </c>
      <c r="AA150" s="62"/>
      <c r="AB150" s="62" t="s">
        <v>45</v>
      </c>
      <c r="AC150" s="62" t="s">
        <v>45</v>
      </c>
      <c r="AD150" s="61" t="s">
        <v>45</v>
      </c>
      <c r="AF150" s="4" t="s">
        <v>619</v>
      </c>
    </row>
    <row r="151" spans="1:32" ht="12.75" customHeight="1" x14ac:dyDescent="0.3">
      <c r="A151" s="61">
        <v>150</v>
      </c>
      <c r="B151" s="61">
        <v>35</v>
      </c>
      <c r="C151" s="62" t="s">
        <v>793</v>
      </c>
      <c r="D151" s="62" t="s">
        <v>187</v>
      </c>
      <c r="E151" s="62" t="s">
        <v>199</v>
      </c>
      <c r="F151" s="62" t="s">
        <v>200</v>
      </c>
      <c r="G151" s="62" t="s">
        <v>2</v>
      </c>
      <c r="H151" s="63">
        <v>0</v>
      </c>
      <c r="I151" s="62"/>
      <c r="J151" s="62" t="s">
        <v>51</v>
      </c>
      <c r="K151" s="62">
        <v>0</v>
      </c>
      <c r="L151" s="62">
        <f>17*60</f>
        <v>1020</v>
      </c>
      <c r="M151" s="62">
        <v>17</v>
      </c>
      <c r="N151" s="62" t="s">
        <v>28</v>
      </c>
      <c r="O151" s="62">
        <v>1</v>
      </c>
      <c r="P151" s="62" t="s">
        <v>201</v>
      </c>
      <c r="Q151" s="64">
        <v>11</v>
      </c>
      <c r="R151" s="65" t="s">
        <v>28</v>
      </c>
      <c r="S151" s="66">
        <v>10.95</v>
      </c>
      <c r="T151" s="66">
        <v>3.2</v>
      </c>
      <c r="U151" s="66">
        <v>10.67</v>
      </c>
      <c r="V151" s="66">
        <v>1.91</v>
      </c>
      <c r="W151" s="62">
        <v>21</v>
      </c>
      <c r="X151" s="62">
        <v>0</v>
      </c>
      <c r="Y151" s="62">
        <v>0</v>
      </c>
      <c r="Z151" s="62" t="s">
        <v>202</v>
      </c>
      <c r="AA151" s="62"/>
      <c r="AB151" s="62" t="s">
        <v>45</v>
      </c>
      <c r="AC151" s="62" t="s">
        <v>17</v>
      </c>
      <c r="AD151" s="61" t="s">
        <v>17</v>
      </c>
      <c r="AF151" s="4" t="s">
        <v>620</v>
      </c>
    </row>
    <row r="152" spans="1:32" ht="12.75" customHeight="1" x14ac:dyDescent="0.3">
      <c r="A152" s="61">
        <v>151</v>
      </c>
      <c r="B152" s="61">
        <v>35</v>
      </c>
      <c r="C152" s="62" t="s">
        <v>793</v>
      </c>
      <c r="D152" s="62" t="s">
        <v>187</v>
      </c>
      <c r="E152" s="62" t="s">
        <v>199</v>
      </c>
      <c r="F152" s="62" t="s">
        <v>200</v>
      </c>
      <c r="G152" s="62" t="s">
        <v>2</v>
      </c>
      <c r="H152" s="63">
        <v>0</v>
      </c>
      <c r="I152" s="62"/>
      <c r="J152" s="62" t="s">
        <v>51</v>
      </c>
      <c r="K152" s="62">
        <v>0</v>
      </c>
      <c r="L152" s="62">
        <f>17*60</f>
        <v>1020</v>
      </c>
      <c r="M152" s="62">
        <v>17</v>
      </c>
      <c r="N152" s="62" t="s">
        <v>28</v>
      </c>
      <c r="O152" s="62">
        <v>1</v>
      </c>
      <c r="P152" s="62" t="s">
        <v>203</v>
      </c>
      <c r="Q152" s="64">
        <v>11</v>
      </c>
      <c r="R152" s="65" t="s">
        <v>28</v>
      </c>
      <c r="S152" s="66">
        <v>123.13</v>
      </c>
      <c r="T152" s="66">
        <v>34.130000000000003</v>
      </c>
      <c r="U152" s="66">
        <v>176.1</v>
      </c>
      <c r="V152" s="66">
        <v>16.53</v>
      </c>
      <c r="W152" s="62">
        <v>21</v>
      </c>
      <c r="X152" s="62">
        <v>0</v>
      </c>
      <c r="Y152" s="62">
        <v>0</v>
      </c>
      <c r="Z152" s="62" t="s">
        <v>202</v>
      </c>
      <c r="AA152" s="62"/>
      <c r="AB152" s="62" t="s">
        <v>45</v>
      </c>
      <c r="AC152" s="62" t="s">
        <v>17</v>
      </c>
      <c r="AD152" s="61" t="s">
        <v>17</v>
      </c>
      <c r="AF152" s="4" t="s">
        <v>620</v>
      </c>
    </row>
    <row r="153" spans="1:32" ht="12.75" customHeight="1" x14ac:dyDescent="0.3">
      <c r="A153" s="61">
        <v>152</v>
      </c>
      <c r="B153" s="61">
        <v>36</v>
      </c>
      <c r="C153" s="61" t="s">
        <v>589</v>
      </c>
      <c r="D153" s="62" t="s">
        <v>41</v>
      </c>
      <c r="E153" s="62" t="s">
        <v>26</v>
      </c>
      <c r="F153" s="62" t="s">
        <v>140</v>
      </c>
      <c r="G153" s="62" t="s">
        <v>2</v>
      </c>
      <c r="H153" s="63">
        <v>0</v>
      </c>
      <c r="I153" s="62"/>
      <c r="J153" s="62">
        <v>1</v>
      </c>
      <c r="K153" s="62">
        <v>0</v>
      </c>
      <c r="L153" s="62" t="s">
        <v>28</v>
      </c>
      <c r="M153" s="62">
        <v>1</v>
      </c>
      <c r="N153" s="62">
        <v>0</v>
      </c>
      <c r="O153" s="62">
        <v>1</v>
      </c>
      <c r="P153" s="62" t="s">
        <v>204</v>
      </c>
      <c r="Q153" s="64">
        <v>12</v>
      </c>
      <c r="R153" s="65">
        <f>13/30</f>
        <v>0.43333333333333335</v>
      </c>
      <c r="S153" s="66">
        <v>0.87</v>
      </c>
      <c r="T153" s="66">
        <f>0.04*SQRT(30)</f>
        <v>0.21908902300206645</v>
      </c>
      <c r="U153" s="66">
        <v>0.90900000000000003</v>
      </c>
      <c r="V153" s="66">
        <v>0.219</v>
      </c>
      <c r="W153" s="62">
        <v>30</v>
      </c>
      <c r="X153" s="62">
        <v>0</v>
      </c>
      <c r="Y153" s="62">
        <v>0</v>
      </c>
      <c r="Z153" s="62" t="s">
        <v>205</v>
      </c>
      <c r="AA153" s="62" t="s">
        <v>1384</v>
      </c>
      <c r="AB153" s="62" t="s">
        <v>45</v>
      </c>
      <c r="AC153" s="62" t="s">
        <v>17</v>
      </c>
      <c r="AD153" s="61" t="s">
        <v>17</v>
      </c>
      <c r="AF153" s="4" t="s">
        <v>621</v>
      </c>
    </row>
    <row r="154" spans="1:32" ht="12.75" customHeight="1" x14ac:dyDescent="0.3">
      <c r="A154" s="61">
        <v>153</v>
      </c>
      <c r="B154" s="61">
        <v>37</v>
      </c>
      <c r="C154" s="61" t="s">
        <v>812</v>
      </c>
      <c r="D154" s="62" t="s">
        <v>187</v>
      </c>
      <c r="E154" s="62" t="s">
        <v>206</v>
      </c>
      <c r="F154" s="62" t="s">
        <v>207</v>
      </c>
      <c r="G154" s="62" t="s">
        <v>2</v>
      </c>
      <c r="H154" s="63">
        <v>0</v>
      </c>
      <c r="I154" s="62"/>
      <c r="J154" s="62" t="s">
        <v>51</v>
      </c>
      <c r="K154" s="62">
        <v>1</v>
      </c>
      <c r="L154" s="62">
        <f>8*60</f>
        <v>480</v>
      </c>
      <c r="M154" s="62">
        <v>4</v>
      </c>
      <c r="N154" s="62" t="s">
        <v>28</v>
      </c>
      <c r="O154" s="62" t="s">
        <v>28</v>
      </c>
      <c r="P154" s="62" t="s">
        <v>28</v>
      </c>
      <c r="Q154" s="64">
        <v>11.5</v>
      </c>
      <c r="R154" s="65" t="s">
        <v>28</v>
      </c>
      <c r="S154" s="66">
        <v>82.2</v>
      </c>
      <c r="T154" s="66">
        <v>12.2</v>
      </c>
      <c r="U154" s="66">
        <v>89.6</v>
      </c>
      <c r="V154" s="66">
        <v>12.2</v>
      </c>
      <c r="W154" s="62">
        <v>34</v>
      </c>
      <c r="X154" s="62">
        <v>0</v>
      </c>
      <c r="Y154" s="62">
        <v>0</v>
      </c>
      <c r="Z154" s="62" t="s">
        <v>208</v>
      </c>
      <c r="AA154" s="62" t="s">
        <v>1340</v>
      </c>
      <c r="AB154" s="62" t="s">
        <v>45</v>
      </c>
      <c r="AC154" s="62" t="s">
        <v>17</v>
      </c>
      <c r="AD154" s="61" t="s">
        <v>45</v>
      </c>
      <c r="AF154" s="4" t="s">
        <v>622</v>
      </c>
    </row>
    <row r="155" spans="1:32" ht="12.75" customHeight="1" x14ac:dyDescent="0.3">
      <c r="A155" s="61">
        <v>154</v>
      </c>
      <c r="B155" s="61">
        <v>38</v>
      </c>
      <c r="C155" s="61" t="s">
        <v>783</v>
      </c>
      <c r="D155" s="62" t="s">
        <v>47</v>
      </c>
      <c r="E155" s="62" t="s">
        <v>32</v>
      </c>
      <c r="F155" s="62" t="s">
        <v>93</v>
      </c>
      <c r="G155" s="62" t="s">
        <v>34</v>
      </c>
      <c r="H155" s="63">
        <v>1</v>
      </c>
      <c r="I155" s="62"/>
      <c r="J155" s="62" t="s">
        <v>51</v>
      </c>
      <c r="K155" s="62" t="s">
        <v>32</v>
      </c>
      <c r="L155" s="62">
        <v>4.5</v>
      </c>
      <c r="M155" s="62">
        <v>1</v>
      </c>
      <c r="N155" s="62">
        <v>0</v>
      </c>
      <c r="O155" s="62" t="s">
        <v>32</v>
      </c>
      <c r="P155" s="62" t="s">
        <v>209</v>
      </c>
      <c r="Q155" s="64">
        <v>23.5</v>
      </c>
      <c r="R155" s="65">
        <f>24/(24+7)</f>
        <v>0.77419354838709675</v>
      </c>
      <c r="S155" s="66"/>
      <c r="T155" s="66"/>
      <c r="U155" s="66">
        <v>0.79</v>
      </c>
      <c r="V155" s="66">
        <v>0.13161880958688194</v>
      </c>
      <c r="W155" s="62">
        <v>13</v>
      </c>
      <c r="X155" s="62">
        <v>0</v>
      </c>
      <c r="Y155" s="62">
        <v>0</v>
      </c>
      <c r="Z155" s="62" t="s">
        <v>210</v>
      </c>
      <c r="AA155" s="62" t="s">
        <v>211</v>
      </c>
      <c r="AB155" s="62" t="s">
        <v>45</v>
      </c>
      <c r="AC155" s="62" t="s">
        <v>17</v>
      </c>
      <c r="AD155" s="61" t="s">
        <v>45</v>
      </c>
      <c r="AF155" s="4" t="s">
        <v>623</v>
      </c>
    </row>
    <row r="156" spans="1:32" ht="12.75" customHeight="1" x14ac:dyDescent="0.3">
      <c r="A156" s="61">
        <v>155</v>
      </c>
      <c r="B156" s="61">
        <v>38</v>
      </c>
      <c r="C156" s="61" t="s">
        <v>783</v>
      </c>
      <c r="D156" s="62" t="s">
        <v>47</v>
      </c>
      <c r="E156" s="62" t="s">
        <v>26</v>
      </c>
      <c r="F156" s="62" t="s">
        <v>93</v>
      </c>
      <c r="G156" s="62" t="s">
        <v>2</v>
      </c>
      <c r="H156" s="63">
        <v>1</v>
      </c>
      <c r="I156" s="62" t="s">
        <v>212</v>
      </c>
      <c r="J156" s="62" t="s">
        <v>51</v>
      </c>
      <c r="K156" s="62">
        <v>0</v>
      </c>
      <c r="L156" s="62">
        <v>4.5</v>
      </c>
      <c r="M156" s="62">
        <v>1</v>
      </c>
      <c r="N156" s="62">
        <v>0</v>
      </c>
      <c r="O156" s="62" t="s">
        <v>32</v>
      </c>
      <c r="P156" s="62" t="s">
        <v>209</v>
      </c>
      <c r="Q156" s="64">
        <v>23.5</v>
      </c>
      <c r="R156" s="65">
        <f>24/(24+7)</f>
        <v>0.77419354838709675</v>
      </c>
      <c r="S156" s="66"/>
      <c r="T156" s="66"/>
      <c r="U156" s="66">
        <v>0.83</v>
      </c>
      <c r="V156" s="66">
        <v>0.1794801948912027</v>
      </c>
      <c r="W156" s="62">
        <v>9</v>
      </c>
      <c r="X156" s="62">
        <v>0</v>
      </c>
      <c r="Y156" s="62">
        <v>0</v>
      </c>
      <c r="Z156" s="62" t="s">
        <v>210</v>
      </c>
      <c r="AA156" s="62" t="s">
        <v>211</v>
      </c>
      <c r="AB156" s="62" t="s">
        <v>45</v>
      </c>
      <c r="AC156" s="62" t="s">
        <v>17</v>
      </c>
      <c r="AD156" s="61" t="s">
        <v>45</v>
      </c>
      <c r="AF156" s="4" t="s">
        <v>623</v>
      </c>
    </row>
    <row r="157" spans="1:32" ht="12.75" customHeight="1" x14ac:dyDescent="0.3">
      <c r="A157" s="61">
        <v>156</v>
      </c>
      <c r="B157" s="61">
        <v>38</v>
      </c>
      <c r="C157" s="61" t="s">
        <v>783</v>
      </c>
      <c r="D157" s="62" t="s">
        <v>47</v>
      </c>
      <c r="E157" s="62" t="s">
        <v>26</v>
      </c>
      <c r="F157" s="62" t="s">
        <v>93</v>
      </c>
      <c r="G157" s="62" t="s">
        <v>2</v>
      </c>
      <c r="H157" s="63">
        <v>1</v>
      </c>
      <c r="I157" s="62" t="s">
        <v>213</v>
      </c>
      <c r="J157" s="62" t="s">
        <v>51</v>
      </c>
      <c r="K157" s="62">
        <v>0</v>
      </c>
      <c r="L157" s="62">
        <v>4.5</v>
      </c>
      <c r="M157" s="62">
        <v>1</v>
      </c>
      <c r="N157" s="62">
        <v>0</v>
      </c>
      <c r="O157" s="62" t="s">
        <v>32</v>
      </c>
      <c r="P157" s="62" t="s">
        <v>209</v>
      </c>
      <c r="Q157" s="64">
        <v>23.5</v>
      </c>
      <c r="R157" s="65">
        <f>24/(24+7)</f>
        <v>0.77419354838709675</v>
      </c>
      <c r="S157" s="66"/>
      <c r="T157" s="66"/>
      <c r="U157" s="66">
        <v>0.8</v>
      </c>
      <c r="V157" s="66">
        <v>0.26323761917376404</v>
      </c>
      <c r="W157" s="62">
        <v>9</v>
      </c>
      <c r="X157" s="62">
        <v>0</v>
      </c>
      <c r="Y157" s="62">
        <v>0</v>
      </c>
      <c r="Z157" s="62" t="s">
        <v>210</v>
      </c>
      <c r="AA157" s="62" t="s">
        <v>211</v>
      </c>
      <c r="AB157" s="62" t="s">
        <v>45</v>
      </c>
      <c r="AC157" s="62" t="s">
        <v>17</v>
      </c>
      <c r="AD157" s="61" t="s">
        <v>45</v>
      </c>
      <c r="AF157" s="4" t="s">
        <v>623</v>
      </c>
    </row>
    <row r="158" spans="1:32" ht="12.75" customHeight="1" x14ac:dyDescent="0.3">
      <c r="A158" s="61">
        <v>157</v>
      </c>
      <c r="B158" s="61">
        <v>39</v>
      </c>
      <c r="C158" s="61" t="s">
        <v>585</v>
      </c>
      <c r="D158" s="62" t="s">
        <v>47</v>
      </c>
      <c r="E158" s="62" t="s">
        <v>32</v>
      </c>
      <c r="F158" s="62" t="s">
        <v>93</v>
      </c>
      <c r="G158" s="62" t="s">
        <v>34</v>
      </c>
      <c r="H158" s="63">
        <v>1</v>
      </c>
      <c r="I158" s="62"/>
      <c r="J158" s="62" t="s">
        <v>51</v>
      </c>
      <c r="K158" s="62" t="s">
        <v>32</v>
      </c>
      <c r="L158" s="62">
        <v>4.5</v>
      </c>
      <c r="M158" s="62">
        <v>1</v>
      </c>
      <c r="N158" s="62">
        <v>0</v>
      </c>
      <c r="O158" s="62" t="s">
        <v>32</v>
      </c>
      <c r="P158" s="62" t="s">
        <v>209</v>
      </c>
      <c r="Q158" s="64">
        <v>7.8</v>
      </c>
      <c r="R158" s="65">
        <f>36/(36+47)</f>
        <v>0.43373493975903615</v>
      </c>
      <c r="S158" s="66"/>
      <c r="T158" s="66"/>
      <c r="U158" s="66">
        <v>0.63</v>
      </c>
      <c r="V158" s="66">
        <v>0.26726124191242423</v>
      </c>
      <c r="W158" s="62">
        <v>28</v>
      </c>
      <c r="X158" s="62">
        <v>0</v>
      </c>
      <c r="Y158" s="62">
        <v>0</v>
      </c>
      <c r="Z158" s="62" t="s">
        <v>210</v>
      </c>
      <c r="AA158" s="62" t="s">
        <v>214</v>
      </c>
      <c r="AB158" s="62" t="s">
        <v>45</v>
      </c>
      <c r="AC158" s="62" t="s">
        <v>17</v>
      </c>
      <c r="AD158" s="61" t="s">
        <v>45</v>
      </c>
      <c r="AF158" s="4" t="s">
        <v>623</v>
      </c>
    </row>
    <row r="159" spans="1:32" ht="12.75" customHeight="1" x14ac:dyDescent="0.3">
      <c r="A159" s="61">
        <v>158</v>
      </c>
      <c r="B159" s="61">
        <v>39</v>
      </c>
      <c r="C159" s="61" t="s">
        <v>585</v>
      </c>
      <c r="D159" s="62" t="s">
        <v>47</v>
      </c>
      <c r="E159" s="62" t="s">
        <v>26</v>
      </c>
      <c r="F159" s="62" t="s">
        <v>93</v>
      </c>
      <c r="G159" s="62" t="s">
        <v>2</v>
      </c>
      <c r="H159" s="63">
        <v>1</v>
      </c>
      <c r="I159" s="62" t="s">
        <v>212</v>
      </c>
      <c r="J159" s="62" t="s">
        <v>51</v>
      </c>
      <c r="K159" s="62">
        <v>0</v>
      </c>
      <c r="L159" s="62">
        <v>4.5</v>
      </c>
      <c r="M159" s="62">
        <v>1</v>
      </c>
      <c r="N159" s="62">
        <v>0</v>
      </c>
      <c r="O159" s="62" t="s">
        <v>32</v>
      </c>
      <c r="P159" s="62" t="s">
        <v>209</v>
      </c>
      <c r="Q159" s="64">
        <v>7.8</v>
      </c>
      <c r="R159" s="65">
        <f>36/(36+47)</f>
        <v>0.43373493975903615</v>
      </c>
      <c r="S159" s="66"/>
      <c r="T159" s="66"/>
      <c r="U159" s="66">
        <v>0.49</v>
      </c>
      <c r="V159" s="66">
        <v>0.13363062095621223</v>
      </c>
      <c r="W159" s="62">
        <v>28</v>
      </c>
      <c r="X159" s="62">
        <v>0</v>
      </c>
      <c r="Y159" s="62">
        <v>0</v>
      </c>
      <c r="Z159" s="62" t="s">
        <v>210</v>
      </c>
      <c r="AA159" s="62" t="s">
        <v>214</v>
      </c>
      <c r="AB159" s="62" t="s">
        <v>45</v>
      </c>
      <c r="AC159" s="62" t="s">
        <v>17</v>
      </c>
      <c r="AD159" s="61" t="s">
        <v>45</v>
      </c>
      <c r="AF159" s="4" t="s">
        <v>623</v>
      </c>
    </row>
    <row r="160" spans="1:32" ht="12.75" customHeight="1" x14ac:dyDescent="0.3">
      <c r="A160" s="61">
        <v>159</v>
      </c>
      <c r="B160" s="61">
        <v>39</v>
      </c>
      <c r="C160" s="61" t="s">
        <v>585</v>
      </c>
      <c r="D160" s="62" t="s">
        <v>47</v>
      </c>
      <c r="E160" s="62" t="s">
        <v>26</v>
      </c>
      <c r="F160" s="62" t="s">
        <v>93</v>
      </c>
      <c r="G160" s="62" t="s">
        <v>2</v>
      </c>
      <c r="H160" s="63">
        <v>1</v>
      </c>
      <c r="I160" s="62" t="s">
        <v>213</v>
      </c>
      <c r="J160" s="62" t="s">
        <v>51</v>
      </c>
      <c r="K160" s="62">
        <v>0</v>
      </c>
      <c r="L160" s="62">
        <v>4.5</v>
      </c>
      <c r="M160" s="62">
        <v>1</v>
      </c>
      <c r="N160" s="62">
        <v>0</v>
      </c>
      <c r="O160" s="62" t="s">
        <v>32</v>
      </c>
      <c r="P160" s="62" t="s">
        <v>209</v>
      </c>
      <c r="Q160" s="64">
        <v>7.8</v>
      </c>
      <c r="R160" s="65">
        <f>36/(36+47)</f>
        <v>0.43373493975903615</v>
      </c>
      <c r="S160" s="66"/>
      <c r="T160" s="66"/>
      <c r="U160" s="66">
        <v>0.57999999999999996</v>
      </c>
      <c r="V160" s="66">
        <v>0.22702648429884681</v>
      </c>
      <c r="W160" s="62">
        <v>27</v>
      </c>
      <c r="X160" s="62">
        <v>0</v>
      </c>
      <c r="Y160" s="62">
        <v>0</v>
      </c>
      <c r="Z160" s="62" t="s">
        <v>210</v>
      </c>
      <c r="AA160" s="62" t="s">
        <v>214</v>
      </c>
      <c r="AB160" s="62" t="s">
        <v>45</v>
      </c>
      <c r="AC160" s="62" t="s">
        <v>17</v>
      </c>
      <c r="AD160" s="61" t="s">
        <v>45</v>
      </c>
      <c r="AF160" s="4" t="s">
        <v>623</v>
      </c>
    </row>
    <row r="161" spans="1:38" ht="12.75" customHeight="1" x14ac:dyDescent="0.3">
      <c r="A161" s="61">
        <v>160</v>
      </c>
      <c r="B161" s="61">
        <v>40</v>
      </c>
      <c r="C161" s="62" t="s">
        <v>768</v>
      </c>
      <c r="D161" s="62" t="s">
        <v>62</v>
      </c>
      <c r="E161" s="62" t="s">
        <v>32</v>
      </c>
      <c r="F161" s="62" t="s">
        <v>215</v>
      </c>
      <c r="G161" s="62" t="s">
        <v>34</v>
      </c>
      <c r="H161" s="63">
        <v>0</v>
      </c>
      <c r="I161" s="62"/>
      <c r="J161" s="62" t="s">
        <v>51</v>
      </c>
      <c r="K161" s="62" t="s">
        <v>32</v>
      </c>
      <c r="L161" s="62" t="s">
        <v>28</v>
      </c>
      <c r="M161" s="62" t="s">
        <v>28</v>
      </c>
      <c r="N161" s="62" t="s">
        <v>28</v>
      </c>
      <c r="O161" s="62" t="s">
        <v>32</v>
      </c>
      <c r="P161" s="62" t="s">
        <v>216</v>
      </c>
      <c r="Q161" s="64">
        <v>10.5</v>
      </c>
      <c r="R161" s="65" t="s">
        <v>28</v>
      </c>
      <c r="S161" s="66"/>
      <c r="T161" s="66"/>
      <c r="U161" s="66">
        <v>76.930000000000007</v>
      </c>
      <c r="V161" s="66">
        <v>17.504000000000001</v>
      </c>
      <c r="W161" s="62">
        <v>27</v>
      </c>
      <c r="X161" s="62">
        <v>0</v>
      </c>
      <c r="Y161" s="62">
        <v>0</v>
      </c>
      <c r="Z161" s="62" t="s">
        <v>217</v>
      </c>
      <c r="AA161" s="62"/>
      <c r="AB161" s="62" t="s">
        <v>45</v>
      </c>
      <c r="AC161" s="62" t="s">
        <v>45</v>
      </c>
      <c r="AD161" s="61" t="s">
        <v>45</v>
      </c>
      <c r="AF161" s="4" t="s">
        <v>624</v>
      </c>
    </row>
    <row r="162" spans="1:38" ht="12.75" customHeight="1" x14ac:dyDescent="0.3">
      <c r="A162" s="61">
        <v>161</v>
      </c>
      <c r="B162" s="61">
        <v>40</v>
      </c>
      <c r="C162" s="62" t="s">
        <v>768</v>
      </c>
      <c r="D162" s="62" t="s">
        <v>62</v>
      </c>
      <c r="E162" s="62" t="s">
        <v>218</v>
      </c>
      <c r="F162" s="62" t="s">
        <v>215</v>
      </c>
      <c r="G162" s="62" t="s">
        <v>2</v>
      </c>
      <c r="H162" s="63">
        <v>0</v>
      </c>
      <c r="I162" s="62"/>
      <c r="J162" s="62" t="s">
        <v>51</v>
      </c>
      <c r="K162" s="62">
        <v>1</v>
      </c>
      <c r="L162" s="62" t="s">
        <v>28</v>
      </c>
      <c r="M162" s="62" t="s">
        <v>28</v>
      </c>
      <c r="N162" s="62" t="s">
        <v>28</v>
      </c>
      <c r="O162" s="62" t="s">
        <v>32</v>
      </c>
      <c r="P162" s="62" t="s">
        <v>216</v>
      </c>
      <c r="Q162" s="64">
        <v>10.5</v>
      </c>
      <c r="R162" s="65" t="s">
        <v>28</v>
      </c>
      <c r="S162" s="66"/>
      <c r="T162" s="66"/>
      <c r="U162" s="66">
        <v>89.8</v>
      </c>
      <c r="V162" s="66">
        <v>11.898999999999999</v>
      </c>
      <c r="W162" s="62">
        <v>25</v>
      </c>
      <c r="X162" s="62">
        <v>0</v>
      </c>
      <c r="Y162" s="62">
        <v>0</v>
      </c>
      <c r="Z162" s="62" t="s">
        <v>217</v>
      </c>
      <c r="AA162" s="62"/>
      <c r="AB162" s="62" t="s">
        <v>45</v>
      </c>
      <c r="AC162" s="62" t="s">
        <v>45</v>
      </c>
      <c r="AD162" s="61" t="s">
        <v>45</v>
      </c>
      <c r="AF162" s="4" t="s">
        <v>624</v>
      </c>
    </row>
    <row r="163" spans="1:38" ht="12.75" customHeight="1" x14ac:dyDescent="0.3">
      <c r="A163" s="61">
        <v>162</v>
      </c>
      <c r="B163" s="61">
        <v>41</v>
      </c>
      <c r="C163" s="61" t="s">
        <v>759</v>
      </c>
      <c r="D163" s="62" t="s">
        <v>1095</v>
      </c>
      <c r="E163" s="62" t="s">
        <v>32</v>
      </c>
      <c r="F163" s="62" t="s">
        <v>1606</v>
      </c>
      <c r="G163" s="62" t="s">
        <v>60</v>
      </c>
      <c r="H163" s="63">
        <v>1</v>
      </c>
      <c r="I163" s="62"/>
      <c r="J163" s="62" t="s">
        <v>32</v>
      </c>
      <c r="K163" s="62" t="s">
        <v>32</v>
      </c>
      <c r="L163" s="62" t="s">
        <v>32</v>
      </c>
      <c r="M163" s="62" t="s">
        <v>32</v>
      </c>
      <c r="N163" s="62" t="s">
        <v>32</v>
      </c>
      <c r="O163" s="62" t="s">
        <v>32</v>
      </c>
      <c r="P163" s="62" t="s">
        <v>220</v>
      </c>
      <c r="Q163" s="64">
        <v>19.89</v>
      </c>
      <c r="R163" s="65" t="s">
        <v>28</v>
      </c>
      <c r="S163" s="66"/>
      <c r="T163" s="66"/>
      <c r="U163" s="66">
        <v>2.64</v>
      </c>
      <c r="V163" s="66">
        <f>3.6241-1.6657</f>
        <v>1.9583999999999999</v>
      </c>
      <c r="W163" s="62">
        <v>132</v>
      </c>
      <c r="X163" s="62">
        <v>1</v>
      </c>
      <c r="Y163" s="62">
        <v>0</v>
      </c>
      <c r="Z163" s="62" t="s">
        <v>221</v>
      </c>
      <c r="AA163" s="62" t="s">
        <v>1325</v>
      </c>
      <c r="AB163" s="62" t="s">
        <v>17</v>
      </c>
      <c r="AC163" s="62" t="s">
        <v>17</v>
      </c>
      <c r="AD163" s="61" t="s">
        <v>17</v>
      </c>
      <c r="AF163" s="4" t="s">
        <v>625</v>
      </c>
    </row>
    <row r="164" spans="1:38" ht="12.75" customHeight="1" x14ac:dyDescent="0.3">
      <c r="A164" s="61">
        <v>163</v>
      </c>
      <c r="B164" s="61">
        <v>41</v>
      </c>
      <c r="C164" s="61" t="s">
        <v>759</v>
      </c>
      <c r="D164" s="62" t="s">
        <v>1095</v>
      </c>
      <c r="E164" s="62" t="s">
        <v>222</v>
      </c>
      <c r="F164" s="62" t="s">
        <v>1606</v>
      </c>
      <c r="G164" s="62" t="s">
        <v>2</v>
      </c>
      <c r="H164" s="63">
        <v>1</v>
      </c>
      <c r="I164" s="62"/>
      <c r="J164" s="62">
        <v>1</v>
      </c>
      <c r="K164" s="62">
        <v>0</v>
      </c>
      <c r="L164" s="62">
        <v>30</v>
      </c>
      <c r="M164" s="62">
        <v>1</v>
      </c>
      <c r="N164" s="62">
        <f>8*7</f>
        <v>56</v>
      </c>
      <c r="O164" s="62" t="s">
        <v>32</v>
      </c>
      <c r="P164" s="62" t="s">
        <v>220</v>
      </c>
      <c r="Q164" s="64">
        <v>19.89</v>
      </c>
      <c r="R164" s="65">
        <f>1/28</f>
        <v>3.5714285714285712E-2</v>
      </c>
      <c r="S164" s="66"/>
      <c r="T164" s="66"/>
      <c r="U164" s="66">
        <v>2.14</v>
      </c>
      <c r="V164" s="66">
        <f>2.65-1.6436</f>
        <v>1.0064</v>
      </c>
      <c r="W164" s="62">
        <v>22</v>
      </c>
      <c r="X164" s="62">
        <v>1</v>
      </c>
      <c r="Y164" s="62">
        <v>0</v>
      </c>
      <c r="Z164" s="62" t="s">
        <v>221</v>
      </c>
      <c r="AA164" s="62" t="s">
        <v>223</v>
      </c>
      <c r="AB164" s="62" t="s">
        <v>17</v>
      </c>
      <c r="AC164" s="62" t="s">
        <v>17</v>
      </c>
      <c r="AD164" s="61" t="s">
        <v>17</v>
      </c>
      <c r="AF164" s="4" t="s">
        <v>625</v>
      </c>
    </row>
    <row r="165" spans="1:38" ht="12.75" customHeight="1" x14ac:dyDescent="0.3">
      <c r="A165" s="61">
        <v>164</v>
      </c>
      <c r="B165" s="61">
        <v>42</v>
      </c>
      <c r="C165" s="61" t="s">
        <v>575</v>
      </c>
      <c r="D165" s="62" t="s">
        <v>25</v>
      </c>
      <c r="E165" s="62" t="s">
        <v>32</v>
      </c>
      <c r="F165" s="62" t="s">
        <v>33</v>
      </c>
      <c r="G165" s="62" t="s">
        <v>64</v>
      </c>
      <c r="H165" s="63">
        <v>1</v>
      </c>
      <c r="I165" s="62"/>
      <c r="J165" s="62">
        <v>1</v>
      </c>
      <c r="K165" s="62">
        <v>0</v>
      </c>
      <c r="L165" s="62" t="s">
        <v>28</v>
      </c>
      <c r="M165" s="62">
        <v>3</v>
      </c>
      <c r="N165" s="62">
        <v>0</v>
      </c>
      <c r="O165" s="62">
        <v>1</v>
      </c>
      <c r="P165" s="62" t="s">
        <v>225</v>
      </c>
      <c r="Q165" s="64">
        <v>5.45</v>
      </c>
      <c r="R165" s="65">
        <f>39/63</f>
        <v>0.61904761904761907</v>
      </c>
      <c r="S165" s="66">
        <v>15.07</v>
      </c>
      <c r="T165" s="66">
        <f>1.06834318162288*(18.927-11.13)</f>
        <v>8.3298717871135928</v>
      </c>
      <c r="U165" s="66">
        <v>24.52</v>
      </c>
      <c r="V165" s="66">
        <f>1.06834318162288*(28.475-20.508)</f>
        <v>8.5114901279894859</v>
      </c>
      <c r="W165" s="62">
        <v>20</v>
      </c>
      <c r="X165" s="62">
        <v>0</v>
      </c>
      <c r="Y165" s="62">
        <v>0</v>
      </c>
      <c r="Z165" s="62" t="s">
        <v>226</v>
      </c>
      <c r="AA165" s="62"/>
      <c r="AB165" s="62" t="s">
        <v>17</v>
      </c>
      <c r="AC165" s="62" t="s">
        <v>17</v>
      </c>
      <c r="AD165" s="61" t="s">
        <v>17</v>
      </c>
      <c r="AF165" s="4" t="s">
        <v>693</v>
      </c>
    </row>
    <row r="166" spans="1:38" ht="12.75" customHeight="1" x14ac:dyDescent="0.3">
      <c r="A166" s="61">
        <v>165</v>
      </c>
      <c r="B166" s="61">
        <v>42</v>
      </c>
      <c r="C166" s="61" t="s">
        <v>575</v>
      </c>
      <c r="D166" s="62" t="s">
        <v>25</v>
      </c>
      <c r="E166" s="62" t="s">
        <v>32</v>
      </c>
      <c r="F166" s="62" t="s">
        <v>33</v>
      </c>
      <c r="G166" s="62" t="s">
        <v>64</v>
      </c>
      <c r="H166" s="63">
        <v>1</v>
      </c>
      <c r="I166" s="62"/>
      <c r="J166" s="62">
        <v>1</v>
      </c>
      <c r="K166" s="62">
        <v>0</v>
      </c>
      <c r="L166" s="62" t="s">
        <v>28</v>
      </c>
      <c r="M166" s="62">
        <v>3</v>
      </c>
      <c r="N166" s="62">
        <v>14</v>
      </c>
      <c r="O166" s="62">
        <v>1</v>
      </c>
      <c r="P166" s="62" t="s">
        <v>225</v>
      </c>
      <c r="Q166" s="64">
        <v>5.45</v>
      </c>
      <c r="R166" s="65">
        <f>39/63</f>
        <v>0.61904761904761907</v>
      </c>
      <c r="S166" s="66">
        <v>15.07</v>
      </c>
      <c r="T166" s="66">
        <f>1.06834318162288*(18.927-11.13)</f>
        <v>8.3298717871135928</v>
      </c>
      <c r="U166" s="66">
        <v>22.768000000000001</v>
      </c>
      <c r="V166" s="66">
        <f>1.06834318162288*(26.949-18.531)</f>
        <v>8.9933129029014065</v>
      </c>
      <c r="W166" s="62">
        <v>20</v>
      </c>
      <c r="X166" s="62">
        <v>0</v>
      </c>
      <c r="Y166" s="62">
        <v>0</v>
      </c>
      <c r="Z166" s="62" t="s">
        <v>226</v>
      </c>
      <c r="AA166" s="62"/>
      <c r="AB166" s="62" t="s">
        <v>17</v>
      </c>
      <c r="AC166" s="62" t="s">
        <v>17</v>
      </c>
      <c r="AD166" s="61" t="s">
        <v>17</v>
      </c>
      <c r="AF166" s="4" t="s">
        <v>693</v>
      </c>
      <c r="AJ166" s="67"/>
      <c r="AK166" s="67"/>
      <c r="AL166" s="67"/>
    </row>
    <row r="167" spans="1:38" ht="12.75" customHeight="1" x14ac:dyDescent="0.3">
      <c r="A167" s="61">
        <v>166</v>
      </c>
      <c r="B167" s="61">
        <v>42</v>
      </c>
      <c r="C167" s="61" t="s">
        <v>575</v>
      </c>
      <c r="D167" s="62" t="s">
        <v>25</v>
      </c>
      <c r="E167" s="62" t="s">
        <v>26</v>
      </c>
      <c r="F167" s="62" t="s">
        <v>33</v>
      </c>
      <c r="G167" s="62" t="s">
        <v>2</v>
      </c>
      <c r="H167" s="63">
        <v>1</v>
      </c>
      <c r="I167" s="62"/>
      <c r="J167" s="62">
        <v>1</v>
      </c>
      <c r="K167" s="62">
        <v>0</v>
      </c>
      <c r="L167" s="62" t="s">
        <v>28</v>
      </c>
      <c r="M167" s="62">
        <v>3</v>
      </c>
      <c r="N167" s="62">
        <v>0</v>
      </c>
      <c r="O167" s="62">
        <v>1</v>
      </c>
      <c r="P167" s="62" t="s">
        <v>225</v>
      </c>
      <c r="Q167" s="64">
        <v>5.45</v>
      </c>
      <c r="R167" s="65">
        <f>39/63</f>
        <v>0.61904761904761907</v>
      </c>
      <c r="S167" s="66">
        <v>17.006</v>
      </c>
      <c r="T167" s="66">
        <f>1.62467121998676*(19.605-14.35)</f>
        <v>8.5376472610304237</v>
      </c>
      <c r="U167" s="66">
        <v>28.4</v>
      </c>
      <c r="V167" s="66">
        <f>1.62467121998676*(31.13-25.65)</f>
        <v>8.903198285527445</v>
      </c>
      <c r="W167" s="62">
        <f>20+23</f>
        <v>43</v>
      </c>
      <c r="X167" s="62">
        <v>0</v>
      </c>
      <c r="Y167" s="62">
        <v>0</v>
      </c>
      <c r="Z167" s="62" t="s">
        <v>226</v>
      </c>
      <c r="AA167" s="62"/>
      <c r="AB167" s="62" t="s">
        <v>17</v>
      </c>
      <c r="AC167" s="62" t="s">
        <v>17</v>
      </c>
      <c r="AD167" s="61" t="s">
        <v>17</v>
      </c>
      <c r="AF167" s="4" t="s">
        <v>693</v>
      </c>
    </row>
    <row r="168" spans="1:38" ht="12.75" customHeight="1" x14ac:dyDescent="0.3">
      <c r="A168" s="61">
        <v>167</v>
      </c>
      <c r="B168" s="61">
        <v>42</v>
      </c>
      <c r="C168" s="61" t="s">
        <v>575</v>
      </c>
      <c r="D168" s="62" t="s">
        <v>25</v>
      </c>
      <c r="E168" s="62" t="s">
        <v>26</v>
      </c>
      <c r="F168" s="62" t="s">
        <v>33</v>
      </c>
      <c r="G168" s="62" t="s">
        <v>2</v>
      </c>
      <c r="H168" s="63">
        <v>1</v>
      </c>
      <c r="I168" s="62"/>
      <c r="J168" s="62">
        <v>1</v>
      </c>
      <c r="K168" s="62">
        <v>0</v>
      </c>
      <c r="L168" s="62" t="s">
        <v>28</v>
      </c>
      <c r="M168" s="62">
        <v>3</v>
      </c>
      <c r="N168" s="62">
        <v>14</v>
      </c>
      <c r="O168" s="62">
        <v>1</v>
      </c>
      <c r="P168" s="62" t="s">
        <v>225</v>
      </c>
      <c r="Q168" s="64">
        <v>5.45</v>
      </c>
      <c r="R168" s="65">
        <f>39/63</f>
        <v>0.61904761904761907</v>
      </c>
      <c r="S168" s="66">
        <v>17.006</v>
      </c>
      <c r="T168" s="66">
        <f>1.62467121998676*(19.605-14.35)</f>
        <v>8.5376472610304237</v>
      </c>
      <c r="U168" s="66">
        <v>27.684000000000001</v>
      </c>
      <c r="V168" s="66">
        <f>1.62467121998676*(30.508-24.802)</f>
        <v>9.2703739812444503</v>
      </c>
      <c r="W168" s="62">
        <f>20+23</f>
        <v>43</v>
      </c>
      <c r="X168" s="62">
        <v>0</v>
      </c>
      <c r="Y168" s="62">
        <v>0</v>
      </c>
      <c r="Z168" s="62" t="s">
        <v>226</v>
      </c>
      <c r="AA168" s="62"/>
      <c r="AB168" s="62" t="s">
        <v>17</v>
      </c>
      <c r="AC168" s="62" t="s">
        <v>17</v>
      </c>
      <c r="AD168" s="61" t="s">
        <v>17</v>
      </c>
      <c r="AF168" s="4" t="s">
        <v>693</v>
      </c>
      <c r="AJ168" s="67"/>
      <c r="AK168" s="67"/>
      <c r="AL168" s="67"/>
    </row>
    <row r="169" spans="1:38" ht="12.75" customHeight="1" x14ac:dyDescent="0.3">
      <c r="A169" s="61">
        <v>168</v>
      </c>
      <c r="B169" s="61">
        <v>43</v>
      </c>
      <c r="C169" s="61" t="s">
        <v>839</v>
      </c>
      <c r="D169" s="62" t="s">
        <v>227</v>
      </c>
      <c r="E169" s="62" t="s">
        <v>32</v>
      </c>
      <c r="F169" s="62" t="s">
        <v>228</v>
      </c>
      <c r="G169" s="62" t="s">
        <v>64</v>
      </c>
      <c r="H169" s="63">
        <v>0</v>
      </c>
      <c r="I169" s="62"/>
      <c r="J169" s="62">
        <v>1</v>
      </c>
      <c r="K169" s="62">
        <v>0</v>
      </c>
      <c r="L169" s="62">
        <v>25</v>
      </c>
      <c r="M169" s="62">
        <v>1</v>
      </c>
      <c r="N169" s="62">
        <v>0</v>
      </c>
      <c r="O169" s="62">
        <v>1</v>
      </c>
      <c r="P169" s="62" t="s">
        <v>229</v>
      </c>
      <c r="Q169" s="64">
        <v>8</v>
      </c>
      <c r="R169" s="65">
        <v>0.5</v>
      </c>
      <c r="S169" s="66">
        <v>12.05</v>
      </c>
      <c r="T169" s="66">
        <v>4.7694444120882675</v>
      </c>
      <c r="U169" s="66">
        <v>14.95</v>
      </c>
      <c r="V169" s="66">
        <v>3.8854665099573307</v>
      </c>
      <c r="W169" s="62">
        <v>20</v>
      </c>
      <c r="X169" s="62">
        <v>0</v>
      </c>
      <c r="Y169" s="62">
        <v>0</v>
      </c>
      <c r="Z169" s="62" t="s">
        <v>230</v>
      </c>
      <c r="AA169" s="62" t="s">
        <v>521</v>
      </c>
      <c r="AB169" s="62" t="s">
        <v>17</v>
      </c>
      <c r="AC169" s="62" t="s">
        <v>17</v>
      </c>
      <c r="AD169" s="61" t="s">
        <v>17</v>
      </c>
      <c r="AF169" s="4" t="s">
        <v>626</v>
      </c>
      <c r="AJ169" s="67"/>
      <c r="AK169" s="67"/>
      <c r="AL169" s="67"/>
    </row>
    <row r="170" spans="1:38" ht="12.75" customHeight="1" x14ac:dyDescent="0.3">
      <c r="A170" s="61">
        <v>169</v>
      </c>
      <c r="B170" s="61">
        <v>43</v>
      </c>
      <c r="C170" s="61" t="s">
        <v>839</v>
      </c>
      <c r="D170" s="62" t="s">
        <v>227</v>
      </c>
      <c r="E170" s="62" t="s">
        <v>32</v>
      </c>
      <c r="F170" s="62" t="s">
        <v>228</v>
      </c>
      <c r="G170" s="62" t="s">
        <v>34</v>
      </c>
      <c r="H170" s="63">
        <v>0</v>
      </c>
      <c r="I170" s="62"/>
      <c r="J170" s="62">
        <v>1</v>
      </c>
      <c r="K170" s="62" t="s">
        <v>32</v>
      </c>
      <c r="L170" s="62">
        <v>25</v>
      </c>
      <c r="M170" s="62">
        <v>1</v>
      </c>
      <c r="N170" s="62">
        <v>0</v>
      </c>
      <c r="O170" s="62">
        <v>1</v>
      </c>
      <c r="P170" s="62" t="s">
        <v>229</v>
      </c>
      <c r="Q170" s="64">
        <v>8</v>
      </c>
      <c r="R170" s="65">
        <v>0.57894736842105265</v>
      </c>
      <c r="S170" s="66">
        <v>10.583684210526318</v>
      </c>
      <c r="T170" s="66">
        <v>4.6311941034175419</v>
      </c>
      <c r="U170" s="66">
        <v>14.820000000000002</v>
      </c>
      <c r="V170" s="66">
        <v>5.061844002523423</v>
      </c>
      <c r="W170" s="62">
        <v>19</v>
      </c>
      <c r="X170" s="62">
        <v>0</v>
      </c>
      <c r="Y170" s="62">
        <v>0</v>
      </c>
      <c r="Z170" s="62" t="s">
        <v>230</v>
      </c>
      <c r="AA170" s="62"/>
      <c r="AB170" s="62" t="s">
        <v>17</v>
      </c>
      <c r="AC170" s="62" t="s">
        <v>17</v>
      </c>
      <c r="AD170" s="61" t="s">
        <v>17</v>
      </c>
      <c r="AF170" s="4" t="s">
        <v>626</v>
      </c>
      <c r="AJ170" s="67"/>
      <c r="AK170" s="67"/>
      <c r="AL170" s="67"/>
    </row>
    <row r="171" spans="1:38" ht="12.75" customHeight="1" x14ac:dyDescent="0.3">
      <c r="A171" s="61">
        <v>170</v>
      </c>
      <c r="B171" s="61">
        <v>43</v>
      </c>
      <c r="C171" s="61" t="s">
        <v>839</v>
      </c>
      <c r="D171" s="62" t="s">
        <v>227</v>
      </c>
      <c r="E171" s="62" t="s">
        <v>26</v>
      </c>
      <c r="F171" s="62" t="s">
        <v>228</v>
      </c>
      <c r="G171" s="62" t="s">
        <v>2</v>
      </c>
      <c r="H171" s="63">
        <v>0</v>
      </c>
      <c r="I171" s="62"/>
      <c r="J171" s="62">
        <v>1</v>
      </c>
      <c r="K171" s="62">
        <v>0</v>
      </c>
      <c r="L171" s="62">
        <v>25</v>
      </c>
      <c r="M171" s="62">
        <v>1</v>
      </c>
      <c r="N171" s="62">
        <v>0</v>
      </c>
      <c r="O171" s="62">
        <v>1</v>
      </c>
      <c r="P171" s="62" t="s">
        <v>229</v>
      </c>
      <c r="Q171" s="64">
        <v>8</v>
      </c>
      <c r="R171" s="65">
        <v>0.42105263157894735</v>
      </c>
      <c r="S171" s="66">
        <v>11.635789473684213</v>
      </c>
      <c r="T171" s="66">
        <v>5.260387482932054</v>
      </c>
      <c r="U171" s="66">
        <v>15.210526315789474</v>
      </c>
      <c r="V171" s="66">
        <v>5.054218971489532</v>
      </c>
      <c r="W171" s="62">
        <v>19</v>
      </c>
      <c r="X171" s="62">
        <v>0</v>
      </c>
      <c r="Y171" s="62">
        <v>0</v>
      </c>
      <c r="Z171" s="62" t="s">
        <v>230</v>
      </c>
      <c r="AA171" s="62"/>
      <c r="AB171" s="62" t="s">
        <v>17</v>
      </c>
      <c r="AC171" s="62" t="s">
        <v>17</v>
      </c>
      <c r="AD171" s="61" t="s">
        <v>17</v>
      </c>
      <c r="AF171" s="4" t="s">
        <v>626</v>
      </c>
      <c r="AJ171" s="67"/>
      <c r="AK171" s="67"/>
      <c r="AL171" s="67"/>
    </row>
    <row r="172" spans="1:38" ht="12.75" customHeight="1" x14ac:dyDescent="0.3">
      <c r="A172" s="61">
        <v>171</v>
      </c>
      <c r="B172" s="61">
        <v>44</v>
      </c>
      <c r="C172" s="61" t="s">
        <v>779</v>
      </c>
      <c r="D172" s="62" t="s">
        <v>68</v>
      </c>
      <c r="E172" s="62" t="s">
        <v>231</v>
      </c>
      <c r="F172" s="62" t="s">
        <v>232</v>
      </c>
      <c r="G172" s="62" t="s">
        <v>2</v>
      </c>
      <c r="H172" s="63">
        <v>0</v>
      </c>
      <c r="I172" s="62" t="s">
        <v>113</v>
      </c>
      <c r="J172" s="62" t="s">
        <v>51</v>
      </c>
      <c r="K172" s="62">
        <v>0</v>
      </c>
      <c r="L172" s="62">
        <f>8*2*60</f>
        <v>960</v>
      </c>
      <c r="M172" s="62">
        <v>8</v>
      </c>
      <c r="N172" s="62">
        <v>0</v>
      </c>
      <c r="O172" s="62">
        <v>1</v>
      </c>
      <c r="P172" s="62" t="s">
        <v>233</v>
      </c>
      <c r="Q172" s="64">
        <v>11</v>
      </c>
      <c r="R172" s="65">
        <f>25/(25+6)</f>
        <v>0.80645161290322576</v>
      </c>
      <c r="S172" s="66">
        <f>0.16064</f>
        <v>0.16064000000000001</v>
      </c>
      <c r="T172" s="66">
        <f>(0.28916-S172)*SQRT(W172)</f>
        <v>0.4977558196545771</v>
      </c>
      <c r="U172" s="66">
        <v>3.6787000000000001</v>
      </c>
      <c r="V172" s="66">
        <f>(3.9518-U172)*SQRT(W172)</f>
        <v>1.0577117518492452</v>
      </c>
      <c r="W172" s="62">
        <v>15</v>
      </c>
      <c r="X172" s="62">
        <v>0</v>
      </c>
      <c r="Y172" s="62">
        <v>0</v>
      </c>
      <c r="Z172" s="62" t="s">
        <v>234</v>
      </c>
      <c r="AA172" s="62" t="s">
        <v>1321</v>
      </c>
      <c r="AB172" s="62" t="s">
        <v>45</v>
      </c>
      <c r="AC172" s="62" t="s">
        <v>17</v>
      </c>
      <c r="AD172" s="61" t="s">
        <v>45</v>
      </c>
      <c r="AF172" s="4" t="s">
        <v>627</v>
      </c>
      <c r="AJ172" s="67"/>
      <c r="AK172" s="67"/>
      <c r="AL172" s="67"/>
    </row>
    <row r="173" spans="1:38" ht="12.75" customHeight="1" x14ac:dyDescent="0.3">
      <c r="A173" s="61">
        <v>172</v>
      </c>
      <c r="B173" s="61">
        <v>44</v>
      </c>
      <c r="C173" s="61" t="s">
        <v>779</v>
      </c>
      <c r="D173" s="62" t="s">
        <v>68</v>
      </c>
      <c r="E173" s="62" t="s">
        <v>231</v>
      </c>
      <c r="F173" s="62" t="s">
        <v>232</v>
      </c>
      <c r="G173" s="62" t="s">
        <v>2</v>
      </c>
      <c r="H173" s="63">
        <v>0</v>
      </c>
      <c r="I173" s="62" t="s">
        <v>182</v>
      </c>
      <c r="J173" s="62" t="s">
        <v>51</v>
      </c>
      <c r="K173" s="62">
        <v>0</v>
      </c>
      <c r="L173" s="62">
        <f>8*2*60</f>
        <v>960</v>
      </c>
      <c r="M173" s="62">
        <v>8</v>
      </c>
      <c r="N173" s="62">
        <v>0</v>
      </c>
      <c r="O173" s="62">
        <v>1</v>
      </c>
      <c r="P173" s="62" t="s">
        <v>233</v>
      </c>
      <c r="Q173" s="64">
        <v>11</v>
      </c>
      <c r="R173" s="65">
        <f>25/(25+6)</f>
        <v>0.80645161290322576</v>
      </c>
      <c r="S173" s="66">
        <v>0.30521999999999999</v>
      </c>
      <c r="T173" s="66">
        <f>(0.4373-S173)*SQRT(W173)</f>
        <v>0.52832000000000012</v>
      </c>
      <c r="U173" s="66">
        <v>3.7751000000000001</v>
      </c>
      <c r="V173" s="66">
        <f>(4.0964-U173)*SQRT(W173)</f>
        <v>1.2851999999999997</v>
      </c>
      <c r="W173" s="62">
        <v>16</v>
      </c>
      <c r="X173" s="62">
        <v>0</v>
      </c>
      <c r="Y173" s="62">
        <v>0</v>
      </c>
      <c r="Z173" s="62" t="s">
        <v>234</v>
      </c>
      <c r="AA173" s="62"/>
      <c r="AB173" s="62" t="s">
        <v>45</v>
      </c>
      <c r="AC173" s="62" t="s">
        <v>17</v>
      </c>
      <c r="AD173" s="61" t="s">
        <v>45</v>
      </c>
      <c r="AF173" s="4" t="s">
        <v>627</v>
      </c>
      <c r="AJ173" s="67"/>
      <c r="AK173" s="67"/>
      <c r="AL173" s="67"/>
    </row>
    <row r="174" spans="1:38" ht="12.75" customHeight="1" x14ac:dyDescent="0.3">
      <c r="A174" s="61">
        <v>173</v>
      </c>
      <c r="B174" s="61">
        <v>45</v>
      </c>
      <c r="C174" s="61" t="s">
        <v>789</v>
      </c>
      <c r="D174" s="62" t="s">
        <v>25</v>
      </c>
      <c r="E174" s="62" t="s">
        <v>26</v>
      </c>
      <c r="F174" s="62" t="s">
        <v>235</v>
      </c>
      <c r="G174" s="62" t="s">
        <v>2</v>
      </c>
      <c r="H174" s="63">
        <v>1</v>
      </c>
      <c r="I174" s="62"/>
      <c r="J174" s="62">
        <v>1</v>
      </c>
      <c r="K174" s="62">
        <v>0</v>
      </c>
      <c r="L174" s="62">
        <f>5*3</f>
        <v>15</v>
      </c>
      <c r="M174" s="62">
        <v>3</v>
      </c>
      <c r="N174" s="62">
        <v>4</v>
      </c>
      <c r="O174" s="62">
        <v>2</v>
      </c>
      <c r="P174" s="62" t="s">
        <v>236</v>
      </c>
      <c r="Q174" s="64">
        <v>8.7899999999999991</v>
      </c>
      <c r="R174" s="65">
        <f>45/86</f>
        <v>0.52325581395348841</v>
      </c>
      <c r="S174" s="66">
        <v>55.73</v>
      </c>
      <c r="T174" s="66">
        <v>31.8</v>
      </c>
      <c r="U174" s="66">
        <v>62.12</v>
      </c>
      <c r="V174" s="66">
        <v>36.4</v>
      </c>
      <c r="W174" s="62">
        <v>86</v>
      </c>
      <c r="X174" s="62">
        <v>0</v>
      </c>
      <c r="Y174" s="62">
        <v>0</v>
      </c>
      <c r="Z174" s="62" t="s">
        <v>237</v>
      </c>
      <c r="AA174" s="62" t="s">
        <v>1357</v>
      </c>
      <c r="AB174" s="62" t="s">
        <v>17</v>
      </c>
      <c r="AC174" s="62" t="s">
        <v>17</v>
      </c>
      <c r="AD174" s="61" t="s">
        <v>17</v>
      </c>
      <c r="AF174" s="4" t="s">
        <v>628</v>
      </c>
    </row>
    <row r="175" spans="1:38" ht="12.75" customHeight="1" x14ac:dyDescent="0.3">
      <c r="A175" s="61">
        <v>174</v>
      </c>
      <c r="B175" s="61">
        <v>46</v>
      </c>
      <c r="C175" s="61" t="s">
        <v>795</v>
      </c>
      <c r="D175" s="62" t="s">
        <v>238</v>
      </c>
      <c r="E175" s="62" t="s">
        <v>239</v>
      </c>
      <c r="F175" s="62" t="s">
        <v>240</v>
      </c>
      <c r="G175" s="62" t="s">
        <v>2</v>
      </c>
      <c r="H175" s="63">
        <v>0</v>
      </c>
      <c r="I175" s="62"/>
      <c r="J175" s="62" t="s">
        <v>51</v>
      </c>
      <c r="K175" s="62">
        <v>0</v>
      </c>
      <c r="L175" s="62">
        <f>4*6+19</f>
        <v>43</v>
      </c>
      <c r="M175" s="62">
        <v>4</v>
      </c>
      <c r="N175" s="62">
        <v>0</v>
      </c>
      <c r="O175" s="62">
        <v>1</v>
      </c>
      <c r="P175" s="62" t="s">
        <v>241</v>
      </c>
      <c r="Q175" s="64">
        <v>6.7</v>
      </c>
      <c r="R175" s="65">
        <f>18/42</f>
        <v>0.42857142857142855</v>
      </c>
      <c r="S175" s="66">
        <v>1.98</v>
      </c>
      <c r="T175" s="66">
        <v>1.87</v>
      </c>
      <c r="U175" s="66">
        <v>7.07</v>
      </c>
      <c r="V175" s="66">
        <v>2.13</v>
      </c>
      <c r="W175" s="62">
        <v>42</v>
      </c>
      <c r="X175" s="62">
        <v>0</v>
      </c>
      <c r="Y175" s="62">
        <v>0</v>
      </c>
      <c r="Z175" s="62" t="s">
        <v>242</v>
      </c>
      <c r="AA175" s="62"/>
      <c r="AB175" s="62" t="s">
        <v>17</v>
      </c>
      <c r="AC175" s="62" t="s">
        <v>17</v>
      </c>
      <c r="AD175" s="61" t="s">
        <v>17</v>
      </c>
      <c r="AF175" s="4" t="s">
        <v>629</v>
      </c>
      <c r="AJ175" s="67"/>
      <c r="AK175" s="67"/>
      <c r="AL175" s="67"/>
    </row>
    <row r="176" spans="1:38" ht="12.75" customHeight="1" x14ac:dyDescent="0.3">
      <c r="A176" s="61">
        <v>175</v>
      </c>
      <c r="B176" s="61">
        <v>46</v>
      </c>
      <c r="C176" s="61" t="s">
        <v>795</v>
      </c>
      <c r="D176" s="62" t="s">
        <v>238</v>
      </c>
      <c r="E176" s="62" t="s">
        <v>239</v>
      </c>
      <c r="F176" s="62" t="s">
        <v>240</v>
      </c>
      <c r="G176" s="62" t="s">
        <v>2</v>
      </c>
      <c r="H176" s="63">
        <v>0</v>
      </c>
      <c r="I176" s="62"/>
      <c r="J176" s="62" t="s">
        <v>51</v>
      </c>
      <c r="K176" s="62">
        <v>0</v>
      </c>
      <c r="L176" s="62">
        <f>4*6+19</f>
        <v>43</v>
      </c>
      <c r="M176" s="62">
        <v>4</v>
      </c>
      <c r="N176" s="62">
        <v>0</v>
      </c>
      <c r="O176" s="62">
        <v>2</v>
      </c>
      <c r="P176" s="62" t="s">
        <v>243</v>
      </c>
      <c r="Q176" s="64">
        <v>6.7</v>
      </c>
      <c r="R176" s="65">
        <f>18/42</f>
        <v>0.42857142857142855</v>
      </c>
      <c r="S176" s="66">
        <v>1.98</v>
      </c>
      <c r="T176" s="66">
        <v>1.87</v>
      </c>
      <c r="U176" s="66">
        <v>7.5</v>
      </c>
      <c r="V176" s="66">
        <v>2.1</v>
      </c>
      <c r="W176" s="62">
        <v>42</v>
      </c>
      <c r="X176" s="62">
        <v>0</v>
      </c>
      <c r="Y176" s="62">
        <v>0</v>
      </c>
      <c r="Z176" s="62" t="s">
        <v>242</v>
      </c>
      <c r="AA176" s="62"/>
      <c r="AB176" s="62" t="s">
        <v>17</v>
      </c>
      <c r="AC176" s="62" t="s">
        <v>17</v>
      </c>
      <c r="AD176" s="61" t="s">
        <v>17</v>
      </c>
      <c r="AF176" s="4" t="s">
        <v>629</v>
      </c>
      <c r="AJ176" s="67"/>
      <c r="AK176" s="67"/>
      <c r="AL176" s="67"/>
    </row>
    <row r="177" spans="1:38" ht="12.75" customHeight="1" x14ac:dyDescent="0.3">
      <c r="A177" s="61">
        <v>176</v>
      </c>
      <c r="B177" s="61">
        <v>47</v>
      </c>
      <c r="C177" s="61" t="s">
        <v>741</v>
      </c>
      <c r="D177" s="62" t="s">
        <v>47</v>
      </c>
      <c r="E177" s="62" t="s">
        <v>26</v>
      </c>
      <c r="F177" s="62" t="s">
        <v>244</v>
      </c>
      <c r="G177" s="62" t="s">
        <v>2</v>
      </c>
      <c r="H177" s="63">
        <v>1</v>
      </c>
      <c r="I177" s="62" t="s">
        <v>245</v>
      </c>
      <c r="J177" s="62">
        <v>1</v>
      </c>
      <c r="K177" s="62">
        <v>0</v>
      </c>
      <c r="L177" s="62" t="s">
        <v>246</v>
      </c>
      <c r="M177" s="62" t="s">
        <v>247</v>
      </c>
      <c r="N177" s="62">
        <v>0</v>
      </c>
      <c r="O177" s="62">
        <v>1</v>
      </c>
      <c r="P177" s="62" t="s">
        <v>248</v>
      </c>
      <c r="Q177" s="64">
        <v>7.5</v>
      </c>
      <c r="R177" s="65">
        <f>12/30</f>
        <v>0.4</v>
      </c>
      <c r="S177" s="66">
        <v>0.73055555555555574</v>
      </c>
      <c r="T177" s="66">
        <v>9.8317584296321231E-2</v>
      </c>
      <c r="U177" s="66">
        <v>0.80694444444444435</v>
      </c>
      <c r="V177" s="66">
        <v>7.0476054101999738E-2</v>
      </c>
      <c r="W177" s="62">
        <v>30</v>
      </c>
      <c r="X177" s="62">
        <v>0</v>
      </c>
      <c r="Y177" s="62">
        <v>0</v>
      </c>
      <c r="Z177" s="62" t="s">
        <v>249</v>
      </c>
      <c r="AA177" s="62"/>
      <c r="AB177" s="62" t="s">
        <v>17</v>
      </c>
      <c r="AC177" s="62" t="s">
        <v>17</v>
      </c>
      <c r="AD177" s="61" t="s">
        <v>17</v>
      </c>
      <c r="AF177" s="4" t="s">
        <v>630</v>
      </c>
      <c r="AJ177" s="67"/>
      <c r="AK177" s="67"/>
      <c r="AL177" s="67"/>
    </row>
    <row r="178" spans="1:38" ht="12.75" customHeight="1" x14ac:dyDescent="0.3">
      <c r="A178" s="61">
        <v>177</v>
      </c>
      <c r="B178" s="61">
        <v>47</v>
      </c>
      <c r="C178" s="61" t="s">
        <v>741</v>
      </c>
      <c r="D178" s="62" t="s">
        <v>47</v>
      </c>
      <c r="E178" s="62" t="s">
        <v>26</v>
      </c>
      <c r="F178" s="62" t="s">
        <v>244</v>
      </c>
      <c r="G178" s="62" t="s">
        <v>2</v>
      </c>
      <c r="H178" s="63">
        <v>1</v>
      </c>
      <c r="I178" s="62" t="s">
        <v>155</v>
      </c>
      <c r="J178" s="62">
        <v>1</v>
      </c>
      <c r="K178" s="62">
        <v>0</v>
      </c>
      <c r="L178" s="62" t="s">
        <v>246</v>
      </c>
      <c r="M178" s="62" t="s">
        <v>247</v>
      </c>
      <c r="N178" s="62">
        <v>0</v>
      </c>
      <c r="O178" s="62">
        <v>1</v>
      </c>
      <c r="P178" s="62" t="s">
        <v>248</v>
      </c>
      <c r="Q178" s="64">
        <v>7.5</v>
      </c>
      <c r="R178" s="65">
        <f>12/29</f>
        <v>0.41379310344827586</v>
      </c>
      <c r="S178" s="66">
        <v>0.75862068965517238</v>
      </c>
      <c r="T178" s="66">
        <v>0.11156984872245619</v>
      </c>
      <c r="U178" s="66">
        <v>0.80034722222222221</v>
      </c>
      <c r="V178" s="66">
        <v>8.3314460423267067E-2</v>
      </c>
      <c r="W178" s="62">
        <v>24</v>
      </c>
      <c r="X178" s="62">
        <v>0</v>
      </c>
      <c r="Y178" s="62">
        <v>0</v>
      </c>
      <c r="Z178" s="62" t="s">
        <v>249</v>
      </c>
      <c r="AA178" s="62"/>
      <c r="AB178" s="62" t="s">
        <v>17</v>
      </c>
      <c r="AC178" s="62" t="s">
        <v>17</v>
      </c>
      <c r="AD178" s="61" t="s">
        <v>17</v>
      </c>
      <c r="AF178" s="4" t="s">
        <v>630</v>
      </c>
      <c r="AJ178" s="67"/>
      <c r="AK178" s="67"/>
      <c r="AL178" s="67"/>
    </row>
    <row r="179" spans="1:38" ht="12.75" customHeight="1" x14ac:dyDescent="0.3">
      <c r="A179" s="61">
        <v>178</v>
      </c>
      <c r="B179" s="61">
        <v>47</v>
      </c>
      <c r="C179" s="61" t="s">
        <v>741</v>
      </c>
      <c r="D179" s="62" t="s">
        <v>47</v>
      </c>
      <c r="E179" s="62" t="s">
        <v>26</v>
      </c>
      <c r="F179" s="62" t="s">
        <v>235</v>
      </c>
      <c r="G179" s="62" t="s">
        <v>2</v>
      </c>
      <c r="H179" s="63">
        <v>1</v>
      </c>
      <c r="I179" s="62" t="s">
        <v>245</v>
      </c>
      <c r="J179" s="62">
        <v>1</v>
      </c>
      <c r="K179" s="62">
        <v>0</v>
      </c>
      <c r="L179" s="62" t="s">
        <v>246</v>
      </c>
      <c r="M179" s="62" t="s">
        <v>247</v>
      </c>
      <c r="N179" s="62">
        <v>0</v>
      </c>
      <c r="O179" s="62">
        <v>1</v>
      </c>
      <c r="P179" s="62" t="s">
        <v>1310</v>
      </c>
      <c r="Q179" s="64">
        <v>7.5</v>
      </c>
      <c r="R179" s="65">
        <f>12/30</f>
        <v>0.4</v>
      </c>
      <c r="S179" s="66">
        <v>0.55694444444444435</v>
      </c>
      <c r="T179" s="66">
        <v>0.21927978933560799</v>
      </c>
      <c r="U179" s="66">
        <v>0.5625</v>
      </c>
      <c r="V179" s="66">
        <v>0.21532025906400129</v>
      </c>
      <c r="W179" s="62">
        <v>30</v>
      </c>
      <c r="X179" s="62">
        <v>0</v>
      </c>
      <c r="Y179" s="62">
        <v>0</v>
      </c>
      <c r="Z179" s="62" t="s">
        <v>249</v>
      </c>
      <c r="AA179" s="62"/>
      <c r="AB179" s="62" t="s">
        <v>17</v>
      </c>
      <c r="AC179" s="62" t="s">
        <v>17</v>
      </c>
      <c r="AD179" s="61" t="s">
        <v>17</v>
      </c>
      <c r="AF179" s="4" t="s">
        <v>630</v>
      </c>
      <c r="AJ179" s="67"/>
      <c r="AK179" s="67"/>
      <c r="AL179" s="67"/>
    </row>
    <row r="180" spans="1:38" ht="12.75" customHeight="1" x14ac:dyDescent="0.3">
      <c r="A180" s="61">
        <v>179</v>
      </c>
      <c r="B180" s="61">
        <v>47</v>
      </c>
      <c r="C180" s="61" t="s">
        <v>741</v>
      </c>
      <c r="D180" s="62" t="s">
        <v>47</v>
      </c>
      <c r="E180" s="62" t="s">
        <v>26</v>
      </c>
      <c r="F180" s="62" t="s">
        <v>235</v>
      </c>
      <c r="G180" s="62" t="s">
        <v>2</v>
      </c>
      <c r="H180" s="63">
        <v>1</v>
      </c>
      <c r="I180" s="62" t="s">
        <v>155</v>
      </c>
      <c r="J180" s="62">
        <v>1</v>
      </c>
      <c r="K180" s="62">
        <v>0</v>
      </c>
      <c r="L180" s="62" t="s">
        <v>246</v>
      </c>
      <c r="M180" s="62" t="s">
        <v>247</v>
      </c>
      <c r="N180" s="62">
        <v>0</v>
      </c>
      <c r="O180" s="62">
        <v>1</v>
      </c>
      <c r="P180" s="62" t="s">
        <v>1310</v>
      </c>
      <c r="Q180" s="64">
        <v>7.5</v>
      </c>
      <c r="R180" s="65">
        <f>12/29</f>
        <v>0.41379310344827586</v>
      </c>
      <c r="S180" s="66">
        <v>0.52035440613026818</v>
      </c>
      <c r="T180" s="66">
        <v>0.14639831782967397</v>
      </c>
      <c r="U180" s="66">
        <v>0.53677983539094654</v>
      </c>
      <c r="V180" s="66">
        <v>0.1465541659970877</v>
      </c>
      <c r="W180" s="62">
        <v>27</v>
      </c>
      <c r="X180" s="62">
        <v>0</v>
      </c>
      <c r="Y180" s="62">
        <v>0</v>
      </c>
      <c r="Z180" s="62" t="s">
        <v>249</v>
      </c>
      <c r="AA180" s="62"/>
      <c r="AB180" s="62" t="s">
        <v>17</v>
      </c>
      <c r="AC180" s="62" t="s">
        <v>17</v>
      </c>
      <c r="AD180" s="61" t="s">
        <v>17</v>
      </c>
      <c r="AF180" s="4" t="s">
        <v>630</v>
      </c>
      <c r="AJ180" s="67"/>
      <c r="AK180" s="67"/>
      <c r="AL180" s="67"/>
    </row>
    <row r="181" spans="1:38" ht="12.75" customHeight="1" x14ac:dyDescent="0.3">
      <c r="A181" s="61">
        <v>180</v>
      </c>
      <c r="B181" s="61">
        <v>47</v>
      </c>
      <c r="C181" s="61" t="s">
        <v>741</v>
      </c>
      <c r="D181" s="62" t="s">
        <v>47</v>
      </c>
      <c r="E181" s="62" t="s">
        <v>26</v>
      </c>
      <c r="F181" s="62" t="s">
        <v>250</v>
      </c>
      <c r="G181" s="62" t="s">
        <v>2</v>
      </c>
      <c r="H181" s="63">
        <v>1</v>
      </c>
      <c r="I181" s="62" t="s">
        <v>245</v>
      </c>
      <c r="J181" s="62">
        <v>1</v>
      </c>
      <c r="K181" s="62">
        <v>0</v>
      </c>
      <c r="L181" s="62" t="s">
        <v>246</v>
      </c>
      <c r="M181" s="62" t="s">
        <v>247</v>
      </c>
      <c r="N181" s="62">
        <v>0</v>
      </c>
      <c r="O181" s="62">
        <v>1</v>
      </c>
      <c r="P181" s="62" t="s">
        <v>251</v>
      </c>
      <c r="Q181" s="64">
        <v>7.5</v>
      </c>
      <c r="R181" s="65">
        <f>12/30</f>
        <v>0.4</v>
      </c>
      <c r="S181" s="66">
        <v>0.61724137931034473</v>
      </c>
      <c r="T181" s="66">
        <v>0.2493834762501338</v>
      </c>
      <c r="U181" s="66">
        <v>0.80694444444444435</v>
      </c>
      <c r="V181" s="66">
        <v>7.0476054101999738E-2</v>
      </c>
      <c r="W181" s="62">
        <v>29</v>
      </c>
      <c r="X181" s="62">
        <v>0</v>
      </c>
      <c r="Y181" s="62">
        <v>0</v>
      </c>
      <c r="Z181" s="62" t="s">
        <v>249</v>
      </c>
      <c r="AA181" s="62"/>
      <c r="AB181" s="62" t="s">
        <v>17</v>
      </c>
      <c r="AC181" s="62" t="s">
        <v>17</v>
      </c>
      <c r="AD181" s="61" t="s">
        <v>17</v>
      </c>
      <c r="AF181" s="4" t="s">
        <v>630</v>
      </c>
      <c r="AJ181" s="67"/>
      <c r="AK181" s="67"/>
      <c r="AL181" s="67"/>
    </row>
    <row r="182" spans="1:38" ht="12.75" customHeight="1" x14ac:dyDescent="0.3">
      <c r="A182" s="61">
        <v>181</v>
      </c>
      <c r="B182" s="61">
        <v>47</v>
      </c>
      <c r="C182" s="61" t="s">
        <v>741</v>
      </c>
      <c r="D182" s="62" t="s">
        <v>47</v>
      </c>
      <c r="E182" s="62" t="s">
        <v>26</v>
      </c>
      <c r="F182" s="62" t="s">
        <v>250</v>
      </c>
      <c r="G182" s="62" t="s">
        <v>2</v>
      </c>
      <c r="H182" s="63">
        <v>1</v>
      </c>
      <c r="I182" s="62" t="s">
        <v>155</v>
      </c>
      <c r="J182" s="62">
        <v>1</v>
      </c>
      <c r="K182" s="62">
        <v>0</v>
      </c>
      <c r="L182" s="62" t="s">
        <v>246</v>
      </c>
      <c r="M182" s="62" t="s">
        <v>247</v>
      </c>
      <c r="N182" s="62">
        <v>0</v>
      </c>
      <c r="O182" s="62">
        <v>1</v>
      </c>
      <c r="P182" s="62" t="s">
        <v>251</v>
      </c>
      <c r="Q182" s="64">
        <v>7.5</v>
      </c>
      <c r="R182" s="65">
        <f>12/29</f>
        <v>0.41379310344827586</v>
      </c>
      <c r="S182" s="66">
        <v>0.65357142857142858</v>
      </c>
      <c r="T182" s="66">
        <v>0.27282085134977679</v>
      </c>
      <c r="U182" s="66">
        <v>0.53214285714285725</v>
      </c>
      <c r="V182" s="66">
        <v>0.31157137156150827</v>
      </c>
      <c r="W182" s="62">
        <v>28</v>
      </c>
      <c r="X182" s="62">
        <v>0</v>
      </c>
      <c r="Y182" s="62">
        <v>0</v>
      </c>
      <c r="Z182" s="62" t="s">
        <v>249</v>
      </c>
      <c r="AA182" s="62"/>
      <c r="AB182" s="62" t="s">
        <v>17</v>
      </c>
      <c r="AC182" s="62" t="s">
        <v>17</v>
      </c>
      <c r="AD182" s="61" t="s">
        <v>17</v>
      </c>
      <c r="AF182" s="4" t="s">
        <v>630</v>
      </c>
      <c r="AJ182" s="67"/>
      <c r="AK182" s="67"/>
      <c r="AL182" s="67"/>
    </row>
    <row r="183" spans="1:38" ht="12.75" customHeight="1" x14ac:dyDescent="0.3">
      <c r="A183" s="61">
        <v>182</v>
      </c>
      <c r="B183" s="61">
        <v>48</v>
      </c>
      <c r="C183" s="61" t="s">
        <v>825</v>
      </c>
      <c r="D183" s="62" t="s">
        <v>1095</v>
      </c>
      <c r="E183" s="62" t="s">
        <v>26</v>
      </c>
      <c r="F183" s="62" t="s">
        <v>33</v>
      </c>
      <c r="G183" s="62" t="s">
        <v>2</v>
      </c>
      <c r="H183" s="63">
        <v>1</v>
      </c>
      <c r="I183" s="62" t="s">
        <v>252</v>
      </c>
      <c r="J183" s="62">
        <v>1</v>
      </c>
      <c r="K183" s="62">
        <v>0</v>
      </c>
      <c r="L183" s="62">
        <v>23.76</v>
      </c>
      <c r="M183" s="62">
        <v>1</v>
      </c>
      <c r="N183" s="62">
        <v>0</v>
      </c>
      <c r="O183" s="62">
        <v>2</v>
      </c>
      <c r="P183" s="62" t="s">
        <v>253</v>
      </c>
      <c r="Q183" s="64">
        <v>5.43</v>
      </c>
      <c r="R183" s="65">
        <f>27/49</f>
        <v>0.55102040816326525</v>
      </c>
      <c r="S183" s="66">
        <v>1.8472</v>
      </c>
      <c r="T183" s="66">
        <f>3.0556-S183</f>
        <v>1.2084000000000001</v>
      </c>
      <c r="U183" s="66">
        <v>4.8611000000000004</v>
      </c>
      <c r="V183" s="66">
        <f>7.0833-U183</f>
        <v>2.2222</v>
      </c>
      <c r="W183" s="62">
        <v>22</v>
      </c>
      <c r="X183" s="62">
        <v>0</v>
      </c>
      <c r="Y183" s="62">
        <v>0</v>
      </c>
      <c r="Z183" s="62" t="s">
        <v>234</v>
      </c>
      <c r="AA183" s="62" t="s">
        <v>1341</v>
      </c>
      <c r="AB183" s="62" t="s">
        <v>17</v>
      </c>
      <c r="AC183" s="62" t="s">
        <v>17</v>
      </c>
      <c r="AD183" s="61" t="s">
        <v>45</v>
      </c>
      <c r="AF183" s="4" t="s">
        <v>631</v>
      </c>
    </row>
    <row r="184" spans="1:38" ht="12.75" customHeight="1" x14ac:dyDescent="0.3">
      <c r="A184" s="61">
        <v>183</v>
      </c>
      <c r="B184" s="61">
        <v>48</v>
      </c>
      <c r="C184" s="61" t="s">
        <v>825</v>
      </c>
      <c r="D184" s="62" t="s">
        <v>1095</v>
      </c>
      <c r="E184" s="62" t="s">
        <v>26</v>
      </c>
      <c r="F184" s="62" t="s">
        <v>33</v>
      </c>
      <c r="G184" s="62" t="s">
        <v>2</v>
      </c>
      <c r="H184" s="63">
        <v>1</v>
      </c>
      <c r="I184" s="62" t="s">
        <v>252</v>
      </c>
      <c r="J184" s="62">
        <v>1</v>
      </c>
      <c r="K184" s="62">
        <v>0</v>
      </c>
      <c r="L184" s="62">
        <v>23.76</v>
      </c>
      <c r="M184" s="62">
        <v>1</v>
      </c>
      <c r="N184" s="62">
        <v>12.95</v>
      </c>
      <c r="O184" s="62">
        <v>2</v>
      </c>
      <c r="P184" s="62" t="s">
        <v>253</v>
      </c>
      <c r="Q184" s="64">
        <v>5.43</v>
      </c>
      <c r="R184" s="65">
        <f>27/49</f>
        <v>0.55102040816326525</v>
      </c>
      <c r="S184" s="66">
        <v>1.8472</v>
      </c>
      <c r="T184" s="66">
        <f>3.0556-S184</f>
        <v>1.2084000000000001</v>
      </c>
      <c r="U184" s="66">
        <v>4.7916999999999996</v>
      </c>
      <c r="V184" s="66">
        <f>7.0417-U184</f>
        <v>2.25</v>
      </c>
      <c r="W184" s="62">
        <v>22</v>
      </c>
      <c r="X184" s="62">
        <v>0</v>
      </c>
      <c r="Y184" s="62">
        <v>0</v>
      </c>
      <c r="Z184" s="62" t="s">
        <v>234</v>
      </c>
      <c r="AA184" s="62"/>
      <c r="AB184" s="62" t="s">
        <v>17</v>
      </c>
      <c r="AC184" s="62" t="s">
        <v>17</v>
      </c>
      <c r="AD184" s="61" t="s">
        <v>45</v>
      </c>
      <c r="AF184" s="4" t="s">
        <v>631</v>
      </c>
    </row>
    <row r="185" spans="1:38" ht="12.75" customHeight="1" x14ac:dyDescent="0.3">
      <c r="A185" s="61">
        <v>184</v>
      </c>
      <c r="B185" s="61">
        <v>48</v>
      </c>
      <c r="C185" s="61" t="s">
        <v>825</v>
      </c>
      <c r="D185" s="62" t="s">
        <v>1095</v>
      </c>
      <c r="E185" s="62" t="s">
        <v>26</v>
      </c>
      <c r="F185" s="62" t="s">
        <v>33</v>
      </c>
      <c r="G185" s="62" t="s">
        <v>2</v>
      </c>
      <c r="H185" s="63">
        <v>1</v>
      </c>
      <c r="I185" s="62" t="s">
        <v>254</v>
      </c>
      <c r="J185" s="62">
        <v>1</v>
      </c>
      <c r="K185" s="62">
        <v>0</v>
      </c>
      <c r="L185" s="62">
        <v>23.76</v>
      </c>
      <c r="M185" s="62">
        <v>1</v>
      </c>
      <c r="N185" s="62">
        <v>0</v>
      </c>
      <c r="O185" s="62">
        <v>2</v>
      </c>
      <c r="P185" s="62" t="s">
        <v>253</v>
      </c>
      <c r="Q185" s="64">
        <v>5.43</v>
      </c>
      <c r="R185" s="65">
        <f>27/49</f>
        <v>0.55102040816326525</v>
      </c>
      <c r="S185" s="66">
        <v>1.5972</v>
      </c>
      <c r="T185" s="66">
        <f>3.0139-S185</f>
        <v>1.4167000000000001</v>
      </c>
      <c r="U185" s="66">
        <v>4.1666999999999996</v>
      </c>
      <c r="V185" s="66">
        <f>6.4583-U185</f>
        <v>2.2916000000000007</v>
      </c>
      <c r="W185" s="62">
        <v>18</v>
      </c>
      <c r="X185" s="62">
        <v>0</v>
      </c>
      <c r="Y185" s="62">
        <v>0</v>
      </c>
      <c r="Z185" s="62" t="s">
        <v>234</v>
      </c>
      <c r="AA185" s="62"/>
      <c r="AB185" s="62" t="s">
        <v>17</v>
      </c>
      <c r="AC185" s="62" t="s">
        <v>17</v>
      </c>
      <c r="AD185" s="61" t="s">
        <v>45</v>
      </c>
      <c r="AF185" s="4" t="s">
        <v>631</v>
      </c>
    </row>
    <row r="186" spans="1:38" ht="12.75" customHeight="1" x14ac:dyDescent="0.3">
      <c r="A186" s="61">
        <v>185</v>
      </c>
      <c r="B186" s="61">
        <v>48</v>
      </c>
      <c r="C186" s="61" t="s">
        <v>825</v>
      </c>
      <c r="D186" s="62" t="s">
        <v>1095</v>
      </c>
      <c r="E186" s="62" t="s">
        <v>26</v>
      </c>
      <c r="F186" s="62" t="s">
        <v>33</v>
      </c>
      <c r="G186" s="62" t="s">
        <v>2</v>
      </c>
      <c r="H186" s="63">
        <v>1</v>
      </c>
      <c r="I186" s="62" t="s">
        <v>254</v>
      </c>
      <c r="J186" s="62">
        <v>1</v>
      </c>
      <c r="K186" s="62">
        <v>0</v>
      </c>
      <c r="L186" s="62">
        <v>23.76</v>
      </c>
      <c r="M186" s="62">
        <v>1</v>
      </c>
      <c r="N186" s="62">
        <v>11.39</v>
      </c>
      <c r="O186" s="62">
        <v>2</v>
      </c>
      <c r="P186" s="62" t="s">
        <v>253</v>
      </c>
      <c r="Q186" s="64">
        <v>5.43</v>
      </c>
      <c r="R186" s="65">
        <f>27/49</f>
        <v>0.55102040816326525</v>
      </c>
      <c r="S186" s="66">
        <v>1.5972</v>
      </c>
      <c r="T186" s="66">
        <f>3.0139-S186</f>
        <v>1.4167000000000001</v>
      </c>
      <c r="U186" s="66">
        <v>4.1528</v>
      </c>
      <c r="V186" s="66">
        <f>6.611-U186</f>
        <v>2.4581999999999997</v>
      </c>
      <c r="W186" s="62">
        <v>18</v>
      </c>
      <c r="X186" s="62">
        <v>0</v>
      </c>
      <c r="Y186" s="62">
        <v>0</v>
      </c>
      <c r="Z186" s="62" t="s">
        <v>234</v>
      </c>
      <c r="AA186" s="62"/>
      <c r="AB186" s="62" t="s">
        <v>17</v>
      </c>
      <c r="AC186" s="62" t="s">
        <v>17</v>
      </c>
      <c r="AD186" s="61" t="s">
        <v>45</v>
      </c>
      <c r="AF186" s="4" t="s">
        <v>631</v>
      </c>
    </row>
    <row r="187" spans="1:38" ht="12.75" customHeight="1" x14ac:dyDescent="0.3">
      <c r="A187" s="61">
        <v>186</v>
      </c>
      <c r="B187" s="61">
        <v>49</v>
      </c>
      <c r="C187" s="61" t="s">
        <v>769</v>
      </c>
      <c r="D187" s="62" t="s">
        <v>255</v>
      </c>
      <c r="E187" s="62" t="s">
        <v>256</v>
      </c>
      <c r="F187" s="62" t="s">
        <v>140</v>
      </c>
      <c r="G187" s="62" t="s">
        <v>2</v>
      </c>
      <c r="H187" s="63">
        <v>0</v>
      </c>
      <c r="I187" s="62"/>
      <c r="J187" s="62">
        <v>1</v>
      </c>
      <c r="K187" s="62">
        <v>0</v>
      </c>
      <c r="L187" s="62" t="s">
        <v>246</v>
      </c>
      <c r="M187" s="62">
        <v>2</v>
      </c>
      <c r="N187" s="62">
        <v>0</v>
      </c>
      <c r="O187" s="62">
        <v>2</v>
      </c>
      <c r="P187" s="62" t="s">
        <v>257</v>
      </c>
      <c r="Q187" s="64">
        <v>8.4</v>
      </c>
      <c r="R187" s="65">
        <v>0.56000000000000005</v>
      </c>
      <c r="S187" s="66">
        <v>37.162666666666667</v>
      </c>
      <c r="T187" s="66">
        <v>14.539123464332748</v>
      </c>
      <c r="U187" s="66">
        <v>45.735733333333336</v>
      </c>
      <c r="V187" s="66">
        <v>17.293081588697063</v>
      </c>
      <c r="W187" s="62">
        <v>75</v>
      </c>
      <c r="X187" s="62">
        <v>0</v>
      </c>
      <c r="Y187" s="62">
        <v>0</v>
      </c>
      <c r="Z187" s="62" t="s">
        <v>1351</v>
      </c>
      <c r="AA187" s="62" t="s">
        <v>258</v>
      </c>
      <c r="AB187" s="62" t="s">
        <v>17</v>
      </c>
      <c r="AC187" s="62" t="s">
        <v>17</v>
      </c>
      <c r="AD187" s="61" t="s">
        <v>17</v>
      </c>
      <c r="AF187" s="4" t="s">
        <v>632</v>
      </c>
    </row>
    <row r="188" spans="1:38" ht="12.75" customHeight="1" x14ac:dyDescent="0.3">
      <c r="A188" s="61">
        <v>187</v>
      </c>
      <c r="B188" s="61">
        <v>50</v>
      </c>
      <c r="C188" s="61" t="s">
        <v>761</v>
      </c>
      <c r="D188" s="62" t="s">
        <v>41</v>
      </c>
      <c r="E188" s="62" t="s">
        <v>32</v>
      </c>
      <c r="F188" s="62" t="s">
        <v>63</v>
      </c>
      <c r="G188" s="62" t="s">
        <v>34</v>
      </c>
      <c r="H188" s="63">
        <v>0</v>
      </c>
      <c r="I188" s="62"/>
      <c r="J188" s="62" t="s">
        <v>51</v>
      </c>
      <c r="K188" s="62" t="s">
        <v>32</v>
      </c>
      <c r="L188" s="62" t="s">
        <v>28</v>
      </c>
      <c r="M188" s="62">
        <v>1</v>
      </c>
      <c r="N188" s="62">
        <v>0</v>
      </c>
      <c r="O188" s="62" t="s">
        <v>32</v>
      </c>
      <c r="P188" s="62" t="s">
        <v>259</v>
      </c>
      <c r="Q188" s="64">
        <v>4</v>
      </c>
      <c r="R188" s="65">
        <v>0.5</v>
      </c>
      <c r="S188" s="66"/>
      <c r="T188" s="66"/>
      <c r="U188" s="66">
        <v>15.3</v>
      </c>
      <c r="V188" s="66">
        <v>7</v>
      </c>
      <c r="W188" s="62">
        <v>15</v>
      </c>
      <c r="X188" s="62">
        <v>0</v>
      </c>
      <c r="Y188" s="62">
        <v>0</v>
      </c>
      <c r="Z188" s="62" t="s">
        <v>260</v>
      </c>
      <c r="AA188" s="62"/>
      <c r="AB188" s="62" t="s">
        <v>45</v>
      </c>
      <c r="AC188" s="62" t="s">
        <v>45</v>
      </c>
      <c r="AD188" s="61" t="s">
        <v>17</v>
      </c>
      <c r="AF188" s="4" t="s">
        <v>633</v>
      </c>
    </row>
    <row r="189" spans="1:38" ht="12.75" customHeight="1" x14ac:dyDescent="0.3">
      <c r="A189" s="61">
        <v>188</v>
      </c>
      <c r="B189" s="61">
        <v>50</v>
      </c>
      <c r="C189" s="61" t="s">
        <v>761</v>
      </c>
      <c r="D189" s="62" t="s">
        <v>41</v>
      </c>
      <c r="E189" s="62" t="s">
        <v>32</v>
      </c>
      <c r="F189" s="62" t="s">
        <v>63</v>
      </c>
      <c r="G189" s="62" t="s">
        <v>261</v>
      </c>
      <c r="H189" s="63">
        <v>0</v>
      </c>
      <c r="I189" s="62"/>
      <c r="J189" s="62" t="s">
        <v>51</v>
      </c>
      <c r="K189" s="62">
        <v>0</v>
      </c>
      <c r="L189" s="62" t="s">
        <v>28</v>
      </c>
      <c r="M189" s="62">
        <v>1</v>
      </c>
      <c r="N189" s="62">
        <v>0</v>
      </c>
      <c r="O189" s="62" t="s">
        <v>32</v>
      </c>
      <c r="P189" s="62" t="s">
        <v>259</v>
      </c>
      <c r="Q189" s="64">
        <v>4</v>
      </c>
      <c r="R189" s="65">
        <v>0.5</v>
      </c>
      <c r="S189" s="66"/>
      <c r="T189" s="66"/>
      <c r="U189" s="66">
        <v>8.6</v>
      </c>
      <c r="V189" s="66">
        <v>6.4</v>
      </c>
      <c r="W189" s="62">
        <v>15</v>
      </c>
      <c r="X189" s="62">
        <v>0</v>
      </c>
      <c r="Y189" s="62">
        <v>0</v>
      </c>
      <c r="Z189" s="62" t="s">
        <v>260</v>
      </c>
      <c r="AA189" s="62"/>
      <c r="AB189" s="62" t="s">
        <v>45</v>
      </c>
      <c r="AC189" s="62" t="s">
        <v>45</v>
      </c>
      <c r="AD189" s="61" t="s">
        <v>17</v>
      </c>
      <c r="AF189" s="4" t="s">
        <v>633</v>
      </c>
    </row>
    <row r="190" spans="1:38" ht="12.75" customHeight="1" x14ac:dyDescent="0.3">
      <c r="A190" s="61">
        <v>189</v>
      </c>
      <c r="B190" s="61">
        <v>50</v>
      </c>
      <c r="C190" s="61" t="s">
        <v>761</v>
      </c>
      <c r="D190" s="62" t="s">
        <v>41</v>
      </c>
      <c r="E190" s="62" t="s">
        <v>32</v>
      </c>
      <c r="F190" s="62" t="s">
        <v>63</v>
      </c>
      <c r="G190" s="62" t="s">
        <v>60</v>
      </c>
      <c r="H190" s="63">
        <v>0</v>
      </c>
      <c r="I190" s="62"/>
      <c r="J190" s="62" t="s">
        <v>32</v>
      </c>
      <c r="K190" s="62" t="s">
        <v>32</v>
      </c>
      <c r="L190" s="62" t="s">
        <v>32</v>
      </c>
      <c r="M190" s="62" t="s">
        <v>32</v>
      </c>
      <c r="N190" s="62" t="s">
        <v>32</v>
      </c>
      <c r="O190" s="62" t="s">
        <v>32</v>
      </c>
      <c r="P190" s="62" t="s">
        <v>259</v>
      </c>
      <c r="Q190" s="64">
        <v>4</v>
      </c>
      <c r="R190" s="65">
        <v>0.5</v>
      </c>
      <c r="S190" s="66"/>
      <c r="T190" s="66"/>
      <c r="U190" s="66">
        <v>6</v>
      </c>
      <c r="V190" s="66">
        <v>2.8</v>
      </c>
      <c r="W190" s="62">
        <v>15</v>
      </c>
      <c r="X190" s="62">
        <v>0</v>
      </c>
      <c r="Y190" s="62">
        <v>0</v>
      </c>
      <c r="Z190" s="62" t="s">
        <v>260</v>
      </c>
      <c r="AA190" s="62"/>
      <c r="AB190" s="62" t="s">
        <v>45</v>
      </c>
      <c r="AC190" s="62" t="s">
        <v>45</v>
      </c>
      <c r="AD190" s="61" t="s">
        <v>17</v>
      </c>
      <c r="AF190" s="4" t="s">
        <v>633</v>
      </c>
    </row>
    <row r="191" spans="1:38" ht="12.75" customHeight="1" x14ac:dyDescent="0.3">
      <c r="A191" s="61">
        <v>190</v>
      </c>
      <c r="B191" s="61">
        <v>50</v>
      </c>
      <c r="C191" s="61" t="s">
        <v>761</v>
      </c>
      <c r="D191" s="62" t="s">
        <v>41</v>
      </c>
      <c r="E191" s="62" t="s">
        <v>262</v>
      </c>
      <c r="F191" s="62" t="s">
        <v>63</v>
      </c>
      <c r="G191" s="62" t="s">
        <v>2</v>
      </c>
      <c r="H191" s="63">
        <v>0</v>
      </c>
      <c r="I191" s="62" t="s">
        <v>263</v>
      </c>
      <c r="J191" s="62" t="s">
        <v>51</v>
      </c>
      <c r="K191" s="62">
        <v>0</v>
      </c>
      <c r="L191" s="62" t="s">
        <v>28</v>
      </c>
      <c r="M191" s="62">
        <v>1</v>
      </c>
      <c r="N191" s="62">
        <v>0</v>
      </c>
      <c r="O191" s="62" t="s">
        <v>32</v>
      </c>
      <c r="P191" s="62" t="s">
        <v>259</v>
      </c>
      <c r="Q191" s="64">
        <v>4</v>
      </c>
      <c r="R191" s="65">
        <v>0.5</v>
      </c>
      <c r="S191" s="66"/>
      <c r="T191" s="66"/>
      <c r="U191" s="66">
        <v>11.9</v>
      </c>
      <c r="V191" s="66">
        <v>7.9</v>
      </c>
      <c r="W191" s="62">
        <v>15</v>
      </c>
      <c r="X191" s="62">
        <v>0</v>
      </c>
      <c r="Y191" s="62">
        <v>0</v>
      </c>
      <c r="Z191" s="62" t="s">
        <v>260</v>
      </c>
      <c r="AA191" s="62"/>
      <c r="AB191" s="62" t="s">
        <v>45</v>
      </c>
      <c r="AC191" s="62" t="s">
        <v>45</v>
      </c>
      <c r="AD191" s="61" t="s">
        <v>17</v>
      </c>
      <c r="AF191" s="4" t="s">
        <v>633</v>
      </c>
    </row>
    <row r="192" spans="1:38" ht="12.75" customHeight="1" x14ac:dyDescent="0.3">
      <c r="A192" s="61">
        <v>191</v>
      </c>
      <c r="B192" s="61">
        <v>50</v>
      </c>
      <c r="C192" s="61" t="s">
        <v>761</v>
      </c>
      <c r="D192" s="62" t="s">
        <v>41</v>
      </c>
      <c r="E192" s="62" t="s">
        <v>262</v>
      </c>
      <c r="F192" s="62" t="s">
        <v>63</v>
      </c>
      <c r="G192" s="62" t="s">
        <v>2</v>
      </c>
      <c r="H192" s="63">
        <v>0</v>
      </c>
      <c r="I192" s="62" t="s">
        <v>264</v>
      </c>
      <c r="J192" s="62" t="s">
        <v>51</v>
      </c>
      <c r="K192" s="62">
        <v>0</v>
      </c>
      <c r="L192" s="62" t="s">
        <v>28</v>
      </c>
      <c r="M192" s="62">
        <v>1</v>
      </c>
      <c r="N192" s="62">
        <v>0</v>
      </c>
      <c r="O192" s="62" t="s">
        <v>32</v>
      </c>
      <c r="P192" s="62" t="s">
        <v>259</v>
      </c>
      <c r="Q192" s="64">
        <v>4</v>
      </c>
      <c r="R192" s="65">
        <v>0.5</v>
      </c>
      <c r="S192" s="66"/>
      <c r="T192" s="66"/>
      <c r="U192" s="66">
        <v>12.4</v>
      </c>
      <c r="V192" s="66">
        <v>6.1</v>
      </c>
      <c r="W192" s="62">
        <v>15</v>
      </c>
      <c r="X192" s="62">
        <v>0</v>
      </c>
      <c r="Y192" s="62">
        <v>0</v>
      </c>
      <c r="Z192" s="62" t="s">
        <v>260</v>
      </c>
      <c r="AA192" s="62"/>
      <c r="AB192" s="62" t="s">
        <v>45</v>
      </c>
      <c r="AC192" s="62" t="s">
        <v>45</v>
      </c>
      <c r="AD192" s="61" t="s">
        <v>17</v>
      </c>
      <c r="AF192" s="4" t="s">
        <v>633</v>
      </c>
    </row>
    <row r="193" spans="1:32" ht="12.75" customHeight="1" x14ac:dyDescent="0.3">
      <c r="A193" s="61">
        <v>192</v>
      </c>
      <c r="B193" s="61">
        <v>51</v>
      </c>
      <c r="C193" s="61" t="s">
        <v>765</v>
      </c>
      <c r="D193" s="62" t="s">
        <v>187</v>
      </c>
      <c r="E193" s="62" t="s">
        <v>32</v>
      </c>
      <c r="F193" s="62" t="s">
        <v>265</v>
      </c>
      <c r="G193" s="62" t="s">
        <v>261</v>
      </c>
      <c r="H193" s="63">
        <v>0</v>
      </c>
      <c r="I193" s="62"/>
      <c r="J193" s="62">
        <v>1</v>
      </c>
      <c r="K193" s="62">
        <v>0</v>
      </c>
      <c r="L193" s="62">
        <v>40</v>
      </c>
      <c r="M193" s="62">
        <v>1</v>
      </c>
      <c r="N193" s="62">
        <v>1</v>
      </c>
      <c r="O193" s="62" t="s">
        <v>32</v>
      </c>
      <c r="P193" s="62" t="s">
        <v>266</v>
      </c>
      <c r="Q193" s="64">
        <v>10.5</v>
      </c>
      <c r="R193" s="65">
        <v>0.5</v>
      </c>
      <c r="S193" s="66"/>
      <c r="T193" s="66"/>
      <c r="U193" s="66">
        <v>4.6100000000000003</v>
      </c>
      <c r="V193" s="66">
        <v>1.37</v>
      </c>
      <c r="W193" s="62">
        <v>30</v>
      </c>
      <c r="X193" s="62">
        <v>0</v>
      </c>
      <c r="Y193" s="62">
        <v>0</v>
      </c>
      <c r="Z193" s="62" t="s">
        <v>210</v>
      </c>
      <c r="AA193" s="62"/>
      <c r="AB193" s="62" t="s">
        <v>45</v>
      </c>
      <c r="AC193" s="62" t="s">
        <v>45</v>
      </c>
      <c r="AD193" s="61" t="s">
        <v>45</v>
      </c>
      <c r="AF193" s="4" t="s">
        <v>634</v>
      </c>
    </row>
    <row r="194" spans="1:32" ht="12.75" customHeight="1" x14ac:dyDescent="0.3">
      <c r="A194" s="61">
        <v>193</v>
      </c>
      <c r="B194" s="61">
        <v>51</v>
      </c>
      <c r="C194" s="61" t="s">
        <v>765</v>
      </c>
      <c r="D194" s="62" t="s">
        <v>187</v>
      </c>
      <c r="E194" s="62" t="s">
        <v>32</v>
      </c>
      <c r="F194" s="62" t="s">
        <v>265</v>
      </c>
      <c r="G194" s="62" t="s">
        <v>64</v>
      </c>
      <c r="H194" s="63">
        <v>0</v>
      </c>
      <c r="I194" s="62"/>
      <c r="J194" s="62">
        <v>1</v>
      </c>
      <c r="K194" s="62">
        <v>0</v>
      </c>
      <c r="L194" s="62">
        <v>40</v>
      </c>
      <c r="M194" s="62">
        <v>1</v>
      </c>
      <c r="N194" s="62">
        <v>1</v>
      </c>
      <c r="O194" s="62" t="s">
        <v>32</v>
      </c>
      <c r="P194" s="62" t="s">
        <v>266</v>
      </c>
      <c r="Q194" s="64">
        <v>10.5</v>
      </c>
      <c r="R194" s="65">
        <v>0.5</v>
      </c>
      <c r="S194" s="66"/>
      <c r="T194" s="66"/>
      <c r="U194" s="66">
        <v>4.8</v>
      </c>
      <c r="V194" s="66">
        <v>1.0900000000000001</v>
      </c>
      <c r="W194" s="62">
        <v>30</v>
      </c>
      <c r="X194" s="62">
        <v>0</v>
      </c>
      <c r="Y194" s="62">
        <v>0</v>
      </c>
      <c r="Z194" s="62" t="s">
        <v>210</v>
      </c>
      <c r="AA194" s="62"/>
      <c r="AB194" s="62" t="s">
        <v>45</v>
      </c>
      <c r="AC194" s="62" t="s">
        <v>45</v>
      </c>
      <c r="AD194" s="61" t="s">
        <v>45</v>
      </c>
      <c r="AF194" s="4" t="s">
        <v>634</v>
      </c>
    </row>
    <row r="195" spans="1:32" ht="12.75" customHeight="1" x14ac:dyDescent="0.3">
      <c r="A195" s="61">
        <v>194</v>
      </c>
      <c r="B195" s="61">
        <v>51</v>
      </c>
      <c r="C195" s="61" t="s">
        <v>765</v>
      </c>
      <c r="D195" s="62" t="s">
        <v>187</v>
      </c>
      <c r="E195" s="62" t="s">
        <v>267</v>
      </c>
      <c r="F195" s="62" t="s">
        <v>265</v>
      </c>
      <c r="G195" s="62" t="s">
        <v>2</v>
      </c>
      <c r="H195" s="63">
        <v>0</v>
      </c>
      <c r="I195" s="62"/>
      <c r="J195" s="62">
        <v>1</v>
      </c>
      <c r="K195" s="62">
        <v>0</v>
      </c>
      <c r="L195" s="62">
        <v>40</v>
      </c>
      <c r="M195" s="62">
        <v>1</v>
      </c>
      <c r="N195" s="62">
        <v>1</v>
      </c>
      <c r="O195" s="62" t="s">
        <v>32</v>
      </c>
      <c r="P195" s="62" t="s">
        <v>266</v>
      </c>
      <c r="Q195" s="64">
        <v>10.5</v>
      </c>
      <c r="R195" s="65">
        <v>0.5</v>
      </c>
      <c r="S195" s="66"/>
      <c r="T195" s="66"/>
      <c r="U195" s="66">
        <v>5.5</v>
      </c>
      <c r="V195" s="66">
        <v>1.1299999999999999</v>
      </c>
      <c r="W195" s="62">
        <v>30</v>
      </c>
      <c r="X195" s="62">
        <v>0</v>
      </c>
      <c r="Y195" s="62">
        <v>0</v>
      </c>
      <c r="Z195" s="62" t="s">
        <v>210</v>
      </c>
      <c r="AA195" s="62"/>
      <c r="AB195" s="62" t="s">
        <v>45</v>
      </c>
      <c r="AC195" s="62" t="s">
        <v>45</v>
      </c>
      <c r="AD195" s="61" t="s">
        <v>45</v>
      </c>
      <c r="AF195" s="4" t="s">
        <v>634</v>
      </c>
    </row>
    <row r="196" spans="1:32" ht="12.75" customHeight="1" x14ac:dyDescent="0.3">
      <c r="A196" s="61">
        <v>195</v>
      </c>
      <c r="B196" s="61">
        <v>52</v>
      </c>
      <c r="C196" s="61" t="s">
        <v>827</v>
      </c>
      <c r="D196" s="62" t="s">
        <v>68</v>
      </c>
      <c r="E196" s="62" t="s">
        <v>32</v>
      </c>
      <c r="F196" s="62" t="s">
        <v>33</v>
      </c>
      <c r="G196" s="62" t="s">
        <v>34</v>
      </c>
      <c r="H196" s="63">
        <v>0</v>
      </c>
      <c r="I196" s="62"/>
      <c r="J196" s="62">
        <v>1</v>
      </c>
      <c r="K196" s="62" t="s">
        <v>32</v>
      </c>
      <c r="L196" s="62">
        <v>11</v>
      </c>
      <c r="M196" s="62">
        <v>1</v>
      </c>
      <c r="N196" s="62">
        <v>0</v>
      </c>
      <c r="O196" s="62" t="s">
        <v>32</v>
      </c>
      <c r="P196" s="62" t="s">
        <v>1385</v>
      </c>
      <c r="Q196" s="64">
        <v>4.5</v>
      </c>
      <c r="R196" s="65">
        <f>5/17</f>
        <v>0.29411764705882354</v>
      </c>
      <c r="S196" s="66"/>
      <c r="T196" s="66"/>
      <c r="U196" s="66">
        <v>20.507999999999999</v>
      </c>
      <c r="V196" s="66">
        <f>(27.966-U196)*SQRT(W196)</f>
        <v>30.750121755856522</v>
      </c>
      <c r="W196" s="62">
        <v>17</v>
      </c>
      <c r="X196" s="62">
        <v>0</v>
      </c>
      <c r="Y196" s="62">
        <v>1</v>
      </c>
      <c r="Z196" s="62" t="s">
        <v>268</v>
      </c>
      <c r="AA196" s="62" t="s">
        <v>1342</v>
      </c>
      <c r="AB196" s="62" t="s">
        <v>45</v>
      </c>
      <c r="AC196" s="62" t="s">
        <v>17</v>
      </c>
      <c r="AD196" s="61" t="s">
        <v>45</v>
      </c>
      <c r="AF196" s="4" t="s">
        <v>635</v>
      </c>
    </row>
    <row r="197" spans="1:32" ht="12.75" customHeight="1" x14ac:dyDescent="0.3">
      <c r="A197" s="61">
        <v>196</v>
      </c>
      <c r="B197" s="61">
        <v>52</v>
      </c>
      <c r="C197" s="61" t="s">
        <v>827</v>
      </c>
      <c r="D197" s="62" t="s">
        <v>68</v>
      </c>
      <c r="E197" s="62" t="s">
        <v>32</v>
      </c>
      <c r="F197" s="62" t="s">
        <v>33</v>
      </c>
      <c r="G197" s="62" t="s">
        <v>34</v>
      </c>
      <c r="H197" s="63">
        <v>0</v>
      </c>
      <c r="I197" s="62"/>
      <c r="J197" s="62">
        <v>1</v>
      </c>
      <c r="K197" s="62" t="s">
        <v>32</v>
      </c>
      <c r="L197" s="62">
        <v>11</v>
      </c>
      <c r="M197" s="62">
        <v>1</v>
      </c>
      <c r="N197" s="62">
        <f>28</f>
        <v>28</v>
      </c>
      <c r="O197" s="62" t="s">
        <v>32</v>
      </c>
      <c r="P197" s="62" t="s">
        <v>1385</v>
      </c>
      <c r="Q197" s="64">
        <v>4.5</v>
      </c>
      <c r="R197" s="65">
        <f>5/17</f>
        <v>0.29411764705882354</v>
      </c>
      <c r="S197" s="66"/>
      <c r="T197" s="66"/>
      <c r="U197" s="66">
        <v>30.678000000000001</v>
      </c>
      <c r="V197" s="66">
        <f>(41.356-U197)*SQRT(W197)</f>
        <v>38.50007651940448</v>
      </c>
      <c r="W197" s="62">
        <v>13</v>
      </c>
      <c r="X197" s="62">
        <v>0</v>
      </c>
      <c r="Y197" s="62">
        <v>1</v>
      </c>
      <c r="Z197" s="62" t="s">
        <v>268</v>
      </c>
      <c r="AA197" s="62"/>
      <c r="AB197" s="62" t="s">
        <v>45</v>
      </c>
      <c r="AC197" s="62" t="s">
        <v>17</v>
      </c>
      <c r="AD197" s="61" t="s">
        <v>45</v>
      </c>
      <c r="AF197" s="4" t="s">
        <v>635</v>
      </c>
    </row>
    <row r="198" spans="1:32" ht="12.75" customHeight="1" x14ac:dyDescent="0.3">
      <c r="A198" s="61">
        <v>197</v>
      </c>
      <c r="B198" s="61">
        <v>52</v>
      </c>
      <c r="C198" s="61" t="s">
        <v>827</v>
      </c>
      <c r="D198" s="62" t="s">
        <v>68</v>
      </c>
      <c r="E198" s="62" t="s">
        <v>26</v>
      </c>
      <c r="F198" s="62" t="s">
        <v>33</v>
      </c>
      <c r="G198" s="62" t="s">
        <v>2</v>
      </c>
      <c r="H198" s="63">
        <v>0</v>
      </c>
      <c r="I198" s="62"/>
      <c r="J198" s="62">
        <v>1</v>
      </c>
      <c r="K198" s="62">
        <v>1</v>
      </c>
      <c r="L198" s="62">
        <v>11</v>
      </c>
      <c r="M198" s="62">
        <v>1</v>
      </c>
      <c r="N198" s="62">
        <v>0</v>
      </c>
      <c r="O198" s="62" t="s">
        <v>32</v>
      </c>
      <c r="P198" s="62" t="s">
        <v>1385</v>
      </c>
      <c r="Q198" s="64">
        <v>4.5</v>
      </c>
      <c r="R198" s="65">
        <f>5/17</f>
        <v>0.29411764705882354</v>
      </c>
      <c r="S198" s="66"/>
      <c r="T198" s="66"/>
      <c r="U198" s="66">
        <v>55.762999999999998</v>
      </c>
      <c r="V198" s="66">
        <f>(64.237-U198)*SQRT(W198)</f>
        <v>34.939197071484045</v>
      </c>
      <c r="W198" s="62">
        <v>17</v>
      </c>
      <c r="X198" s="62">
        <v>0</v>
      </c>
      <c r="Y198" s="62">
        <v>1</v>
      </c>
      <c r="Z198" s="62" t="s">
        <v>268</v>
      </c>
      <c r="AA198" s="62"/>
      <c r="AB198" s="62" t="s">
        <v>45</v>
      </c>
      <c r="AC198" s="62" t="s">
        <v>17</v>
      </c>
      <c r="AD198" s="61" t="s">
        <v>45</v>
      </c>
      <c r="AF198" s="4" t="s">
        <v>635</v>
      </c>
    </row>
    <row r="199" spans="1:32" ht="12.75" customHeight="1" x14ac:dyDescent="0.3">
      <c r="A199" s="61">
        <v>198</v>
      </c>
      <c r="B199" s="61">
        <v>52</v>
      </c>
      <c r="C199" s="61" t="s">
        <v>827</v>
      </c>
      <c r="D199" s="62" t="s">
        <v>68</v>
      </c>
      <c r="E199" s="62" t="s">
        <v>26</v>
      </c>
      <c r="F199" s="62" t="s">
        <v>33</v>
      </c>
      <c r="G199" s="62" t="s">
        <v>2</v>
      </c>
      <c r="H199" s="63">
        <v>0</v>
      </c>
      <c r="I199" s="62"/>
      <c r="J199" s="62">
        <v>1</v>
      </c>
      <c r="K199" s="62">
        <v>1</v>
      </c>
      <c r="L199" s="62">
        <v>11</v>
      </c>
      <c r="M199" s="62">
        <v>1</v>
      </c>
      <c r="N199" s="62">
        <v>28</v>
      </c>
      <c r="O199" s="62" t="s">
        <v>32</v>
      </c>
      <c r="P199" s="62" t="s">
        <v>1385</v>
      </c>
      <c r="Q199" s="64">
        <v>4.5</v>
      </c>
      <c r="R199" s="65">
        <f>5/17</f>
        <v>0.29411764705882354</v>
      </c>
      <c r="S199" s="66"/>
      <c r="T199" s="66"/>
      <c r="U199" s="66">
        <v>76.78</v>
      </c>
      <c r="V199" s="66">
        <f>(84.237-U199)*SQRT(W199)</f>
        <v>26.886595861134943</v>
      </c>
      <c r="W199" s="62">
        <v>13</v>
      </c>
      <c r="X199" s="62">
        <v>0</v>
      </c>
      <c r="Y199" s="62">
        <v>1</v>
      </c>
      <c r="Z199" s="62" t="s">
        <v>268</v>
      </c>
      <c r="AA199" s="62"/>
      <c r="AB199" s="62" t="s">
        <v>45</v>
      </c>
      <c r="AC199" s="62" t="s">
        <v>17</v>
      </c>
      <c r="AD199" s="61" t="s">
        <v>45</v>
      </c>
      <c r="AF199" s="4" t="s">
        <v>635</v>
      </c>
    </row>
    <row r="200" spans="1:32" ht="12.75" customHeight="1" x14ac:dyDescent="0.3">
      <c r="A200" s="61">
        <v>199</v>
      </c>
      <c r="B200" s="61">
        <v>53</v>
      </c>
      <c r="C200" s="62" t="s">
        <v>808</v>
      </c>
      <c r="D200" s="62" t="s">
        <v>25</v>
      </c>
      <c r="E200" s="62" t="s">
        <v>26</v>
      </c>
      <c r="F200" s="62" t="s">
        <v>140</v>
      </c>
      <c r="G200" s="62" t="s">
        <v>2</v>
      </c>
      <c r="H200" s="63">
        <v>1</v>
      </c>
      <c r="I200" s="62" t="s">
        <v>269</v>
      </c>
      <c r="J200" s="62">
        <v>1</v>
      </c>
      <c r="K200" s="62">
        <v>0</v>
      </c>
      <c r="L200" s="62">
        <v>8.5</v>
      </c>
      <c r="M200" s="62">
        <v>1</v>
      </c>
      <c r="N200" s="62">
        <v>0</v>
      </c>
      <c r="O200" s="62">
        <v>2</v>
      </c>
      <c r="P200" s="62" t="s">
        <v>270</v>
      </c>
      <c r="Q200" s="64">
        <v>8.3000000000000007</v>
      </c>
      <c r="R200" s="65">
        <f>10/27</f>
        <v>0.37037037037037035</v>
      </c>
      <c r="S200" s="66">
        <v>2.77</v>
      </c>
      <c r="T200" s="66">
        <v>3.536</v>
      </c>
      <c r="U200" s="66">
        <v>8.19</v>
      </c>
      <c r="V200" s="66">
        <v>3.15</v>
      </c>
      <c r="W200" s="62">
        <v>27</v>
      </c>
      <c r="X200" s="62">
        <v>0</v>
      </c>
      <c r="Y200" s="62">
        <v>0</v>
      </c>
      <c r="Z200" s="62" t="s">
        <v>210</v>
      </c>
      <c r="AA200" s="62"/>
      <c r="AB200" s="62" t="s">
        <v>17</v>
      </c>
      <c r="AC200" s="62" t="s">
        <v>17</v>
      </c>
      <c r="AD200" s="61" t="s">
        <v>17</v>
      </c>
      <c r="AF200" s="4" t="s">
        <v>636</v>
      </c>
    </row>
    <row r="201" spans="1:32" ht="12.75" customHeight="1" x14ac:dyDescent="0.3">
      <c r="A201" s="61">
        <v>200</v>
      </c>
      <c r="B201" s="61">
        <v>53</v>
      </c>
      <c r="C201" s="62" t="s">
        <v>808</v>
      </c>
      <c r="D201" s="62" t="s">
        <v>25</v>
      </c>
      <c r="E201" s="62" t="s">
        <v>26</v>
      </c>
      <c r="F201" s="62" t="s">
        <v>140</v>
      </c>
      <c r="G201" s="62" t="s">
        <v>2</v>
      </c>
      <c r="H201" s="63">
        <v>1</v>
      </c>
      <c r="I201" s="62" t="s">
        <v>269</v>
      </c>
      <c r="J201" s="62">
        <v>1</v>
      </c>
      <c r="K201" s="62">
        <v>0</v>
      </c>
      <c r="L201" s="62">
        <v>8.5</v>
      </c>
      <c r="M201" s="62">
        <v>1</v>
      </c>
      <c r="N201" s="62">
        <v>7</v>
      </c>
      <c r="O201" s="62">
        <v>2</v>
      </c>
      <c r="P201" s="62" t="s">
        <v>270</v>
      </c>
      <c r="Q201" s="64">
        <v>8.3000000000000007</v>
      </c>
      <c r="R201" s="65">
        <f>10/27</f>
        <v>0.37037037037037035</v>
      </c>
      <c r="S201" s="66">
        <v>2.77</v>
      </c>
      <c r="T201" s="66">
        <v>3.536</v>
      </c>
      <c r="U201" s="66">
        <v>7.65</v>
      </c>
      <c r="V201" s="66">
        <v>3.5659999999999998</v>
      </c>
      <c r="W201" s="62">
        <v>27</v>
      </c>
      <c r="X201" s="62">
        <v>0</v>
      </c>
      <c r="Y201" s="62">
        <v>0</v>
      </c>
      <c r="Z201" s="62" t="s">
        <v>210</v>
      </c>
      <c r="AA201" s="62"/>
      <c r="AB201" s="62" t="s">
        <v>17</v>
      </c>
      <c r="AC201" s="62" t="s">
        <v>17</v>
      </c>
      <c r="AD201" s="61" t="s">
        <v>17</v>
      </c>
      <c r="AF201" s="4" t="s">
        <v>636</v>
      </c>
    </row>
    <row r="202" spans="1:32" ht="12.75" customHeight="1" x14ac:dyDescent="0.3">
      <c r="A202" s="61">
        <v>201</v>
      </c>
      <c r="B202" s="61">
        <v>53</v>
      </c>
      <c r="C202" s="62" t="s">
        <v>808</v>
      </c>
      <c r="D202" s="62" t="s">
        <v>25</v>
      </c>
      <c r="E202" s="62" t="s">
        <v>26</v>
      </c>
      <c r="F202" s="62" t="s">
        <v>140</v>
      </c>
      <c r="G202" s="62" t="s">
        <v>2</v>
      </c>
      <c r="H202" s="63">
        <v>1</v>
      </c>
      <c r="I202" s="62" t="s">
        <v>271</v>
      </c>
      <c r="J202" s="62">
        <v>1</v>
      </c>
      <c r="K202" s="62">
        <v>0</v>
      </c>
      <c r="L202" s="62">
        <v>8.5</v>
      </c>
      <c r="M202" s="62">
        <v>1</v>
      </c>
      <c r="N202" s="62">
        <v>0</v>
      </c>
      <c r="O202" s="62">
        <v>2</v>
      </c>
      <c r="P202" s="62" t="s">
        <v>270</v>
      </c>
      <c r="Q202" s="64">
        <v>8.4</v>
      </c>
      <c r="R202" s="65">
        <f>10/25</f>
        <v>0.4</v>
      </c>
      <c r="S202" s="66">
        <v>2.2000000000000002</v>
      </c>
      <c r="T202" s="66">
        <v>3.488</v>
      </c>
      <c r="U202" s="66">
        <v>7.76</v>
      </c>
      <c r="V202" s="66">
        <v>3.5619999999999998</v>
      </c>
      <c r="W202" s="62">
        <v>25</v>
      </c>
      <c r="X202" s="62">
        <v>0</v>
      </c>
      <c r="Y202" s="62">
        <v>0</v>
      </c>
      <c r="Z202" s="62" t="s">
        <v>210</v>
      </c>
      <c r="AA202" s="62"/>
      <c r="AB202" s="62" t="s">
        <v>17</v>
      </c>
      <c r="AC202" s="62" t="s">
        <v>17</v>
      </c>
      <c r="AD202" s="61" t="s">
        <v>17</v>
      </c>
      <c r="AF202" s="4" t="s">
        <v>636</v>
      </c>
    </row>
    <row r="203" spans="1:32" ht="12.75" customHeight="1" x14ac:dyDescent="0.3">
      <c r="A203" s="61">
        <v>202</v>
      </c>
      <c r="B203" s="61">
        <v>53</v>
      </c>
      <c r="C203" s="62" t="s">
        <v>808</v>
      </c>
      <c r="D203" s="62" t="s">
        <v>25</v>
      </c>
      <c r="E203" s="62" t="s">
        <v>26</v>
      </c>
      <c r="F203" s="62" t="s">
        <v>140</v>
      </c>
      <c r="G203" s="62" t="s">
        <v>2</v>
      </c>
      <c r="H203" s="63">
        <v>1</v>
      </c>
      <c r="I203" s="62" t="s">
        <v>271</v>
      </c>
      <c r="J203" s="62">
        <v>1</v>
      </c>
      <c r="K203" s="62">
        <v>0</v>
      </c>
      <c r="L203" s="62">
        <v>8.5</v>
      </c>
      <c r="M203" s="62">
        <v>1</v>
      </c>
      <c r="N203" s="62">
        <v>7</v>
      </c>
      <c r="O203" s="62">
        <v>2</v>
      </c>
      <c r="P203" s="62" t="s">
        <v>270</v>
      </c>
      <c r="Q203" s="64">
        <v>8.4</v>
      </c>
      <c r="R203" s="65">
        <f>10/25</f>
        <v>0.4</v>
      </c>
      <c r="S203" s="66">
        <v>2.2000000000000002</v>
      </c>
      <c r="T203" s="66">
        <v>3.488</v>
      </c>
      <c r="U203" s="66">
        <v>6.96</v>
      </c>
      <c r="V203" s="66">
        <v>3.6459999999999999</v>
      </c>
      <c r="W203" s="62">
        <v>25</v>
      </c>
      <c r="X203" s="62">
        <v>0</v>
      </c>
      <c r="Y203" s="62">
        <v>0</v>
      </c>
      <c r="Z203" s="62" t="s">
        <v>210</v>
      </c>
      <c r="AA203" s="62"/>
      <c r="AB203" s="62" t="s">
        <v>17</v>
      </c>
      <c r="AC203" s="62" t="s">
        <v>17</v>
      </c>
      <c r="AD203" s="61" t="s">
        <v>17</v>
      </c>
      <c r="AF203" s="4" t="s">
        <v>636</v>
      </c>
    </row>
    <row r="204" spans="1:32" ht="12.75" customHeight="1" x14ac:dyDescent="0.3">
      <c r="A204" s="61">
        <v>203</v>
      </c>
      <c r="B204" s="61">
        <v>53</v>
      </c>
      <c r="C204" s="62" t="s">
        <v>808</v>
      </c>
      <c r="D204" s="62" t="s">
        <v>25</v>
      </c>
      <c r="E204" s="62" t="s">
        <v>26</v>
      </c>
      <c r="F204" s="62" t="s">
        <v>140</v>
      </c>
      <c r="G204" s="62" t="s">
        <v>2</v>
      </c>
      <c r="H204" s="63">
        <v>1</v>
      </c>
      <c r="I204" s="62" t="s">
        <v>272</v>
      </c>
      <c r="J204" s="62">
        <v>1</v>
      </c>
      <c r="K204" s="62">
        <v>0</v>
      </c>
      <c r="L204" s="62">
        <v>8.5</v>
      </c>
      <c r="M204" s="62">
        <v>1</v>
      </c>
      <c r="N204" s="62">
        <v>0</v>
      </c>
      <c r="O204" s="62">
        <v>2</v>
      </c>
      <c r="P204" s="62" t="s">
        <v>270</v>
      </c>
      <c r="Q204" s="64">
        <v>8.3000000000000007</v>
      </c>
      <c r="R204" s="65">
        <f>15/25</f>
        <v>0.6</v>
      </c>
      <c r="S204" s="66">
        <v>2.2000000000000002</v>
      </c>
      <c r="T204" s="66">
        <v>3.7970000000000002</v>
      </c>
      <c r="U204" s="66">
        <v>7.16</v>
      </c>
      <c r="V204" s="66">
        <v>3.76</v>
      </c>
      <c r="W204" s="62">
        <v>25</v>
      </c>
      <c r="X204" s="62">
        <v>0</v>
      </c>
      <c r="Y204" s="62">
        <v>0</v>
      </c>
      <c r="Z204" s="62" t="s">
        <v>210</v>
      </c>
      <c r="AA204" s="62"/>
      <c r="AB204" s="62" t="s">
        <v>17</v>
      </c>
      <c r="AC204" s="62" t="s">
        <v>17</v>
      </c>
      <c r="AD204" s="61" t="s">
        <v>17</v>
      </c>
      <c r="AF204" s="4" t="s">
        <v>636</v>
      </c>
    </row>
    <row r="205" spans="1:32" ht="12.75" customHeight="1" x14ac:dyDescent="0.3">
      <c r="A205" s="61">
        <v>204</v>
      </c>
      <c r="B205" s="61">
        <v>53</v>
      </c>
      <c r="C205" s="62" t="s">
        <v>808</v>
      </c>
      <c r="D205" s="62" t="s">
        <v>25</v>
      </c>
      <c r="E205" s="62" t="s">
        <v>26</v>
      </c>
      <c r="F205" s="62" t="s">
        <v>140</v>
      </c>
      <c r="G205" s="62" t="s">
        <v>2</v>
      </c>
      <c r="H205" s="63">
        <v>1</v>
      </c>
      <c r="I205" s="62" t="s">
        <v>272</v>
      </c>
      <c r="J205" s="62">
        <v>1</v>
      </c>
      <c r="K205" s="62">
        <v>0</v>
      </c>
      <c r="L205" s="62">
        <v>8.5</v>
      </c>
      <c r="M205" s="62">
        <v>1</v>
      </c>
      <c r="N205" s="62">
        <v>7</v>
      </c>
      <c r="O205" s="62">
        <v>2</v>
      </c>
      <c r="P205" s="62" t="s">
        <v>270</v>
      </c>
      <c r="Q205" s="64">
        <v>8.3000000000000007</v>
      </c>
      <c r="R205" s="65">
        <f>15/25</f>
        <v>0.6</v>
      </c>
      <c r="S205" s="66">
        <v>2.2000000000000002</v>
      </c>
      <c r="T205" s="66">
        <v>3.7970000000000002</v>
      </c>
      <c r="U205" s="66">
        <v>6.76</v>
      </c>
      <c r="V205" s="66">
        <v>4.0750000000000002</v>
      </c>
      <c r="W205" s="62">
        <v>25</v>
      </c>
      <c r="X205" s="62">
        <v>0</v>
      </c>
      <c r="Y205" s="62">
        <v>0</v>
      </c>
      <c r="Z205" s="62" t="s">
        <v>210</v>
      </c>
      <c r="AA205" s="62"/>
      <c r="AB205" s="62" t="s">
        <v>17</v>
      </c>
      <c r="AC205" s="62" t="s">
        <v>17</v>
      </c>
      <c r="AD205" s="61" t="s">
        <v>17</v>
      </c>
      <c r="AF205" s="4" t="s">
        <v>636</v>
      </c>
    </row>
    <row r="206" spans="1:32" ht="12.75" customHeight="1" x14ac:dyDescent="0.3">
      <c r="A206" s="61">
        <v>205</v>
      </c>
      <c r="B206" s="61">
        <v>54</v>
      </c>
      <c r="C206" s="61" t="s">
        <v>835</v>
      </c>
      <c r="D206" s="62" t="s">
        <v>62</v>
      </c>
      <c r="E206" s="62" t="s">
        <v>32</v>
      </c>
      <c r="F206" s="62" t="s">
        <v>273</v>
      </c>
      <c r="G206" s="62" t="s">
        <v>34</v>
      </c>
      <c r="H206" s="63">
        <v>0</v>
      </c>
      <c r="I206" s="62"/>
      <c r="J206" s="62">
        <v>1</v>
      </c>
      <c r="K206" s="62" t="s">
        <v>32</v>
      </c>
      <c r="L206" s="62">
        <v>70</v>
      </c>
      <c r="M206" s="62">
        <v>1</v>
      </c>
      <c r="N206" s="62">
        <v>0</v>
      </c>
      <c r="O206" s="62" t="s">
        <v>32</v>
      </c>
      <c r="P206" s="62" t="s">
        <v>274</v>
      </c>
      <c r="Q206" s="64">
        <v>8.5</v>
      </c>
      <c r="R206" s="65">
        <f>20/36</f>
        <v>0.55555555555555558</v>
      </c>
      <c r="S206" s="66"/>
      <c r="T206" s="66"/>
      <c r="U206" s="66">
        <v>4.42</v>
      </c>
      <c r="V206" s="66">
        <v>1.2534000000000001</v>
      </c>
      <c r="W206" s="62">
        <v>12</v>
      </c>
      <c r="X206" s="62">
        <v>0</v>
      </c>
      <c r="Y206" s="62">
        <v>0</v>
      </c>
      <c r="Z206" s="62" t="s">
        <v>275</v>
      </c>
      <c r="AA206" s="62" t="s">
        <v>276</v>
      </c>
      <c r="AB206" s="62" t="s">
        <v>17</v>
      </c>
      <c r="AC206" s="62" t="s">
        <v>17</v>
      </c>
      <c r="AD206" s="61" t="s">
        <v>17</v>
      </c>
      <c r="AF206" s="4" t="s">
        <v>637</v>
      </c>
    </row>
    <row r="207" spans="1:32" ht="12.75" customHeight="1" x14ac:dyDescent="0.3">
      <c r="A207" s="61">
        <v>206</v>
      </c>
      <c r="B207" s="61">
        <v>54</v>
      </c>
      <c r="C207" s="61" t="s">
        <v>835</v>
      </c>
      <c r="D207" s="62" t="s">
        <v>62</v>
      </c>
      <c r="E207" s="62" t="s">
        <v>32</v>
      </c>
      <c r="F207" s="62" t="s">
        <v>273</v>
      </c>
      <c r="G207" s="62" t="s">
        <v>312</v>
      </c>
      <c r="H207" s="63">
        <v>0</v>
      </c>
      <c r="I207" s="62"/>
      <c r="J207" s="62">
        <v>1</v>
      </c>
      <c r="K207" s="62">
        <v>0</v>
      </c>
      <c r="L207" s="62">
        <v>70</v>
      </c>
      <c r="M207" s="62">
        <v>1</v>
      </c>
      <c r="N207" s="62">
        <v>0</v>
      </c>
      <c r="O207" s="62" t="s">
        <v>32</v>
      </c>
      <c r="P207" s="62" t="s">
        <v>274</v>
      </c>
      <c r="Q207" s="64">
        <v>8.5</v>
      </c>
      <c r="R207" s="65">
        <f>20/36</f>
        <v>0.55555555555555558</v>
      </c>
      <c r="S207" s="66"/>
      <c r="T207" s="66"/>
      <c r="U207" s="66">
        <v>4.83</v>
      </c>
      <c r="V207" s="66">
        <v>1.2534000000000001</v>
      </c>
      <c r="W207" s="62">
        <v>12</v>
      </c>
      <c r="X207" s="62">
        <v>0</v>
      </c>
      <c r="Y207" s="62">
        <v>0</v>
      </c>
      <c r="Z207" s="62" t="s">
        <v>275</v>
      </c>
      <c r="AA207" s="62"/>
      <c r="AB207" s="62" t="s">
        <v>17</v>
      </c>
      <c r="AC207" s="62" t="s">
        <v>17</v>
      </c>
      <c r="AD207" s="61" t="s">
        <v>17</v>
      </c>
      <c r="AF207" s="4" t="s">
        <v>637</v>
      </c>
    </row>
    <row r="208" spans="1:32" ht="12.75" customHeight="1" x14ac:dyDescent="0.3">
      <c r="A208" s="61">
        <v>207</v>
      </c>
      <c r="B208" s="61">
        <v>54</v>
      </c>
      <c r="C208" s="61" t="s">
        <v>835</v>
      </c>
      <c r="D208" s="62" t="s">
        <v>62</v>
      </c>
      <c r="E208" s="62" t="s">
        <v>277</v>
      </c>
      <c r="F208" s="62" t="s">
        <v>273</v>
      </c>
      <c r="G208" s="62" t="s">
        <v>2</v>
      </c>
      <c r="H208" s="63">
        <v>0</v>
      </c>
      <c r="I208" s="62"/>
      <c r="J208" s="62">
        <v>1</v>
      </c>
      <c r="K208" s="62">
        <v>0</v>
      </c>
      <c r="L208" s="62">
        <v>70</v>
      </c>
      <c r="M208" s="62">
        <v>1</v>
      </c>
      <c r="N208" s="62">
        <v>0</v>
      </c>
      <c r="O208" s="62" t="s">
        <v>32</v>
      </c>
      <c r="P208" s="62" t="s">
        <v>274</v>
      </c>
      <c r="Q208" s="64">
        <v>8.5</v>
      </c>
      <c r="R208" s="65">
        <f>20/36</f>
        <v>0.55555555555555558</v>
      </c>
      <c r="S208" s="66"/>
      <c r="T208" s="66"/>
      <c r="U208" s="66">
        <v>4.42</v>
      </c>
      <c r="V208" s="66">
        <v>1.2534000000000001</v>
      </c>
      <c r="W208" s="62">
        <v>12</v>
      </c>
      <c r="X208" s="62">
        <v>0</v>
      </c>
      <c r="Y208" s="62">
        <v>0</v>
      </c>
      <c r="Z208" s="62" t="s">
        <v>275</v>
      </c>
      <c r="AA208" s="62"/>
      <c r="AB208" s="62" t="s">
        <v>17</v>
      </c>
      <c r="AC208" s="62" t="s">
        <v>17</v>
      </c>
      <c r="AD208" s="61" t="s">
        <v>17</v>
      </c>
      <c r="AF208" s="4" t="s">
        <v>637</v>
      </c>
    </row>
    <row r="209" spans="1:32" ht="12.75" customHeight="1" x14ac:dyDescent="0.3">
      <c r="A209" s="61">
        <v>208</v>
      </c>
      <c r="B209" s="61">
        <v>55</v>
      </c>
      <c r="C209" s="61" t="s">
        <v>788</v>
      </c>
      <c r="D209" s="62" t="s">
        <v>68</v>
      </c>
      <c r="E209" s="62" t="s">
        <v>231</v>
      </c>
      <c r="F209" s="62" t="s">
        <v>278</v>
      </c>
      <c r="G209" s="62" t="s">
        <v>2</v>
      </c>
      <c r="H209" s="63">
        <v>0</v>
      </c>
      <c r="I209" s="62"/>
      <c r="J209" s="62" t="s">
        <v>51</v>
      </c>
      <c r="K209" s="62">
        <v>0</v>
      </c>
      <c r="L209" s="62">
        <f>10*45</f>
        <v>450</v>
      </c>
      <c r="M209" s="62">
        <v>10</v>
      </c>
      <c r="N209" s="62" t="s">
        <v>28</v>
      </c>
      <c r="O209" s="62" t="s">
        <v>28</v>
      </c>
      <c r="P209" s="62" t="s">
        <v>279</v>
      </c>
      <c r="Q209" s="64">
        <v>10</v>
      </c>
      <c r="R209" s="65" t="s">
        <v>28</v>
      </c>
      <c r="S209" s="66">
        <v>7.52</v>
      </c>
      <c r="T209" s="66">
        <v>2.0099999999999998</v>
      </c>
      <c r="U209" s="66">
        <v>7.65</v>
      </c>
      <c r="V209" s="66">
        <v>1.92</v>
      </c>
      <c r="W209" s="62">
        <v>97</v>
      </c>
      <c r="X209" s="62">
        <v>0</v>
      </c>
      <c r="Y209" s="62">
        <v>0</v>
      </c>
      <c r="Z209" s="62" t="s">
        <v>280</v>
      </c>
      <c r="AA209" s="62" t="s">
        <v>1326</v>
      </c>
      <c r="AB209" s="62" t="s">
        <v>17</v>
      </c>
      <c r="AC209" s="62" t="s">
        <v>17</v>
      </c>
      <c r="AD209" s="61" t="s">
        <v>17</v>
      </c>
      <c r="AF209" s="4" t="s">
        <v>638</v>
      </c>
    </row>
    <row r="210" spans="1:32" ht="12.75" customHeight="1" x14ac:dyDescent="0.3">
      <c r="A210" s="61">
        <v>209</v>
      </c>
      <c r="B210" s="61">
        <v>56</v>
      </c>
      <c r="C210" s="61" t="s">
        <v>576</v>
      </c>
      <c r="D210" s="62" t="s">
        <v>227</v>
      </c>
      <c r="E210" s="62" t="s">
        <v>26</v>
      </c>
      <c r="F210" s="62" t="s">
        <v>228</v>
      </c>
      <c r="G210" s="62" t="s">
        <v>2</v>
      </c>
      <c r="H210" s="63">
        <v>0</v>
      </c>
      <c r="I210" s="62"/>
      <c r="J210" s="62">
        <v>1</v>
      </c>
      <c r="K210" s="62">
        <v>0</v>
      </c>
      <c r="L210" s="62">
        <v>20</v>
      </c>
      <c r="M210" s="62">
        <v>1</v>
      </c>
      <c r="N210" s="62">
        <v>0</v>
      </c>
      <c r="O210" s="62">
        <v>1</v>
      </c>
      <c r="P210" s="62" t="s">
        <v>281</v>
      </c>
      <c r="Q210" s="64">
        <v>9</v>
      </c>
      <c r="R210" s="65">
        <f>(67-32)/67</f>
        <v>0.52238805970149249</v>
      </c>
      <c r="S210" s="66">
        <v>13.435074626865671</v>
      </c>
      <c r="T210" s="66">
        <v>6.1067150933025554</v>
      </c>
      <c r="U210" s="66">
        <v>17.523432835820898</v>
      </c>
      <c r="V210" s="66">
        <v>5.932083561836885</v>
      </c>
      <c r="W210" s="62">
        <f>67</f>
        <v>67</v>
      </c>
      <c r="X210" s="62">
        <v>0</v>
      </c>
      <c r="Y210" s="62">
        <v>0</v>
      </c>
      <c r="Z210" s="62" t="s">
        <v>282</v>
      </c>
      <c r="AA210" s="62" t="s">
        <v>521</v>
      </c>
      <c r="AB210" s="62" t="s">
        <v>17</v>
      </c>
      <c r="AC210" s="62" t="s">
        <v>17</v>
      </c>
      <c r="AD210" s="61" t="s">
        <v>45</v>
      </c>
      <c r="AF210" s="4" t="s">
        <v>639</v>
      </c>
    </row>
    <row r="211" spans="1:32" ht="12.75" customHeight="1" x14ac:dyDescent="0.3">
      <c r="A211" s="61">
        <v>210</v>
      </c>
      <c r="B211" s="61">
        <v>57</v>
      </c>
      <c r="C211" s="61" t="s">
        <v>792</v>
      </c>
      <c r="D211" s="62" t="s">
        <v>31</v>
      </c>
      <c r="E211" s="62" t="s">
        <v>222</v>
      </c>
      <c r="F211" s="62" t="s">
        <v>283</v>
      </c>
      <c r="G211" s="62" t="s">
        <v>2</v>
      </c>
      <c r="H211" s="63">
        <v>1</v>
      </c>
      <c r="I211" s="62"/>
      <c r="J211" s="62">
        <v>1</v>
      </c>
      <c r="K211" s="62">
        <v>0</v>
      </c>
      <c r="L211" s="62" t="s">
        <v>28</v>
      </c>
      <c r="M211" s="62">
        <v>3</v>
      </c>
      <c r="N211" s="62">
        <v>1</v>
      </c>
      <c r="O211" s="62">
        <v>2</v>
      </c>
      <c r="P211" s="62" t="s">
        <v>284</v>
      </c>
      <c r="Q211" s="64">
        <v>7</v>
      </c>
      <c r="R211" s="65" t="s">
        <v>28</v>
      </c>
      <c r="S211" s="66">
        <v>1.7071000000000001</v>
      </c>
      <c r="T211" s="66">
        <v>1.1296999999999999</v>
      </c>
      <c r="U211" s="66">
        <v>2.1840999999999999</v>
      </c>
      <c r="V211" s="66">
        <v>0.94769999999999999</v>
      </c>
      <c r="W211" s="62">
        <v>42</v>
      </c>
      <c r="X211" s="62">
        <v>0</v>
      </c>
      <c r="Y211" s="62">
        <v>0</v>
      </c>
      <c r="Z211" s="62" t="s">
        <v>221</v>
      </c>
      <c r="AA211" s="62"/>
      <c r="AB211" s="62" t="s">
        <v>17</v>
      </c>
      <c r="AC211" s="62" t="s">
        <v>17</v>
      </c>
      <c r="AD211" s="61" t="s">
        <v>17</v>
      </c>
      <c r="AF211" s="4" t="s">
        <v>640</v>
      </c>
    </row>
    <row r="212" spans="1:32" ht="12.75" customHeight="1" x14ac:dyDescent="0.3">
      <c r="A212" s="61">
        <v>211</v>
      </c>
      <c r="B212" s="61">
        <v>58</v>
      </c>
      <c r="C212" s="61" t="s">
        <v>577</v>
      </c>
      <c r="D212" s="62" t="s">
        <v>41</v>
      </c>
      <c r="E212" s="62" t="s">
        <v>89</v>
      </c>
      <c r="F212" s="62" t="s">
        <v>285</v>
      </c>
      <c r="G212" s="62" t="s">
        <v>2</v>
      </c>
      <c r="H212" s="63">
        <v>0</v>
      </c>
      <c r="I212" s="62"/>
      <c r="J212" s="62">
        <v>1</v>
      </c>
      <c r="K212" s="62">
        <v>0</v>
      </c>
      <c r="L212" s="62" t="s">
        <v>28</v>
      </c>
      <c r="M212" s="62">
        <v>1</v>
      </c>
      <c r="N212" s="62">
        <v>0</v>
      </c>
      <c r="O212" s="62">
        <v>2</v>
      </c>
      <c r="P212" s="62" t="s">
        <v>286</v>
      </c>
      <c r="Q212" s="64">
        <f>(6.75*20+6.69*16)/36</f>
        <v>6.7233333333333336</v>
      </c>
      <c r="R212" s="65">
        <v>0.58333000000000002</v>
      </c>
      <c r="S212" s="66">
        <v>12</v>
      </c>
      <c r="T212" s="66">
        <v>1.905</v>
      </c>
      <c r="U212" s="66">
        <v>13</v>
      </c>
      <c r="V212" s="66">
        <v>1.905</v>
      </c>
      <c r="W212" s="62">
        <v>36</v>
      </c>
      <c r="X212" s="62">
        <v>0</v>
      </c>
      <c r="Y212" s="62">
        <v>0</v>
      </c>
      <c r="Z212" s="62" t="s">
        <v>287</v>
      </c>
      <c r="AA212" s="62" t="s">
        <v>1625</v>
      </c>
      <c r="AB212" s="62" t="s">
        <v>45</v>
      </c>
      <c r="AC212" s="62" t="s">
        <v>17</v>
      </c>
      <c r="AD212" s="61" t="s">
        <v>45</v>
      </c>
      <c r="AF212" s="4" t="s">
        <v>641</v>
      </c>
    </row>
    <row r="213" spans="1:32" ht="12.75" customHeight="1" x14ac:dyDescent="0.3">
      <c r="A213" s="61">
        <v>212</v>
      </c>
      <c r="B213" s="61">
        <v>59</v>
      </c>
      <c r="C213" s="61" t="s">
        <v>740</v>
      </c>
      <c r="D213" s="62" t="s">
        <v>288</v>
      </c>
      <c r="E213" s="62" t="s">
        <v>32</v>
      </c>
      <c r="F213" s="62" t="s">
        <v>33</v>
      </c>
      <c r="G213" s="62" t="s">
        <v>34</v>
      </c>
      <c r="H213" s="63">
        <v>1</v>
      </c>
      <c r="I213" s="62"/>
      <c r="J213" s="62" t="s">
        <v>51</v>
      </c>
      <c r="K213" s="62" t="s">
        <v>32</v>
      </c>
      <c r="L213" s="62">
        <f>105*4</f>
        <v>420</v>
      </c>
      <c r="M213" s="62">
        <v>4</v>
      </c>
      <c r="N213" s="62">
        <v>2</v>
      </c>
      <c r="O213" s="62">
        <v>1</v>
      </c>
      <c r="P213" s="62" t="s">
        <v>1203</v>
      </c>
      <c r="Q213" s="64">
        <v>19.61</v>
      </c>
      <c r="R213" s="65">
        <f>4/(4+14)</f>
        <v>0.22222222222222221</v>
      </c>
      <c r="S213" s="66"/>
      <c r="T213" s="66"/>
      <c r="U213" s="66">
        <v>16.55</v>
      </c>
      <c r="V213" s="66">
        <v>4.51</v>
      </c>
      <c r="W213" s="62">
        <f>4+14</f>
        <v>18</v>
      </c>
      <c r="X213" s="62">
        <v>0</v>
      </c>
      <c r="Y213" s="62">
        <v>0</v>
      </c>
      <c r="Z213" s="62" t="s">
        <v>289</v>
      </c>
      <c r="AA213" s="62" t="s">
        <v>1636</v>
      </c>
      <c r="AB213" s="62" t="s">
        <v>17</v>
      </c>
      <c r="AC213" s="62" t="s">
        <v>17</v>
      </c>
      <c r="AD213" s="61" t="s">
        <v>17</v>
      </c>
      <c r="AF213" s="4" t="s">
        <v>642</v>
      </c>
    </row>
    <row r="214" spans="1:32" ht="12.75" customHeight="1" x14ac:dyDescent="0.3">
      <c r="A214" s="61">
        <v>213</v>
      </c>
      <c r="B214" s="61">
        <v>59</v>
      </c>
      <c r="C214" s="61" t="s">
        <v>740</v>
      </c>
      <c r="D214" s="62" t="s">
        <v>288</v>
      </c>
      <c r="E214" s="62" t="s">
        <v>26</v>
      </c>
      <c r="F214" s="62" t="s">
        <v>33</v>
      </c>
      <c r="G214" s="62" t="s">
        <v>2</v>
      </c>
      <c r="H214" s="63">
        <v>1</v>
      </c>
      <c r="I214" s="62"/>
      <c r="J214" s="62" t="s">
        <v>51</v>
      </c>
      <c r="K214" s="62">
        <v>1</v>
      </c>
      <c r="L214" s="62">
        <f>105*4</f>
        <v>420</v>
      </c>
      <c r="M214" s="62">
        <v>4</v>
      </c>
      <c r="N214" s="62">
        <v>2</v>
      </c>
      <c r="O214" s="62">
        <v>1</v>
      </c>
      <c r="P214" s="62" t="s">
        <v>1203</v>
      </c>
      <c r="Q214" s="64">
        <v>20.440000000000001</v>
      </c>
      <c r="R214" s="65">
        <f>6/(6+12)</f>
        <v>0.33333333333333331</v>
      </c>
      <c r="S214" s="66"/>
      <c r="T214" s="66"/>
      <c r="U214" s="66">
        <v>15.22</v>
      </c>
      <c r="V214" s="66">
        <v>4.6900000000000004</v>
      </c>
      <c r="W214" s="62">
        <f>6+12</f>
        <v>18</v>
      </c>
      <c r="X214" s="62">
        <v>0</v>
      </c>
      <c r="Y214" s="62">
        <v>0</v>
      </c>
      <c r="Z214" s="62" t="s">
        <v>289</v>
      </c>
      <c r="AA214" s="62"/>
      <c r="AB214" s="62" t="s">
        <v>17</v>
      </c>
      <c r="AC214" s="62" t="s">
        <v>17</v>
      </c>
      <c r="AD214" s="61" t="s">
        <v>17</v>
      </c>
      <c r="AF214" s="4" t="s">
        <v>642</v>
      </c>
    </row>
    <row r="215" spans="1:32" ht="12.75" customHeight="1" x14ac:dyDescent="0.3">
      <c r="A215" s="61">
        <v>214</v>
      </c>
      <c r="B215" s="61">
        <v>60</v>
      </c>
      <c r="C215" s="62" t="s">
        <v>830</v>
      </c>
      <c r="D215" s="62" t="s">
        <v>25</v>
      </c>
      <c r="E215" s="62" t="s">
        <v>32</v>
      </c>
      <c r="F215" s="62" t="s">
        <v>27</v>
      </c>
      <c r="G215" s="62" t="s">
        <v>64</v>
      </c>
      <c r="H215" s="63">
        <v>1</v>
      </c>
      <c r="I215" s="62"/>
      <c r="J215" s="62">
        <v>1</v>
      </c>
      <c r="K215" s="62">
        <v>1</v>
      </c>
      <c r="L215" s="62">
        <f t="shared" ref="L215:L232" si="8">50-30</f>
        <v>20</v>
      </c>
      <c r="M215" s="62">
        <v>1</v>
      </c>
      <c r="N215" s="62">
        <v>0</v>
      </c>
      <c r="O215" s="62" t="s">
        <v>32</v>
      </c>
      <c r="P215" s="62" t="s">
        <v>290</v>
      </c>
      <c r="Q215" s="64">
        <f t="shared" ref="Q215:Q220" si="9">70.48/12</f>
        <v>5.873333333333334</v>
      </c>
      <c r="R215" s="65">
        <f t="shared" ref="R215:R220" si="10">13/23</f>
        <v>0.56521739130434778</v>
      </c>
      <c r="S215" s="66"/>
      <c r="T215" s="66"/>
      <c r="U215" s="66">
        <v>1.23</v>
      </c>
      <c r="V215" s="66">
        <v>1.34</v>
      </c>
      <c r="W215" s="62">
        <v>23</v>
      </c>
      <c r="X215" s="62">
        <v>0</v>
      </c>
      <c r="Y215" s="62">
        <v>0</v>
      </c>
      <c r="Z215" s="62" t="s">
        <v>291</v>
      </c>
      <c r="AA215" s="62"/>
      <c r="AB215" s="62" t="s">
        <v>17</v>
      </c>
      <c r="AC215" s="62" t="s">
        <v>17</v>
      </c>
      <c r="AD215" s="61" t="s">
        <v>17</v>
      </c>
      <c r="AF215" s="4" t="s">
        <v>723</v>
      </c>
    </row>
    <row r="216" spans="1:32" ht="12.75" customHeight="1" x14ac:dyDescent="0.3">
      <c r="A216" s="61">
        <v>215</v>
      </c>
      <c r="B216" s="61">
        <v>60</v>
      </c>
      <c r="C216" s="62" t="s">
        <v>830</v>
      </c>
      <c r="D216" s="62" t="s">
        <v>25</v>
      </c>
      <c r="E216" s="62" t="s">
        <v>32</v>
      </c>
      <c r="F216" s="62" t="s">
        <v>27</v>
      </c>
      <c r="G216" s="62" t="s">
        <v>64</v>
      </c>
      <c r="H216" s="63">
        <v>1</v>
      </c>
      <c r="I216" s="62"/>
      <c r="J216" s="62">
        <v>1</v>
      </c>
      <c r="K216" s="62">
        <v>1</v>
      </c>
      <c r="L216" s="62">
        <f t="shared" si="8"/>
        <v>20</v>
      </c>
      <c r="M216" s="62">
        <v>1</v>
      </c>
      <c r="N216" s="62">
        <v>7</v>
      </c>
      <c r="O216" s="62" t="s">
        <v>32</v>
      </c>
      <c r="P216" s="62" t="s">
        <v>290</v>
      </c>
      <c r="Q216" s="64">
        <f t="shared" si="9"/>
        <v>5.873333333333334</v>
      </c>
      <c r="R216" s="65">
        <f t="shared" si="10"/>
        <v>0.56521739130434778</v>
      </c>
      <c r="S216" s="66"/>
      <c r="T216" s="66"/>
      <c r="U216" s="66">
        <v>2.17</v>
      </c>
      <c r="V216" s="66">
        <v>1.56</v>
      </c>
      <c r="W216" s="62">
        <v>23</v>
      </c>
      <c r="X216" s="62">
        <v>0</v>
      </c>
      <c r="Y216" s="62">
        <v>0</v>
      </c>
      <c r="Z216" s="62" t="s">
        <v>291</v>
      </c>
      <c r="AA216" s="62"/>
      <c r="AB216" s="62" t="s">
        <v>17</v>
      </c>
      <c r="AC216" s="62" t="s">
        <v>17</v>
      </c>
      <c r="AD216" s="61" t="s">
        <v>17</v>
      </c>
      <c r="AF216" s="4" t="s">
        <v>723</v>
      </c>
    </row>
    <row r="217" spans="1:32" ht="12.75" customHeight="1" x14ac:dyDescent="0.3">
      <c r="A217" s="61">
        <v>216</v>
      </c>
      <c r="B217" s="61">
        <v>60</v>
      </c>
      <c r="C217" s="62" t="s">
        <v>830</v>
      </c>
      <c r="D217" s="62" t="s">
        <v>25</v>
      </c>
      <c r="E217" s="62" t="s">
        <v>32</v>
      </c>
      <c r="F217" s="62" t="s">
        <v>27</v>
      </c>
      <c r="G217" s="62" t="s">
        <v>64</v>
      </c>
      <c r="H217" s="63">
        <v>1</v>
      </c>
      <c r="I217" s="62"/>
      <c r="J217" s="62">
        <v>1</v>
      </c>
      <c r="K217" s="62">
        <v>1</v>
      </c>
      <c r="L217" s="62">
        <f t="shared" si="8"/>
        <v>20</v>
      </c>
      <c r="M217" s="62">
        <v>1</v>
      </c>
      <c r="N217" s="62">
        <v>0</v>
      </c>
      <c r="O217" s="62" t="s">
        <v>32</v>
      </c>
      <c r="P217" s="62" t="s">
        <v>292</v>
      </c>
      <c r="Q217" s="64">
        <f t="shared" si="9"/>
        <v>5.873333333333334</v>
      </c>
      <c r="R217" s="65">
        <f t="shared" si="10"/>
        <v>0.56521739130434778</v>
      </c>
      <c r="S217" s="66"/>
      <c r="T217" s="66"/>
      <c r="U217" s="66">
        <v>1.05</v>
      </c>
      <c r="V217" s="66">
        <v>1.29</v>
      </c>
      <c r="W217" s="62">
        <v>23</v>
      </c>
      <c r="X217" s="62">
        <v>0</v>
      </c>
      <c r="Y217" s="62">
        <v>0</v>
      </c>
      <c r="Z217" s="62" t="s">
        <v>291</v>
      </c>
      <c r="AA217" s="62"/>
      <c r="AB217" s="62" t="s">
        <v>17</v>
      </c>
      <c r="AC217" s="62" t="s">
        <v>17</v>
      </c>
      <c r="AD217" s="61" t="s">
        <v>17</v>
      </c>
      <c r="AF217" s="4" t="s">
        <v>723</v>
      </c>
    </row>
    <row r="218" spans="1:32" ht="12.75" customHeight="1" x14ac:dyDescent="0.3">
      <c r="A218" s="61">
        <v>217</v>
      </c>
      <c r="B218" s="61">
        <v>60</v>
      </c>
      <c r="C218" s="62" t="s">
        <v>830</v>
      </c>
      <c r="D218" s="62" t="s">
        <v>25</v>
      </c>
      <c r="E218" s="62" t="s">
        <v>32</v>
      </c>
      <c r="F218" s="62" t="s">
        <v>27</v>
      </c>
      <c r="G218" s="62" t="s">
        <v>64</v>
      </c>
      <c r="H218" s="63">
        <v>1</v>
      </c>
      <c r="I218" s="62"/>
      <c r="J218" s="62">
        <v>1</v>
      </c>
      <c r="K218" s="62">
        <v>1</v>
      </c>
      <c r="L218" s="62">
        <f t="shared" si="8"/>
        <v>20</v>
      </c>
      <c r="M218" s="62">
        <v>1</v>
      </c>
      <c r="N218" s="62">
        <v>7</v>
      </c>
      <c r="O218" s="62" t="s">
        <v>32</v>
      </c>
      <c r="P218" s="62" t="s">
        <v>292</v>
      </c>
      <c r="Q218" s="64">
        <f t="shared" si="9"/>
        <v>5.873333333333334</v>
      </c>
      <c r="R218" s="65">
        <f t="shared" si="10"/>
        <v>0.56521739130434778</v>
      </c>
      <c r="S218" s="66"/>
      <c r="T218" s="66"/>
      <c r="U218" s="66">
        <v>1.74</v>
      </c>
      <c r="V218" s="66">
        <v>1.25</v>
      </c>
      <c r="W218" s="62">
        <v>23</v>
      </c>
      <c r="X218" s="62">
        <v>0</v>
      </c>
      <c r="Y218" s="62">
        <v>0</v>
      </c>
      <c r="Z218" s="62" t="s">
        <v>291</v>
      </c>
      <c r="AA218" s="62"/>
      <c r="AB218" s="62" t="s">
        <v>17</v>
      </c>
      <c r="AC218" s="62" t="s">
        <v>17</v>
      </c>
      <c r="AD218" s="61" t="s">
        <v>17</v>
      </c>
      <c r="AF218" s="4" t="s">
        <v>723</v>
      </c>
    </row>
    <row r="219" spans="1:32" ht="12.75" customHeight="1" x14ac:dyDescent="0.3">
      <c r="A219" s="61">
        <v>218</v>
      </c>
      <c r="B219" s="61">
        <v>60</v>
      </c>
      <c r="C219" s="62" t="s">
        <v>830</v>
      </c>
      <c r="D219" s="62" t="s">
        <v>25</v>
      </c>
      <c r="E219" s="62" t="s">
        <v>32</v>
      </c>
      <c r="F219" s="62" t="s">
        <v>33</v>
      </c>
      <c r="G219" s="62" t="s">
        <v>64</v>
      </c>
      <c r="H219" s="63">
        <v>1</v>
      </c>
      <c r="I219" s="62"/>
      <c r="J219" s="62">
        <v>1</v>
      </c>
      <c r="K219" s="62">
        <v>1</v>
      </c>
      <c r="L219" s="62">
        <f t="shared" si="8"/>
        <v>20</v>
      </c>
      <c r="M219" s="62">
        <v>1</v>
      </c>
      <c r="N219" s="62">
        <v>0</v>
      </c>
      <c r="O219" s="62" t="s">
        <v>32</v>
      </c>
      <c r="P219" s="62" t="s">
        <v>293</v>
      </c>
      <c r="Q219" s="64">
        <f t="shared" si="9"/>
        <v>5.873333333333334</v>
      </c>
      <c r="R219" s="65">
        <f t="shared" si="10"/>
        <v>0.56521739130434778</v>
      </c>
      <c r="S219" s="66"/>
      <c r="T219" s="66"/>
      <c r="U219" s="66">
        <v>12.27</v>
      </c>
      <c r="V219" s="66">
        <v>3.78</v>
      </c>
      <c r="W219" s="62">
        <v>23</v>
      </c>
      <c r="X219" s="62">
        <v>0</v>
      </c>
      <c r="Y219" s="62">
        <v>0</v>
      </c>
      <c r="Z219" s="62" t="s">
        <v>291</v>
      </c>
      <c r="AA219" s="62"/>
      <c r="AB219" s="62" t="s">
        <v>17</v>
      </c>
      <c r="AC219" s="62" t="s">
        <v>17</v>
      </c>
      <c r="AD219" s="61" t="s">
        <v>17</v>
      </c>
      <c r="AF219" s="4" t="s">
        <v>723</v>
      </c>
    </row>
    <row r="220" spans="1:32" ht="12.75" customHeight="1" x14ac:dyDescent="0.3">
      <c r="A220" s="61">
        <v>219</v>
      </c>
      <c r="B220" s="61">
        <v>60</v>
      </c>
      <c r="C220" s="62" t="s">
        <v>830</v>
      </c>
      <c r="D220" s="62" t="s">
        <v>25</v>
      </c>
      <c r="E220" s="62" t="s">
        <v>32</v>
      </c>
      <c r="F220" s="62" t="s">
        <v>33</v>
      </c>
      <c r="G220" s="62" t="s">
        <v>64</v>
      </c>
      <c r="H220" s="63">
        <v>1</v>
      </c>
      <c r="I220" s="62"/>
      <c r="J220" s="62">
        <v>1</v>
      </c>
      <c r="K220" s="62">
        <v>1</v>
      </c>
      <c r="L220" s="62">
        <f t="shared" si="8"/>
        <v>20</v>
      </c>
      <c r="M220" s="62">
        <v>1</v>
      </c>
      <c r="N220" s="62">
        <v>7</v>
      </c>
      <c r="O220" s="62" t="s">
        <v>32</v>
      </c>
      <c r="P220" s="62" t="s">
        <v>293</v>
      </c>
      <c r="Q220" s="64">
        <f t="shared" si="9"/>
        <v>5.873333333333334</v>
      </c>
      <c r="R220" s="65">
        <f t="shared" si="10"/>
        <v>0.56521739130434778</v>
      </c>
      <c r="S220" s="66"/>
      <c r="T220" s="66"/>
      <c r="U220" s="66">
        <v>14.3</v>
      </c>
      <c r="V220" s="66">
        <v>3.44</v>
      </c>
      <c r="W220" s="62">
        <v>23</v>
      </c>
      <c r="X220" s="62">
        <v>0</v>
      </c>
      <c r="Y220" s="62">
        <v>0</v>
      </c>
      <c r="Z220" s="62" t="s">
        <v>291</v>
      </c>
      <c r="AA220" s="62"/>
      <c r="AB220" s="62" t="s">
        <v>17</v>
      </c>
      <c r="AC220" s="62" t="s">
        <v>17</v>
      </c>
      <c r="AD220" s="61" t="s">
        <v>17</v>
      </c>
      <c r="AF220" s="4" t="s">
        <v>723</v>
      </c>
    </row>
    <row r="221" spans="1:32" ht="12.75" customHeight="1" x14ac:dyDescent="0.3">
      <c r="A221" s="61">
        <v>220</v>
      </c>
      <c r="B221" s="61">
        <v>60</v>
      </c>
      <c r="C221" s="62" t="s">
        <v>830</v>
      </c>
      <c r="D221" s="62" t="s">
        <v>25</v>
      </c>
      <c r="E221" s="62" t="s">
        <v>32</v>
      </c>
      <c r="F221" s="62" t="s">
        <v>27</v>
      </c>
      <c r="G221" s="62" t="s">
        <v>34</v>
      </c>
      <c r="H221" s="63">
        <v>1</v>
      </c>
      <c r="I221" s="62"/>
      <c r="J221" s="62">
        <v>1</v>
      </c>
      <c r="K221" s="62" t="s">
        <v>32</v>
      </c>
      <c r="L221" s="62">
        <f t="shared" si="8"/>
        <v>20</v>
      </c>
      <c r="M221" s="62">
        <v>1</v>
      </c>
      <c r="N221" s="62">
        <v>0</v>
      </c>
      <c r="O221" s="62" t="s">
        <v>32</v>
      </c>
      <c r="P221" s="62" t="s">
        <v>290</v>
      </c>
      <c r="Q221" s="64">
        <f t="shared" ref="Q221:Q226" si="11">66.67/12</f>
        <v>5.5558333333333332</v>
      </c>
      <c r="R221" s="65">
        <f t="shared" ref="R221:R226" si="12">(21-5)/21</f>
        <v>0.76190476190476186</v>
      </c>
      <c r="S221" s="66"/>
      <c r="T221" s="66"/>
      <c r="U221" s="66">
        <v>1.48</v>
      </c>
      <c r="V221" s="66">
        <v>1.1200000000000001</v>
      </c>
      <c r="W221" s="62">
        <v>21</v>
      </c>
      <c r="X221" s="62">
        <v>0</v>
      </c>
      <c r="Y221" s="62">
        <v>0</v>
      </c>
      <c r="Z221" s="62" t="s">
        <v>291</v>
      </c>
      <c r="AA221" s="62"/>
      <c r="AB221" s="62" t="s">
        <v>17</v>
      </c>
      <c r="AC221" s="62" t="s">
        <v>17</v>
      </c>
      <c r="AD221" s="61" t="s">
        <v>17</v>
      </c>
      <c r="AF221" s="4" t="s">
        <v>723</v>
      </c>
    </row>
    <row r="222" spans="1:32" ht="12.75" customHeight="1" x14ac:dyDescent="0.3">
      <c r="A222" s="61">
        <v>221</v>
      </c>
      <c r="B222" s="61">
        <v>60</v>
      </c>
      <c r="C222" s="62" t="s">
        <v>830</v>
      </c>
      <c r="D222" s="62" t="s">
        <v>25</v>
      </c>
      <c r="E222" s="62" t="s">
        <v>32</v>
      </c>
      <c r="F222" s="62" t="s">
        <v>27</v>
      </c>
      <c r="G222" s="62" t="s">
        <v>34</v>
      </c>
      <c r="H222" s="63">
        <v>1</v>
      </c>
      <c r="I222" s="62"/>
      <c r="J222" s="62">
        <v>1</v>
      </c>
      <c r="K222" s="62" t="s">
        <v>32</v>
      </c>
      <c r="L222" s="62">
        <f t="shared" si="8"/>
        <v>20</v>
      </c>
      <c r="M222" s="62">
        <v>1</v>
      </c>
      <c r="N222" s="62">
        <v>7</v>
      </c>
      <c r="O222" s="62" t="s">
        <v>32</v>
      </c>
      <c r="P222" s="62" t="s">
        <v>290</v>
      </c>
      <c r="Q222" s="64">
        <f t="shared" si="11"/>
        <v>5.5558333333333332</v>
      </c>
      <c r="R222" s="65">
        <f t="shared" si="12"/>
        <v>0.76190476190476186</v>
      </c>
      <c r="S222" s="66"/>
      <c r="T222" s="66"/>
      <c r="U222" s="66">
        <v>1.89</v>
      </c>
      <c r="V222" s="66">
        <v>0.99</v>
      </c>
      <c r="W222" s="62">
        <v>21</v>
      </c>
      <c r="X222" s="62">
        <v>0</v>
      </c>
      <c r="Y222" s="62">
        <v>0</v>
      </c>
      <c r="Z222" s="62" t="s">
        <v>291</v>
      </c>
      <c r="AA222" s="62"/>
      <c r="AB222" s="62" t="s">
        <v>17</v>
      </c>
      <c r="AC222" s="62" t="s">
        <v>17</v>
      </c>
      <c r="AD222" s="61" t="s">
        <v>17</v>
      </c>
      <c r="AF222" s="4" t="s">
        <v>723</v>
      </c>
    </row>
    <row r="223" spans="1:32" ht="12.75" customHeight="1" x14ac:dyDescent="0.3">
      <c r="A223" s="61">
        <v>222</v>
      </c>
      <c r="B223" s="61">
        <v>60</v>
      </c>
      <c r="C223" s="62" t="s">
        <v>830</v>
      </c>
      <c r="D223" s="62" t="s">
        <v>25</v>
      </c>
      <c r="E223" s="62" t="s">
        <v>32</v>
      </c>
      <c r="F223" s="62" t="s">
        <v>27</v>
      </c>
      <c r="G223" s="62" t="s">
        <v>34</v>
      </c>
      <c r="H223" s="63">
        <v>1</v>
      </c>
      <c r="I223" s="62"/>
      <c r="J223" s="62">
        <v>1</v>
      </c>
      <c r="K223" s="62" t="s">
        <v>32</v>
      </c>
      <c r="L223" s="62">
        <f t="shared" si="8"/>
        <v>20</v>
      </c>
      <c r="M223" s="62">
        <v>1</v>
      </c>
      <c r="N223" s="62">
        <v>0</v>
      </c>
      <c r="O223" s="62" t="s">
        <v>32</v>
      </c>
      <c r="P223" s="62" t="s">
        <v>292</v>
      </c>
      <c r="Q223" s="64">
        <f t="shared" si="11"/>
        <v>5.5558333333333332</v>
      </c>
      <c r="R223" s="65">
        <f t="shared" si="12"/>
        <v>0.76190476190476186</v>
      </c>
      <c r="S223" s="66"/>
      <c r="T223" s="66"/>
      <c r="U223" s="66">
        <v>0.67</v>
      </c>
      <c r="V223" s="66">
        <v>1.07</v>
      </c>
      <c r="W223" s="62">
        <v>21</v>
      </c>
      <c r="X223" s="62">
        <v>0</v>
      </c>
      <c r="Y223" s="62">
        <v>0</v>
      </c>
      <c r="Z223" s="62" t="s">
        <v>291</v>
      </c>
      <c r="AA223" s="62"/>
      <c r="AB223" s="62" t="s">
        <v>17</v>
      </c>
      <c r="AC223" s="62" t="s">
        <v>17</v>
      </c>
      <c r="AD223" s="61" t="s">
        <v>17</v>
      </c>
      <c r="AF223" s="4" t="s">
        <v>723</v>
      </c>
    </row>
    <row r="224" spans="1:32" ht="12.75" customHeight="1" x14ac:dyDescent="0.3">
      <c r="A224" s="61">
        <v>223</v>
      </c>
      <c r="B224" s="61">
        <v>60</v>
      </c>
      <c r="C224" s="62" t="s">
        <v>830</v>
      </c>
      <c r="D224" s="62" t="s">
        <v>25</v>
      </c>
      <c r="E224" s="62" t="s">
        <v>32</v>
      </c>
      <c r="F224" s="62" t="s">
        <v>27</v>
      </c>
      <c r="G224" s="62" t="s">
        <v>34</v>
      </c>
      <c r="H224" s="63">
        <v>1</v>
      </c>
      <c r="I224" s="62"/>
      <c r="J224" s="62">
        <v>1</v>
      </c>
      <c r="K224" s="62" t="s">
        <v>32</v>
      </c>
      <c r="L224" s="62">
        <f t="shared" si="8"/>
        <v>20</v>
      </c>
      <c r="M224" s="62">
        <v>1</v>
      </c>
      <c r="N224" s="62">
        <v>7</v>
      </c>
      <c r="O224" s="62" t="s">
        <v>32</v>
      </c>
      <c r="P224" s="62" t="s">
        <v>292</v>
      </c>
      <c r="Q224" s="64">
        <f t="shared" si="11"/>
        <v>5.5558333333333332</v>
      </c>
      <c r="R224" s="65">
        <f t="shared" si="12"/>
        <v>0.76190476190476186</v>
      </c>
      <c r="S224" s="66"/>
      <c r="T224" s="66"/>
      <c r="U224" s="66">
        <v>1.26</v>
      </c>
      <c r="V224" s="66">
        <v>0.99</v>
      </c>
      <c r="W224" s="62">
        <v>21</v>
      </c>
      <c r="X224" s="62">
        <v>0</v>
      </c>
      <c r="Y224" s="62">
        <v>0</v>
      </c>
      <c r="Z224" s="62" t="s">
        <v>291</v>
      </c>
      <c r="AA224" s="62"/>
      <c r="AB224" s="62" t="s">
        <v>17</v>
      </c>
      <c r="AC224" s="62" t="s">
        <v>17</v>
      </c>
      <c r="AD224" s="61" t="s">
        <v>17</v>
      </c>
      <c r="AF224" s="4" t="s">
        <v>723</v>
      </c>
    </row>
    <row r="225" spans="1:32" ht="12.75" customHeight="1" x14ac:dyDescent="0.3">
      <c r="A225" s="61">
        <v>224</v>
      </c>
      <c r="B225" s="61">
        <v>60</v>
      </c>
      <c r="C225" s="62" t="s">
        <v>830</v>
      </c>
      <c r="D225" s="62" t="s">
        <v>25</v>
      </c>
      <c r="E225" s="62" t="s">
        <v>32</v>
      </c>
      <c r="F225" s="62" t="s">
        <v>33</v>
      </c>
      <c r="G225" s="62" t="s">
        <v>34</v>
      </c>
      <c r="H225" s="63">
        <v>1</v>
      </c>
      <c r="I225" s="62"/>
      <c r="J225" s="62">
        <v>1</v>
      </c>
      <c r="K225" s="62" t="s">
        <v>32</v>
      </c>
      <c r="L225" s="62">
        <f t="shared" si="8"/>
        <v>20</v>
      </c>
      <c r="M225" s="62">
        <v>1</v>
      </c>
      <c r="N225" s="62">
        <v>0</v>
      </c>
      <c r="O225" s="62" t="s">
        <v>32</v>
      </c>
      <c r="P225" s="62" t="s">
        <v>293</v>
      </c>
      <c r="Q225" s="64">
        <f t="shared" si="11"/>
        <v>5.5558333333333332</v>
      </c>
      <c r="R225" s="65">
        <f t="shared" si="12"/>
        <v>0.76190476190476186</v>
      </c>
      <c r="S225" s="66"/>
      <c r="T225" s="66"/>
      <c r="U225" s="66">
        <v>11.67</v>
      </c>
      <c r="V225" s="66">
        <v>3.37</v>
      </c>
      <c r="W225" s="62">
        <v>21</v>
      </c>
      <c r="X225" s="62">
        <v>0</v>
      </c>
      <c r="Y225" s="62">
        <v>0</v>
      </c>
      <c r="Z225" s="62" t="s">
        <v>291</v>
      </c>
      <c r="AA225" s="62"/>
      <c r="AB225" s="62" t="s">
        <v>17</v>
      </c>
      <c r="AC225" s="62" t="s">
        <v>17</v>
      </c>
      <c r="AD225" s="61" t="s">
        <v>17</v>
      </c>
      <c r="AF225" s="4" t="s">
        <v>723</v>
      </c>
    </row>
    <row r="226" spans="1:32" ht="12.75" customHeight="1" x14ac:dyDescent="0.3">
      <c r="A226" s="61">
        <v>225</v>
      </c>
      <c r="B226" s="61">
        <v>60</v>
      </c>
      <c r="C226" s="62" t="s">
        <v>830</v>
      </c>
      <c r="D226" s="62" t="s">
        <v>25</v>
      </c>
      <c r="E226" s="62" t="s">
        <v>32</v>
      </c>
      <c r="F226" s="62" t="s">
        <v>33</v>
      </c>
      <c r="G226" s="62" t="s">
        <v>34</v>
      </c>
      <c r="H226" s="63">
        <v>1</v>
      </c>
      <c r="I226" s="62"/>
      <c r="J226" s="62">
        <v>1</v>
      </c>
      <c r="K226" s="62" t="s">
        <v>32</v>
      </c>
      <c r="L226" s="62">
        <f t="shared" si="8"/>
        <v>20</v>
      </c>
      <c r="M226" s="62">
        <v>1</v>
      </c>
      <c r="N226" s="62">
        <v>7</v>
      </c>
      <c r="O226" s="62" t="s">
        <v>32</v>
      </c>
      <c r="P226" s="62" t="s">
        <v>293</v>
      </c>
      <c r="Q226" s="64">
        <f t="shared" si="11"/>
        <v>5.5558333333333332</v>
      </c>
      <c r="R226" s="65">
        <f t="shared" si="12"/>
        <v>0.76190476190476186</v>
      </c>
      <c r="S226" s="66"/>
      <c r="T226" s="66"/>
      <c r="U226" s="66">
        <v>12.11</v>
      </c>
      <c r="V226" s="66">
        <v>2.75</v>
      </c>
      <c r="W226" s="62">
        <v>21</v>
      </c>
      <c r="X226" s="62">
        <v>0</v>
      </c>
      <c r="Y226" s="62">
        <v>0</v>
      </c>
      <c r="Z226" s="62" t="s">
        <v>291</v>
      </c>
      <c r="AA226" s="62"/>
      <c r="AB226" s="62" t="s">
        <v>17</v>
      </c>
      <c r="AC226" s="62" t="s">
        <v>17</v>
      </c>
      <c r="AD226" s="61" t="s">
        <v>17</v>
      </c>
      <c r="AF226" s="4" t="s">
        <v>723</v>
      </c>
    </row>
    <row r="227" spans="1:32" ht="12.75" customHeight="1" x14ac:dyDescent="0.3">
      <c r="A227" s="61">
        <v>226</v>
      </c>
      <c r="B227" s="61">
        <v>60</v>
      </c>
      <c r="C227" s="62" t="s">
        <v>830</v>
      </c>
      <c r="D227" s="62" t="s">
        <v>25</v>
      </c>
      <c r="E227" s="62" t="s">
        <v>26</v>
      </c>
      <c r="F227" s="62" t="s">
        <v>27</v>
      </c>
      <c r="G227" s="62" t="s">
        <v>2</v>
      </c>
      <c r="H227" s="63">
        <v>1</v>
      </c>
      <c r="I227" s="62"/>
      <c r="J227" s="62">
        <v>1</v>
      </c>
      <c r="K227" s="62">
        <v>1</v>
      </c>
      <c r="L227" s="62">
        <f t="shared" si="8"/>
        <v>20</v>
      </c>
      <c r="M227" s="62">
        <v>1</v>
      </c>
      <c r="N227" s="62">
        <v>0</v>
      </c>
      <c r="O227" s="62" t="s">
        <v>32</v>
      </c>
      <c r="P227" s="62" t="s">
        <v>290</v>
      </c>
      <c r="Q227" s="64">
        <f t="shared" ref="Q227:Q232" si="13">65.7/12</f>
        <v>5.4750000000000005</v>
      </c>
      <c r="R227" s="65">
        <f t="shared" ref="R227:R232" si="14">13/23</f>
        <v>0.56521739130434778</v>
      </c>
      <c r="S227" s="66"/>
      <c r="T227" s="66"/>
      <c r="U227" s="66">
        <v>1.3</v>
      </c>
      <c r="V227" s="66">
        <v>1.1100000000000001</v>
      </c>
      <c r="W227" s="62">
        <v>23</v>
      </c>
      <c r="X227" s="62">
        <v>0</v>
      </c>
      <c r="Y227" s="62">
        <v>0</v>
      </c>
      <c r="Z227" s="62" t="s">
        <v>291</v>
      </c>
      <c r="AA227" s="62"/>
      <c r="AB227" s="62" t="s">
        <v>17</v>
      </c>
      <c r="AC227" s="62" t="s">
        <v>17</v>
      </c>
      <c r="AD227" s="61" t="s">
        <v>17</v>
      </c>
      <c r="AF227" s="4" t="s">
        <v>723</v>
      </c>
    </row>
    <row r="228" spans="1:32" ht="12.75" customHeight="1" x14ac:dyDescent="0.3">
      <c r="A228" s="61">
        <v>227</v>
      </c>
      <c r="B228" s="61">
        <v>60</v>
      </c>
      <c r="C228" s="62" t="s">
        <v>830</v>
      </c>
      <c r="D228" s="62" t="s">
        <v>25</v>
      </c>
      <c r="E228" s="62" t="s">
        <v>26</v>
      </c>
      <c r="F228" s="62" t="s">
        <v>27</v>
      </c>
      <c r="G228" s="62" t="s">
        <v>2</v>
      </c>
      <c r="H228" s="63">
        <v>1</v>
      </c>
      <c r="I228" s="62"/>
      <c r="J228" s="62">
        <v>1</v>
      </c>
      <c r="K228" s="62">
        <v>1</v>
      </c>
      <c r="L228" s="62">
        <f t="shared" si="8"/>
        <v>20</v>
      </c>
      <c r="M228" s="62">
        <v>1</v>
      </c>
      <c r="N228" s="62">
        <v>7</v>
      </c>
      <c r="O228" s="62" t="s">
        <v>32</v>
      </c>
      <c r="P228" s="62" t="s">
        <v>290</v>
      </c>
      <c r="Q228" s="64">
        <f t="shared" si="13"/>
        <v>5.4750000000000005</v>
      </c>
      <c r="R228" s="65">
        <f t="shared" si="14"/>
        <v>0.56521739130434778</v>
      </c>
      <c r="S228" s="66"/>
      <c r="T228" s="66"/>
      <c r="U228" s="66">
        <v>1.83</v>
      </c>
      <c r="V228" s="66">
        <v>1.44</v>
      </c>
      <c r="W228" s="62">
        <v>23</v>
      </c>
      <c r="X228" s="62">
        <v>0</v>
      </c>
      <c r="Y228" s="62">
        <v>0</v>
      </c>
      <c r="Z228" s="62" t="s">
        <v>291</v>
      </c>
      <c r="AA228" s="62"/>
      <c r="AB228" s="62" t="s">
        <v>17</v>
      </c>
      <c r="AC228" s="62" t="s">
        <v>17</v>
      </c>
      <c r="AD228" s="61" t="s">
        <v>17</v>
      </c>
      <c r="AF228" s="4" t="s">
        <v>723</v>
      </c>
    </row>
    <row r="229" spans="1:32" ht="12.75" customHeight="1" x14ac:dyDescent="0.3">
      <c r="A229" s="61">
        <v>228</v>
      </c>
      <c r="B229" s="61">
        <v>60</v>
      </c>
      <c r="C229" s="62" t="s">
        <v>830</v>
      </c>
      <c r="D229" s="62" t="s">
        <v>25</v>
      </c>
      <c r="E229" s="62" t="s">
        <v>26</v>
      </c>
      <c r="F229" s="62" t="s">
        <v>27</v>
      </c>
      <c r="G229" s="62" t="s">
        <v>2</v>
      </c>
      <c r="H229" s="63">
        <v>1</v>
      </c>
      <c r="I229" s="62"/>
      <c r="J229" s="62">
        <v>1</v>
      </c>
      <c r="K229" s="62">
        <v>1</v>
      </c>
      <c r="L229" s="62">
        <f t="shared" si="8"/>
        <v>20</v>
      </c>
      <c r="M229" s="62">
        <v>1</v>
      </c>
      <c r="N229" s="62">
        <v>0</v>
      </c>
      <c r="O229" s="62" t="s">
        <v>32</v>
      </c>
      <c r="P229" s="62" t="s">
        <v>292</v>
      </c>
      <c r="Q229" s="64">
        <f t="shared" si="13"/>
        <v>5.4750000000000005</v>
      </c>
      <c r="R229" s="65">
        <f t="shared" si="14"/>
        <v>0.56521739130434778</v>
      </c>
      <c r="S229" s="66"/>
      <c r="T229" s="66"/>
      <c r="U229" s="66">
        <v>1.26</v>
      </c>
      <c r="V229" s="66">
        <v>1.29</v>
      </c>
      <c r="W229" s="62">
        <v>23</v>
      </c>
      <c r="X229" s="62">
        <v>0</v>
      </c>
      <c r="Y229" s="62">
        <v>0</v>
      </c>
      <c r="Z229" s="62" t="s">
        <v>291</v>
      </c>
      <c r="AA229" s="62"/>
      <c r="AB229" s="62" t="s">
        <v>17</v>
      </c>
      <c r="AC229" s="62" t="s">
        <v>17</v>
      </c>
      <c r="AD229" s="61" t="s">
        <v>17</v>
      </c>
      <c r="AF229" s="4" t="s">
        <v>723</v>
      </c>
    </row>
    <row r="230" spans="1:32" ht="12.75" customHeight="1" x14ac:dyDescent="0.3">
      <c r="A230" s="61">
        <v>229</v>
      </c>
      <c r="B230" s="61">
        <v>60</v>
      </c>
      <c r="C230" s="62" t="s">
        <v>830</v>
      </c>
      <c r="D230" s="62" t="s">
        <v>25</v>
      </c>
      <c r="E230" s="62" t="s">
        <v>26</v>
      </c>
      <c r="F230" s="62" t="s">
        <v>27</v>
      </c>
      <c r="G230" s="62" t="s">
        <v>2</v>
      </c>
      <c r="H230" s="63">
        <v>1</v>
      </c>
      <c r="I230" s="62"/>
      <c r="J230" s="62">
        <v>1</v>
      </c>
      <c r="K230" s="62">
        <v>1</v>
      </c>
      <c r="L230" s="62">
        <f t="shared" si="8"/>
        <v>20</v>
      </c>
      <c r="M230" s="62">
        <v>1</v>
      </c>
      <c r="N230" s="62">
        <v>7</v>
      </c>
      <c r="O230" s="62" t="s">
        <v>32</v>
      </c>
      <c r="P230" s="62" t="s">
        <v>292</v>
      </c>
      <c r="Q230" s="64">
        <f t="shared" si="13"/>
        <v>5.4750000000000005</v>
      </c>
      <c r="R230" s="65">
        <f t="shared" si="14"/>
        <v>0.56521739130434778</v>
      </c>
      <c r="S230" s="66"/>
      <c r="T230" s="66"/>
      <c r="U230" s="66">
        <v>1.35</v>
      </c>
      <c r="V230" s="66">
        <v>1.07</v>
      </c>
      <c r="W230" s="62">
        <v>23</v>
      </c>
      <c r="X230" s="62">
        <v>0</v>
      </c>
      <c r="Y230" s="62">
        <v>0</v>
      </c>
      <c r="Z230" s="62" t="s">
        <v>291</v>
      </c>
      <c r="AA230" s="62"/>
      <c r="AB230" s="62" t="s">
        <v>17</v>
      </c>
      <c r="AC230" s="62" t="s">
        <v>17</v>
      </c>
      <c r="AD230" s="61" t="s">
        <v>17</v>
      </c>
      <c r="AF230" s="4" t="s">
        <v>723</v>
      </c>
    </row>
    <row r="231" spans="1:32" ht="12.75" customHeight="1" x14ac:dyDescent="0.3">
      <c r="A231" s="61">
        <v>230</v>
      </c>
      <c r="B231" s="61">
        <v>60</v>
      </c>
      <c r="C231" s="62" t="s">
        <v>830</v>
      </c>
      <c r="D231" s="62" t="s">
        <v>25</v>
      </c>
      <c r="E231" s="62" t="s">
        <v>26</v>
      </c>
      <c r="F231" s="62" t="s">
        <v>33</v>
      </c>
      <c r="G231" s="62" t="s">
        <v>2</v>
      </c>
      <c r="H231" s="63">
        <v>1</v>
      </c>
      <c r="I231" s="62"/>
      <c r="J231" s="62">
        <v>1</v>
      </c>
      <c r="K231" s="62">
        <v>1</v>
      </c>
      <c r="L231" s="62">
        <f t="shared" si="8"/>
        <v>20</v>
      </c>
      <c r="M231" s="62">
        <v>1</v>
      </c>
      <c r="N231" s="62">
        <v>0</v>
      </c>
      <c r="O231" s="62" t="s">
        <v>32</v>
      </c>
      <c r="P231" s="62" t="s">
        <v>293</v>
      </c>
      <c r="Q231" s="64">
        <f t="shared" si="13"/>
        <v>5.4750000000000005</v>
      </c>
      <c r="R231" s="65">
        <f t="shared" si="14"/>
        <v>0.56521739130434778</v>
      </c>
      <c r="S231" s="66"/>
      <c r="T231" s="66"/>
      <c r="U231" s="66">
        <v>11.78</v>
      </c>
      <c r="V231" s="66">
        <v>2.68</v>
      </c>
      <c r="W231" s="62">
        <v>23</v>
      </c>
      <c r="X231" s="62">
        <v>0</v>
      </c>
      <c r="Y231" s="62">
        <v>0</v>
      </c>
      <c r="Z231" s="62" t="s">
        <v>291</v>
      </c>
      <c r="AA231" s="62"/>
      <c r="AB231" s="62" t="s">
        <v>17</v>
      </c>
      <c r="AC231" s="62" t="s">
        <v>17</v>
      </c>
      <c r="AD231" s="61" t="s">
        <v>17</v>
      </c>
      <c r="AF231" s="4" t="s">
        <v>723</v>
      </c>
    </row>
    <row r="232" spans="1:32" ht="12.75" customHeight="1" x14ac:dyDescent="0.3">
      <c r="A232" s="61">
        <v>231</v>
      </c>
      <c r="B232" s="61">
        <v>60</v>
      </c>
      <c r="C232" s="62" t="s">
        <v>830</v>
      </c>
      <c r="D232" s="62" t="s">
        <v>25</v>
      </c>
      <c r="E232" s="62" t="s">
        <v>26</v>
      </c>
      <c r="F232" s="62" t="s">
        <v>33</v>
      </c>
      <c r="G232" s="62" t="s">
        <v>2</v>
      </c>
      <c r="H232" s="63">
        <v>1</v>
      </c>
      <c r="I232" s="62"/>
      <c r="J232" s="62">
        <v>1</v>
      </c>
      <c r="K232" s="62">
        <v>1</v>
      </c>
      <c r="L232" s="62">
        <f t="shared" si="8"/>
        <v>20</v>
      </c>
      <c r="M232" s="62">
        <v>1</v>
      </c>
      <c r="N232" s="62">
        <v>7</v>
      </c>
      <c r="O232" s="62" t="s">
        <v>32</v>
      </c>
      <c r="P232" s="62" t="s">
        <v>293</v>
      </c>
      <c r="Q232" s="64">
        <f t="shared" si="13"/>
        <v>5.4750000000000005</v>
      </c>
      <c r="R232" s="65">
        <f t="shared" si="14"/>
        <v>0.56521739130434778</v>
      </c>
      <c r="S232" s="66"/>
      <c r="T232" s="66"/>
      <c r="U232" s="66">
        <v>12.61</v>
      </c>
      <c r="V232" s="66">
        <v>3.81</v>
      </c>
      <c r="W232" s="62">
        <v>23</v>
      </c>
      <c r="X232" s="62">
        <v>0</v>
      </c>
      <c r="Y232" s="62">
        <v>0</v>
      </c>
      <c r="Z232" s="62" t="s">
        <v>291</v>
      </c>
      <c r="AA232" s="62"/>
      <c r="AB232" s="62" t="s">
        <v>17</v>
      </c>
      <c r="AC232" s="62" t="s">
        <v>17</v>
      </c>
      <c r="AD232" s="61" t="s">
        <v>17</v>
      </c>
      <c r="AF232" s="4" t="s">
        <v>723</v>
      </c>
    </row>
    <row r="233" spans="1:32" ht="12.75" customHeight="1" x14ac:dyDescent="0.3">
      <c r="A233" s="61">
        <v>232</v>
      </c>
      <c r="B233" s="61">
        <v>61</v>
      </c>
      <c r="C233" s="61" t="s">
        <v>791</v>
      </c>
      <c r="D233" s="62" t="s">
        <v>41</v>
      </c>
      <c r="E233" s="62" t="s">
        <v>46</v>
      </c>
      <c r="F233" s="62" t="s">
        <v>33</v>
      </c>
      <c r="G233" s="62" t="s">
        <v>2</v>
      </c>
      <c r="H233" s="63">
        <v>0</v>
      </c>
      <c r="I233" s="62"/>
      <c r="J233" s="62">
        <v>1</v>
      </c>
      <c r="K233" s="62">
        <v>0</v>
      </c>
      <c r="L233" s="62">
        <f>AVERAGE(10,15)*8</f>
        <v>100</v>
      </c>
      <c r="M233" s="62">
        <v>8</v>
      </c>
      <c r="N233" s="62">
        <v>0</v>
      </c>
      <c r="O233" s="62">
        <v>1</v>
      </c>
      <c r="P233" s="62" t="s">
        <v>294</v>
      </c>
      <c r="Q233" s="64">
        <v>4.8600000000000003</v>
      </c>
      <c r="R233" s="65">
        <f>6/14</f>
        <v>0.42857142857142855</v>
      </c>
      <c r="S233" s="66">
        <v>13.4</v>
      </c>
      <c r="T233" s="66">
        <v>3.62</v>
      </c>
      <c r="U233" s="66">
        <v>18.899999999999999</v>
      </c>
      <c r="V233" s="66">
        <v>2.84</v>
      </c>
      <c r="W233" s="62">
        <v>14</v>
      </c>
      <c r="X233" s="62">
        <v>0</v>
      </c>
      <c r="Y233" s="62">
        <v>0</v>
      </c>
      <c r="Z233" s="62" t="s">
        <v>295</v>
      </c>
      <c r="AA233" s="62"/>
      <c r="AB233" s="62" t="s">
        <v>17</v>
      </c>
      <c r="AC233" s="62" t="s">
        <v>17</v>
      </c>
      <c r="AD233" s="61" t="s">
        <v>17</v>
      </c>
      <c r="AF233" s="4" t="s">
        <v>794</v>
      </c>
    </row>
    <row r="234" spans="1:32" ht="12.75" customHeight="1" x14ac:dyDescent="0.3">
      <c r="A234" s="61">
        <v>233</v>
      </c>
      <c r="B234" s="61">
        <v>62</v>
      </c>
      <c r="C234" s="61" t="s">
        <v>756</v>
      </c>
      <c r="D234" s="62" t="s">
        <v>25</v>
      </c>
      <c r="E234" s="62" t="s">
        <v>26</v>
      </c>
      <c r="F234" s="62" t="s">
        <v>33</v>
      </c>
      <c r="G234" s="62" t="s">
        <v>2</v>
      </c>
      <c r="H234" s="63">
        <v>1</v>
      </c>
      <c r="I234" s="62" t="s">
        <v>271</v>
      </c>
      <c r="J234" s="62">
        <v>1</v>
      </c>
      <c r="K234" s="62">
        <v>0</v>
      </c>
      <c r="L234" s="62">
        <f t="shared" ref="L234:L239" si="15">AVERAGE(25,45)</f>
        <v>35</v>
      </c>
      <c r="M234" s="62">
        <v>1</v>
      </c>
      <c r="N234" s="62">
        <v>0</v>
      </c>
      <c r="O234" s="62">
        <v>2</v>
      </c>
      <c r="P234" s="62" t="s">
        <v>294</v>
      </c>
      <c r="Q234" s="64">
        <f>5+3/12</f>
        <v>5.25</v>
      </c>
      <c r="R234" s="65">
        <v>0.51</v>
      </c>
      <c r="S234" s="66">
        <v>1.1514</v>
      </c>
      <c r="T234" s="66">
        <f>(1.5075-S234)*2*1.41010079318056</f>
        <v>1.0042737849031951</v>
      </c>
      <c r="U234" s="66">
        <v>2.2111000000000001</v>
      </c>
      <c r="V234" s="66">
        <f>(2.8678-U234)*2*1.41010079318056</f>
        <v>1.8520263817633471</v>
      </c>
      <c r="W234" s="62">
        <v>33</v>
      </c>
      <c r="X234" s="62">
        <v>0</v>
      </c>
      <c r="Y234" s="62">
        <v>0</v>
      </c>
      <c r="Z234" s="62" t="s">
        <v>296</v>
      </c>
      <c r="AA234" s="62"/>
      <c r="AB234" s="62" t="s">
        <v>17</v>
      </c>
      <c r="AC234" s="62" t="s">
        <v>17</v>
      </c>
      <c r="AD234" s="61" t="s">
        <v>45</v>
      </c>
      <c r="AF234" s="4" t="s">
        <v>643</v>
      </c>
    </row>
    <row r="235" spans="1:32" ht="12.75" customHeight="1" x14ac:dyDescent="0.3">
      <c r="A235" s="61">
        <v>234</v>
      </c>
      <c r="B235" s="61">
        <v>62</v>
      </c>
      <c r="C235" s="61" t="s">
        <v>756</v>
      </c>
      <c r="D235" s="62" t="s">
        <v>25</v>
      </c>
      <c r="E235" s="62" t="s">
        <v>26</v>
      </c>
      <c r="F235" s="62" t="s">
        <v>33</v>
      </c>
      <c r="G235" s="62" t="s">
        <v>2</v>
      </c>
      <c r="H235" s="63">
        <v>1</v>
      </c>
      <c r="I235" s="62" t="s">
        <v>271</v>
      </c>
      <c r="J235" s="62">
        <v>1</v>
      </c>
      <c r="K235" s="62">
        <v>0</v>
      </c>
      <c r="L235" s="62">
        <f t="shared" si="15"/>
        <v>35</v>
      </c>
      <c r="M235" s="62">
        <v>1</v>
      </c>
      <c r="N235" s="62">
        <f>10</f>
        <v>10</v>
      </c>
      <c r="O235" s="62">
        <v>2</v>
      </c>
      <c r="P235" s="62" t="s">
        <v>294</v>
      </c>
      <c r="Q235" s="64">
        <f>5+3/12</f>
        <v>5.25</v>
      </c>
      <c r="R235" s="65">
        <v>0.51</v>
      </c>
      <c r="S235" s="66">
        <v>1.1514</v>
      </c>
      <c r="T235" s="66">
        <f>(1.5075-S235)*2*1.41010079318056</f>
        <v>1.0042737849031951</v>
      </c>
      <c r="U235" s="66">
        <v>2.6375000000000002</v>
      </c>
      <c r="V235" s="66">
        <f>(3.1663-U235)*2*1.41010079318056</f>
        <v>1.4913225988677601</v>
      </c>
      <c r="W235" s="62">
        <v>33</v>
      </c>
      <c r="X235" s="62">
        <v>0</v>
      </c>
      <c r="Y235" s="62">
        <v>0</v>
      </c>
      <c r="Z235" s="62" t="s">
        <v>296</v>
      </c>
      <c r="AA235" s="62" t="s">
        <v>297</v>
      </c>
      <c r="AB235" s="62" t="s">
        <v>17</v>
      </c>
      <c r="AC235" s="62" t="s">
        <v>17</v>
      </c>
      <c r="AD235" s="61" t="s">
        <v>45</v>
      </c>
      <c r="AF235" s="4" t="s">
        <v>643</v>
      </c>
    </row>
    <row r="236" spans="1:32" ht="12.75" customHeight="1" x14ac:dyDescent="0.3">
      <c r="A236" s="61">
        <v>235</v>
      </c>
      <c r="B236" s="61">
        <v>62</v>
      </c>
      <c r="C236" s="61" t="s">
        <v>756</v>
      </c>
      <c r="D236" s="62" t="s">
        <v>25</v>
      </c>
      <c r="E236" s="62" t="s">
        <v>26</v>
      </c>
      <c r="F236" s="62" t="s">
        <v>33</v>
      </c>
      <c r="G236" s="62" t="s">
        <v>2</v>
      </c>
      <c r="H236" s="63">
        <v>1</v>
      </c>
      <c r="I236" s="62" t="s">
        <v>298</v>
      </c>
      <c r="J236" s="62">
        <v>1</v>
      </c>
      <c r="K236" s="62">
        <v>0</v>
      </c>
      <c r="L236" s="62">
        <f t="shared" si="15"/>
        <v>35</v>
      </c>
      <c r="M236" s="62">
        <v>1</v>
      </c>
      <c r="N236" s="62">
        <v>0</v>
      </c>
      <c r="O236" s="62">
        <v>2</v>
      </c>
      <c r="P236" s="62" t="s">
        <v>294</v>
      </c>
      <c r="Q236" s="64">
        <f>5+2/12</f>
        <v>5.166666666666667</v>
      </c>
      <c r="R236" s="65">
        <v>0.56000000000000005</v>
      </c>
      <c r="S236" s="66">
        <v>1.1876</v>
      </c>
      <c r="T236" s="66">
        <f>(1.5672-S236)*2*1.38681464922122</f>
        <v>1.0528696816887502</v>
      </c>
      <c r="U236" s="66">
        <v>2.7826</v>
      </c>
      <c r="V236" s="66">
        <f>(3.5458-U236)*2*1.38681464922122</f>
        <v>2.1168338805712699</v>
      </c>
      <c r="W236" s="62">
        <v>32</v>
      </c>
      <c r="X236" s="62">
        <v>0</v>
      </c>
      <c r="Y236" s="62">
        <v>0</v>
      </c>
      <c r="Z236" s="62" t="s">
        <v>296</v>
      </c>
      <c r="AA236" s="62"/>
      <c r="AB236" s="62" t="s">
        <v>17</v>
      </c>
      <c r="AC236" s="62" t="s">
        <v>17</v>
      </c>
      <c r="AD236" s="61" t="s">
        <v>45</v>
      </c>
      <c r="AF236" s="4" t="s">
        <v>643</v>
      </c>
    </row>
    <row r="237" spans="1:32" ht="12.75" customHeight="1" x14ac:dyDescent="0.3">
      <c r="A237" s="61">
        <v>236</v>
      </c>
      <c r="B237" s="61">
        <v>62</v>
      </c>
      <c r="C237" s="61" t="s">
        <v>756</v>
      </c>
      <c r="D237" s="62" t="s">
        <v>25</v>
      </c>
      <c r="E237" s="62" t="s">
        <v>26</v>
      </c>
      <c r="F237" s="62" t="s">
        <v>33</v>
      </c>
      <c r="G237" s="62" t="s">
        <v>2</v>
      </c>
      <c r="H237" s="63">
        <v>1</v>
      </c>
      <c r="I237" s="62" t="s">
        <v>298</v>
      </c>
      <c r="J237" s="62">
        <v>1</v>
      </c>
      <c r="K237" s="62">
        <v>0</v>
      </c>
      <c r="L237" s="62">
        <f t="shared" si="15"/>
        <v>35</v>
      </c>
      <c r="M237" s="62">
        <v>1</v>
      </c>
      <c r="N237" s="62">
        <f>10</f>
        <v>10</v>
      </c>
      <c r="O237" s="62">
        <v>2</v>
      </c>
      <c r="P237" s="62" t="s">
        <v>294</v>
      </c>
      <c r="Q237" s="64">
        <f>5+2/12</f>
        <v>5.166666666666667</v>
      </c>
      <c r="R237" s="65">
        <v>0.56000000000000005</v>
      </c>
      <c r="S237" s="66">
        <v>1.1876</v>
      </c>
      <c r="T237" s="66">
        <f>(1.5672-S237)*2*1.38681464922122</f>
        <v>1.0528696816887502</v>
      </c>
      <c r="U237" s="66">
        <v>2.7826</v>
      </c>
      <c r="V237" s="66">
        <f>(3.4776-U237)*2*1.38681464922122</f>
        <v>1.9276723624174954</v>
      </c>
      <c r="W237" s="62">
        <v>32</v>
      </c>
      <c r="X237" s="62">
        <v>0</v>
      </c>
      <c r="Y237" s="62">
        <v>0</v>
      </c>
      <c r="Z237" s="62" t="s">
        <v>296</v>
      </c>
      <c r="AA237" s="62"/>
      <c r="AB237" s="62" t="s">
        <v>17</v>
      </c>
      <c r="AC237" s="62" t="s">
        <v>17</v>
      </c>
      <c r="AD237" s="61" t="s">
        <v>45</v>
      </c>
      <c r="AF237" s="4" t="s">
        <v>643</v>
      </c>
    </row>
    <row r="238" spans="1:32" ht="12.75" customHeight="1" x14ac:dyDescent="0.3">
      <c r="A238" s="61">
        <v>237</v>
      </c>
      <c r="B238" s="61">
        <v>62</v>
      </c>
      <c r="C238" s="61" t="s">
        <v>756</v>
      </c>
      <c r="D238" s="62" t="s">
        <v>25</v>
      </c>
      <c r="E238" s="62" t="s">
        <v>26</v>
      </c>
      <c r="F238" s="62" t="s">
        <v>33</v>
      </c>
      <c r="G238" s="62" t="s">
        <v>2</v>
      </c>
      <c r="H238" s="63">
        <v>1</v>
      </c>
      <c r="I238" s="62" t="s">
        <v>299</v>
      </c>
      <c r="J238" s="62">
        <v>1</v>
      </c>
      <c r="K238" s="62">
        <v>0</v>
      </c>
      <c r="L238" s="62">
        <f t="shared" si="15"/>
        <v>35</v>
      </c>
      <c r="M238" s="62">
        <v>1</v>
      </c>
      <c r="N238" s="62">
        <v>0</v>
      </c>
      <c r="O238" s="62">
        <v>2</v>
      </c>
      <c r="P238" s="62" t="s">
        <v>294</v>
      </c>
      <c r="Q238" s="64">
        <v>5.4</v>
      </c>
      <c r="R238" s="65">
        <v>0.41</v>
      </c>
      <c r="S238" s="66">
        <v>1.6525000000000001</v>
      </c>
      <c r="T238" s="66">
        <f>(2.0917-S238)*2*1.31447618426454</f>
        <v>1.1546358802579715</v>
      </c>
      <c r="U238" s="66">
        <v>2.3092000000000001</v>
      </c>
      <c r="V238" s="66">
        <f>(2.9232-U238)*2*1.31447618426454</f>
        <v>1.6141767542768548</v>
      </c>
      <c r="W238" s="62">
        <v>29</v>
      </c>
      <c r="X238" s="62">
        <v>0</v>
      </c>
      <c r="Y238" s="62">
        <v>0</v>
      </c>
      <c r="Z238" s="62" t="s">
        <v>296</v>
      </c>
      <c r="AA238" s="62"/>
      <c r="AB238" s="62" t="s">
        <v>17</v>
      </c>
      <c r="AC238" s="62" t="s">
        <v>17</v>
      </c>
      <c r="AD238" s="61" t="s">
        <v>45</v>
      </c>
      <c r="AF238" s="4" t="s">
        <v>643</v>
      </c>
    </row>
    <row r="239" spans="1:32" ht="12.75" customHeight="1" x14ac:dyDescent="0.3">
      <c r="A239" s="61">
        <v>238</v>
      </c>
      <c r="B239" s="61">
        <v>62</v>
      </c>
      <c r="C239" s="61" t="s">
        <v>756</v>
      </c>
      <c r="D239" s="62" t="s">
        <v>25</v>
      </c>
      <c r="E239" s="62" t="s">
        <v>26</v>
      </c>
      <c r="F239" s="62" t="s">
        <v>33</v>
      </c>
      <c r="G239" s="62" t="s">
        <v>2</v>
      </c>
      <c r="H239" s="63">
        <v>1</v>
      </c>
      <c r="I239" s="62" t="s">
        <v>299</v>
      </c>
      <c r="J239" s="62">
        <v>1</v>
      </c>
      <c r="K239" s="62">
        <v>0</v>
      </c>
      <c r="L239" s="62">
        <f t="shared" si="15"/>
        <v>35</v>
      </c>
      <c r="M239" s="62">
        <v>1</v>
      </c>
      <c r="N239" s="62">
        <f>10</f>
        <v>10</v>
      </c>
      <c r="O239" s="62">
        <v>2</v>
      </c>
      <c r="P239" s="62" t="s">
        <v>294</v>
      </c>
      <c r="Q239" s="64">
        <v>5.4</v>
      </c>
      <c r="R239" s="65">
        <v>0.41</v>
      </c>
      <c r="S239" s="66">
        <v>1.6525000000000001</v>
      </c>
      <c r="T239" s="66">
        <f>(2.0917-S239)*2*1.31447618426454</f>
        <v>1.1546358802579715</v>
      </c>
      <c r="U239" s="66">
        <v>2.7909999999999999</v>
      </c>
      <c r="V239" s="66">
        <f>(3.4136-U239)*2*1.31447618426454</f>
        <v>1.636785744646206</v>
      </c>
      <c r="W239" s="62">
        <v>29</v>
      </c>
      <c r="X239" s="62">
        <v>0</v>
      </c>
      <c r="Y239" s="62">
        <v>0</v>
      </c>
      <c r="Z239" s="62" t="s">
        <v>296</v>
      </c>
      <c r="AA239" s="62"/>
      <c r="AB239" s="62" t="s">
        <v>17</v>
      </c>
      <c r="AC239" s="62" t="s">
        <v>17</v>
      </c>
      <c r="AD239" s="61" t="s">
        <v>45</v>
      </c>
      <c r="AF239" s="4" t="s">
        <v>643</v>
      </c>
    </row>
    <row r="240" spans="1:32" ht="12.75" customHeight="1" x14ac:dyDescent="0.3">
      <c r="A240" s="61">
        <v>239</v>
      </c>
      <c r="B240" s="61">
        <v>63</v>
      </c>
      <c r="C240" s="61" t="s">
        <v>739</v>
      </c>
      <c r="D240" s="62" t="s">
        <v>38</v>
      </c>
      <c r="E240" s="62" t="s">
        <v>32</v>
      </c>
      <c r="F240" s="62" t="s">
        <v>300</v>
      </c>
      <c r="G240" s="62" t="s">
        <v>64</v>
      </c>
      <c r="H240" s="63">
        <v>1</v>
      </c>
      <c r="I240" s="62"/>
      <c r="J240" s="62">
        <v>2</v>
      </c>
      <c r="K240" s="62">
        <v>0</v>
      </c>
      <c r="L240" s="62">
        <v>30</v>
      </c>
      <c r="M240" s="62">
        <v>1</v>
      </c>
      <c r="N240" s="62">
        <v>0</v>
      </c>
      <c r="O240" s="62">
        <v>2</v>
      </c>
      <c r="P240" s="62" t="s">
        <v>301</v>
      </c>
      <c r="Q240" s="64">
        <v>13.74</v>
      </c>
      <c r="R240" s="65">
        <f>(63-25)/63</f>
        <v>0.60317460317460314</v>
      </c>
      <c r="S240" s="66">
        <v>9.33</v>
      </c>
      <c r="T240" s="66">
        <v>1.02</v>
      </c>
      <c r="U240" s="66">
        <v>8.3800000000000008</v>
      </c>
      <c r="V240" s="66">
        <v>1.24</v>
      </c>
      <c r="W240" s="62">
        <v>21</v>
      </c>
      <c r="X240" s="62">
        <v>0</v>
      </c>
      <c r="Y240" s="62">
        <v>0</v>
      </c>
      <c r="Z240" s="62" t="s">
        <v>302</v>
      </c>
      <c r="AA240" s="62" t="s">
        <v>1386</v>
      </c>
      <c r="AB240" s="62" t="s">
        <v>17</v>
      </c>
      <c r="AC240" s="62" t="s">
        <v>17</v>
      </c>
      <c r="AD240" s="61" t="s">
        <v>45</v>
      </c>
      <c r="AF240" s="4" t="s">
        <v>644</v>
      </c>
    </row>
    <row r="241" spans="1:32" ht="12.75" customHeight="1" x14ac:dyDescent="0.3">
      <c r="A241" s="61">
        <v>240</v>
      </c>
      <c r="B241" s="61">
        <v>63</v>
      </c>
      <c r="C241" s="61" t="s">
        <v>739</v>
      </c>
      <c r="D241" s="62" t="s">
        <v>38</v>
      </c>
      <c r="E241" s="62" t="s">
        <v>26</v>
      </c>
      <c r="F241" s="62" t="s">
        <v>300</v>
      </c>
      <c r="G241" s="62" t="s">
        <v>2</v>
      </c>
      <c r="H241" s="63">
        <v>1</v>
      </c>
      <c r="I241" s="62" t="s">
        <v>303</v>
      </c>
      <c r="J241" s="62">
        <v>2</v>
      </c>
      <c r="K241" s="62">
        <v>0</v>
      </c>
      <c r="L241" s="62">
        <v>30</v>
      </c>
      <c r="M241" s="62">
        <v>1</v>
      </c>
      <c r="N241" s="62">
        <v>0</v>
      </c>
      <c r="O241" s="62">
        <v>2</v>
      </c>
      <c r="P241" s="62" t="s">
        <v>301</v>
      </c>
      <c r="Q241" s="64">
        <v>13.74</v>
      </c>
      <c r="R241" s="65">
        <f>(63-25)/63</f>
        <v>0.60317460317460314</v>
      </c>
      <c r="S241" s="66">
        <v>9.2899999999999991</v>
      </c>
      <c r="T241" s="66">
        <v>1.42</v>
      </c>
      <c r="U241" s="66">
        <v>7.9</v>
      </c>
      <c r="V241" s="66">
        <v>1.67</v>
      </c>
      <c r="W241" s="62">
        <v>22</v>
      </c>
      <c r="X241" s="62">
        <v>0</v>
      </c>
      <c r="Y241" s="62">
        <v>0</v>
      </c>
      <c r="Z241" s="62" t="s">
        <v>302</v>
      </c>
      <c r="AA241" s="62"/>
      <c r="AB241" s="62" t="s">
        <v>17</v>
      </c>
      <c r="AC241" s="62" t="s">
        <v>17</v>
      </c>
      <c r="AD241" s="61" t="s">
        <v>45</v>
      </c>
      <c r="AF241" s="4" t="s">
        <v>644</v>
      </c>
    </row>
    <row r="242" spans="1:32" ht="12.75" customHeight="1" x14ac:dyDescent="0.3">
      <c r="A242" s="61">
        <v>241</v>
      </c>
      <c r="B242" s="61">
        <v>63</v>
      </c>
      <c r="C242" s="61" t="s">
        <v>739</v>
      </c>
      <c r="D242" s="62" t="s">
        <v>38</v>
      </c>
      <c r="E242" s="62" t="s">
        <v>26</v>
      </c>
      <c r="F242" s="62" t="s">
        <v>300</v>
      </c>
      <c r="G242" s="62" t="s">
        <v>2</v>
      </c>
      <c r="H242" s="63">
        <v>1</v>
      </c>
      <c r="I242" s="62" t="s">
        <v>304</v>
      </c>
      <c r="J242" s="62">
        <v>2</v>
      </c>
      <c r="K242" s="62">
        <v>0</v>
      </c>
      <c r="L242" s="62">
        <v>30</v>
      </c>
      <c r="M242" s="62">
        <v>1</v>
      </c>
      <c r="N242" s="62">
        <v>0</v>
      </c>
      <c r="O242" s="62">
        <v>2</v>
      </c>
      <c r="P242" s="62" t="s">
        <v>301</v>
      </c>
      <c r="Q242" s="64">
        <v>13.74</v>
      </c>
      <c r="R242" s="65">
        <f>(63-25)/63</f>
        <v>0.60317460317460314</v>
      </c>
      <c r="S242" s="66">
        <v>9.1999999999999993</v>
      </c>
      <c r="T242" s="66">
        <v>1.06</v>
      </c>
      <c r="U242" s="66">
        <v>8.3000000000000007</v>
      </c>
      <c r="V242" s="66">
        <v>1.46</v>
      </c>
      <c r="W242" s="62">
        <v>20</v>
      </c>
      <c r="X242" s="62">
        <v>0</v>
      </c>
      <c r="Y242" s="62">
        <v>0</v>
      </c>
      <c r="Z242" s="62" t="s">
        <v>302</v>
      </c>
      <c r="AA242" s="62"/>
      <c r="AB242" s="62" t="s">
        <v>17</v>
      </c>
      <c r="AC242" s="62" t="s">
        <v>17</v>
      </c>
      <c r="AD242" s="61" t="s">
        <v>45</v>
      </c>
      <c r="AF242" s="4" t="s">
        <v>644</v>
      </c>
    </row>
    <row r="243" spans="1:32" ht="12.75" customHeight="1" x14ac:dyDescent="0.3">
      <c r="A243" s="61">
        <v>242</v>
      </c>
      <c r="B243" s="61">
        <v>64</v>
      </c>
      <c r="C243" s="61" t="s">
        <v>586</v>
      </c>
      <c r="D243" s="62" t="s">
        <v>38</v>
      </c>
      <c r="E243" s="62" t="s">
        <v>26</v>
      </c>
      <c r="F243" s="62" t="s">
        <v>300</v>
      </c>
      <c r="G243" s="62" t="s">
        <v>2</v>
      </c>
      <c r="H243" s="63">
        <v>1</v>
      </c>
      <c r="I243" s="62"/>
      <c r="J243" s="62">
        <v>2</v>
      </c>
      <c r="K243" s="62">
        <v>0</v>
      </c>
      <c r="L243" s="62">
        <v>30</v>
      </c>
      <c r="M243" s="62">
        <v>1</v>
      </c>
      <c r="N243" s="62">
        <v>0</v>
      </c>
      <c r="O243" s="62">
        <v>2</v>
      </c>
      <c r="P243" s="62" t="s">
        <v>301</v>
      </c>
      <c r="Q243" s="64">
        <v>13.78</v>
      </c>
      <c r="R243" s="65">
        <f>(63-25)/63</f>
        <v>0.60317460317460314</v>
      </c>
      <c r="S243" s="66">
        <v>9</v>
      </c>
      <c r="T243" s="66">
        <v>1.41</v>
      </c>
      <c r="U243" s="66">
        <v>6.89</v>
      </c>
      <c r="V243" s="66">
        <v>1.28</v>
      </c>
      <c r="W243" s="62">
        <v>18</v>
      </c>
      <c r="X243" s="62">
        <v>0</v>
      </c>
      <c r="Y243" s="62">
        <v>0</v>
      </c>
      <c r="Z243" s="62" t="s">
        <v>305</v>
      </c>
      <c r="AA243" s="62" t="s">
        <v>306</v>
      </c>
      <c r="AB243" s="62" t="s">
        <v>17</v>
      </c>
      <c r="AC243" s="62" t="s">
        <v>17</v>
      </c>
      <c r="AD243" s="61" t="s">
        <v>45</v>
      </c>
      <c r="AF243" s="4" t="s">
        <v>644</v>
      </c>
    </row>
    <row r="244" spans="1:32" ht="12.75" customHeight="1" x14ac:dyDescent="0.3">
      <c r="A244" s="61">
        <v>243</v>
      </c>
      <c r="B244" s="61">
        <v>64</v>
      </c>
      <c r="C244" s="61" t="s">
        <v>586</v>
      </c>
      <c r="D244" s="62" t="s">
        <v>38</v>
      </c>
      <c r="E244" s="62" t="s">
        <v>26</v>
      </c>
      <c r="F244" s="62" t="s">
        <v>300</v>
      </c>
      <c r="G244" s="62" t="s">
        <v>2</v>
      </c>
      <c r="H244" s="63">
        <v>1</v>
      </c>
      <c r="I244" s="62"/>
      <c r="J244" s="62">
        <v>2</v>
      </c>
      <c r="K244" s="62">
        <v>0</v>
      </c>
      <c r="L244" s="62">
        <f>4*30</f>
        <v>120</v>
      </c>
      <c r="M244" s="62">
        <v>4</v>
      </c>
      <c r="N244" s="62">
        <v>0</v>
      </c>
      <c r="O244" s="62">
        <v>2</v>
      </c>
      <c r="P244" s="62" t="s">
        <v>301</v>
      </c>
      <c r="Q244" s="64">
        <v>13.78</v>
      </c>
      <c r="R244" s="65">
        <f>(63-25)/63</f>
        <v>0.60317460317460314</v>
      </c>
      <c r="S244" s="66">
        <v>9</v>
      </c>
      <c r="T244" s="66">
        <v>1.41</v>
      </c>
      <c r="U244" s="66">
        <v>7.28</v>
      </c>
      <c r="V244" s="66">
        <v>1.23</v>
      </c>
      <c r="W244" s="62">
        <v>18</v>
      </c>
      <c r="X244" s="62">
        <v>0</v>
      </c>
      <c r="Y244" s="62">
        <v>0</v>
      </c>
      <c r="Z244" s="62" t="s">
        <v>305</v>
      </c>
      <c r="AA244" s="62" t="s">
        <v>1327</v>
      </c>
      <c r="AB244" s="62" t="s">
        <v>17</v>
      </c>
      <c r="AC244" s="62" t="s">
        <v>17</v>
      </c>
      <c r="AD244" s="61" t="s">
        <v>45</v>
      </c>
      <c r="AF244" s="4" t="s">
        <v>644</v>
      </c>
    </row>
    <row r="245" spans="1:32" ht="12.75" customHeight="1" x14ac:dyDescent="0.3">
      <c r="A245" s="61">
        <v>244</v>
      </c>
      <c r="B245" s="61">
        <v>65</v>
      </c>
      <c r="C245" s="62" t="s">
        <v>833</v>
      </c>
      <c r="D245" s="62" t="s">
        <v>62</v>
      </c>
      <c r="E245" s="62" t="s">
        <v>32</v>
      </c>
      <c r="F245" s="62" t="s">
        <v>70</v>
      </c>
      <c r="G245" s="62" t="s">
        <v>34</v>
      </c>
      <c r="H245" s="63">
        <v>0</v>
      </c>
      <c r="I245" s="62"/>
      <c r="J245" s="62" t="s">
        <v>51</v>
      </c>
      <c r="K245" s="62" t="s">
        <v>32</v>
      </c>
      <c r="L245" s="62" t="s">
        <v>28</v>
      </c>
      <c r="M245" s="62" t="s">
        <v>247</v>
      </c>
      <c r="N245" s="62" t="s">
        <v>28</v>
      </c>
      <c r="O245" s="62" t="s">
        <v>28</v>
      </c>
      <c r="P245" s="62" t="s">
        <v>307</v>
      </c>
      <c r="Q245" s="64">
        <v>10.5</v>
      </c>
      <c r="R245" s="65" t="s">
        <v>28</v>
      </c>
      <c r="S245" s="66">
        <v>78.48</v>
      </c>
      <c r="T245" s="66">
        <v>22.82</v>
      </c>
      <c r="U245" s="66">
        <v>80.39</v>
      </c>
      <c r="V245" s="66">
        <v>27.32</v>
      </c>
      <c r="W245" s="62">
        <v>31</v>
      </c>
      <c r="X245" s="62">
        <v>0</v>
      </c>
      <c r="Y245" s="62">
        <v>0</v>
      </c>
      <c r="Z245" s="62" t="s">
        <v>210</v>
      </c>
      <c r="AA245" s="62"/>
      <c r="AB245" s="62" t="s">
        <v>17</v>
      </c>
      <c r="AC245" s="62" t="s">
        <v>17</v>
      </c>
      <c r="AD245" s="61" t="s">
        <v>17</v>
      </c>
      <c r="AF245" s="4" t="s">
        <v>645</v>
      </c>
    </row>
    <row r="246" spans="1:32" ht="12.75" customHeight="1" x14ac:dyDescent="0.3">
      <c r="A246" s="61">
        <v>245</v>
      </c>
      <c r="B246" s="61">
        <v>65</v>
      </c>
      <c r="C246" s="62" t="s">
        <v>833</v>
      </c>
      <c r="D246" s="62" t="s">
        <v>62</v>
      </c>
      <c r="E246" s="62" t="s">
        <v>308</v>
      </c>
      <c r="F246" s="62" t="s">
        <v>70</v>
      </c>
      <c r="G246" s="62" t="s">
        <v>2</v>
      </c>
      <c r="H246" s="63">
        <v>0</v>
      </c>
      <c r="I246" s="62"/>
      <c r="J246" s="62" t="s">
        <v>51</v>
      </c>
      <c r="K246" s="62">
        <v>0</v>
      </c>
      <c r="L246" s="62" t="s">
        <v>28</v>
      </c>
      <c r="M246" s="62" t="s">
        <v>247</v>
      </c>
      <c r="N246" s="62" t="s">
        <v>28</v>
      </c>
      <c r="O246" s="62" t="s">
        <v>28</v>
      </c>
      <c r="P246" s="62" t="s">
        <v>307</v>
      </c>
      <c r="Q246" s="64">
        <v>10.5</v>
      </c>
      <c r="R246" s="65" t="s">
        <v>28</v>
      </c>
      <c r="S246" s="66">
        <v>82.45</v>
      </c>
      <c r="T246" s="66">
        <v>22.26</v>
      </c>
      <c r="U246" s="66">
        <v>84.28</v>
      </c>
      <c r="V246" s="66">
        <v>23.07</v>
      </c>
      <c r="W246" s="62">
        <v>32</v>
      </c>
      <c r="X246" s="62">
        <v>0</v>
      </c>
      <c r="Y246" s="62">
        <v>0</v>
      </c>
      <c r="Z246" s="62" t="s">
        <v>210</v>
      </c>
      <c r="AA246" s="62"/>
      <c r="AB246" s="62" t="s">
        <v>17</v>
      </c>
      <c r="AC246" s="62" t="s">
        <v>17</v>
      </c>
      <c r="AD246" s="61" t="s">
        <v>17</v>
      </c>
      <c r="AF246" s="4" t="s">
        <v>645</v>
      </c>
    </row>
    <row r="247" spans="1:32" ht="12.75" customHeight="1" x14ac:dyDescent="0.3">
      <c r="A247" s="61">
        <v>246</v>
      </c>
      <c r="B247" s="61">
        <v>66</v>
      </c>
      <c r="C247" s="61" t="s">
        <v>578</v>
      </c>
      <c r="D247" s="62" t="s">
        <v>41</v>
      </c>
      <c r="E247" s="62" t="s">
        <v>309</v>
      </c>
      <c r="F247" s="62" t="s">
        <v>42</v>
      </c>
      <c r="G247" s="62" t="s">
        <v>2</v>
      </c>
      <c r="H247" s="63">
        <v>0</v>
      </c>
      <c r="I247" s="62"/>
      <c r="J247" s="62" t="s">
        <v>51</v>
      </c>
      <c r="K247" s="62">
        <v>0</v>
      </c>
      <c r="L247" s="62" t="s">
        <v>28</v>
      </c>
      <c r="M247" s="62" t="s">
        <v>247</v>
      </c>
      <c r="N247" s="62" t="s">
        <v>28</v>
      </c>
      <c r="O247" s="62">
        <v>1</v>
      </c>
      <c r="P247" s="62" t="s">
        <v>310</v>
      </c>
      <c r="Q247" s="64">
        <f>20.4/12</f>
        <v>1.7</v>
      </c>
      <c r="R247" s="65" t="s">
        <v>28</v>
      </c>
      <c r="S247" s="66">
        <v>34.700000000000003</v>
      </c>
      <c r="T247" s="66">
        <f>1.3*SQRT(W247)</f>
        <v>3.9000000000000004</v>
      </c>
      <c r="U247" s="66">
        <v>45.4</v>
      </c>
      <c r="V247" s="66">
        <f>1.3*SQRT(W247)</f>
        <v>3.9000000000000004</v>
      </c>
      <c r="W247" s="62">
        <v>9</v>
      </c>
      <c r="X247" s="62">
        <v>0</v>
      </c>
      <c r="Y247" s="62">
        <v>1</v>
      </c>
      <c r="Z247" s="62" t="s">
        <v>311</v>
      </c>
      <c r="AA247" s="62" t="s">
        <v>1343</v>
      </c>
      <c r="AB247" s="62" t="s">
        <v>17</v>
      </c>
      <c r="AC247" s="62" t="s">
        <v>17</v>
      </c>
      <c r="AD247" s="61" t="s">
        <v>17</v>
      </c>
      <c r="AF247" s="4" t="s">
        <v>646</v>
      </c>
    </row>
    <row r="248" spans="1:32" ht="12.75" customHeight="1" x14ac:dyDescent="0.3">
      <c r="A248" s="61">
        <v>247</v>
      </c>
      <c r="B248" s="61">
        <v>66</v>
      </c>
      <c r="C248" s="61" t="s">
        <v>578</v>
      </c>
      <c r="D248" s="62" t="s">
        <v>41</v>
      </c>
      <c r="E248" s="62" t="s">
        <v>309</v>
      </c>
      <c r="F248" s="62" t="s">
        <v>42</v>
      </c>
      <c r="G248" s="62" t="s">
        <v>2</v>
      </c>
      <c r="H248" s="63">
        <v>0</v>
      </c>
      <c r="I248" s="62"/>
      <c r="J248" s="62" t="s">
        <v>51</v>
      </c>
      <c r="K248" s="62">
        <v>0</v>
      </c>
      <c r="L248" s="62" t="s">
        <v>28</v>
      </c>
      <c r="M248" s="62" t="s">
        <v>247</v>
      </c>
      <c r="N248" s="62" t="s">
        <v>28</v>
      </c>
      <c r="O248" s="62">
        <v>1</v>
      </c>
      <c r="P248" s="62" t="s">
        <v>310</v>
      </c>
      <c r="Q248" s="64">
        <f>20.4/12</f>
        <v>1.7</v>
      </c>
      <c r="R248" s="65" t="s">
        <v>28</v>
      </c>
      <c r="S248" s="66">
        <v>36.200000000000003</v>
      </c>
      <c r="T248" s="66">
        <f>1.11*SQRT(W248)</f>
        <v>3.33</v>
      </c>
      <c r="U248" s="66">
        <v>36.700000000000003</v>
      </c>
      <c r="V248" s="66">
        <f>1.11*SQRT(W248)</f>
        <v>3.33</v>
      </c>
      <c r="W248" s="62">
        <v>9</v>
      </c>
      <c r="X248" s="62">
        <v>0</v>
      </c>
      <c r="Y248" s="62">
        <v>1</v>
      </c>
      <c r="Z248" s="62" t="s">
        <v>311</v>
      </c>
      <c r="AA248" s="62"/>
      <c r="AB248" s="62" t="s">
        <v>17</v>
      </c>
      <c r="AC248" s="62" t="s">
        <v>17</v>
      </c>
      <c r="AD248" s="61" t="s">
        <v>17</v>
      </c>
      <c r="AF248" s="4" t="s">
        <v>646</v>
      </c>
    </row>
    <row r="249" spans="1:32" ht="12.75" customHeight="1" x14ac:dyDescent="0.3">
      <c r="A249" s="61">
        <v>248</v>
      </c>
      <c r="B249" s="61">
        <v>67</v>
      </c>
      <c r="C249" s="61" t="s">
        <v>762</v>
      </c>
      <c r="D249" s="62" t="s">
        <v>1095</v>
      </c>
      <c r="E249" s="62" t="s">
        <v>32</v>
      </c>
      <c r="F249" s="62" t="s">
        <v>33</v>
      </c>
      <c r="G249" s="62" t="s">
        <v>312</v>
      </c>
      <c r="H249" s="63">
        <v>1</v>
      </c>
      <c r="I249" s="62"/>
      <c r="J249" s="62">
        <v>1</v>
      </c>
      <c r="K249" s="62">
        <v>0</v>
      </c>
      <c r="L249" s="62">
        <v>20</v>
      </c>
      <c r="M249" s="62">
        <v>1</v>
      </c>
      <c r="N249" s="62">
        <v>0</v>
      </c>
      <c r="O249" s="62" t="s">
        <v>32</v>
      </c>
      <c r="P249" s="62" t="s">
        <v>313</v>
      </c>
      <c r="Q249" s="64">
        <v>10.28</v>
      </c>
      <c r="R249" s="65" t="s">
        <v>28</v>
      </c>
      <c r="S249" s="66"/>
      <c r="T249" s="66"/>
      <c r="U249" s="66">
        <v>12.13</v>
      </c>
      <c r="V249" s="66">
        <v>4.22</v>
      </c>
      <c r="W249" s="62">
        <v>8</v>
      </c>
      <c r="X249" s="62">
        <v>0</v>
      </c>
      <c r="Y249" s="62">
        <v>0</v>
      </c>
      <c r="Z249" s="62" t="s">
        <v>314</v>
      </c>
      <c r="AA249" s="62"/>
      <c r="AB249" s="62" t="s">
        <v>17</v>
      </c>
      <c r="AC249" s="62" t="s">
        <v>17</v>
      </c>
      <c r="AD249" s="61" t="s">
        <v>17</v>
      </c>
      <c r="AF249" s="4" t="s">
        <v>647</v>
      </c>
    </row>
    <row r="250" spans="1:32" ht="12.75" customHeight="1" x14ac:dyDescent="0.3">
      <c r="A250" s="61">
        <v>249</v>
      </c>
      <c r="B250" s="61">
        <v>67</v>
      </c>
      <c r="C250" s="61" t="s">
        <v>762</v>
      </c>
      <c r="D250" s="62" t="s">
        <v>1095</v>
      </c>
      <c r="E250" s="62" t="s">
        <v>315</v>
      </c>
      <c r="F250" s="62" t="s">
        <v>33</v>
      </c>
      <c r="G250" s="62" t="s">
        <v>2</v>
      </c>
      <c r="H250" s="63">
        <v>1</v>
      </c>
      <c r="I250" s="62"/>
      <c r="J250" s="62">
        <v>1</v>
      </c>
      <c r="K250" s="62">
        <v>0</v>
      </c>
      <c r="L250" s="62">
        <v>20</v>
      </c>
      <c r="M250" s="62">
        <v>1</v>
      </c>
      <c r="N250" s="62">
        <v>0</v>
      </c>
      <c r="O250" s="62" t="s">
        <v>32</v>
      </c>
      <c r="P250" s="62" t="s">
        <v>313</v>
      </c>
      <c r="Q250" s="64">
        <v>10.28</v>
      </c>
      <c r="R250" s="65" t="s">
        <v>28</v>
      </c>
      <c r="S250" s="66"/>
      <c r="T250" s="66"/>
      <c r="U250" s="66">
        <v>13.7</v>
      </c>
      <c r="V250" s="66">
        <v>3.82</v>
      </c>
      <c r="W250" s="62">
        <v>10</v>
      </c>
      <c r="X250" s="62">
        <v>0</v>
      </c>
      <c r="Y250" s="62">
        <v>0</v>
      </c>
      <c r="Z250" s="62" t="s">
        <v>314</v>
      </c>
      <c r="AA250" s="62"/>
      <c r="AB250" s="62" t="s">
        <v>17</v>
      </c>
      <c r="AC250" s="62" t="s">
        <v>17</v>
      </c>
      <c r="AD250" s="61" t="s">
        <v>17</v>
      </c>
      <c r="AF250" s="4" t="s">
        <v>647</v>
      </c>
    </row>
    <row r="251" spans="1:32" ht="12.75" customHeight="1" x14ac:dyDescent="0.3">
      <c r="A251" s="61">
        <v>250</v>
      </c>
      <c r="B251" s="61">
        <v>68</v>
      </c>
      <c r="C251" s="62" t="s">
        <v>778</v>
      </c>
      <c r="D251" s="62" t="s">
        <v>68</v>
      </c>
      <c r="E251" s="62" t="s">
        <v>231</v>
      </c>
      <c r="F251" s="62" t="s">
        <v>33</v>
      </c>
      <c r="G251" s="62" t="s">
        <v>2</v>
      </c>
      <c r="H251" s="63">
        <v>0</v>
      </c>
      <c r="I251" s="62"/>
      <c r="J251" s="62" t="s">
        <v>51</v>
      </c>
      <c r="K251" s="62">
        <v>0</v>
      </c>
      <c r="L251" s="62">
        <f>12.5+2.7</f>
        <v>15.2</v>
      </c>
      <c r="M251" s="62" t="s">
        <v>247</v>
      </c>
      <c r="N251" s="62" t="s">
        <v>28</v>
      </c>
      <c r="O251" s="62">
        <v>1</v>
      </c>
      <c r="P251" s="62" t="s">
        <v>316</v>
      </c>
      <c r="Q251" s="64">
        <f>(119*6.5+109*11.5)/(119+109)</f>
        <v>8.8903508771929829</v>
      </c>
      <c r="R251" s="65">
        <f>(59+53)/(119+109)</f>
        <v>0.49122807017543857</v>
      </c>
      <c r="S251" s="66">
        <v>0.69</v>
      </c>
      <c r="T251" s="66">
        <v>0.16</v>
      </c>
      <c r="U251" s="66">
        <v>0.7</v>
      </c>
      <c r="V251" s="66">
        <v>0.16</v>
      </c>
      <c r="W251" s="62">
        <f>119+109</f>
        <v>228</v>
      </c>
      <c r="X251" s="62">
        <v>0</v>
      </c>
      <c r="Y251" s="62">
        <v>0</v>
      </c>
      <c r="Z251" s="62" t="s">
        <v>317</v>
      </c>
      <c r="AA251" s="62" t="s">
        <v>318</v>
      </c>
      <c r="AB251" s="62" t="s">
        <v>45</v>
      </c>
      <c r="AC251" s="62" t="s">
        <v>17</v>
      </c>
      <c r="AD251" s="61" t="s">
        <v>45</v>
      </c>
      <c r="AF251" s="4" t="s">
        <v>648</v>
      </c>
    </row>
    <row r="252" spans="1:32" ht="12.75" customHeight="1" x14ac:dyDescent="0.3">
      <c r="A252" s="61">
        <v>251</v>
      </c>
      <c r="B252" s="61">
        <v>69</v>
      </c>
      <c r="C252" s="61" t="s">
        <v>834</v>
      </c>
      <c r="D252" s="62" t="s">
        <v>62</v>
      </c>
      <c r="E252" s="62" t="s">
        <v>32</v>
      </c>
      <c r="F252" s="62" t="s">
        <v>101</v>
      </c>
      <c r="G252" s="62" t="s">
        <v>34</v>
      </c>
      <c r="H252" s="63">
        <v>0</v>
      </c>
      <c r="I252" s="62"/>
      <c r="J252" s="62" t="s">
        <v>51</v>
      </c>
      <c r="K252" s="62" t="s">
        <v>32</v>
      </c>
      <c r="L252" s="62">
        <v>190</v>
      </c>
      <c r="M252" s="62">
        <v>4</v>
      </c>
      <c r="N252" s="62">
        <v>0</v>
      </c>
      <c r="O252" s="62" t="s">
        <v>32</v>
      </c>
      <c r="P252" s="62" t="s">
        <v>319</v>
      </c>
      <c r="Q252" s="64">
        <v>8.5</v>
      </c>
      <c r="R252" s="65" t="s">
        <v>28</v>
      </c>
      <c r="S252" s="66"/>
      <c r="T252" s="66"/>
      <c r="U252" s="66">
        <v>79.930000000000007</v>
      </c>
      <c r="V252" s="66">
        <v>8.18</v>
      </c>
      <c r="W252" s="62">
        <v>33</v>
      </c>
      <c r="X252" s="62">
        <v>0</v>
      </c>
      <c r="Y252" s="62">
        <v>0</v>
      </c>
      <c r="Z252" s="62" t="s">
        <v>230</v>
      </c>
      <c r="AA252" s="62"/>
      <c r="AB252" s="62" t="s">
        <v>17</v>
      </c>
      <c r="AC252" s="62" t="s">
        <v>17</v>
      </c>
      <c r="AD252" s="61" t="s">
        <v>17</v>
      </c>
      <c r="AF252" s="4" t="s">
        <v>649</v>
      </c>
    </row>
    <row r="253" spans="1:32" ht="12.75" customHeight="1" x14ac:dyDescent="0.3">
      <c r="A253" s="61">
        <v>252</v>
      </c>
      <c r="B253" s="61">
        <v>69</v>
      </c>
      <c r="C253" s="61" t="s">
        <v>834</v>
      </c>
      <c r="D253" s="62" t="s">
        <v>62</v>
      </c>
      <c r="E253" s="62" t="s">
        <v>308</v>
      </c>
      <c r="F253" s="62" t="s">
        <v>101</v>
      </c>
      <c r="G253" s="62" t="s">
        <v>2</v>
      </c>
      <c r="H253" s="63">
        <v>0</v>
      </c>
      <c r="I253" s="62"/>
      <c r="J253" s="62" t="s">
        <v>51</v>
      </c>
      <c r="K253" s="62">
        <v>1</v>
      </c>
      <c r="L253" s="62">
        <v>190</v>
      </c>
      <c r="M253" s="62">
        <v>4</v>
      </c>
      <c r="N253" s="62">
        <v>0</v>
      </c>
      <c r="O253" s="62" t="s">
        <v>32</v>
      </c>
      <c r="P253" s="62" t="s">
        <v>319</v>
      </c>
      <c r="Q253" s="64">
        <v>8.5</v>
      </c>
      <c r="R253" s="65" t="s">
        <v>28</v>
      </c>
      <c r="S253" s="66"/>
      <c r="T253" s="66"/>
      <c r="U253" s="66">
        <v>91.06</v>
      </c>
      <c r="V253" s="66">
        <v>5.17</v>
      </c>
      <c r="W253" s="62">
        <v>31</v>
      </c>
      <c r="X253" s="62">
        <v>0</v>
      </c>
      <c r="Y253" s="62">
        <v>0</v>
      </c>
      <c r="Z253" s="62" t="s">
        <v>230</v>
      </c>
      <c r="AA253" s="62"/>
      <c r="AB253" s="62" t="s">
        <v>17</v>
      </c>
      <c r="AC253" s="62" t="s">
        <v>17</v>
      </c>
      <c r="AD253" s="61" t="s">
        <v>17</v>
      </c>
      <c r="AF253" s="4" t="s">
        <v>649</v>
      </c>
    </row>
    <row r="254" spans="1:32" ht="12.75" customHeight="1" x14ac:dyDescent="0.3">
      <c r="A254" s="61">
        <v>253</v>
      </c>
      <c r="B254" s="61">
        <v>70</v>
      </c>
      <c r="C254" s="61" t="s">
        <v>1219</v>
      </c>
      <c r="D254" s="62" t="s">
        <v>224</v>
      </c>
      <c r="E254" s="62" t="s">
        <v>32</v>
      </c>
      <c r="F254" s="62" t="s">
        <v>320</v>
      </c>
      <c r="G254" s="62" t="s">
        <v>34</v>
      </c>
      <c r="H254" s="63">
        <v>1</v>
      </c>
      <c r="I254" s="62"/>
      <c r="J254" s="62" t="s">
        <v>51</v>
      </c>
      <c r="K254" s="62" t="s">
        <v>32</v>
      </c>
      <c r="L254" s="62">
        <v>30</v>
      </c>
      <c r="M254" s="62">
        <v>1</v>
      </c>
      <c r="N254" s="62">
        <v>0</v>
      </c>
      <c r="O254" s="62" t="s">
        <v>32</v>
      </c>
      <c r="P254" s="62" t="s">
        <v>321</v>
      </c>
      <c r="Q254" s="64">
        <v>20</v>
      </c>
      <c r="R254" s="65">
        <f>7/138</f>
        <v>5.0724637681159424E-2</v>
      </c>
      <c r="S254" s="66"/>
      <c r="T254" s="66"/>
      <c r="U254" s="66">
        <v>5.9</v>
      </c>
      <c r="V254" s="66">
        <v>2.1</v>
      </c>
      <c r="W254" s="62">
        <v>66</v>
      </c>
      <c r="X254" s="62">
        <v>0</v>
      </c>
      <c r="Y254" s="62">
        <v>0</v>
      </c>
      <c r="Z254" s="62" t="s">
        <v>44</v>
      </c>
      <c r="AA254" s="73" t="s">
        <v>587</v>
      </c>
      <c r="AB254" s="62" t="s">
        <v>17</v>
      </c>
      <c r="AC254" s="62" t="s">
        <v>17</v>
      </c>
      <c r="AD254" s="61" t="s">
        <v>17</v>
      </c>
      <c r="AF254" s="4" t="s">
        <v>1220</v>
      </c>
    </row>
    <row r="255" spans="1:32" ht="12.75" customHeight="1" x14ac:dyDescent="0.3">
      <c r="A255" s="61">
        <v>254</v>
      </c>
      <c r="B255" s="61">
        <v>70</v>
      </c>
      <c r="C255" s="61" t="s">
        <v>1219</v>
      </c>
      <c r="D255" s="62" t="s">
        <v>224</v>
      </c>
      <c r="E255" s="62" t="s">
        <v>26</v>
      </c>
      <c r="F255" s="62" t="s">
        <v>320</v>
      </c>
      <c r="G255" s="62" t="s">
        <v>2</v>
      </c>
      <c r="H255" s="63">
        <v>1</v>
      </c>
      <c r="I255" s="62"/>
      <c r="J255" s="62" t="s">
        <v>51</v>
      </c>
      <c r="K255" s="62">
        <v>0</v>
      </c>
      <c r="L255" s="62">
        <v>30</v>
      </c>
      <c r="M255" s="62">
        <v>1</v>
      </c>
      <c r="N255" s="62">
        <v>0</v>
      </c>
      <c r="O255" s="62" t="s">
        <v>32</v>
      </c>
      <c r="P255" s="62" t="s">
        <v>321</v>
      </c>
      <c r="Q255" s="64">
        <v>20</v>
      </c>
      <c r="R255" s="65">
        <f>7/138</f>
        <v>5.0724637681159424E-2</v>
      </c>
      <c r="S255" s="66"/>
      <c r="T255" s="66"/>
      <c r="U255" s="66">
        <v>5.16</v>
      </c>
      <c r="V255" s="66">
        <v>2.1</v>
      </c>
      <c r="W255" s="62">
        <v>72</v>
      </c>
      <c r="X255" s="62">
        <v>0</v>
      </c>
      <c r="Y255" s="62">
        <v>0</v>
      </c>
      <c r="Z255" s="62" t="s">
        <v>44</v>
      </c>
      <c r="AA255" s="62"/>
      <c r="AB255" s="62" t="s">
        <v>17</v>
      </c>
      <c r="AC255" s="62" t="s">
        <v>17</v>
      </c>
      <c r="AD255" s="61" t="s">
        <v>17</v>
      </c>
      <c r="AF255" s="4" t="s">
        <v>1220</v>
      </c>
    </row>
    <row r="256" spans="1:32" ht="12.75" customHeight="1" x14ac:dyDescent="0.3">
      <c r="A256" s="61">
        <v>255</v>
      </c>
      <c r="B256" s="61">
        <v>70</v>
      </c>
      <c r="C256" s="61" t="s">
        <v>1219</v>
      </c>
      <c r="D256" s="62" t="s">
        <v>224</v>
      </c>
      <c r="E256" s="62" t="s">
        <v>32</v>
      </c>
      <c r="F256" s="62" t="s">
        <v>320</v>
      </c>
      <c r="G256" s="62" t="s">
        <v>34</v>
      </c>
      <c r="H256" s="63">
        <v>1</v>
      </c>
      <c r="I256" s="62"/>
      <c r="J256" s="62" t="s">
        <v>51</v>
      </c>
      <c r="K256" s="62" t="s">
        <v>32</v>
      </c>
      <c r="L256" s="62">
        <v>30</v>
      </c>
      <c r="M256" s="62">
        <v>1</v>
      </c>
      <c r="N256" s="62">
        <v>0</v>
      </c>
      <c r="O256" s="62" t="s">
        <v>32</v>
      </c>
      <c r="P256" s="62" t="s">
        <v>322</v>
      </c>
      <c r="Q256" s="64">
        <v>20</v>
      </c>
      <c r="R256" s="65">
        <f>7/138</f>
        <v>5.0724637681159424E-2</v>
      </c>
      <c r="S256" s="66"/>
      <c r="T256" s="66"/>
      <c r="U256" s="66">
        <v>3.42</v>
      </c>
      <c r="V256" s="66">
        <v>1.1000000000000001</v>
      </c>
      <c r="W256" s="62">
        <v>66</v>
      </c>
      <c r="X256" s="62">
        <v>0</v>
      </c>
      <c r="Y256" s="62">
        <v>0</v>
      </c>
      <c r="Z256" s="62" t="s">
        <v>44</v>
      </c>
      <c r="AA256" s="62"/>
      <c r="AB256" s="62" t="s">
        <v>17</v>
      </c>
      <c r="AC256" s="62" t="s">
        <v>17</v>
      </c>
      <c r="AD256" s="61" t="s">
        <v>17</v>
      </c>
      <c r="AF256" s="4" t="s">
        <v>1220</v>
      </c>
    </row>
    <row r="257" spans="1:38" ht="12.75" customHeight="1" x14ac:dyDescent="0.3">
      <c r="A257" s="61">
        <v>256</v>
      </c>
      <c r="B257" s="61">
        <v>70</v>
      </c>
      <c r="C257" s="61" t="s">
        <v>1219</v>
      </c>
      <c r="D257" s="62" t="s">
        <v>224</v>
      </c>
      <c r="E257" s="62" t="s">
        <v>26</v>
      </c>
      <c r="F257" s="62" t="s">
        <v>320</v>
      </c>
      <c r="G257" s="62" t="s">
        <v>2</v>
      </c>
      <c r="H257" s="63">
        <v>1</v>
      </c>
      <c r="I257" s="62"/>
      <c r="J257" s="62" t="s">
        <v>51</v>
      </c>
      <c r="K257" s="62">
        <v>0</v>
      </c>
      <c r="L257" s="62">
        <v>30</v>
      </c>
      <c r="M257" s="62">
        <v>1</v>
      </c>
      <c r="N257" s="62">
        <v>0</v>
      </c>
      <c r="O257" s="62" t="s">
        <v>32</v>
      </c>
      <c r="P257" s="62" t="s">
        <v>322</v>
      </c>
      <c r="Q257" s="64">
        <v>20</v>
      </c>
      <c r="R257" s="65">
        <f>7/138</f>
        <v>5.0724637681159424E-2</v>
      </c>
      <c r="S257" s="66"/>
      <c r="T257" s="66"/>
      <c r="U257" s="66">
        <v>3.04</v>
      </c>
      <c r="V257" s="66">
        <v>1.05</v>
      </c>
      <c r="W257" s="62">
        <v>72</v>
      </c>
      <c r="X257" s="62">
        <v>0</v>
      </c>
      <c r="Y257" s="62">
        <v>0</v>
      </c>
      <c r="Z257" s="62" t="s">
        <v>44</v>
      </c>
      <c r="AA257" s="62"/>
      <c r="AB257" s="62" t="s">
        <v>17</v>
      </c>
      <c r="AC257" s="62" t="s">
        <v>17</v>
      </c>
      <c r="AD257" s="61" t="s">
        <v>17</v>
      </c>
      <c r="AF257" s="4" t="s">
        <v>1220</v>
      </c>
    </row>
    <row r="258" spans="1:38" ht="12.75" customHeight="1" x14ac:dyDescent="0.3">
      <c r="A258" s="61">
        <v>257</v>
      </c>
      <c r="B258" s="61">
        <v>71</v>
      </c>
      <c r="C258" s="61" t="s">
        <v>738</v>
      </c>
      <c r="D258" s="62" t="s">
        <v>38</v>
      </c>
      <c r="E258" s="62" t="s">
        <v>32</v>
      </c>
      <c r="F258" s="62" t="s">
        <v>323</v>
      </c>
      <c r="G258" s="62" t="s">
        <v>99</v>
      </c>
      <c r="H258" s="63">
        <v>1</v>
      </c>
      <c r="I258" s="62"/>
      <c r="J258" s="62">
        <v>2</v>
      </c>
      <c r="K258" s="62">
        <v>0</v>
      </c>
      <c r="L258" s="62">
        <v>15</v>
      </c>
      <c r="M258" s="62">
        <v>1</v>
      </c>
      <c r="N258" s="62">
        <v>0</v>
      </c>
      <c r="O258" s="62">
        <v>2</v>
      </c>
      <c r="P258" s="62" t="s">
        <v>1387</v>
      </c>
      <c r="Q258" s="64">
        <v>7.58</v>
      </c>
      <c r="R258" s="65">
        <v>0.57999999999999996</v>
      </c>
      <c r="S258" s="66">
        <v>5.6111111111111107</v>
      </c>
      <c r="T258" s="66">
        <v>4.0604098444092029</v>
      </c>
      <c r="U258" s="66">
        <v>8</v>
      </c>
      <c r="V258" s="66">
        <v>5.8118652580542314</v>
      </c>
      <c r="W258" s="62">
        <v>19</v>
      </c>
      <c r="X258" s="62">
        <v>0</v>
      </c>
      <c r="Y258" s="62">
        <v>0</v>
      </c>
      <c r="Z258" s="62" t="s">
        <v>1352</v>
      </c>
      <c r="AA258" s="62" t="s">
        <v>1328</v>
      </c>
      <c r="AB258" s="62" t="s">
        <v>17</v>
      </c>
      <c r="AC258" s="62" t="s">
        <v>17</v>
      </c>
      <c r="AD258" s="61" t="s">
        <v>17</v>
      </c>
      <c r="AF258" s="4" t="s">
        <v>725</v>
      </c>
      <c r="AJ258" s="67"/>
      <c r="AK258" s="67"/>
      <c r="AL258" s="67"/>
    </row>
    <row r="259" spans="1:38" ht="12.75" customHeight="1" x14ac:dyDescent="0.3">
      <c r="A259" s="61">
        <v>258</v>
      </c>
      <c r="B259" s="61">
        <v>71</v>
      </c>
      <c r="C259" s="61" t="s">
        <v>738</v>
      </c>
      <c r="D259" s="62" t="s">
        <v>38</v>
      </c>
      <c r="E259" s="62" t="s">
        <v>324</v>
      </c>
      <c r="F259" s="62" t="s">
        <v>323</v>
      </c>
      <c r="G259" s="62" t="s">
        <v>2</v>
      </c>
      <c r="H259" s="63">
        <v>1</v>
      </c>
      <c r="I259" s="61" t="s">
        <v>325</v>
      </c>
      <c r="J259" s="62">
        <v>2</v>
      </c>
      <c r="K259" s="62">
        <v>0</v>
      </c>
      <c r="L259" s="62">
        <v>15</v>
      </c>
      <c r="M259" s="62">
        <v>1</v>
      </c>
      <c r="N259" s="62">
        <v>0</v>
      </c>
      <c r="O259" s="62">
        <v>2</v>
      </c>
      <c r="P259" s="62" t="s">
        <v>1387</v>
      </c>
      <c r="Q259" s="64">
        <v>8.2100000000000009</v>
      </c>
      <c r="R259" s="65">
        <v>0.84</v>
      </c>
      <c r="S259" s="66">
        <v>4.3157894736842106</v>
      </c>
      <c r="T259" s="66">
        <v>2.135744251723958</v>
      </c>
      <c r="U259" s="66">
        <v>7.666666666666667</v>
      </c>
      <c r="V259" s="66">
        <v>4.1586196805020323</v>
      </c>
      <c r="W259" s="62">
        <v>19</v>
      </c>
      <c r="X259" s="62">
        <v>0</v>
      </c>
      <c r="Y259" s="62">
        <v>0</v>
      </c>
      <c r="Z259" s="62" t="s">
        <v>1352</v>
      </c>
      <c r="AA259" s="62"/>
      <c r="AB259" s="62" t="s">
        <v>17</v>
      </c>
      <c r="AC259" s="62" t="s">
        <v>17</v>
      </c>
      <c r="AD259" s="61" t="s">
        <v>17</v>
      </c>
      <c r="AF259" s="4" t="s">
        <v>725</v>
      </c>
      <c r="AJ259" s="67"/>
      <c r="AK259" s="67"/>
      <c r="AL259" s="67"/>
    </row>
    <row r="260" spans="1:38" ht="12.75" customHeight="1" x14ac:dyDescent="0.3">
      <c r="A260" s="61">
        <v>259</v>
      </c>
      <c r="B260" s="61">
        <v>71</v>
      </c>
      <c r="C260" s="61" t="s">
        <v>738</v>
      </c>
      <c r="D260" s="62" t="s">
        <v>38</v>
      </c>
      <c r="E260" s="62" t="s">
        <v>324</v>
      </c>
      <c r="F260" s="62" t="s">
        <v>323</v>
      </c>
      <c r="G260" s="62" t="s">
        <v>2</v>
      </c>
      <c r="H260" s="63">
        <v>1</v>
      </c>
      <c r="I260" s="61" t="s">
        <v>326</v>
      </c>
      <c r="J260" s="62">
        <v>2</v>
      </c>
      <c r="K260" s="62">
        <v>0</v>
      </c>
      <c r="L260" s="62">
        <v>15</v>
      </c>
      <c r="M260" s="62">
        <v>1</v>
      </c>
      <c r="N260" s="62">
        <v>0</v>
      </c>
      <c r="O260" s="62">
        <v>2</v>
      </c>
      <c r="P260" s="62" t="s">
        <v>1387</v>
      </c>
      <c r="Q260" s="64">
        <v>7.83</v>
      </c>
      <c r="R260" s="65">
        <v>0.72</v>
      </c>
      <c r="S260" s="66">
        <v>5.5</v>
      </c>
      <c r="T260" s="66">
        <v>2.895229341723462</v>
      </c>
      <c r="U260" s="66">
        <v>7.4705882352941178</v>
      </c>
      <c r="V260" s="66">
        <v>3.9070072795367228</v>
      </c>
      <c r="W260" s="62">
        <v>18</v>
      </c>
      <c r="X260" s="62">
        <v>0</v>
      </c>
      <c r="Y260" s="62">
        <v>0</v>
      </c>
      <c r="Z260" s="62" t="s">
        <v>1352</v>
      </c>
      <c r="AA260" s="62"/>
      <c r="AB260" s="62" t="s">
        <v>17</v>
      </c>
      <c r="AC260" s="62" t="s">
        <v>17</v>
      </c>
      <c r="AD260" s="61" t="s">
        <v>17</v>
      </c>
      <c r="AF260" s="4" t="s">
        <v>725</v>
      </c>
      <c r="AJ260" s="67"/>
      <c r="AK260" s="67"/>
      <c r="AL260" s="67"/>
    </row>
    <row r="261" spans="1:38" ht="12.75" customHeight="1" x14ac:dyDescent="0.3">
      <c r="A261" s="61">
        <v>260</v>
      </c>
      <c r="B261" s="61">
        <v>71</v>
      </c>
      <c r="C261" s="61" t="s">
        <v>738</v>
      </c>
      <c r="D261" s="62" t="s">
        <v>38</v>
      </c>
      <c r="E261" s="62" t="s">
        <v>32</v>
      </c>
      <c r="F261" s="62" t="s">
        <v>323</v>
      </c>
      <c r="G261" s="62" t="s">
        <v>99</v>
      </c>
      <c r="H261" s="63">
        <v>1</v>
      </c>
      <c r="I261" s="62"/>
      <c r="J261" s="62">
        <v>2</v>
      </c>
      <c r="K261" s="62">
        <v>0</v>
      </c>
      <c r="L261" s="62">
        <v>15</v>
      </c>
      <c r="M261" s="62">
        <v>1</v>
      </c>
      <c r="N261" s="62">
        <v>0</v>
      </c>
      <c r="O261" s="62">
        <v>2</v>
      </c>
      <c r="P261" s="62" t="s">
        <v>327</v>
      </c>
      <c r="Q261" s="64">
        <v>7.58</v>
      </c>
      <c r="R261" s="65">
        <v>0.57999999999999996</v>
      </c>
      <c r="S261" s="66"/>
      <c r="T261" s="66"/>
      <c r="U261" s="66">
        <v>22.315789469999999</v>
      </c>
      <c r="V261" s="66">
        <v>13.22</v>
      </c>
      <c r="W261" s="62">
        <v>19</v>
      </c>
      <c r="X261" s="62">
        <v>0</v>
      </c>
      <c r="Y261" s="62">
        <v>0</v>
      </c>
      <c r="Z261" s="62" t="s">
        <v>1352</v>
      </c>
      <c r="AA261" s="62"/>
      <c r="AB261" s="62" t="s">
        <v>17</v>
      </c>
      <c r="AC261" s="62" t="s">
        <v>17</v>
      </c>
      <c r="AD261" s="61" t="s">
        <v>17</v>
      </c>
      <c r="AF261" s="4" t="s">
        <v>725</v>
      </c>
      <c r="AJ261" s="67"/>
      <c r="AK261" s="67"/>
      <c r="AL261" s="67"/>
    </row>
    <row r="262" spans="1:38" ht="12.75" customHeight="1" x14ac:dyDescent="0.3">
      <c r="A262" s="61">
        <v>261</v>
      </c>
      <c r="B262" s="61">
        <v>71</v>
      </c>
      <c r="C262" s="61" t="s">
        <v>738</v>
      </c>
      <c r="D262" s="62" t="s">
        <v>38</v>
      </c>
      <c r="E262" s="62" t="s">
        <v>324</v>
      </c>
      <c r="F262" s="62" t="s">
        <v>323</v>
      </c>
      <c r="G262" s="62" t="s">
        <v>2</v>
      </c>
      <c r="H262" s="63">
        <v>1</v>
      </c>
      <c r="I262" s="61" t="s">
        <v>325</v>
      </c>
      <c r="J262" s="62">
        <v>2</v>
      </c>
      <c r="K262" s="62">
        <v>0</v>
      </c>
      <c r="L262" s="62">
        <v>15</v>
      </c>
      <c r="M262" s="62">
        <v>1</v>
      </c>
      <c r="N262" s="62">
        <v>0</v>
      </c>
      <c r="O262" s="62">
        <v>2</v>
      </c>
      <c r="P262" s="62" t="s">
        <v>327</v>
      </c>
      <c r="Q262" s="64">
        <v>8.2100000000000009</v>
      </c>
      <c r="R262" s="65">
        <v>0.84</v>
      </c>
      <c r="S262" s="66"/>
      <c r="T262" s="66"/>
      <c r="U262" s="66">
        <v>21.15789474</v>
      </c>
      <c r="V262" s="66">
        <v>9.1</v>
      </c>
      <c r="W262" s="62">
        <v>19</v>
      </c>
      <c r="X262" s="62">
        <v>0</v>
      </c>
      <c r="Y262" s="62">
        <v>0</v>
      </c>
      <c r="Z262" s="62" t="s">
        <v>1352</v>
      </c>
      <c r="AA262" s="62"/>
      <c r="AB262" s="62" t="s">
        <v>17</v>
      </c>
      <c r="AC262" s="62" t="s">
        <v>17</v>
      </c>
      <c r="AD262" s="61" t="s">
        <v>17</v>
      </c>
      <c r="AF262" s="4" t="s">
        <v>725</v>
      </c>
      <c r="AJ262" s="67"/>
      <c r="AK262" s="67"/>
      <c r="AL262" s="67"/>
    </row>
    <row r="263" spans="1:38" ht="12.75" customHeight="1" x14ac:dyDescent="0.3">
      <c r="A263" s="61">
        <v>262</v>
      </c>
      <c r="B263" s="61">
        <v>71</v>
      </c>
      <c r="C263" s="61" t="s">
        <v>738</v>
      </c>
      <c r="D263" s="62" t="s">
        <v>38</v>
      </c>
      <c r="E263" s="62" t="s">
        <v>324</v>
      </c>
      <c r="F263" s="62" t="s">
        <v>323</v>
      </c>
      <c r="G263" s="62" t="s">
        <v>2</v>
      </c>
      <c r="H263" s="63">
        <v>1</v>
      </c>
      <c r="I263" s="61" t="s">
        <v>326</v>
      </c>
      <c r="J263" s="62">
        <v>2</v>
      </c>
      <c r="K263" s="62">
        <v>0</v>
      </c>
      <c r="L263" s="62">
        <v>15</v>
      </c>
      <c r="M263" s="62">
        <v>1</v>
      </c>
      <c r="N263" s="62">
        <v>0</v>
      </c>
      <c r="O263" s="62">
        <v>2</v>
      </c>
      <c r="P263" s="62" t="s">
        <v>327</v>
      </c>
      <c r="Q263" s="64">
        <v>7.83</v>
      </c>
      <c r="R263" s="65">
        <v>0.72</v>
      </c>
      <c r="S263" s="66"/>
      <c r="T263" s="66"/>
      <c r="U263" s="66">
        <v>21.055555559999998</v>
      </c>
      <c r="V263" s="66">
        <v>7.92</v>
      </c>
      <c r="W263" s="62">
        <v>18</v>
      </c>
      <c r="X263" s="62">
        <v>0</v>
      </c>
      <c r="Y263" s="62">
        <v>0</v>
      </c>
      <c r="Z263" s="62" t="s">
        <v>1352</v>
      </c>
      <c r="AA263" s="62"/>
      <c r="AB263" s="62" t="s">
        <v>17</v>
      </c>
      <c r="AC263" s="62" t="s">
        <v>17</v>
      </c>
      <c r="AD263" s="61" t="s">
        <v>17</v>
      </c>
      <c r="AF263" s="4" t="s">
        <v>725</v>
      </c>
      <c r="AJ263" s="67"/>
      <c r="AK263" s="67"/>
      <c r="AL263" s="67"/>
    </row>
    <row r="264" spans="1:38" ht="12.75" customHeight="1" x14ac:dyDescent="0.3">
      <c r="A264" s="61">
        <v>263</v>
      </c>
      <c r="B264" s="61">
        <v>72</v>
      </c>
      <c r="C264" s="61" t="s">
        <v>579</v>
      </c>
      <c r="D264" s="62" t="s">
        <v>68</v>
      </c>
      <c r="E264" s="62" t="s">
        <v>32</v>
      </c>
      <c r="F264" s="62" t="s">
        <v>328</v>
      </c>
      <c r="G264" s="62" t="s">
        <v>34</v>
      </c>
      <c r="H264" s="63">
        <v>0</v>
      </c>
      <c r="I264" s="62" t="s">
        <v>122</v>
      </c>
      <c r="J264" s="62">
        <v>1</v>
      </c>
      <c r="K264" s="62" t="s">
        <v>32</v>
      </c>
      <c r="L264" s="62">
        <v>21</v>
      </c>
      <c r="M264" s="62">
        <v>1</v>
      </c>
      <c r="N264" s="62">
        <v>0</v>
      </c>
      <c r="O264" s="62">
        <v>1</v>
      </c>
      <c r="P264" s="62" t="s">
        <v>329</v>
      </c>
      <c r="Q264" s="64">
        <v>22</v>
      </c>
      <c r="R264" s="65">
        <f>39/(39+20)</f>
        <v>0.66101694915254239</v>
      </c>
      <c r="S264" s="66"/>
      <c r="T264" s="66"/>
      <c r="U264" s="66">
        <v>66.102000000000004</v>
      </c>
      <c r="V264" s="66">
        <f>(72.373-U264)*SQRT(W264)</f>
        <v>18.813000000000002</v>
      </c>
      <c r="W264" s="62">
        <v>9</v>
      </c>
      <c r="X264" s="62">
        <v>0</v>
      </c>
      <c r="Y264" s="62">
        <v>0</v>
      </c>
      <c r="Z264" s="62" t="s">
        <v>296</v>
      </c>
      <c r="AA264" s="62"/>
      <c r="AB264" s="62" t="s">
        <v>45</v>
      </c>
      <c r="AC264" s="62" t="s">
        <v>17</v>
      </c>
      <c r="AD264" s="61" t="s">
        <v>45</v>
      </c>
      <c r="AF264" s="4" t="s">
        <v>650</v>
      </c>
      <c r="AJ264" s="67"/>
      <c r="AK264" s="67"/>
      <c r="AL264" s="67"/>
    </row>
    <row r="265" spans="1:38" ht="12.75" customHeight="1" x14ac:dyDescent="0.3">
      <c r="A265" s="61">
        <v>264</v>
      </c>
      <c r="B265" s="61">
        <v>72</v>
      </c>
      <c r="C265" s="61" t="s">
        <v>579</v>
      </c>
      <c r="D265" s="62" t="s">
        <v>68</v>
      </c>
      <c r="E265" s="62" t="s">
        <v>32</v>
      </c>
      <c r="F265" s="62" t="s">
        <v>328</v>
      </c>
      <c r="G265" s="62" t="s">
        <v>34</v>
      </c>
      <c r="H265" s="63">
        <v>0</v>
      </c>
      <c r="I265" s="62" t="s">
        <v>330</v>
      </c>
      <c r="J265" s="62">
        <v>1</v>
      </c>
      <c r="K265" s="62" t="s">
        <v>32</v>
      </c>
      <c r="L265" s="62">
        <v>21</v>
      </c>
      <c r="M265" s="62">
        <v>1</v>
      </c>
      <c r="N265" s="62">
        <v>0</v>
      </c>
      <c r="O265" s="62">
        <v>1</v>
      </c>
      <c r="P265" s="62" t="s">
        <v>329</v>
      </c>
      <c r="Q265" s="64">
        <v>22</v>
      </c>
      <c r="R265" s="65">
        <f>39/(39+20)</f>
        <v>0.66101694915254239</v>
      </c>
      <c r="S265" s="66"/>
      <c r="T265" s="66"/>
      <c r="U265" s="66">
        <v>83.051000000000002</v>
      </c>
      <c r="V265" s="66">
        <f>(87.458-U265)*SQRT(W265)</f>
        <v>13.220999999999989</v>
      </c>
      <c r="W265" s="62">
        <v>9</v>
      </c>
      <c r="X265" s="62">
        <v>0</v>
      </c>
      <c r="Y265" s="62">
        <v>0</v>
      </c>
      <c r="Z265" s="62" t="s">
        <v>296</v>
      </c>
      <c r="AA265" s="62"/>
      <c r="AB265" s="62" t="s">
        <v>45</v>
      </c>
      <c r="AC265" s="62" t="s">
        <v>17</v>
      </c>
      <c r="AD265" s="61" t="s">
        <v>45</v>
      </c>
      <c r="AF265" s="4" t="s">
        <v>650</v>
      </c>
      <c r="AJ265" s="67"/>
      <c r="AK265" s="67"/>
      <c r="AL265" s="67"/>
    </row>
    <row r="266" spans="1:38" ht="12.75" customHeight="1" x14ac:dyDescent="0.3">
      <c r="A266" s="61">
        <v>265</v>
      </c>
      <c r="B266" s="61">
        <v>72</v>
      </c>
      <c r="C266" s="61" t="s">
        <v>579</v>
      </c>
      <c r="D266" s="62" t="s">
        <v>68</v>
      </c>
      <c r="E266" s="62" t="s">
        <v>231</v>
      </c>
      <c r="F266" s="62" t="s">
        <v>328</v>
      </c>
      <c r="G266" s="62" t="s">
        <v>2</v>
      </c>
      <c r="H266" s="63">
        <v>0</v>
      </c>
      <c r="I266" s="62" t="s">
        <v>122</v>
      </c>
      <c r="J266" s="62">
        <v>1</v>
      </c>
      <c r="K266" s="62">
        <v>0</v>
      </c>
      <c r="L266" s="62">
        <v>21</v>
      </c>
      <c r="M266" s="62">
        <v>1</v>
      </c>
      <c r="N266" s="62">
        <v>0</v>
      </c>
      <c r="O266" s="62">
        <v>1</v>
      </c>
      <c r="P266" s="62" t="s">
        <v>329</v>
      </c>
      <c r="Q266" s="64">
        <v>22</v>
      </c>
      <c r="R266" s="65">
        <f>39/(39+20)</f>
        <v>0.66101694915254239</v>
      </c>
      <c r="S266" s="66"/>
      <c r="T266" s="66"/>
      <c r="U266" s="66">
        <v>85.593000000000004</v>
      </c>
      <c r="V266" s="66">
        <f>(88.814-U266)*SQRT(W266)</f>
        <v>14.404749911053599</v>
      </c>
      <c r="W266" s="62">
        <v>20</v>
      </c>
      <c r="X266" s="62">
        <v>0</v>
      </c>
      <c r="Y266" s="62">
        <v>0</v>
      </c>
      <c r="Z266" s="62" t="s">
        <v>296</v>
      </c>
      <c r="AA266" s="62"/>
      <c r="AB266" s="62" t="s">
        <v>45</v>
      </c>
      <c r="AC266" s="62" t="s">
        <v>17</v>
      </c>
      <c r="AD266" s="61" t="s">
        <v>45</v>
      </c>
      <c r="AF266" s="4" t="s">
        <v>650</v>
      </c>
      <c r="AJ266" s="67"/>
      <c r="AK266" s="67"/>
      <c r="AL266" s="67"/>
    </row>
    <row r="267" spans="1:38" ht="12.75" customHeight="1" x14ac:dyDescent="0.3">
      <c r="A267" s="61">
        <v>266</v>
      </c>
      <c r="B267" s="61">
        <v>72</v>
      </c>
      <c r="C267" s="61" t="s">
        <v>579</v>
      </c>
      <c r="D267" s="62" t="s">
        <v>68</v>
      </c>
      <c r="E267" s="62" t="s">
        <v>231</v>
      </c>
      <c r="F267" s="62" t="s">
        <v>328</v>
      </c>
      <c r="G267" s="62" t="s">
        <v>2</v>
      </c>
      <c r="H267" s="63">
        <v>0</v>
      </c>
      <c r="I267" s="62" t="s">
        <v>330</v>
      </c>
      <c r="J267" s="62">
        <v>1</v>
      </c>
      <c r="K267" s="62">
        <v>0</v>
      </c>
      <c r="L267" s="62">
        <v>21</v>
      </c>
      <c r="M267" s="62">
        <v>1</v>
      </c>
      <c r="N267" s="62">
        <v>0</v>
      </c>
      <c r="O267" s="62">
        <v>1</v>
      </c>
      <c r="P267" s="62" t="s">
        <v>329</v>
      </c>
      <c r="Q267" s="64">
        <v>22</v>
      </c>
      <c r="R267" s="65">
        <f>39/(39+20)</f>
        <v>0.66101694915254239</v>
      </c>
      <c r="S267" s="66"/>
      <c r="T267" s="66"/>
      <c r="U267" s="66">
        <v>84.915000000000006</v>
      </c>
      <c r="V267" s="66">
        <f>(88.305-U267)*SQRT(W267)</f>
        <v>15.534931605900299</v>
      </c>
      <c r="W267" s="62">
        <v>21</v>
      </c>
      <c r="X267" s="62">
        <v>0</v>
      </c>
      <c r="Y267" s="62">
        <v>0</v>
      </c>
      <c r="Z267" s="62" t="s">
        <v>296</v>
      </c>
      <c r="AA267" s="62"/>
      <c r="AB267" s="62" t="s">
        <v>45</v>
      </c>
      <c r="AC267" s="62" t="s">
        <v>17</v>
      </c>
      <c r="AD267" s="61" t="s">
        <v>45</v>
      </c>
      <c r="AF267" s="4" t="s">
        <v>650</v>
      </c>
      <c r="AJ267" s="67"/>
      <c r="AK267" s="67"/>
      <c r="AL267" s="67"/>
    </row>
    <row r="268" spans="1:38" ht="12.75" customHeight="1" x14ac:dyDescent="0.3">
      <c r="A268" s="61">
        <v>267</v>
      </c>
      <c r="B268" s="61">
        <v>73</v>
      </c>
      <c r="C268" s="61" t="s">
        <v>784</v>
      </c>
      <c r="D268" s="62" t="s">
        <v>47</v>
      </c>
      <c r="E268" s="62" t="s">
        <v>32</v>
      </c>
      <c r="F268" s="62" t="s">
        <v>48</v>
      </c>
      <c r="G268" s="62" t="s">
        <v>34</v>
      </c>
      <c r="H268" s="63">
        <v>1</v>
      </c>
      <c r="I268" s="62"/>
      <c r="J268" s="62">
        <v>1</v>
      </c>
      <c r="K268" s="62" t="s">
        <v>32</v>
      </c>
      <c r="L268" s="62">
        <v>15</v>
      </c>
      <c r="M268" s="62">
        <v>1</v>
      </c>
      <c r="N268" s="62">
        <v>0</v>
      </c>
      <c r="O268" s="62">
        <v>2</v>
      </c>
      <c r="P268" s="62" t="s">
        <v>1312</v>
      </c>
      <c r="Q268" s="64">
        <v>7.5</v>
      </c>
      <c r="R268" s="65" t="s">
        <v>28</v>
      </c>
      <c r="S268" s="66">
        <v>0</v>
      </c>
      <c r="T268" s="66">
        <v>1</v>
      </c>
      <c r="U268" s="66">
        <v>0.89</v>
      </c>
      <c r="V268" s="66">
        <v>1</v>
      </c>
      <c r="W268" s="62">
        <v>11</v>
      </c>
      <c r="X268" s="62">
        <v>0</v>
      </c>
      <c r="Y268" s="62">
        <v>2</v>
      </c>
      <c r="Z268" s="62" t="s">
        <v>36</v>
      </c>
      <c r="AA268" s="62" t="s">
        <v>1344</v>
      </c>
      <c r="AB268" s="62" t="s">
        <v>45</v>
      </c>
      <c r="AC268" s="62" t="s">
        <v>17</v>
      </c>
      <c r="AD268" s="61" t="s">
        <v>45</v>
      </c>
      <c r="AF268" s="4" t="s">
        <v>651</v>
      </c>
      <c r="AJ268" s="67"/>
      <c r="AK268" s="67"/>
      <c r="AL268" s="67"/>
    </row>
    <row r="269" spans="1:38" ht="12.75" customHeight="1" x14ac:dyDescent="0.3">
      <c r="A269" s="61">
        <v>268</v>
      </c>
      <c r="B269" s="61">
        <v>73</v>
      </c>
      <c r="C269" s="61" t="s">
        <v>784</v>
      </c>
      <c r="D269" s="62" t="s">
        <v>47</v>
      </c>
      <c r="E269" s="62" t="s">
        <v>26</v>
      </c>
      <c r="F269" s="62" t="s">
        <v>48</v>
      </c>
      <c r="G269" s="62" t="s">
        <v>2</v>
      </c>
      <c r="H269" s="63">
        <v>1</v>
      </c>
      <c r="I269" s="62" t="s">
        <v>186</v>
      </c>
      <c r="J269" s="62">
        <v>1</v>
      </c>
      <c r="K269" s="62">
        <v>0</v>
      </c>
      <c r="L269" s="62">
        <v>15</v>
      </c>
      <c r="M269" s="62">
        <v>1</v>
      </c>
      <c r="N269" s="62">
        <v>0</v>
      </c>
      <c r="O269" s="62">
        <v>2</v>
      </c>
      <c r="P269" s="62" t="s">
        <v>1312</v>
      </c>
      <c r="Q269" s="64">
        <v>7.5</v>
      </c>
      <c r="R269" s="65" t="s">
        <v>28</v>
      </c>
      <c r="S269" s="66">
        <v>0</v>
      </c>
      <c r="T269" s="66">
        <v>1</v>
      </c>
      <c r="U269" s="66">
        <v>0.3</v>
      </c>
      <c r="V269" s="66">
        <v>1</v>
      </c>
      <c r="W269" s="62">
        <v>12</v>
      </c>
      <c r="X269" s="62">
        <v>0</v>
      </c>
      <c r="Y269" s="62">
        <v>2</v>
      </c>
      <c r="Z269" s="62" t="s">
        <v>36</v>
      </c>
      <c r="AA269" s="62"/>
      <c r="AB269" s="62" t="s">
        <v>45</v>
      </c>
      <c r="AC269" s="62" t="s">
        <v>17</v>
      </c>
      <c r="AD269" s="61" t="s">
        <v>45</v>
      </c>
      <c r="AF269" s="4" t="s">
        <v>651</v>
      </c>
      <c r="AJ269" s="67"/>
      <c r="AK269" s="67"/>
      <c r="AL269" s="67"/>
    </row>
    <row r="270" spans="1:38" ht="12.75" customHeight="1" x14ac:dyDescent="0.3">
      <c r="A270" s="61">
        <v>269</v>
      </c>
      <c r="B270" s="61">
        <v>73</v>
      </c>
      <c r="C270" s="61" t="s">
        <v>784</v>
      </c>
      <c r="D270" s="62" t="s">
        <v>47</v>
      </c>
      <c r="E270" s="62" t="s">
        <v>26</v>
      </c>
      <c r="F270" s="62" t="s">
        <v>48</v>
      </c>
      <c r="G270" s="62" t="s">
        <v>2</v>
      </c>
      <c r="H270" s="63">
        <v>1</v>
      </c>
      <c r="I270" s="62" t="s">
        <v>184</v>
      </c>
      <c r="J270" s="62">
        <v>1</v>
      </c>
      <c r="K270" s="62">
        <v>0</v>
      </c>
      <c r="L270" s="62">
        <v>15</v>
      </c>
      <c r="M270" s="62">
        <v>1</v>
      </c>
      <c r="N270" s="62">
        <v>0</v>
      </c>
      <c r="O270" s="62">
        <v>2</v>
      </c>
      <c r="P270" s="62" t="s">
        <v>1312</v>
      </c>
      <c r="Q270" s="64">
        <v>7.5</v>
      </c>
      <c r="R270" s="65" t="s">
        <v>28</v>
      </c>
      <c r="S270" s="66">
        <v>0</v>
      </c>
      <c r="T270" s="66">
        <v>1</v>
      </c>
      <c r="U270" s="66">
        <v>0.67</v>
      </c>
      <c r="V270" s="66">
        <v>1</v>
      </c>
      <c r="W270" s="62">
        <v>11</v>
      </c>
      <c r="X270" s="62">
        <v>0</v>
      </c>
      <c r="Y270" s="62">
        <v>2</v>
      </c>
      <c r="Z270" s="62" t="s">
        <v>36</v>
      </c>
      <c r="AA270" s="62"/>
      <c r="AB270" s="62" t="s">
        <v>45</v>
      </c>
      <c r="AC270" s="62" t="s">
        <v>17</v>
      </c>
      <c r="AD270" s="61" t="s">
        <v>45</v>
      </c>
      <c r="AF270" s="4" t="s">
        <v>651</v>
      </c>
      <c r="AJ270" s="67"/>
      <c r="AK270" s="67"/>
      <c r="AL270" s="67"/>
    </row>
    <row r="271" spans="1:38" ht="12.75" customHeight="1" x14ac:dyDescent="0.3">
      <c r="A271" s="61">
        <v>270</v>
      </c>
      <c r="B271" s="61">
        <v>73</v>
      </c>
      <c r="C271" s="61" t="s">
        <v>784</v>
      </c>
      <c r="D271" s="62" t="s">
        <v>47</v>
      </c>
      <c r="E271" s="62" t="s">
        <v>26</v>
      </c>
      <c r="F271" s="62" t="s">
        <v>48</v>
      </c>
      <c r="G271" s="62" t="s">
        <v>2</v>
      </c>
      <c r="H271" s="63">
        <v>1</v>
      </c>
      <c r="I271" s="62" t="s">
        <v>113</v>
      </c>
      <c r="J271" s="62">
        <v>1</v>
      </c>
      <c r="K271" s="62">
        <v>0</v>
      </c>
      <c r="L271" s="62">
        <v>15</v>
      </c>
      <c r="M271" s="62">
        <v>1</v>
      </c>
      <c r="N271" s="62">
        <v>0</v>
      </c>
      <c r="O271" s="62">
        <v>2</v>
      </c>
      <c r="P271" s="62" t="s">
        <v>1312</v>
      </c>
      <c r="Q271" s="64">
        <v>7.5</v>
      </c>
      <c r="R271" s="65" t="s">
        <v>28</v>
      </c>
      <c r="S271" s="66">
        <v>0</v>
      </c>
      <c r="T271" s="66">
        <v>1</v>
      </c>
      <c r="U271" s="66">
        <v>0.51</v>
      </c>
      <c r="V271" s="66">
        <v>1</v>
      </c>
      <c r="W271" s="62">
        <v>12</v>
      </c>
      <c r="X271" s="62">
        <v>0</v>
      </c>
      <c r="Y271" s="62">
        <v>2</v>
      </c>
      <c r="Z271" s="62" t="s">
        <v>36</v>
      </c>
      <c r="AA271" s="62"/>
      <c r="AB271" s="62" t="s">
        <v>45</v>
      </c>
      <c r="AC271" s="62" t="s">
        <v>17</v>
      </c>
      <c r="AD271" s="61" t="s">
        <v>45</v>
      </c>
      <c r="AF271" s="4" t="s">
        <v>651</v>
      </c>
      <c r="AJ271" s="67"/>
      <c r="AK271" s="67"/>
      <c r="AL271" s="67"/>
    </row>
    <row r="272" spans="1:38" ht="12.75" customHeight="1" x14ac:dyDescent="0.3">
      <c r="A272" s="61">
        <v>271</v>
      </c>
      <c r="B272" s="61">
        <v>73</v>
      </c>
      <c r="C272" s="61" t="s">
        <v>784</v>
      </c>
      <c r="D272" s="62" t="s">
        <v>47</v>
      </c>
      <c r="E272" s="62" t="s">
        <v>26</v>
      </c>
      <c r="F272" s="62" t="s">
        <v>48</v>
      </c>
      <c r="G272" s="62" t="s">
        <v>2</v>
      </c>
      <c r="H272" s="63">
        <v>1</v>
      </c>
      <c r="I272" s="62" t="s">
        <v>112</v>
      </c>
      <c r="J272" s="62">
        <v>1</v>
      </c>
      <c r="K272" s="62">
        <v>0</v>
      </c>
      <c r="L272" s="62">
        <v>15</v>
      </c>
      <c r="M272" s="62">
        <v>1</v>
      </c>
      <c r="N272" s="62">
        <v>0</v>
      </c>
      <c r="O272" s="62">
        <v>2</v>
      </c>
      <c r="P272" s="62" t="s">
        <v>1312</v>
      </c>
      <c r="Q272" s="64">
        <v>7.5</v>
      </c>
      <c r="R272" s="65" t="s">
        <v>28</v>
      </c>
      <c r="S272" s="66">
        <v>0</v>
      </c>
      <c r="T272" s="66">
        <v>1</v>
      </c>
      <c r="U272" s="66">
        <v>0.89</v>
      </c>
      <c r="V272" s="66">
        <v>1</v>
      </c>
      <c r="W272" s="62">
        <v>11</v>
      </c>
      <c r="X272" s="62">
        <v>0</v>
      </c>
      <c r="Y272" s="62">
        <v>2</v>
      </c>
      <c r="Z272" s="62" t="s">
        <v>36</v>
      </c>
      <c r="AA272" s="62"/>
      <c r="AB272" s="62" t="s">
        <v>45</v>
      </c>
      <c r="AC272" s="62" t="s">
        <v>17</v>
      </c>
      <c r="AD272" s="61" t="s">
        <v>45</v>
      </c>
      <c r="AF272" s="4" t="s">
        <v>651</v>
      </c>
      <c r="AJ272" s="67"/>
      <c r="AK272" s="67"/>
      <c r="AL272" s="67"/>
    </row>
    <row r="273" spans="1:38" ht="12.75" customHeight="1" x14ac:dyDescent="0.3">
      <c r="A273" s="61">
        <v>272</v>
      </c>
      <c r="B273" s="61">
        <v>74</v>
      </c>
      <c r="C273" s="61" t="s">
        <v>580</v>
      </c>
      <c r="D273" s="62" t="s">
        <v>68</v>
      </c>
      <c r="E273" s="62" t="s">
        <v>32</v>
      </c>
      <c r="F273" s="62" t="s">
        <v>232</v>
      </c>
      <c r="G273" s="62" t="s">
        <v>34</v>
      </c>
      <c r="H273" s="63">
        <v>0</v>
      </c>
      <c r="I273" s="62" t="s">
        <v>331</v>
      </c>
      <c r="J273" s="62">
        <v>1</v>
      </c>
      <c r="K273" s="62" t="s">
        <v>32</v>
      </c>
      <c r="L273" s="62">
        <f t="shared" ref="L273:L280" si="16">5*60</f>
        <v>300</v>
      </c>
      <c r="M273" s="62">
        <v>5</v>
      </c>
      <c r="N273" s="62" t="s">
        <v>28</v>
      </c>
      <c r="O273" s="62">
        <v>2</v>
      </c>
      <c r="P273" s="62" t="s">
        <v>332</v>
      </c>
      <c r="Q273" s="64">
        <f t="shared" ref="Q273:Q280" si="17">AVERAGE(18,23)</f>
        <v>20.5</v>
      </c>
      <c r="R273" s="65">
        <f>25/(25+15)</f>
        <v>0.625</v>
      </c>
      <c r="S273" s="66"/>
      <c r="T273" s="66"/>
      <c r="U273" s="66">
        <v>3.9411999999999998</v>
      </c>
      <c r="V273" s="66">
        <f>6.9706-U273</f>
        <v>3.0294000000000003</v>
      </c>
      <c r="W273" s="62">
        <v>10</v>
      </c>
      <c r="X273" s="62">
        <v>0</v>
      </c>
      <c r="Y273" s="62">
        <v>0</v>
      </c>
      <c r="Z273" s="62" t="s">
        <v>117</v>
      </c>
      <c r="AA273" s="62" t="s">
        <v>1631</v>
      </c>
      <c r="AB273" s="62" t="s">
        <v>17</v>
      </c>
      <c r="AC273" s="62" t="s">
        <v>17</v>
      </c>
      <c r="AD273" s="61" t="s">
        <v>17</v>
      </c>
      <c r="AF273" s="4" t="s">
        <v>652</v>
      </c>
      <c r="AJ273" s="67"/>
      <c r="AK273" s="67"/>
      <c r="AL273" s="67"/>
    </row>
    <row r="274" spans="1:38" ht="12.75" customHeight="1" x14ac:dyDescent="0.3">
      <c r="A274" s="61">
        <v>273</v>
      </c>
      <c r="B274" s="61">
        <v>74</v>
      </c>
      <c r="C274" s="61" t="s">
        <v>580</v>
      </c>
      <c r="D274" s="62" t="s">
        <v>68</v>
      </c>
      <c r="E274" s="62" t="s">
        <v>32</v>
      </c>
      <c r="F274" s="62" t="s">
        <v>232</v>
      </c>
      <c r="G274" s="62" t="s">
        <v>34</v>
      </c>
      <c r="H274" s="63">
        <v>0</v>
      </c>
      <c r="I274" s="62" t="s">
        <v>333</v>
      </c>
      <c r="J274" s="62">
        <v>1</v>
      </c>
      <c r="K274" s="62" t="s">
        <v>32</v>
      </c>
      <c r="L274" s="62">
        <f t="shared" si="16"/>
        <v>300</v>
      </c>
      <c r="M274" s="62">
        <v>5</v>
      </c>
      <c r="N274" s="62" t="s">
        <v>28</v>
      </c>
      <c r="O274" s="62">
        <v>2</v>
      </c>
      <c r="P274" s="62" t="s">
        <v>332</v>
      </c>
      <c r="Q274" s="64">
        <f t="shared" si="17"/>
        <v>20.5</v>
      </c>
      <c r="R274" s="65">
        <f>25/(25+15)</f>
        <v>0.625</v>
      </c>
      <c r="S274" s="66"/>
      <c r="T274" s="66"/>
      <c r="U274" s="66">
        <v>3.5882000000000001</v>
      </c>
      <c r="V274" s="66">
        <f>7.2647-U274</f>
        <v>3.6765000000000003</v>
      </c>
      <c r="W274" s="62">
        <v>10</v>
      </c>
      <c r="X274" s="62">
        <v>0</v>
      </c>
      <c r="Y274" s="62">
        <v>0</v>
      </c>
      <c r="Z274" s="62" t="s">
        <v>117</v>
      </c>
      <c r="AA274" s="62"/>
      <c r="AB274" s="62" t="s">
        <v>17</v>
      </c>
      <c r="AC274" s="62" t="s">
        <v>17</v>
      </c>
      <c r="AD274" s="61" t="s">
        <v>17</v>
      </c>
      <c r="AF274" s="4" t="s">
        <v>652</v>
      </c>
      <c r="AJ274" s="67"/>
      <c r="AK274" s="67"/>
      <c r="AL274" s="67"/>
    </row>
    <row r="275" spans="1:38" ht="12.75" customHeight="1" x14ac:dyDescent="0.3">
      <c r="A275" s="61">
        <v>274</v>
      </c>
      <c r="B275" s="61">
        <v>74</v>
      </c>
      <c r="C275" s="61" t="s">
        <v>580</v>
      </c>
      <c r="D275" s="62" t="s">
        <v>68</v>
      </c>
      <c r="E275" s="62" t="s">
        <v>334</v>
      </c>
      <c r="F275" s="62" t="s">
        <v>232</v>
      </c>
      <c r="G275" s="62" t="s">
        <v>2</v>
      </c>
      <c r="H275" s="63">
        <v>0</v>
      </c>
      <c r="I275" s="62" t="s">
        <v>331</v>
      </c>
      <c r="J275" s="62">
        <v>1</v>
      </c>
      <c r="K275" s="62">
        <v>0</v>
      </c>
      <c r="L275" s="62">
        <f t="shared" si="16"/>
        <v>300</v>
      </c>
      <c r="M275" s="62">
        <v>5</v>
      </c>
      <c r="N275" s="62" t="s">
        <v>28</v>
      </c>
      <c r="O275" s="62">
        <v>2</v>
      </c>
      <c r="P275" s="62" t="s">
        <v>332</v>
      </c>
      <c r="Q275" s="64">
        <f t="shared" si="17"/>
        <v>20.5</v>
      </c>
      <c r="R275" s="65">
        <f>25/(25+15)</f>
        <v>0.625</v>
      </c>
      <c r="S275" s="66"/>
      <c r="T275" s="66"/>
      <c r="U275" s="66">
        <v>0.23529</v>
      </c>
      <c r="V275" s="66">
        <f>3.3235-U275</f>
        <v>3.0882100000000001</v>
      </c>
      <c r="W275" s="62">
        <v>10</v>
      </c>
      <c r="X275" s="62">
        <v>0</v>
      </c>
      <c r="Y275" s="62">
        <v>0</v>
      </c>
      <c r="Z275" s="62" t="s">
        <v>117</v>
      </c>
      <c r="AA275" s="62"/>
      <c r="AB275" s="62" t="s">
        <v>17</v>
      </c>
      <c r="AC275" s="62" t="s">
        <v>17</v>
      </c>
      <c r="AD275" s="61" t="s">
        <v>17</v>
      </c>
      <c r="AF275" s="4" t="s">
        <v>652</v>
      </c>
      <c r="AJ275" s="67"/>
      <c r="AK275" s="67"/>
      <c r="AL275" s="67"/>
    </row>
    <row r="276" spans="1:38" ht="12.75" customHeight="1" x14ac:dyDescent="0.3">
      <c r="A276" s="61">
        <v>275</v>
      </c>
      <c r="B276" s="61">
        <v>74</v>
      </c>
      <c r="C276" s="61" t="s">
        <v>580</v>
      </c>
      <c r="D276" s="62" t="s">
        <v>68</v>
      </c>
      <c r="E276" s="62" t="s">
        <v>334</v>
      </c>
      <c r="F276" s="62" t="s">
        <v>232</v>
      </c>
      <c r="G276" s="62" t="s">
        <v>2</v>
      </c>
      <c r="H276" s="63">
        <v>0</v>
      </c>
      <c r="I276" s="62" t="s">
        <v>333</v>
      </c>
      <c r="J276" s="62">
        <v>1</v>
      </c>
      <c r="K276" s="62">
        <v>0</v>
      </c>
      <c r="L276" s="62">
        <f t="shared" si="16"/>
        <v>300</v>
      </c>
      <c r="M276" s="62">
        <v>5</v>
      </c>
      <c r="N276" s="62" t="s">
        <v>28</v>
      </c>
      <c r="O276" s="62">
        <v>2</v>
      </c>
      <c r="P276" s="62" t="s">
        <v>332</v>
      </c>
      <c r="Q276" s="64">
        <f t="shared" si="17"/>
        <v>20.5</v>
      </c>
      <c r="R276" s="65">
        <f>25/(25+15)</f>
        <v>0.625</v>
      </c>
      <c r="S276" s="66"/>
      <c r="T276" s="66"/>
      <c r="U276" s="66">
        <v>1.7941</v>
      </c>
      <c r="V276" s="66">
        <f>5.4706-U276</f>
        <v>3.6764999999999999</v>
      </c>
      <c r="W276" s="62">
        <v>10</v>
      </c>
      <c r="X276" s="62">
        <v>0</v>
      </c>
      <c r="Y276" s="62">
        <v>0</v>
      </c>
      <c r="Z276" s="62" t="s">
        <v>117</v>
      </c>
      <c r="AA276" s="62"/>
      <c r="AB276" s="62" t="s">
        <v>17</v>
      </c>
      <c r="AC276" s="62" t="s">
        <v>17</v>
      </c>
      <c r="AD276" s="61" t="s">
        <v>17</v>
      </c>
      <c r="AF276" s="4" t="s">
        <v>652</v>
      </c>
      <c r="AJ276" s="67"/>
      <c r="AK276" s="67"/>
      <c r="AL276" s="67"/>
    </row>
    <row r="277" spans="1:38" ht="12.75" customHeight="1" x14ac:dyDescent="0.3">
      <c r="A277" s="61">
        <v>276</v>
      </c>
      <c r="B277" s="61">
        <v>75</v>
      </c>
      <c r="C277" s="61" t="s">
        <v>581</v>
      </c>
      <c r="D277" s="62" t="s">
        <v>68</v>
      </c>
      <c r="E277" s="62" t="s">
        <v>32</v>
      </c>
      <c r="F277" s="62" t="s">
        <v>232</v>
      </c>
      <c r="G277" s="62" t="s">
        <v>34</v>
      </c>
      <c r="H277" s="63">
        <v>0</v>
      </c>
      <c r="I277" s="61" t="s">
        <v>335</v>
      </c>
      <c r="J277" s="62">
        <v>1</v>
      </c>
      <c r="K277" s="62" t="s">
        <v>32</v>
      </c>
      <c r="L277" s="62">
        <f t="shared" si="16"/>
        <v>300</v>
      </c>
      <c r="M277" s="62">
        <v>5</v>
      </c>
      <c r="N277" s="62" t="s">
        <v>28</v>
      </c>
      <c r="O277" s="62">
        <v>2</v>
      </c>
      <c r="P277" s="62" t="s">
        <v>336</v>
      </c>
      <c r="Q277" s="64">
        <f t="shared" si="17"/>
        <v>20.5</v>
      </c>
      <c r="R277" s="65">
        <f>39/40</f>
        <v>0.97499999999999998</v>
      </c>
      <c r="S277" s="66"/>
      <c r="T277" s="66"/>
      <c r="U277" s="66">
        <v>2.875</v>
      </c>
      <c r="V277" s="66">
        <f>6.5625-U277</f>
        <v>3.6875</v>
      </c>
      <c r="W277" s="62">
        <v>10</v>
      </c>
      <c r="X277" s="62">
        <v>0</v>
      </c>
      <c r="Y277" s="62">
        <v>0</v>
      </c>
      <c r="Z277" s="62" t="s">
        <v>337</v>
      </c>
      <c r="AA277" s="62" t="s">
        <v>1329</v>
      </c>
      <c r="AB277" s="62" t="s">
        <v>17</v>
      </c>
      <c r="AC277" s="62" t="s">
        <v>17</v>
      </c>
      <c r="AD277" s="61" t="s">
        <v>17</v>
      </c>
      <c r="AF277" s="4" t="s">
        <v>653</v>
      </c>
    </row>
    <row r="278" spans="1:38" ht="12.75" customHeight="1" x14ac:dyDescent="0.3">
      <c r="A278" s="61">
        <v>277</v>
      </c>
      <c r="B278" s="61">
        <v>75</v>
      </c>
      <c r="C278" s="61" t="s">
        <v>581</v>
      </c>
      <c r="D278" s="62" t="s">
        <v>68</v>
      </c>
      <c r="E278" s="62" t="s">
        <v>32</v>
      </c>
      <c r="F278" s="62" t="s">
        <v>232</v>
      </c>
      <c r="G278" s="62" t="s">
        <v>34</v>
      </c>
      <c r="H278" s="63">
        <v>0</v>
      </c>
      <c r="I278" s="61" t="s">
        <v>338</v>
      </c>
      <c r="J278" s="62">
        <v>1</v>
      </c>
      <c r="K278" s="62" t="s">
        <v>32</v>
      </c>
      <c r="L278" s="62">
        <f t="shared" si="16"/>
        <v>300</v>
      </c>
      <c r="M278" s="62">
        <v>5</v>
      </c>
      <c r="N278" s="62" t="s">
        <v>28</v>
      </c>
      <c r="O278" s="62">
        <v>2</v>
      </c>
      <c r="P278" s="62" t="s">
        <v>336</v>
      </c>
      <c r="Q278" s="64">
        <f t="shared" si="17"/>
        <v>20.5</v>
      </c>
      <c r="R278" s="65">
        <f>39/40</f>
        <v>0.97499999999999998</v>
      </c>
      <c r="S278" s="66"/>
      <c r="T278" s="66"/>
      <c r="U278" s="66">
        <v>4.9375</v>
      </c>
      <c r="V278" s="66">
        <f>7.3125-U278</f>
        <v>2.375</v>
      </c>
      <c r="W278" s="62">
        <v>10</v>
      </c>
      <c r="X278" s="62">
        <v>0</v>
      </c>
      <c r="Y278" s="62">
        <v>0</v>
      </c>
      <c r="Z278" s="62" t="s">
        <v>337</v>
      </c>
      <c r="AA278" s="62"/>
      <c r="AB278" s="62" t="s">
        <v>17</v>
      </c>
      <c r="AC278" s="62" t="s">
        <v>17</v>
      </c>
      <c r="AD278" s="61" t="s">
        <v>17</v>
      </c>
      <c r="AF278" s="4" t="s">
        <v>653</v>
      </c>
    </row>
    <row r="279" spans="1:38" ht="12.75" customHeight="1" x14ac:dyDescent="0.3">
      <c r="A279" s="61">
        <v>278</v>
      </c>
      <c r="B279" s="61">
        <v>75</v>
      </c>
      <c r="C279" s="61" t="s">
        <v>581</v>
      </c>
      <c r="D279" s="62" t="s">
        <v>68</v>
      </c>
      <c r="E279" s="62" t="s">
        <v>334</v>
      </c>
      <c r="F279" s="62" t="s">
        <v>232</v>
      </c>
      <c r="G279" s="62" t="s">
        <v>2</v>
      </c>
      <c r="H279" s="63">
        <v>0</v>
      </c>
      <c r="I279" s="61" t="s">
        <v>335</v>
      </c>
      <c r="J279" s="62">
        <v>1</v>
      </c>
      <c r="K279" s="62">
        <v>0</v>
      </c>
      <c r="L279" s="62">
        <f t="shared" si="16"/>
        <v>300</v>
      </c>
      <c r="M279" s="62">
        <v>5</v>
      </c>
      <c r="N279" s="62" t="s">
        <v>28</v>
      </c>
      <c r="O279" s="62">
        <v>2</v>
      </c>
      <c r="P279" s="62" t="s">
        <v>336</v>
      </c>
      <c r="Q279" s="64">
        <f t="shared" si="17"/>
        <v>20.5</v>
      </c>
      <c r="R279" s="65">
        <f>39/40</f>
        <v>0.97499999999999998</v>
      </c>
      <c r="S279" s="66"/>
      <c r="T279" s="66"/>
      <c r="U279" s="66">
        <v>5.27</v>
      </c>
      <c r="V279" s="66">
        <f>9.125-U279</f>
        <v>3.8550000000000004</v>
      </c>
      <c r="W279" s="62">
        <v>10</v>
      </c>
      <c r="X279" s="62">
        <v>0</v>
      </c>
      <c r="Y279" s="62">
        <v>0</v>
      </c>
      <c r="Z279" s="62" t="s">
        <v>337</v>
      </c>
      <c r="AA279" s="62"/>
      <c r="AB279" s="62" t="s">
        <v>17</v>
      </c>
      <c r="AC279" s="62" t="s">
        <v>17</v>
      </c>
      <c r="AD279" s="61" t="s">
        <v>17</v>
      </c>
      <c r="AF279" s="4" t="s">
        <v>653</v>
      </c>
    </row>
    <row r="280" spans="1:38" ht="12.75" customHeight="1" x14ac:dyDescent="0.3">
      <c r="A280" s="61">
        <v>279</v>
      </c>
      <c r="B280" s="61">
        <v>75</v>
      </c>
      <c r="C280" s="61" t="s">
        <v>581</v>
      </c>
      <c r="D280" s="62" t="s">
        <v>68</v>
      </c>
      <c r="E280" s="62" t="s">
        <v>334</v>
      </c>
      <c r="F280" s="62" t="s">
        <v>232</v>
      </c>
      <c r="G280" s="62" t="s">
        <v>2</v>
      </c>
      <c r="H280" s="63">
        <v>0</v>
      </c>
      <c r="I280" s="61" t="s">
        <v>338</v>
      </c>
      <c r="J280" s="62">
        <v>1</v>
      </c>
      <c r="K280" s="62">
        <v>0</v>
      </c>
      <c r="L280" s="62">
        <f t="shared" si="16"/>
        <v>300</v>
      </c>
      <c r="M280" s="62">
        <v>5</v>
      </c>
      <c r="N280" s="62" t="s">
        <v>28</v>
      </c>
      <c r="O280" s="62">
        <v>2</v>
      </c>
      <c r="P280" s="62" t="s">
        <v>336</v>
      </c>
      <c r="Q280" s="64">
        <f t="shared" si="17"/>
        <v>20.5</v>
      </c>
      <c r="R280" s="65">
        <f>39/40</f>
        <v>0.97499999999999998</v>
      </c>
      <c r="S280" s="66"/>
      <c r="T280" s="66"/>
      <c r="U280" s="66">
        <v>3.25</v>
      </c>
      <c r="V280" s="66">
        <f>6.4792-U280</f>
        <v>3.2291999999999996</v>
      </c>
      <c r="W280" s="62">
        <v>10</v>
      </c>
      <c r="X280" s="62">
        <v>0</v>
      </c>
      <c r="Y280" s="62">
        <v>0</v>
      </c>
      <c r="Z280" s="62" t="s">
        <v>337</v>
      </c>
      <c r="AA280" s="62"/>
      <c r="AB280" s="62" t="s">
        <v>17</v>
      </c>
      <c r="AC280" s="62" t="s">
        <v>17</v>
      </c>
      <c r="AD280" s="61" t="s">
        <v>17</v>
      </c>
      <c r="AF280" s="4" t="s">
        <v>653</v>
      </c>
    </row>
    <row r="281" spans="1:38" ht="12.75" customHeight="1" x14ac:dyDescent="0.3">
      <c r="A281" s="61">
        <v>280</v>
      </c>
      <c r="B281" s="61">
        <v>76</v>
      </c>
      <c r="C281" s="62" t="s">
        <v>1634</v>
      </c>
      <c r="D281" s="62" t="s">
        <v>47</v>
      </c>
      <c r="E281" s="62" t="s">
        <v>32</v>
      </c>
      <c r="F281" s="62" t="s">
        <v>339</v>
      </c>
      <c r="G281" s="62" t="s">
        <v>34</v>
      </c>
      <c r="H281" s="63">
        <v>1</v>
      </c>
      <c r="I281" s="62"/>
      <c r="J281" s="62" t="s">
        <v>51</v>
      </c>
      <c r="K281" s="62" t="s">
        <v>32</v>
      </c>
      <c r="L281" s="62">
        <v>15</v>
      </c>
      <c r="M281" s="62">
        <v>1</v>
      </c>
      <c r="N281" s="62" t="s">
        <v>28</v>
      </c>
      <c r="O281" s="62">
        <v>1</v>
      </c>
      <c r="P281" s="62" t="s">
        <v>340</v>
      </c>
      <c r="Q281" s="64">
        <v>8.5</v>
      </c>
      <c r="R281" s="65" t="s">
        <v>28</v>
      </c>
      <c r="S281" s="66">
        <f>AVERAGE(6,2,2,2,2,2,4,7,8,4,5,7,2,4)</f>
        <v>4.0714285714285712</v>
      </c>
      <c r="T281" s="66">
        <f>STDEV(6,2,2,2,2,2,4,7,8,4,5,7,2,4)</f>
        <v>2.2001498450467731</v>
      </c>
      <c r="U281" s="66">
        <f>AVERAGE(9,0,7,2,2,4,7,7,8,8,7,9,3,8)</f>
        <v>5.7857142857142856</v>
      </c>
      <c r="V281" s="66">
        <f>STDEV(9,0,7,2,2,4,7,7,8,8,7,9,3,8)</f>
        <v>2.9659236835601983</v>
      </c>
      <c r="W281" s="62">
        <v>14</v>
      </c>
      <c r="X281" s="62">
        <v>0</v>
      </c>
      <c r="Y281" s="62">
        <v>0</v>
      </c>
      <c r="Z281" s="62" t="s">
        <v>341</v>
      </c>
      <c r="AA281" s="62"/>
      <c r="AB281" s="62" t="s">
        <v>17</v>
      </c>
      <c r="AC281" s="62" t="s">
        <v>17</v>
      </c>
      <c r="AD281" s="61" t="s">
        <v>17</v>
      </c>
      <c r="AF281" s="4" t="s">
        <v>654</v>
      </c>
    </row>
    <row r="282" spans="1:38" ht="12.75" customHeight="1" x14ac:dyDescent="0.3">
      <c r="A282" s="61">
        <v>281</v>
      </c>
      <c r="B282" s="61">
        <v>76</v>
      </c>
      <c r="C282" s="62" t="s">
        <v>742</v>
      </c>
      <c r="D282" s="62" t="s">
        <v>47</v>
      </c>
      <c r="E282" s="62" t="s">
        <v>26</v>
      </c>
      <c r="F282" s="62" t="s">
        <v>339</v>
      </c>
      <c r="G282" s="62" t="s">
        <v>2</v>
      </c>
      <c r="H282" s="63">
        <v>1</v>
      </c>
      <c r="I282" s="62"/>
      <c r="J282" s="62" t="s">
        <v>51</v>
      </c>
      <c r="K282" s="62">
        <v>0</v>
      </c>
      <c r="L282" s="62">
        <v>15</v>
      </c>
      <c r="M282" s="62">
        <v>1</v>
      </c>
      <c r="N282" s="62" t="s">
        <v>28</v>
      </c>
      <c r="O282" s="62">
        <v>1</v>
      </c>
      <c r="P282" s="62" t="s">
        <v>340</v>
      </c>
      <c r="Q282" s="64">
        <v>8.5</v>
      </c>
      <c r="R282" s="65" t="s">
        <v>28</v>
      </c>
      <c r="S282" s="66">
        <f>AVERAGE(5,5,3,2,5,4,4,8,2,3,2,7,8,8)</f>
        <v>4.7142857142857144</v>
      </c>
      <c r="T282" s="66">
        <f>STDEV(5,5,3,2,5,4,4,8,2,3,2,7,8,8)</f>
        <v>2.267786838055363</v>
      </c>
      <c r="U282" s="66">
        <f>AVERAGE(6,7,2,3,6,5,5,7,4,2,3,9,9,8)</f>
        <v>5.4285714285714288</v>
      </c>
      <c r="V282" s="66">
        <f>STDEV(6,7,2,3,6,5,5,7,4,2,3,9,9,8)</f>
        <v>2.4087751663859795</v>
      </c>
      <c r="W282" s="62">
        <v>14</v>
      </c>
      <c r="X282" s="62">
        <v>0</v>
      </c>
      <c r="Y282" s="62">
        <v>0</v>
      </c>
      <c r="Z282" s="62" t="s">
        <v>296</v>
      </c>
      <c r="AA282" s="62"/>
      <c r="AB282" s="62" t="s">
        <v>17</v>
      </c>
      <c r="AC282" s="62" t="s">
        <v>17</v>
      </c>
      <c r="AD282" s="61" t="s">
        <v>17</v>
      </c>
      <c r="AF282" s="4" t="s">
        <v>654</v>
      </c>
      <c r="AJ282" s="67"/>
      <c r="AK282" s="67"/>
      <c r="AL282" s="67"/>
    </row>
    <row r="283" spans="1:38" ht="12.75" customHeight="1" x14ac:dyDescent="0.3">
      <c r="A283" s="61">
        <v>282</v>
      </c>
      <c r="B283" s="61">
        <v>77</v>
      </c>
      <c r="C283" s="61" t="s">
        <v>588</v>
      </c>
      <c r="D283" s="62" t="s">
        <v>25</v>
      </c>
      <c r="E283" s="62" t="s">
        <v>26</v>
      </c>
      <c r="F283" s="62" t="s">
        <v>33</v>
      </c>
      <c r="G283" s="62" t="s">
        <v>2</v>
      </c>
      <c r="H283" s="63">
        <v>1</v>
      </c>
      <c r="I283" s="61" t="s">
        <v>342</v>
      </c>
      <c r="J283" s="62">
        <v>1</v>
      </c>
      <c r="K283" s="62">
        <v>0</v>
      </c>
      <c r="L283" s="62">
        <v>7</v>
      </c>
      <c r="M283" s="62">
        <v>1</v>
      </c>
      <c r="N283" s="62">
        <v>0</v>
      </c>
      <c r="O283" s="62">
        <v>1</v>
      </c>
      <c r="P283" s="62" t="s">
        <v>343</v>
      </c>
      <c r="Q283" s="64">
        <f>3.5</f>
        <v>3.5</v>
      </c>
      <c r="R283" s="65">
        <f>12/21</f>
        <v>0.5714285714285714</v>
      </c>
      <c r="S283" s="66">
        <v>0.9</v>
      </c>
      <c r="T283" s="66">
        <v>0.4</v>
      </c>
      <c r="U283" s="66">
        <v>1.38</v>
      </c>
      <c r="V283" s="66">
        <v>1</v>
      </c>
      <c r="W283" s="62">
        <v>21</v>
      </c>
      <c r="X283" s="62">
        <v>0</v>
      </c>
      <c r="Y283" s="62">
        <v>0</v>
      </c>
      <c r="Z283" s="62" t="s">
        <v>202</v>
      </c>
      <c r="AA283" s="62" t="s">
        <v>344</v>
      </c>
      <c r="AB283" s="62" t="s">
        <v>17</v>
      </c>
      <c r="AC283" s="62" t="s">
        <v>17</v>
      </c>
      <c r="AD283" s="61" t="s">
        <v>17</v>
      </c>
      <c r="AF283" s="4" t="s">
        <v>655</v>
      </c>
      <c r="AJ283" s="67"/>
      <c r="AK283" s="67"/>
      <c r="AL283" s="67"/>
    </row>
    <row r="284" spans="1:38" ht="12.75" customHeight="1" x14ac:dyDescent="0.3">
      <c r="A284" s="61">
        <v>283</v>
      </c>
      <c r="B284" s="61">
        <v>77</v>
      </c>
      <c r="C284" s="61" t="s">
        <v>588</v>
      </c>
      <c r="D284" s="62" t="s">
        <v>25</v>
      </c>
      <c r="E284" s="62" t="s">
        <v>26</v>
      </c>
      <c r="F284" s="62" t="s">
        <v>33</v>
      </c>
      <c r="G284" s="62" t="s">
        <v>2</v>
      </c>
      <c r="H284" s="63">
        <v>1</v>
      </c>
      <c r="I284" s="61" t="s">
        <v>345</v>
      </c>
      <c r="J284" s="62">
        <v>1</v>
      </c>
      <c r="K284" s="62">
        <v>0</v>
      </c>
      <c r="L284" s="62">
        <v>7</v>
      </c>
      <c r="M284" s="62">
        <v>1</v>
      </c>
      <c r="N284" s="62">
        <v>0</v>
      </c>
      <c r="O284" s="62">
        <v>1</v>
      </c>
      <c r="P284" s="62" t="s">
        <v>343</v>
      </c>
      <c r="Q284" s="64">
        <f>3.5</f>
        <v>3.5</v>
      </c>
      <c r="R284" s="65">
        <f>10/18</f>
        <v>0.55555555555555558</v>
      </c>
      <c r="S284" s="66">
        <v>1.18</v>
      </c>
      <c r="T284" s="66">
        <v>0.7</v>
      </c>
      <c r="U284" s="66">
        <v>1.61</v>
      </c>
      <c r="V284" s="66">
        <v>0.9</v>
      </c>
      <c r="W284" s="62">
        <v>18</v>
      </c>
      <c r="X284" s="62">
        <v>0</v>
      </c>
      <c r="Y284" s="62">
        <v>0</v>
      </c>
      <c r="Z284" s="62" t="s">
        <v>202</v>
      </c>
      <c r="AA284" s="62"/>
      <c r="AB284" s="62" t="s">
        <v>17</v>
      </c>
      <c r="AC284" s="62" t="s">
        <v>17</v>
      </c>
      <c r="AD284" s="61" t="s">
        <v>17</v>
      </c>
      <c r="AF284" s="4" t="s">
        <v>655</v>
      </c>
      <c r="AJ284" s="67"/>
      <c r="AK284" s="67"/>
      <c r="AL284" s="67"/>
    </row>
    <row r="285" spans="1:38" ht="12.75" customHeight="1" x14ac:dyDescent="0.3">
      <c r="A285" s="61">
        <v>284</v>
      </c>
      <c r="B285" s="61">
        <v>77</v>
      </c>
      <c r="C285" s="61" t="s">
        <v>588</v>
      </c>
      <c r="D285" s="62" t="s">
        <v>25</v>
      </c>
      <c r="E285" s="62" t="s">
        <v>26</v>
      </c>
      <c r="F285" s="62" t="s">
        <v>33</v>
      </c>
      <c r="G285" s="62" t="s">
        <v>2</v>
      </c>
      <c r="H285" s="63">
        <v>1</v>
      </c>
      <c r="I285" s="62" t="s">
        <v>346</v>
      </c>
      <c r="J285" s="62">
        <v>1</v>
      </c>
      <c r="K285" s="62">
        <v>0</v>
      </c>
      <c r="L285" s="62">
        <v>7</v>
      </c>
      <c r="M285" s="62">
        <v>1</v>
      </c>
      <c r="N285" s="62">
        <v>0</v>
      </c>
      <c r="O285" s="62">
        <v>1</v>
      </c>
      <c r="P285" s="62" t="s">
        <v>343</v>
      </c>
      <c r="Q285" s="64">
        <f>3+7/12</f>
        <v>3.5833333333333335</v>
      </c>
      <c r="R285" s="65">
        <f>13/19</f>
        <v>0.68421052631578949</v>
      </c>
      <c r="S285" s="66">
        <v>0.91</v>
      </c>
      <c r="T285" s="66">
        <v>0.8</v>
      </c>
      <c r="U285" s="66">
        <v>1.33</v>
      </c>
      <c r="V285" s="66">
        <v>0.9</v>
      </c>
      <c r="W285" s="62">
        <v>19</v>
      </c>
      <c r="X285" s="62">
        <v>0</v>
      </c>
      <c r="Y285" s="62">
        <v>0</v>
      </c>
      <c r="Z285" s="62" t="s">
        <v>202</v>
      </c>
      <c r="AA285" s="62"/>
      <c r="AB285" s="62" t="s">
        <v>17</v>
      </c>
      <c r="AC285" s="62" t="s">
        <v>17</v>
      </c>
      <c r="AD285" s="61" t="s">
        <v>17</v>
      </c>
      <c r="AF285" s="4" t="s">
        <v>655</v>
      </c>
      <c r="AJ285" s="67"/>
      <c r="AK285" s="67"/>
      <c r="AL285" s="67"/>
    </row>
    <row r="286" spans="1:38" ht="12.75" customHeight="1" x14ac:dyDescent="0.3">
      <c r="A286" s="61">
        <v>285</v>
      </c>
      <c r="B286" s="61">
        <v>78</v>
      </c>
      <c r="C286" s="61" t="s">
        <v>755</v>
      </c>
      <c r="D286" s="62" t="s">
        <v>25</v>
      </c>
      <c r="E286" s="62" t="s">
        <v>26</v>
      </c>
      <c r="F286" s="62" t="s">
        <v>33</v>
      </c>
      <c r="G286" s="62" t="s">
        <v>2</v>
      </c>
      <c r="H286" s="63">
        <v>1</v>
      </c>
      <c r="I286" s="62" t="s">
        <v>347</v>
      </c>
      <c r="J286" s="62">
        <v>1</v>
      </c>
      <c r="K286" s="62">
        <v>0</v>
      </c>
      <c r="L286" s="62">
        <f>14*3</f>
        <v>42</v>
      </c>
      <c r="M286" s="62">
        <v>3</v>
      </c>
      <c r="N286" s="62">
        <v>14</v>
      </c>
      <c r="O286" s="62">
        <v>1</v>
      </c>
      <c r="P286" s="62" t="s">
        <v>343</v>
      </c>
      <c r="Q286" s="64">
        <v>5.5</v>
      </c>
      <c r="R286" s="65">
        <v>0.5</v>
      </c>
      <c r="S286" s="66">
        <v>1.88</v>
      </c>
      <c r="T286" s="66">
        <v>1.38</v>
      </c>
      <c r="U286" s="66">
        <v>2.71</v>
      </c>
      <c r="V286" s="66">
        <v>1.77</v>
      </c>
      <c r="W286" s="62">
        <v>56</v>
      </c>
      <c r="X286" s="62">
        <v>0</v>
      </c>
      <c r="Y286" s="62">
        <v>1</v>
      </c>
      <c r="Z286" s="62" t="s">
        <v>348</v>
      </c>
      <c r="AA286" s="62"/>
      <c r="AB286" s="62" t="s">
        <v>17</v>
      </c>
      <c r="AC286" s="62" t="s">
        <v>17</v>
      </c>
      <c r="AD286" s="61" t="s">
        <v>17</v>
      </c>
      <c r="AF286" s="4" t="s">
        <v>656</v>
      </c>
      <c r="AJ286" s="67"/>
      <c r="AK286" s="67"/>
      <c r="AL286" s="67"/>
    </row>
    <row r="287" spans="1:38" ht="12.75" customHeight="1" x14ac:dyDescent="0.3">
      <c r="A287" s="61">
        <v>286</v>
      </c>
      <c r="B287" s="61">
        <v>78</v>
      </c>
      <c r="C287" s="61" t="s">
        <v>755</v>
      </c>
      <c r="D287" s="62" t="s">
        <v>25</v>
      </c>
      <c r="E287" s="62" t="s">
        <v>26</v>
      </c>
      <c r="F287" s="62" t="s">
        <v>33</v>
      </c>
      <c r="G287" s="62" t="s">
        <v>2</v>
      </c>
      <c r="H287" s="63">
        <v>1</v>
      </c>
      <c r="I287" s="62" t="s">
        <v>349</v>
      </c>
      <c r="J287" s="62">
        <v>1</v>
      </c>
      <c r="K287" s="62">
        <v>0</v>
      </c>
      <c r="L287" s="62">
        <f>11*3</f>
        <v>33</v>
      </c>
      <c r="M287" s="62">
        <v>3</v>
      </c>
      <c r="N287" s="62">
        <v>14</v>
      </c>
      <c r="O287" s="62">
        <v>1</v>
      </c>
      <c r="P287" s="62" t="s">
        <v>343</v>
      </c>
      <c r="Q287" s="64">
        <v>5.5</v>
      </c>
      <c r="R287" s="65">
        <v>0.5</v>
      </c>
      <c r="S287" s="66">
        <v>1.77</v>
      </c>
      <c r="T287" s="66">
        <v>1.28</v>
      </c>
      <c r="U287" s="66">
        <v>2.59</v>
      </c>
      <c r="V287" s="66">
        <v>1.65</v>
      </c>
      <c r="W287" s="62">
        <v>56</v>
      </c>
      <c r="X287" s="62">
        <v>0</v>
      </c>
      <c r="Y287" s="62">
        <v>1</v>
      </c>
      <c r="Z287" s="62" t="s">
        <v>348</v>
      </c>
      <c r="AA287" s="62"/>
      <c r="AB287" s="62" t="s">
        <v>17</v>
      </c>
      <c r="AC287" s="62" t="s">
        <v>17</v>
      </c>
      <c r="AD287" s="61" t="s">
        <v>17</v>
      </c>
      <c r="AF287" s="4" t="s">
        <v>656</v>
      </c>
      <c r="AJ287" s="67"/>
      <c r="AK287" s="67"/>
      <c r="AL287" s="67"/>
    </row>
    <row r="288" spans="1:38" ht="12.75" customHeight="1" x14ac:dyDescent="0.3">
      <c r="A288" s="61">
        <v>287</v>
      </c>
      <c r="B288" s="61">
        <v>78</v>
      </c>
      <c r="C288" s="61" t="s">
        <v>755</v>
      </c>
      <c r="D288" s="62" t="s">
        <v>25</v>
      </c>
      <c r="E288" s="62" t="s">
        <v>26</v>
      </c>
      <c r="F288" s="62" t="s">
        <v>33</v>
      </c>
      <c r="G288" s="62" t="s">
        <v>2</v>
      </c>
      <c r="H288" s="63">
        <v>1</v>
      </c>
      <c r="I288" s="62" t="s">
        <v>346</v>
      </c>
      <c r="J288" s="62">
        <v>1</v>
      </c>
      <c r="K288" s="62">
        <v>0</v>
      </c>
      <c r="L288" s="62">
        <f>10*3</f>
        <v>30</v>
      </c>
      <c r="M288" s="62">
        <v>3</v>
      </c>
      <c r="N288" s="62">
        <v>14</v>
      </c>
      <c r="O288" s="62">
        <v>1</v>
      </c>
      <c r="P288" s="62" t="s">
        <v>343</v>
      </c>
      <c r="Q288" s="64">
        <v>5.5</v>
      </c>
      <c r="R288" s="65">
        <v>0.5</v>
      </c>
      <c r="S288" s="66">
        <v>2</v>
      </c>
      <c r="T288" s="66">
        <v>1.31</v>
      </c>
      <c r="U288" s="66">
        <v>2.5499999999999998</v>
      </c>
      <c r="V288" s="66">
        <v>1.76</v>
      </c>
      <c r="W288" s="62">
        <v>56</v>
      </c>
      <c r="X288" s="62">
        <v>0</v>
      </c>
      <c r="Y288" s="62">
        <v>1</v>
      </c>
      <c r="Z288" s="62" t="s">
        <v>348</v>
      </c>
      <c r="AA288" s="62"/>
      <c r="AB288" s="62" t="s">
        <v>17</v>
      </c>
      <c r="AC288" s="62" t="s">
        <v>17</v>
      </c>
      <c r="AD288" s="61" t="s">
        <v>17</v>
      </c>
      <c r="AF288" s="4" t="s">
        <v>656</v>
      </c>
      <c r="AJ288" s="67"/>
      <c r="AK288" s="67"/>
      <c r="AL288" s="67"/>
    </row>
    <row r="289" spans="1:38" ht="12.75" customHeight="1" x14ac:dyDescent="0.3">
      <c r="A289" s="61">
        <v>288</v>
      </c>
      <c r="B289" s="61">
        <v>79</v>
      </c>
      <c r="C289" s="61" t="s">
        <v>770</v>
      </c>
      <c r="D289" s="62" t="s">
        <v>62</v>
      </c>
      <c r="E289" s="62" t="s">
        <v>350</v>
      </c>
      <c r="F289" s="62" t="s">
        <v>351</v>
      </c>
      <c r="G289" s="62" t="s">
        <v>2</v>
      </c>
      <c r="H289" s="63">
        <v>0</v>
      </c>
      <c r="I289" s="62"/>
      <c r="J289" s="62">
        <v>2</v>
      </c>
      <c r="K289" s="62">
        <v>0</v>
      </c>
      <c r="L289" s="62">
        <f>4*2*40</f>
        <v>320</v>
      </c>
      <c r="M289" s="62">
        <f>4*2</f>
        <v>8</v>
      </c>
      <c r="N289" s="62">
        <v>7</v>
      </c>
      <c r="O289" s="62">
        <v>2</v>
      </c>
      <c r="P289" s="62" t="s">
        <v>352</v>
      </c>
      <c r="Q289" s="64">
        <v>2.5</v>
      </c>
      <c r="R289" s="65" t="s">
        <v>28</v>
      </c>
      <c r="S289" s="66">
        <v>11.73</v>
      </c>
      <c r="T289" s="66">
        <v>5.63</v>
      </c>
      <c r="U289" s="66">
        <v>19.600000000000001</v>
      </c>
      <c r="V289" s="66">
        <v>8.33</v>
      </c>
      <c r="W289" s="62">
        <v>30</v>
      </c>
      <c r="X289" s="62">
        <v>0</v>
      </c>
      <c r="Y289" s="62">
        <v>0</v>
      </c>
      <c r="Z289" s="62" t="s">
        <v>353</v>
      </c>
      <c r="AA289" s="62" t="s">
        <v>1330</v>
      </c>
      <c r="AB289" s="62" t="s">
        <v>17</v>
      </c>
      <c r="AC289" s="62" t="s">
        <v>17</v>
      </c>
      <c r="AD289" s="61" t="s">
        <v>17</v>
      </c>
      <c r="AF289" s="4" t="s">
        <v>657</v>
      </c>
      <c r="AJ289" s="67"/>
      <c r="AK289" s="67"/>
      <c r="AL289" s="67"/>
    </row>
    <row r="290" spans="1:38" ht="12.75" customHeight="1" x14ac:dyDescent="0.3">
      <c r="A290" s="61">
        <v>289</v>
      </c>
      <c r="B290" s="61">
        <v>80</v>
      </c>
      <c r="C290" s="62" t="s">
        <v>801</v>
      </c>
      <c r="D290" s="62" t="s">
        <v>41</v>
      </c>
      <c r="E290" s="62" t="s">
        <v>26</v>
      </c>
      <c r="F290" s="62" t="s">
        <v>354</v>
      </c>
      <c r="G290" s="62" t="s">
        <v>2</v>
      </c>
      <c r="H290" s="63">
        <v>0</v>
      </c>
      <c r="I290" s="62" t="s">
        <v>113</v>
      </c>
      <c r="J290" s="62">
        <v>1</v>
      </c>
      <c r="K290" s="62">
        <v>0</v>
      </c>
      <c r="L290" s="62">
        <v>30</v>
      </c>
      <c r="M290" s="62">
        <v>1</v>
      </c>
      <c r="N290" s="62">
        <v>0</v>
      </c>
      <c r="O290" s="62">
        <v>2</v>
      </c>
      <c r="P290" s="62" t="s">
        <v>355</v>
      </c>
      <c r="Q290" s="64">
        <v>11.25</v>
      </c>
      <c r="R290" s="65">
        <f>11/(13+11)</f>
        <v>0.45833333333333331</v>
      </c>
      <c r="S290" s="66">
        <v>0.2</v>
      </c>
      <c r="T290" s="66">
        <f>0.03*SQRT(24)</f>
        <v>0.14696938456699066</v>
      </c>
      <c r="U290" s="66">
        <v>0.33</v>
      </c>
      <c r="V290" s="66">
        <f>0.04*SQRT(24)</f>
        <v>0.19595917942265423</v>
      </c>
      <c r="W290" s="62">
        <v>24</v>
      </c>
      <c r="X290" s="62">
        <v>0</v>
      </c>
      <c r="Y290" s="62">
        <v>0</v>
      </c>
      <c r="Z290" s="62" t="s">
        <v>356</v>
      </c>
      <c r="AA290" s="62" t="s">
        <v>1570</v>
      </c>
      <c r="AB290" s="62" t="s">
        <v>17</v>
      </c>
      <c r="AC290" s="62" t="s">
        <v>17</v>
      </c>
      <c r="AD290" s="61" t="s">
        <v>17</v>
      </c>
      <c r="AF290" s="4" t="s">
        <v>724</v>
      </c>
      <c r="AJ290" s="67"/>
      <c r="AK290" s="67"/>
      <c r="AL290" s="67"/>
    </row>
    <row r="291" spans="1:38" ht="12.75" customHeight="1" x14ac:dyDescent="0.3">
      <c r="A291" s="61">
        <v>290</v>
      </c>
      <c r="B291" s="61">
        <v>80</v>
      </c>
      <c r="C291" s="62" t="s">
        <v>801</v>
      </c>
      <c r="D291" s="62" t="s">
        <v>41</v>
      </c>
      <c r="E291" s="62" t="s">
        <v>26</v>
      </c>
      <c r="F291" s="62" t="s">
        <v>354</v>
      </c>
      <c r="G291" s="62" t="s">
        <v>2</v>
      </c>
      <c r="H291" s="63">
        <v>0</v>
      </c>
      <c r="I291" s="61" t="s">
        <v>181</v>
      </c>
      <c r="J291" s="62">
        <v>1</v>
      </c>
      <c r="K291" s="62">
        <v>0</v>
      </c>
      <c r="L291" s="62">
        <v>30</v>
      </c>
      <c r="M291" s="62">
        <v>1</v>
      </c>
      <c r="N291" s="62">
        <v>0</v>
      </c>
      <c r="O291" s="62">
        <v>2</v>
      </c>
      <c r="P291" s="62" t="s">
        <v>355</v>
      </c>
      <c r="Q291" s="64">
        <v>11.25</v>
      </c>
      <c r="R291" s="65">
        <f>11/(13+11)</f>
        <v>0.45833333333333331</v>
      </c>
      <c r="S291" s="66">
        <v>0.24</v>
      </c>
      <c r="T291" s="66">
        <f>0.04*SQRT(24)</f>
        <v>0.19595917942265423</v>
      </c>
      <c r="U291" s="66">
        <v>0.42</v>
      </c>
      <c r="V291" s="66">
        <f>0.04*SQRT(24)</f>
        <v>0.19595917942265423</v>
      </c>
      <c r="W291" s="62">
        <v>24</v>
      </c>
      <c r="X291" s="62">
        <v>0</v>
      </c>
      <c r="Y291" s="62">
        <v>0</v>
      </c>
      <c r="Z291" s="62" t="s">
        <v>356</v>
      </c>
      <c r="AA291" s="62"/>
      <c r="AB291" s="62" t="s">
        <v>17</v>
      </c>
      <c r="AC291" s="62" t="s">
        <v>17</v>
      </c>
      <c r="AD291" s="61" t="s">
        <v>17</v>
      </c>
      <c r="AF291" s="4" t="s">
        <v>724</v>
      </c>
    </row>
    <row r="292" spans="1:38" ht="12.75" customHeight="1" x14ac:dyDescent="0.3">
      <c r="A292" s="61">
        <v>291</v>
      </c>
      <c r="B292" s="61">
        <v>80</v>
      </c>
      <c r="C292" s="62" t="s">
        <v>801</v>
      </c>
      <c r="D292" s="62" t="s">
        <v>41</v>
      </c>
      <c r="E292" s="62" t="s">
        <v>26</v>
      </c>
      <c r="F292" s="62" t="s">
        <v>354</v>
      </c>
      <c r="G292" s="62" t="s">
        <v>2</v>
      </c>
      <c r="H292" s="63">
        <v>0</v>
      </c>
      <c r="I292" s="62" t="s">
        <v>182</v>
      </c>
      <c r="J292" s="62">
        <v>1</v>
      </c>
      <c r="K292" s="62">
        <v>0</v>
      </c>
      <c r="L292" s="62">
        <v>30</v>
      </c>
      <c r="M292" s="62">
        <v>1</v>
      </c>
      <c r="N292" s="62">
        <v>0</v>
      </c>
      <c r="O292" s="62">
        <v>2</v>
      </c>
      <c r="P292" s="62" t="s">
        <v>355</v>
      </c>
      <c r="Q292" s="64">
        <v>11.25</v>
      </c>
      <c r="R292" s="65">
        <f>11/(13+11)</f>
        <v>0.45833333333333331</v>
      </c>
      <c r="S292" s="66">
        <v>0.2</v>
      </c>
      <c r="T292" s="66">
        <f>0.04*SQRT(24)</f>
        <v>0.19595917942265423</v>
      </c>
      <c r="U292" s="66">
        <v>0.27</v>
      </c>
      <c r="V292" s="66">
        <f>0.04*SQRT(24)</f>
        <v>0.19595917942265423</v>
      </c>
      <c r="W292" s="62">
        <v>24</v>
      </c>
      <c r="X292" s="62">
        <v>0</v>
      </c>
      <c r="Y292" s="62">
        <v>0</v>
      </c>
      <c r="Z292" s="62" t="s">
        <v>356</v>
      </c>
      <c r="AA292" s="62"/>
      <c r="AB292" s="62" t="s">
        <v>17</v>
      </c>
      <c r="AC292" s="62" t="s">
        <v>17</v>
      </c>
      <c r="AD292" s="61" t="s">
        <v>17</v>
      </c>
      <c r="AF292" s="4" t="s">
        <v>724</v>
      </c>
      <c r="AJ292" s="67"/>
      <c r="AK292" s="67"/>
      <c r="AL292" s="67"/>
    </row>
    <row r="293" spans="1:38" ht="12.75" customHeight="1" x14ac:dyDescent="0.3">
      <c r="A293" s="61">
        <v>292</v>
      </c>
      <c r="B293" s="61">
        <v>81</v>
      </c>
      <c r="C293" s="62" t="s">
        <v>743</v>
      </c>
      <c r="D293" s="62" t="s">
        <v>357</v>
      </c>
      <c r="E293" s="62" t="s">
        <v>26</v>
      </c>
      <c r="F293" s="62" t="s">
        <v>161</v>
      </c>
      <c r="G293" s="62" t="s">
        <v>2</v>
      </c>
      <c r="H293" s="63">
        <v>1</v>
      </c>
      <c r="I293" s="62" t="s">
        <v>358</v>
      </c>
      <c r="J293" s="62">
        <v>1</v>
      </c>
      <c r="K293" s="62">
        <v>0</v>
      </c>
      <c r="L293" s="62" t="s">
        <v>28</v>
      </c>
      <c r="M293" s="62" t="s">
        <v>28</v>
      </c>
      <c r="N293" s="62" t="s">
        <v>28</v>
      </c>
      <c r="O293" s="62" t="s">
        <v>28</v>
      </c>
      <c r="P293" s="62" t="s">
        <v>359</v>
      </c>
      <c r="Q293" s="64">
        <v>8.5</v>
      </c>
      <c r="R293" s="65">
        <f>(60-29)/60</f>
        <v>0.51666666666666672</v>
      </c>
      <c r="S293" s="66">
        <v>60.71</v>
      </c>
      <c r="T293" s="66">
        <v>21.92</v>
      </c>
      <c r="U293" s="66">
        <v>72.62</v>
      </c>
      <c r="V293" s="66">
        <v>12.37</v>
      </c>
      <c r="W293" s="62">
        <v>16</v>
      </c>
      <c r="X293" s="62">
        <v>0</v>
      </c>
      <c r="Y293" s="62">
        <v>0</v>
      </c>
      <c r="Z293" s="62" t="s">
        <v>360</v>
      </c>
      <c r="AA293" s="62" t="s">
        <v>1360</v>
      </c>
      <c r="AB293" s="62" t="s">
        <v>17</v>
      </c>
      <c r="AC293" s="62" t="s">
        <v>17</v>
      </c>
      <c r="AD293" s="61" t="s">
        <v>17</v>
      </c>
      <c r="AF293" s="4" t="s">
        <v>658</v>
      </c>
      <c r="AJ293" s="67"/>
      <c r="AK293" s="67"/>
      <c r="AL293" s="67"/>
    </row>
    <row r="294" spans="1:38" ht="12.75" customHeight="1" x14ac:dyDescent="0.3">
      <c r="A294" s="61">
        <v>293</v>
      </c>
      <c r="B294" s="61">
        <v>81</v>
      </c>
      <c r="C294" s="62" t="s">
        <v>743</v>
      </c>
      <c r="D294" s="62" t="s">
        <v>357</v>
      </c>
      <c r="E294" s="62" t="s">
        <v>26</v>
      </c>
      <c r="F294" s="62" t="s">
        <v>161</v>
      </c>
      <c r="G294" s="62" t="s">
        <v>2</v>
      </c>
      <c r="H294" s="63">
        <v>1</v>
      </c>
      <c r="I294" s="62" t="s">
        <v>361</v>
      </c>
      <c r="J294" s="62">
        <v>1</v>
      </c>
      <c r="K294" s="62">
        <v>0</v>
      </c>
      <c r="L294" s="62" t="s">
        <v>28</v>
      </c>
      <c r="M294" s="62" t="s">
        <v>28</v>
      </c>
      <c r="N294" s="62" t="s">
        <v>28</v>
      </c>
      <c r="O294" s="62" t="s">
        <v>28</v>
      </c>
      <c r="P294" s="62" t="s">
        <v>359</v>
      </c>
      <c r="Q294" s="64">
        <v>8.5</v>
      </c>
      <c r="R294" s="65">
        <f>(60-29)/60</f>
        <v>0.51666666666666672</v>
      </c>
      <c r="S294" s="66">
        <v>58.33</v>
      </c>
      <c r="T294" s="66">
        <v>21.25</v>
      </c>
      <c r="U294" s="66">
        <v>72.22</v>
      </c>
      <c r="V294" s="66">
        <v>21.61</v>
      </c>
      <c r="W294" s="62">
        <v>14</v>
      </c>
      <c r="X294" s="62">
        <v>0</v>
      </c>
      <c r="Y294" s="62">
        <v>0</v>
      </c>
      <c r="Z294" s="62" t="s">
        <v>360</v>
      </c>
      <c r="AA294" s="62"/>
      <c r="AB294" s="62" t="s">
        <v>17</v>
      </c>
      <c r="AC294" s="62" t="s">
        <v>17</v>
      </c>
      <c r="AD294" s="61" t="s">
        <v>17</v>
      </c>
      <c r="AF294" s="4" t="s">
        <v>658</v>
      </c>
      <c r="AJ294" s="67"/>
      <c r="AK294" s="67"/>
      <c r="AL294" s="67"/>
    </row>
    <row r="295" spans="1:38" ht="12.75" customHeight="1" x14ac:dyDescent="0.3">
      <c r="A295" s="61">
        <v>294</v>
      </c>
      <c r="B295" s="61">
        <v>81</v>
      </c>
      <c r="C295" s="62" t="s">
        <v>743</v>
      </c>
      <c r="D295" s="62" t="s">
        <v>357</v>
      </c>
      <c r="E295" s="62" t="s">
        <v>26</v>
      </c>
      <c r="F295" s="62" t="s">
        <v>161</v>
      </c>
      <c r="G295" s="62" t="s">
        <v>2</v>
      </c>
      <c r="H295" s="63">
        <v>1</v>
      </c>
      <c r="I295" s="62" t="s">
        <v>362</v>
      </c>
      <c r="J295" s="62">
        <v>1</v>
      </c>
      <c r="K295" s="62">
        <v>0</v>
      </c>
      <c r="L295" s="62" t="s">
        <v>28</v>
      </c>
      <c r="M295" s="62" t="s">
        <v>28</v>
      </c>
      <c r="N295" s="62" t="s">
        <v>28</v>
      </c>
      <c r="O295" s="62" t="s">
        <v>28</v>
      </c>
      <c r="P295" s="62" t="s">
        <v>359</v>
      </c>
      <c r="Q295" s="64">
        <v>8.5</v>
      </c>
      <c r="R295" s="65">
        <f>(60-29)/60</f>
        <v>0.51666666666666672</v>
      </c>
      <c r="S295" s="66">
        <v>55.88</v>
      </c>
      <c r="T295" s="66">
        <v>21.34</v>
      </c>
      <c r="U295" s="66">
        <v>67.650000000000006</v>
      </c>
      <c r="V295" s="66">
        <v>20.190000000000001</v>
      </c>
      <c r="W295" s="62">
        <v>17</v>
      </c>
      <c r="X295" s="62">
        <v>0</v>
      </c>
      <c r="Y295" s="62">
        <v>0</v>
      </c>
      <c r="Z295" s="62" t="s">
        <v>360</v>
      </c>
      <c r="AA295" s="62"/>
      <c r="AB295" s="62" t="s">
        <v>17</v>
      </c>
      <c r="AC295" s="62" t="s">
        <v>17</v>
      </c>
      <c r="AD295" s="61" t="s">
        <v>17</v>
      </c>
      <c r="AF295" s="4" t="s">
        <v>658</v>
      </c>
      <c r="AJ295" s="67"/>
      <c r="AK295" s="67"/>
      <c r="AL295" s="67"/>
    </row>
    <row r="296" spans="1:38" ht="12.75" customHeight="1" x14ac:dyDescent="0.3">
      <c r="A296" s="61">
        <v>295</v>
      </c>
      <c r="B296" s="61">
        <v>82</v>
      </c>
      <c r="C296" s="61" t="s">
        <v>817</v>
      </c>
      <c r="D296" s="62" t="s">
        <v>41</v>
      </c>
      <c r="E296" s="62" t="s">
        <v>26</v>
      </c>
      <c r="F296" s="62" t="s">
        <v>363</v>
      </c>
      <c r="G296" s="62" t="s">
        <v>2</v>
      </c>
      <c r="H296" s="63">
        <v>0</v>
      </c>
      <c r="I296" s="61" t="s">
        <v>364</v>
      </c>
      <c r="J296" s="62">
        <v>1</v>
      </c>
      <c r="K296" s="62">
        <v>0</v>
      </c>
      <c r="L296" s="62">
        <f>5*15</f>
        <v>75</v>
      </c>
      <c r="M296" s="62">
        <v>5</v>
      </c>
      <c r="N296" s="62" t="s">
        <v>28</v>
      </c>
      <c r="O296" s="62">
        <v>1</v>
      </c>
      <c r="P296" s="62" t="s">
        <v>365</v>
      </c>
      <c r="Q296" s="64">
        <v>9.2899999999999991</v>
      </c>
      <c r="R296" s="65">
        <f>6/14</f>
        <v>0.42857142857142855</v>
      </c>
      <c r="S296" s="66">
        <v>0.3</v>
      </c>
      <c r="T296" s="66">
        <v>0.36</v>
      </c>
      <c r="U296" s="66">
        <v>0.53</v>
      </c>
      <c r="V296" s="66">
        <v>0.3</v>
      </c>
      <c r="W296" s="62">
        <v>14</v>
      </c>
      <c r="X296" s="62">
        <v>0</v>
      </c>
      <c r="Y296" s="62">
        <v>0</v>
      </c>
      <c r="Z296" s="62" t="s">
        <v>366</v>
      </c>
      <c r="AA296" s="62" t="s">
        <v>367</v>
      </c>
      <c r="AB296" s="62" t="s">
        <v>17</v>
      </c>
      <c r="AC296" s="62" t="s">
        <v>17</v>
      </c>
      <c r="AD296" s="61" t="s">
        <v>45</v>
      </c>
      <c r="AF296" s="4" t="s">
        <v>659</v>
      </c>
      <c r="AJ296" s="67"/>
      <c r="AK296" s="67"/>
      <c r="AL296" s="67"/>
    </row>
    <row r="297" spans="1:38" ht="12.75" customHeight="1" x14ac:dyDescent="0.3">
      <c r="A297" s="61">
        <v>296</v>
      </c>
      <c r="B297" s="61">
        <v>82</v>
      </c>
      <c r="C297" s="61" t="s">
        <v>817</v>
      </c>
      <c r="D297" s="62" t="s">
        <v>41</v>
      </c>
      <c r="E297" s="62" t="s">
        <v>26</v>
      </c>
      <c r="F297" s="62" t="s">
        <v>363</v>
      </c>
      <c r="G297" s="62" t="s">
        <v>2</v>
      </c>
      <c r="H297" s="63">
        <v>0</v>
      </c>
      <c r="I297" s="62" t="s">
        <v>169</v>
      </c>
      <c r="J297" s="62">
        <v>1</v>
      </c>
      <c r="K297" s="62">
        <v>0</v>
      </c>
      <c r="L297" s="62">
        <f>5*15</f>
        <v>75</v>
      </c>
      <c r="M297" s="62">
        <v>5</v>
      </c>
      <c r="N297" s="62" t="s">
        <v>28</v>
      </c>
      <c r="O297" s="62">
        <v>1</v>
      </c>
      <c r="P297" s="62" t="s">
        <v>365</v>
      </c>
      <c r="Q297" s="64">
        <v>9.2100000000000009</v>
      </c>
      <c r="R297" s="65">
        <f>6/14</f>
        <v>0.42857142857142855</v>
      </c>
      <c r="S297" s="66">
        <v>0.44</v>
      </c>
      <c r="T297" s="66">
        <v>0.31</v>
      </c>
      <c r="U297" s="66">
        <v>0.54</v>
      </c>
      <c r="V297" s="66">
        <v>0.28000000000000003</v>
      </c>
      <c r="W297" s="62">
        <v>14</v>
      </c>
      <c r="X297" s="62">
        <v>0</v>
      </c>
      <c r="Y297" s="62">
        <v>0</v>
      </c>
      <c r="Z297" s="62" t="s">
        <v>366</v>
      </c>
      <c r="AA297" s="62"/>
      <c r="AB297" s="62" t="s">
        <v>17</v>
      </c>
      <c r="AC297" s="62" t="s">
        <v>17</v>
      </c>
      <c r="AD297" s="61" t="s">
        <v>45</v>
      </c>
      <c r="AF297" s="4" t="s">
        <v>659</v>
      </c>
      <c r="AJ297" s="67"/>
      <c r="AK297" s="67"/>
      <c r="AL297" s="67"/>
    </row>
    <row r="298" spans="1:38" ht="12.75" customHeight="1" x14ac:dyDescent="0.3">
      <c r="A298" s="61">
        <v>297</v>
      </c>
      <c r="B298" s="61">
        <v>83</v>
      </c>
      <c r="C298" s="61" t="s">
        <v>753</v>
      </c>
      <c r="D298" s="62" t="s">
        <v>31</v>
      </c>
      <c r="E298" s="62" t="s">
        <v>26</v>
      </c>
      <c r="F298" s="62" t="s">
        <v>85</v>
      </c>
      <c r="G298" s="62" t="s">
        <v>2</v>
      </c>
      <c r="H298" s="63">
        <v>1</v>
      </c>
      <c r="I298" s="62"/>
      <c r="J298" s="62">
        <v>1</v>
      </c>
      <c r="K298" s="62">
        <v>0</v>
      </c>
      <c r="L298" s="62">
        <f>48*4</f>
        <v>192</v>
      </c>
      <c r="M298" s="62">
        <v>3</v>
      </c>
      <c r="N298" s="62">
        <v>7</v>
      </c>
      <c r="O298" s="62">
        <v>1</v>
      </c>
      <c r="P298" s="62" t="s">
        <v>368</v>
      </c>
      <c r="Q298" s="64">
        <f>AVERAGE(9,10,13)</f>
        <v>10.666666666666666</v>
      </c>
      <c r="R298" s="65">
        <f>1/3</f>
        <v>0.33333333333333331</v>
      </c>
      <c r="S298" s="66">
        <f>AVERAGE(8,7,9)</f>
        <v>8</v>
      </c>
      <c r="T298" s="66">
        <f>STDEV(8,7,9)</f>
        <v>1</v>
      </c>
      <c r="U298" s="66">
        <f>AVERAGE(8,8,10)</f>
        <v>8.6666666666666661</v>
      </c>
      <c r="V298" s="66">
        <f>STDEV(8,8,10)</f>
        <v>1.1547005383792495</v>
      </c>
      <c r="W298" s="62">
        <v>3</v>
      </c>
      <c r="X298" s="62">
        <v>0</v>
      </c>
      <c r="Y298" s="62">
        <v>0</v>
      </c>
      <c r="Z298" s="62" t="s">
        <v>66</v>
      </c>
      <c r="AA298" s="62" t="s">
        <v>1331</v>
      </c>
      <c r="AB298" s="62" t="s">
        <v>17</v>
      </c>
      <c r="AC298" s="62" t="s">
        <v>17</v>
      </c>
      <c r="AD298" s="61" t="s">
        <v>45</v>
      </c>
      <c r="AF298" s="4" t="s">
        <v>660</v>
      </c>
      <c r="AJ298" s="67"/>
      <c r="AK298" s="67"/>
      <c r="AL298" s="67"/>
    </row>
    <row r="299" spans="1:38" ht="12.75" customHeight="1" x14ac:dyDescent="0.3">
      <c r="A299" s="61">
        <v>298</v>
      </c>
      <c r="B299" s="61">
        <v>84</v>
      </c>
      <c r="C299" s="61" t="s">
        <v>819</v>
      </c>
      <c r="D299" s="62" t="s">
        <v>25</v>
      </c>
      <c r="E299" s="62" t="s">
        <v>159</v>
      </c>
      <c r="F299" s="62" t="s">
        <v>156</v>
      </c>
      <c r="G299" s="62" t="s">
        <v>2</v>
      </c>
      <c r="H299" s="63">
        <v>1</v>
      </c>
      <c r="I299" s="62"/>
      <c r="J299" s="62">
        <v>1</v>
      </c>
      <c r="K299" s="62">
        <v>0</v>
      </c>
      <c r="L299" s="62">
        <v>45</v>
      </c>
      <c r="M299" s="62">
        <v>1</v>
      </c>
      <c r="N299" s="62">
        <v>0</v>
      </c>
      <c r="O299" s="62">
        <v>1</v>
      </c>
      <c r="P299" s="62" t="s">
        <v>369</v>
      </c>
      <c r="Q299" s="64">
        <f t="shared" ref="Q299:Q306" si="18">94.57/12</f>
        <v>7.8808333333333325</v>
      </c>
      <c r="R299" s="65">
        <f t="shared" ref="R299:R306" si="19">19/37</f>
        <v>0.51351351351351349</v>
      </c>
      <c r="S299" s="66">
        <v>5.24</v>
      </c>
      <c r="T299" s="66">
        <v>1.79</v>
      </c>
      <c r="U299" s="66">
        <v>6.59</v>
      </c>
      <c r="V299" s="66">
        <v>1.18</v>
      </c>
      <c r="W299" s="62">
        <v>19</v>
      </c>
      <c r="X299" s="62">
        <v>0</v>
      </c>
      <c r="Y299" s="62">
        <v>0</v>
      </c>
      <c r="Z299" s="62" t="s">
        <v>66</v>
      </c>
      <c r="AA299" s="62" t="s">
        <v>370</v>
      </c>
      <c r="AB299" s="62" t="s">
        <v>17</v>
      </c>
      <c r="AC299" s="62" t="s">
        <v>17</v>
      </c>
      <c r="AD299" s="61" t="s">
        <v>45</v>
      </c>
      <c r="AF299" s="4" t="s">
        <v>661</v>
      </c>
      <c r="AJ299" s="67"/>
      <c r="AK299" s="67"/>
      <c r="AL299" s="67"/>
    </row>
    <row r="300" spans="1:38" ht="12.75" customHeight="1" x14ac:dyDescent="0.3">
      <c r="A300" s="61">
        <v>299</v>
      </c>
      <c r="B300" s="61">
        <v>84</v>
      </c>
      <c r="C300" s="61" t="s">
        <v>819</v>
      </c>
      <c r="D300" s="62" t="s">
        <v>25</v>
      </c>
      <c r="E300" s="62" t="s">
        <v>159</v>
      </c>
      <c r="F300" s="62" t="s">
        <v>156</v>
      </c>
      <c r="G300" s="62" t="s">
        <v>2</v>
      </c>
      <c r="H300" s="63">
        <v>1</v>
      </c>
      <c r="I300" s="62"/>
      <c r="J300" s="62">
        <v>1</v>
      </c>
      <c r="K300" s="62">
        <v>0</v>
      </c>
      <c r="L300" s="62">
        <v>45</v>
      </c>
      <c r="M300" s="62">
        <v>1</v>
      </c>
      <c r="N300" s="62">
        <v>0</v>
      </c>
      <c r="O300" s="62">
        <v>1</v>
      </c>
      <c r="P300" s="62" t="s">
        <v>371</v>
      </c>
      <c r="Q300" s="64">
        <f t="shared" si="18"/>
        <v>7.8808333333333325</v>
      </c>
      <c r="R300" s="65">
        <f t="shared" si="19"/>
        <v>0.51351351351351349</v>
      </c>
      <c r="S300" s="66">
        <v>500.94</v>
      </c>
      <c r="T300" s="66">
        <v>20.28</v>
      </c>
      <c r="U300" s="66">
        <v>472.12</v>
      </c>
      <c r="V300" s="66">
        <v>18.309999999999999</v>
      </c>
      <c r="W300" s="62">
        <v>19</v>
      </c>
      <c r="X300" s="62">
        <v>1</v>
      </c>
      <c r="Y300" s="62">
        <v>0</v>
      </c>
      <c r="Z300" s="62" t="s">
        <v>66</v>
      </c>
      <c r="AA300" s="62"/>
      <c r="AB300" s="62" t="s">
        <v>17</v>
      </c>
      <c r="AC300" s="62" t="s">
        <v>17</v>
      </c>
      <c r="AD300" s="61" t="s">
        <v>45</v>
      </c>
      <c r="AF300" s="4" t="s">
        <v>661</v>
      </c>
      <c r="AJ300" s="67"/>
      <c r="AK300" s="67"/>
      <c r="AL300" s="67"/>
    </row>
    <row r="301" spans="1:38" ht="12.75" customHeight="1" x14ac:dyDescent="0.3">
      <c r="A301" s="61">
        <v>300</v>
      </c>
      <c r="B301" s="61">
        <v>84</v>
      </c>
      <c r="C301" s="61" t="s">
        <v>819</v>
      </c>
      <c r="D301" s="62" t="s">
        <v>25</v>
      </c>
      <c r="E301" s="62" t="s">
        <v>159</v>
      </c>
      <c r="F301" s="62" t="s">
        <v>156</v>
      </c>
      <c r="G301" s="62" t="s">
        <v>2</v>
      </c>
      <c r="H301" s="63">
        <v>1</v>
      </c>
      <c r="I301" s="62"/>
      <c r="J301" s="62">
        <v>1</v>
      </c>
      <c r="K301" s="62">
        <v>0</v>
      </c>
      <c r="L301" s="62">
        <v>45</v>
      </c>
      <c r="M301" s="62">
        <v>1</v>
      </c>
      <c r="N301" s="62">
        <v>0</v>
      </c>
      <c r="O301" s="62">
        <v>1</v>
      </c>
      <c r="P301" s="61" t="s">
        <v>372</v>
      </c>
      <c r="Q301" s="64">
        <f t="shared" si="18"/>
        <v>7.8808333333333325</v>
      </c>
      <c r="R301" s="65">
        <f t="shared" si="19"/>
        <v>0.51351351351351349</v>
      </c>
      <c r="S301" s="66">
        <v>86.98</v>
      </c>
      <c r="T301" s="66">
        <v>18.489999999999998</v>
      </c>
      <c r="U301" s="66">
        <v>76.91</v>
      </c>
      <c r="V301" s="66">
        <v>18.45</v>
      </c>
      <c r="W301" s="62">
        <v>19</v>
      </c>
      <c r="X301" s="62">
        <v>1</v>
      </c>
      <c r="Y301" s="62">
        <v>0</v>
      </c>
      <c r="Z301" s="62" t="s">
        <v>66</v>
      </c>
      <c r="AA301" s="62"/>
      <c r="AB301" s="62" t="s">
        <v>17</v>
      </c>
      <c r="AC301" s="62" t="s">
        <v>17</v>
      </c>
      <c r="AD301" s="61" t="s">
        <v>45</v>
      </c>
      <c r="AF301" s="4" t="s">
        <v>661</v>
      </c>
      <c r="AJ301" s="67"/>
      <c r="AK301" s="67"/>
      <c r="AL301" s="67"/>
    </row>
    <row r="302" spans="1:38" ht="12.75" customHeight="1" x14ac:dyDescent="0.3">
      <c r="A302" s="61">
        <v>301</v>
      </c>
      <c r="B302" s="61">
        <v>84</v>
      </c>
      <c r="C302" s="61" t="s">
        <v>819</v>
      </c>
      <c r="D302" s="62" t="s">
        <v>25</v>
      </c>
      <c r="E302" s="62" t="s">
        <v>159</v>
      </c>
      <c r="F302" s="62" t="s">
        <v>156</v>
      </c>
      <c r="G302" s="62" t="s">
        <v>2</v>
      </c>
      <c r="H302" s="63">
        <v>1</v>
      </c>
      <c r="I302" s="62"/>
      <c r="J302" s="62">
        <v>1</v>
      </c>
      <c r="K302" s="62">
        <v>0</v>
      </c>
      <c r="L302" s="62">
        <v>45</v>
      </c>
      <c r="M302" s="62">
        <v>1</v>
      </c>
      <c r="N302" s="62">
        <v>0</v>
      </c>
      <c r="O302" s="62">
        <v>1</v>
      </c>
      <c r="P302" s="62" t="s">
        <v>373</v>
      </c>
      <c r="Q302" s="64">
        <f t="shared" si="18"/>
        <v>7.8808333333333325</v>
      </c>
      <c r="R302" s="65">
        <f t="shared" si="19"/>
        <v>0.51351351351351349</v>
      </c>
      <c r="S302" s="66">
        <v>13.12</v>
      </c>
      <c r="T302" s="66">
        <v>2.67</v>
      </c>
      <c r="U302" s="66">
        <v>14.68</v>
      </c>
      <c r="V302" s="66">
        <v>5.32</v>
      </c>
      <c r="W302" s="62">
        <v>19</v>
      </c>
      <c r="X302" s="62">
        <v>1</v>
      </c>
      <c r="Y302" s="62">
        <v>0</v>
      </c>
      <c r="Z302" s="62" t="s">
        <v>66</v>
      </c>
      <c r="AA302" s="62"/>
      <c r="AB302" s="62" t="s">
        <v>17</v>
      </c>
      <c r="AC302" s="62" t="s">
        <v>17</v>
      </c>
      <c r="AD302" s="61" t="s">
        <v>45</v>
      </c>
      <c r="AF302" s="4" t="s">
        <v>661</v>
      </c>
      <c r="AJ302" s="67"/>
      <c r="AK302" s="67"/>
      <c r="AL302" s="67"/>
    </row>
    <row r="303" spans="1:38" ht="12.75" customHeight="1" x14ac:dyDescent="0.3">
      <c r="A303" s="61">
        <v>302</v>
      </c>
      <c r="B303" s="61">
        <v>84</v>
      </c>
      <c r="C303" s="61" t="s">
        <v>819</v>
      </c>
      <c r="D303" s="62" t="s">
        <v>25</v>
      </c>
      <c r="E303" s="62" t="s">
        <v>32</v>
      </c>
      <c r="F303" s="62" t="s">
        <v>156</v>
      </c>
      <c r="G303" s="62" t="s">
        <v>99</v>
      </c>
      <c r="H303" s="63">
        <v>1</v>
      </c>
      <c r="I303" s="62"/>
      <c r="J303" s="62">
        <v>1</v>
      </c>
      <c r="K303" s="62">
        <v>0</v>
      </c>
      <c r="L303" s="62">
        <v>45</v>
      </c>
      <c r="M303" s="62">
        <v>1</v>
      </c>
      <c r="N303" s="62">
        <v>0</v>
      </c>
      <c r="O303" s="62">
        <v>1</v>
      </c>
      <c r="P303" s="62" t="s">
        <v>369</v>
      </c>
      <c r="Q303" s="64">
        <f t="shared" si="18"/>
        <v>7.8808333333333325</v>
      </c>
      <c r="R303" s="65">
        <f t="shared" si="19"/>
        <v>0.51351351351351349</v>
      </c>
      <c r="S303" s="66">
        <v>5.2</v>
      </c>
      <c r="T303" s="66">
        <v>1.7</v>
      </c>
      <c r="U303" s="66">
        <v>5.3</v>
      </c>
      <c r="V303" s="66">
        <v>1.69</v>
      </c>
      <c r="W303" s="62">
        <v>18</v>
      </c>
      <c r="X303" s="62">
        <v>0</v>
      </c>
      <c r="Y303" s="62">
        <v>0</v>
      </c>
      <c r="Z303" s="62" t="s">
        <v>66</v>
      </c>
      <c r="AA303" s="62"/>
      <c r="AB303" s="62" t="s">
        <v>17</v>
      </c>
      <c r="AC303" s="62" t="s">
        <v>17</v>
      </c>
      <c r="AD303" s="61" t="s">
        <v>45</v>
      </c>
      <c r="AF303" s="4" t="s">
        <v>661</v>
      </c>
      <c r="AJ303" s="67"/>
      <c r="AK303" s="67"/>
      <c r="AL303" s="67"/>
    </row>
    <row r="304" spans="1:38" ht="12.75" customHeight="1" x14ac:dyDescent="0.3">
      <c r="A304" s="61">
        <v>303</v>
      </c>
      <c r="B304" s="61">
        <v>84</v>
      </c>
      <c r="C304" s="61" t="s">
        <v>819</v>
      </c>
      <c r="D304" s="62" t="s">
        <v>25</v>
      </c>
      <c r="E304" s="62" t="s">
        <v>32</v>
      </c>
      <c r="F304" s="62" t="s">
        <v>156</v>
      </c>
      <c r="G304" s="62" t="s">
        <v>99</v>
      </c>
      <c r="H304" s="63">
        <v>1</v>
      </c>
      <c r="I304" s="62"/>
      <c r="J304" s="62">
        <v>1</v>
      </c>
      <c r="K304" s="62">
        <v>0</v>
      </c>
      <c r="L304" s="62">
        <v>45</v>
      </c>
      <c r="M304" s="62">
        <v>1</v>
      </c>
      <c r="N304" s="62">
        <v>0</v>
      </c>
      <c r="O304" s="62">
        <v>1</v>
      </c>
      <c r="P304" s="62" t="s">
        <v>371</v>
      </c>
      <c r="Q304" s="64">
        <f t="shared" si="18"/>
        <v>7.8808333333333325</v>
      </c>
      <c r="R304" s="65">
        <f t="shared" si="19"/>
        <v>0.51351351351351349</v>
      </c>
      <c r="S304" s="66">
        <v>483.95</v>
      </c>
      <c r="T304" s="66">
        <v>21.56</v>
      </c>
      <c r="U304" s="66">
        <v>490.05</v>
      </c>
      <c r="V304" s="66">
        <v>18.920000000000002</v>
      </c>
      <c r="W304" s="62">
        <v>18</v>
      </c>
      <c r="X304" s="62">
        <v>1</v>
      </c>
      <c r="Y304" s="62">
        <v>0</v>
      </c>
      <c r="Z304" s="62" t="s">
        <v>66</v>
      </c>
      <c r="AA304" s="62"/>
      <c r="AB304" s="62" t="s">
        <v>17</v>
      </c>
      <c r="AC304" s="62" t="s">
        <v>17</v>
      </c>
      <c r="AD304" s="61" t="s">
        <v>45</v>
      </c>
      <c r="AF304" s="4" t="s">
        <v>661</v>
      </c>
      <c r="AJ304" s="67"/>
      <c r="AK304" s="67"/>
      <c r="AL304" s="67"/>
    </row>
    <row r="305" spans="1:38" ht="12.75" customHeight="1" x14ac:dyDescent="0.3">
      <c r="A305" s="61">
        <v>304</v>
      </c>
      <c r="B305" s="61">
        <v>84</v>
      </c>
      <c r="C305" s="61" t="s">
        <v>819</v>
      </c>
      <c r="D305" s="62" t="s">
        <v>25</v>
      </c>
      <c r="E305" s="62" t="s">
        <v>32</v>
      </c>
      <c r="F305" s="62" t="s">
        <v>156</v>
      </c>
      <c r="G305" s="62" t="s">
        <v>99</v>
      </c>
      <c r="H305" s="63">
        <v>1</v>
      </c>
      <c r="I305" s="62"/>
      <c r="J305" s="62">
        <v>1</v>
      </c>
      <c r="K305" s="62">
        <v>0</v>
      </c>
      <c r="L305" s="62">
        <v>45</v>
      </c>
      <c r="M305" s="62">
        <v>1</v>
      </c>
      <c r="N305" s="62">
        <v>0</v>
      </c>
      <c r="O305" s="62">
        <v>1</v>
      </c>
      <c r="P305" s="61" t="s">
        <v>372</v>
      </c>
      <c r="Q305" s="64">
        <f t="shared" si="18"/>
        <v>7.8808333333333325</v>
      </c>
      <c r="R305" s="65">
        <f t="shared" si="19"/>
        <v>0.51351351351351349</v>
      </c>
      <c r="S305" s="66">
        <v>101.12</v>
      </c>
      <c r="T305" s="66">
        <v>29.37</v>
      </c>
      <c r="U305" s="66">
        <v>69.33</v>
      </c>
      <c r="V305" s="66">
        <v>12.44</v>
      </c>
      <c r="W305" s="62">
        <v>18</v>
      </c>
      <c r="X305" s="62">
        <v>1</v>
      </c>
      <c r="Y305" s="62">
        <v>0</v>
      </c>
      <c r="Z305" s="62" t="s">
        <v>66</v>
      </c>
      <c r="AA305" s="62"/>
      <c r="AB305" s="62" t="s">
        <v>17</v>
      </c>
      <c r="AC305" s="62" t="s">
        <v>17</v>
      </c>
      <c r="AD305" s="61" t="s">
        <v>45</v>
      </c>
      <c r="AF305" s="4" t="s">
        <v>661</v>
      </c>
      <c r="AJ305" s="67"/>
      <c r="AK305" s="67"/>
      <c r="AL305" s="67"/>
    </row>
    <row r="306" spans="1:38" ht="12.75" customHeight="1" x14ac:dyDescent="0.3">
      <c r="A306" s="61">
        <v>305</v>
      </c>
      <c r="B306" s="61">
        <v>84</v>
      </c>
      <c r="C306" s="61" t="s">
        <v>819</v>
      </c>
      <c r="D306" s="62" t="s">
        <v>25</v>
      </c>
      <c r="E306" s="62" t="s">
        <v>32</v>
      </c>
      <c r="F306" s="62" t="s">
        <v>156</v>
      </c>
      <c r="G306" s="62" t="s">
        <v>99</v>
      </c>
      <c r="H306" s="63">
        <v>1</v>
      </c>
      <c r="I306" s="62"/>
      <c r="J306" s="62">
        <v>1</v>
      </c>
      <c r="K306" s="62">
        <v>0</v>
      </c>
      <c r="L306" s="62">
        <v>45</v>
      </c>
      <c r="M306" s="62">
        <v>1</v>
      </c>
      <c r="N306" s="62">
        <v>0</v>
      </c>
      <c r="O306" s="62">
        <v>1</v>
      </c>
      <c r="P306" s="62" t="s">
        <v>373</v>
      </c>
      <c r="Q306" s="64">
        <f t="shared" si="18"/>
        <v>7.8808333333333325</v>
      </c>
      <c r="R306" s="65">
        <f t="shared" si="19"/>
        <v>0.51351351351351349</v>
      </c>
      <c r="S306" s="66">
        <v>12.84</v>
      </c>
      <c r="T306" s="66">
        <v>3.36</v>
      </c>
      <c r="U306" s="66">
        <v>14.24</v>
      </c>
      <c r="V306" s="66">
        <v>4.49</v>
      </c>
      <c r="W306" s="62">
        <v>18</v>
      </c>
      <c r="X306" s="62">
        <v>1</v>
      </c>
      <c r="Y306" s="62">
        <v>0</v>
      </c>
      <c r="Z306" s="62" t="s">
        <v>66</v>
      </c>
      <c r="AA306" s="62"/>
      <c r="AB306" s="62" t="s">
        <v>17</v>
      </c>
      <c r="AC306" s="62" t="s">
        <v>17</v>
      </c>
      <c r="AD306" s="61" t="s">
        <v>45</v>
      </c>
      <c r="AF306" s="4" t="s">
        <v>661</v>
      </c>
      <c r="AJ306" s="67"/>
      <c r="AK306" s="67"/>
      <c r="AL306" s="67"/>
    </row>
    <row r="307" spans="1:38" ht="12.75" customHeight="1" x14ac:dyDescent="0.3">
      <c r="A307" s="61">
        <v>306</v>
      </c>
      <c r="B307" s="61">
        <v>85</v>
      </c>
      <c r="C307" s="61" t="s">
        <v>582</v>
      </c>
      <c r="D307" s="62" t="s">
        <v>41</v>
      </c>
      <c r="E307" s="62" t="s">
        <v>89</v>
      </c>
      <c r="F307" s="62" t="s">
        <v>42</v>
      </c>
      <c r="G307" s="62" t="s">
        <v>2</v>
      </c>
      <c r="H307" s="63">
        <v>0</v>
      </c>
      <c r="I307" s="62" t="s">
        <v>119</v>
      </c>
      <c r="J307" s="62">
        <v>1</v>
      </c>
      <c r="K307" s="62">
        <v>0</v>
      </c>
      <c r="L307" s="62">
        <v>60</v>
      </c>
      <c r="M307" s="62">
        <v>2</v>
      </c>
      <c r="N307" s="62">
        <v>0</v>
      </c>
      <c r="O307" s="62">
        <v>1</v>
      </c>
      <c r="P307" s="62" t="s">
        <v>374</v>
      </c>
      <c r="Q307" s="64">
        <v>6</v>
      </c>
      <c r="R307" s="65">
        <f>(1-0.5789)</f>
        <v>0.42110000000000003</v>
      </c>
      <c r="S307" s="66">
        <v>2.68</v>
      </c>
      <c r="T307" s="66">
        <v>1.38</v>
      </c>
      <c r="U307" s="66">
        <v>4.63</v>
      </c>
      <c r="V307" s="66">
        <v>1.74</v>
      </c>
      <c r="W307" s="62">
        <v>19</v>
      </c>
      <c r="X307" s="62">
        <v>0</v>
      </c>
      <c r="Y307" s="62">
        <v>0</v>
      </c>
      <c r="Z307" s="62" t="s">
        <v>66</v>
      </c>
      <c r="AA307" s="62" t="s">
        <v>375</v>
      </c>
      <c r="AB307" s="62" t="s">
        <v>17</v>
      </c>
      <c r="AC307" s="62" t="s">
        <v>17</v>
      </c>
      <c r="AD307" s="61" t="s">
        <v>45</v>
      </c>
      <c r="AF307" s="4" t="s">
        <v>662</v>
      </c>
      <c r="AJ307" s="67"/>
      <c r="AK307" s="67"/>
      <c r="AL307" s="67"/>
    </row>
    <row r="308" spans="1:38" ht="12.75" customHeight="1" x14ac:dyDescent="0.3">
      <c r="A308" s="61">
        <v>307</v>
      </c>
      <c r="B308" s="61">
        <v>85</v>
      </c>
      <c r="C308" s="61" t="s">
        <v>582</v>
      </c>
      <c r="D308" s="62" t="s">
        <v>41</v>
      </c>
      <c r="E308" s="62" t="s">
        <v>89</v>
      </c>
      <c r="F308" s="62" t="s">
        <v>42</v>
      </c>
      <c r="G308" s="62" t="s">
        <v>2</v>
      </c>
      <c r="H308" s="63">
        <v>0</v>
      </c>
      <c r="I308" s="62" t="s">
        <v>122</v>
      </c>
      <c r="J308" s="62">
        <v>1</v>
      </c>
      <c r="K308" s="62">
        <v>0</v>
      </c>
      <c r="L308" s="62">
        <v>60</v>
      </c>
      <c r="M308" s="62">
        <v>2</v>
      </c>
      <c r="N308" s="62">
        <v>0</v>
      </c>
      <c r="O308" s="62">
        <v>1</v>
      </c>
      <c r="P308" s="62" t="s">
        <v>374</v>
      </c>
      <c r="Q308" s="64">
        <v>5.85</v>
      </c>
      <c r="R308" s="65">
        <f>1-0.619</f>
        <v>0.38100000000000001</v>
      </c>
      <c r="S308" s="66">
        <v>2.4300000000000002</v>
      </c>
      <c r="T308" s="66">
        <v>1.43</v>
      </c>
      <c r="U308" s="66">
        <v>6</v>
      </c>
      <c r="V308" s="66">
        <v>2.0699999999999998</v>
      </c>
      <c r="W308" s="62">
        <v>21</v>
      </c>
      <c r="X308" s="62">
        <v>0</v>
      </c>
      <c r="Y308" s="62">
        <v>0</v>
      </c>
      <c r="Z308" s="62" t="s">
        <v>66</v>
      </c>
      <c r="AA308" s="62"/>
      <c r="AB308" s="62" t="s">
        <v>17</v>
      </c>
      <c r="AC308" s="62" t="s">
        <v>17</v>
      </c>
      <c r="AD308" s="61" t="s">
        <v>45</v>
      </c>
      <c r="AF308" s="4" t="s">
        <v>662</v>
      </c>
      <c r="AJ308" s="67"/>
      <c r="AK308" s="67"/>
      <c r="AL308" s="67"/>
    </row>
    <row r="309" spans="1:38" ht="12.75" customHeight="1" x14ac:dyDescent="0.3">
      <c r="A309" s="61">
        <v>308</v>
      </c>
      <c r="B309" s="61">
        <v>86</v>
      </c>
      <c r="C309" s="61" t="s">
        <v>735</v>
      </c>
      <c r="D309" s="62" t="s">
        <v>62</v>
      </c>
      <c r="E309" s="62" t="s">
        <v>376</v>
      </c>
      <c r="F309" s="62" t="s">
        <v>377</v>
      </c>
      <c r="G309" s="62" t="s">
        <v>2</v>
      </c>
      <c r="H309" s="63">
        <v>0</v>
      </c>
      <c r="I309" s="62" t="s">
        <v>690</v>
      </c>
      <c r="J309" s="62" t="s">
        <v>51</v>
      </c>
      <c r="K309" s="62">
        <v>1</v>
      </c>
      <c r="L309" s="62">
        <v>90</v>
      </c>
      <c r="M309" s="62" t="s">
        <v>28</v>
      </c>
      <c r="N309" s="62" t="s">
        <v>28</v>
      </c>
      <c r="O309" s="62">
        <v>1</v>
      </c>
      <c r="P309" s="62" t="s">
        <v>378</v>
      </c>
      <c r="Q309" s="64">
        <v>15</v>
      </c>
      <c r="R309" s="65">
        <f>25/39</f>
        <v>0.64102564102564108</v>
      </c>
      <c r="S309" s="66">
        <v>46.34</v>
      </c>
      <c r="T309" s="66">
        <v>15.58</v>
      </c>
      <c r="U309" s="66">
        <v>79.180000000000007</v>
      </c>
      <c r="V309" s="66">
        <v>18.14</v>
      </c>
      <c r="W309" s="62">
        <v>39</v>
      </c>
      <c r="X309" s="62">
        <v>0</v>
      </c>
      <c r="Y309" s="62">
        <v>0</v>
      </c>
      <c r="Z309" s="62" t="s">
        <v>379</v>
      </c>
      <c r="AA309" s="62"/>
      <c r="AB309" s="62" t="s">
        <v>17</v>
      </c>
      <c r="AC309" s="62" t="s">
        <v>17</v>
      </c>
      <c r="AD309" s="61" t="s">
        <v>17</v>
      </c>
      <c r="AF309" s="4" t="s">
        <v>663</v>
      </c>
      <c r="AJ309" s="67"/>
      <c r="AK309" s="67"/>
      <c r="AL309" s="67"/>
    </row>
    <row r="310" spans="1:38" ht="12.75" customHeight="1" x14ac:dyDescent="0.3">
      <c r="A310" s="61">
        <v>309</v>
      </c>
      <c r="B310" s="61">
        <v>86</v>
      </c>
      <c r="C310" s="61" t="s">
        <v>735</v>
      </c>
      <c r="D310" s="62" t="s">
        <v>62</v>
      </c>
      <c r="E310" s="62" t="s">
        <v>32</v>
      </c>
      <c r="F310" s="62" t="s">
        <v>377</v>
      </c>
      <c r="G310" s="62" t="s">
        <v>2</v>
      </c>
      <c r="H310" s="63">
        <v>0</v>
      </c>
      <c r="I310" s="62" t="s">
        <v>691</v>
      </c>
      <c r="J310" s="62" t="s">
        <v>51</v>
      </c>
      <c r="K310" s="62">
        <v>1</v>
      </c>
      <c r="L310" s="62">
        <v>90</v>
      </c>
      <c r="M310" s="62" t="s">
        <v>28</v>
      </c>
      <c r="N310" s="62" t="s">
        <v>28</v>
      </c>
      <c r="O310" s="62">
        <v>1</v>
      </c>
      <c r="P310" s="62" t="s">
        <v>378</v>
      </c>
      <c r="Q310" s="64">
        <v>15</v>
      </c>
      <c r="R310" s="65">
        <f>18/31</f>
        <v>0.58064516129032262</v>
      </c>
      <c r="S310" s="66">
        <v>48.62</v>
      </c>
      <c r="T310" s="66">
        <v>11.73</v>
      </c>
      <c r="U310" s="66">
        <v>66.05</v>
      </c>
      <c r="V310" s="66">
        <v>19.440000000000001</v>
      </c>
      <c r="W310" s="62">
        <v>31</v>
      </c>
      <c r="X310" s="62">
        <v>0</v>
      </c>
      <c r="Y310" s="62">
        <v>0</v>
      </c>
      <c r="Z310" s="62" t="s">
        <v>379</v>
      </c>
      <c r="AA310" s="62"/>
      <c r="AB310" s="62" t="s">
        <v>17</v>
      </c>
      <c r="AC310" s="62" t="s">
        <v>17</v>
      </c>
      <c r="AD310" s="61" t="s">
        <v>17</v>
      </c>
      <c r="AF310" s="4" t="s">
        <v>663</v>
      </c>
      <c r="AJ310" s="67"/>
      <c r="AK310" s="67"/>
      <c r="AL310" s="67"/>
    </row>
    <row r="311" spans="1:38" ht="12.75" customHeight="1" x14ac:dyDescent="0.3">
      <c r="A311" s="61">
        <v>310</v>
      </c>
      <c r="B311" s="61">
        <v>86</v>
      </c>
      <c r="C311" s="61" t="s">
        <v>735</v>
      </c>
      <c r="D311" s="62" t="s">
        <v>62</v>
      </c>
      <c r="E311" s="62" t="s">
        <v>32</v>
      </c>
      <c r="F311" s="62" t="s">
        <v>377</v>
      </c>
      <c r="G311" s="62" t="s">
        <v>2</v>
      </c>
      <c r="H311" s="63">
        <v>0</v>
      </c>
      <c r="I311" s="62" t="s">
        <v>692</v>
      </c>
      <c r="J311" s="62" t="s">
        <v>51</v>
      </c>
      <c r="K311" s="62">
        <v>1</v>
      </c>
      <c r="L311" s="62">
        <v>90</v>
      </c>
      <c r="M311" s="62" t="s">
        <v>28</v>
      </c>
      <c r="N311" s="62" t="s">
        <v>28</v>
      </c>
      <c r="O311" s="62">
        <v>1</v>
      </c>
      <c r="P311" s="62" t="s">
        <v>378</v>
      </c>
      <c r="Q311" s="64">
        <v>15</v>
      </c>
      <c r="R311" s="65">
        <f>20/31</f>
        <v>0.64516129032258063</v>
      </c>
      <c r="S311" s="66">
        <v>45.45</v>
      </c>
      <c r="T311" s="66">
        <v>17.170000000000002</v>
      </c>
      <c r="U311" s="66">
        <v>71.36</v>
      </c>
      <c r="V311" s="66">
        <v>17.62</v>
      </c>
      <c r="W311" s="62">
        <v>31</v>
      </c>
      <c r="X311" s="62">
        <v>0</v>
      </c>
      <c r="Y311" s="62">
        <v>0</v>
      </c>
      <c r="Z311" s="62" t="s">
        <v>379</v>
      </c>
      <c r="AA311" s="62"/>
      <c r="AB311" s="62" t="s">
        <v>17</v>
      </c>
      <c r="AC311" s="62" t="s">
        <v>17</v>
      </c>
      <c r="AD311" s="61" t="s">
        <v>17</v>
      </c>
      <c r="AF311" s="4" t="s">
        <v>663</v>
      </c>
    </row>
    <row r="312" spans="1:38" ht="12.75" customHeight="1" x14ac:dyDescent="0.3">
      <c r="A312" s="61">
        <v>311</v>
      </c>
      <c r="B312" s="61">
        <v>87</v>
      </c>
      <c r="C312" s="61" t="s">
        <v>763</v>
      </c>
      <c r="D312" s="62" t="s">
        <v>38</v>
      </c>
      <c r="E312" s="62" t="s">
        <v>380</v>
      </c>
      <c r="F312" s="62" t="s">
        <v>381</v>
      </c>
      <c r="G312" s="62" t="s">
        <v>2</v>
      </c>
      <c r="H312" s="63">
        <v>1</v>
      </c>
      <c r="I312" s="62" t="s">
        <v>382</v>
      </c>
      <c r="J312" s="62">
        <v>1</v>
      </c>
      <c r="K312" s="62">
        <v>0</v>
      </c>
      <c r="L312" s="62">
        <v>10</v>
      </c>
      <c r="M312" s="62">
        <v>1</v>
      </c>
      <c r="N312" s="62">
        <v>0</v>
      </c>
      <c r="O312" s="62">
        <v>1</v>
      </c>
      <c r="P312" s="62" t="s">
        <v>383</v>
      </c>
      <c r="Q312" s="64">
        <v>7.58</v>
      </c>
      <c r="R312" s="65">
        <f t="shared" ref="R312:R319" si="20">15/32</f>
        <v>0.46875</v>
      </c>
      <c r="S312" s="66">
        <v>86.46875</v>
      </c>
      <c r="T312" s="66">
        <v>84.074845449999998</v>
      </c>
      <c r="U312" s="66">
        <v>110.375</v>
      </c>
      <c r="V312" s="66">
        <v>109.93627189999999</v>
      </c>
      <c r="W312" s="62">
        <v>32</v>
      </c>
      <c r="X312" s="62">
        <v>0</v>
      </c>
      <c r="Y312" s="62">
        <v>0</v>
      </c>
      <c r="Z312" s="62" t="s">
        <v>1353</v>
      </c>
      <c r="AA312" s="61"/>
      <c r="AB312" s="62" t="s">
        <v>17</v>
      </c>
      <c r="AC312" s="62" t="s">
        <v>17</v>
      </c>
      <c r="AD312" s="61" t="s">
        <v>17</v>
      </c>
      <c r="AF312" s="4" t="s">
        <v>664</v>
      </c>
    </row>
    <row r="313" spans="1:38" ht="12.75" customHeight="1" x14ac:dyDescent="0.3">
      <c r="A313" s="61">
        <v>312</v>
      </c>
      <c r="B313" s="61">
        <v>87</v>
      </c>
      <c r="C313" s="61" t="s">
        <v>763</v>
      </c>
      <c r="D313" s="62" t="s">
        <v>38</v>
      </c>
      <c r="E313" s="62" t="s">
        <v>380</v>
      </c>
      <c r="F313" s="62" t="s">
        <v>381</v>
      </c>
      <c r="G313" s="62" t="s">
        <v>2</v>
      </c>
      <c r="H313" s="63">
        <v>1</v>
      </c>
      <c r="I313" s="62" t="s">
        <v>382</v>
      </c>
      <c r="J313" s="62">
        <v>1</v>
      </c>
      <c r="K313" s="62">
        <v>0</v>
      </c>
      <c r="L313" s="62">
        <v>10</v>
      </c>
      <c r="M313" s="62">
        <v>1</v>
      </c>
      <c r="N313" s="62">
        <v>0</v>
      </c>
      <c r="O313" s="62">
        <v>1</v>
      </c>
      <c r="P313" s="62" t="s">
        <v>384</v>
      </c>
      <c r="Q313" s="64">
        <v>7.58</v>
      </c>
      <c r="R313" s="65">
        <f t="shared" si="20"/>
        <v>0.46875</v>
      </c>
      <c r="S313" s="66">
        <v>35.8125</v>
      </c>
      <c r="T313" s="66">
        <v>34.46497755</v>
      </c>
      <c r="U313" s="66">
        <v>46.875</v>
      </c>
      <c r="V313" s="66">
        <v>48.20437003</v>
      </c>
      <c r="W313" s="62">
        <v>32</v>
      </c>
      <c r="X313" s="62">
        <v>0</v>
      </c>
      <c r="Y313" s="62">
        <v>0</v>
      </c>
      <c r="Z313" s="62" t="s">
        <v>1353</v>
      </c>
      <c r="AA313" s="62"/>
      <c r="AB313" s="62" t="s">
        <v>17</v>
      </c>
      <c r="AC313" s="62" t="s">
        <v>17</v>
      </c>
      <c r="AD313" s="61" t="s">
        <v>17</v>
      </c>
      <c r="AF313" s="4" t="s">
        <v>664</v>
      </c>
    </row>
    <row r="314" spans="1:38" ht="12.75" customHeight="1" x14ac:dyDescent="0.3">
      <c r="A314" s="61">
        <v>313</v>
      </c>
      <c r="B314" s="61">
        <v>87</v>
      </c>
      <c r="C314" s="61" t="s">
        <v>763</v>
      </c>
      <c r="D314" s="62" t="s">
        <v>38</v>
      </c>
      <c r="E314" s="62" t="s">
        <v>380</v>
      </c>
      <c r="F314" s="62" t="s">
        <v>381</v>
      </c>
      <c r="G314" s="62" t="s">
        <v>2</v>
      </c>
      <c r="H314" s="63">
        <v>1</v>
      </c>
      <c r="I314" s="62" t="s">
        <v>382</v>
      </c>
      <c r="J314" s="62">
        <v>1</v>
      </c>
      <c r="K314" s="62">
        <v>0</v>
      </c>
      <c r="L314" s="62">
        <v>10</v>
      </c>
      <c r="M314" s="62">
        <v>1</v>
      </c>
      <c r="N314" s="62">
        <v>0</v>
      </c>
      <c r="O314" s="62">
        <v>1</v>
      </c>
      <c r="P314" s="62" t="s">
        <v>385</v>
      </c>
      <c r="Q314" s="64">
        <v>7.58</v>
      </c>
      <c r="R314" s="65">
        <f t="shared" si="20"/>
        <v>0.46875</v>
      </c>
      <c r="S314" s="66">
        <v>26.5625</v>
      </c>
      <c r="T314" s="66">
        <v>26.483028650000001</v>
      </c>
      <c r="U314" s="66">
        <v>36.84375</v>
      </c>
      <c r="V314" s="66">
        <v>36.686210269999997</v>
      </c>
      <c r="W314" s="62">
        <v>32</v>
      </c>
      <c r="X314" s="62">
        <v>0</v>
      </c>
      <c r="Y314" s="62">
        <v>0</v>
      </c>
      <c r="Z314" s="62" t="s">
        <v>1353</v>
      </c>
      <c r="AA314" s="62"/>
      <c r="AB314" s="62" t="s">
        <v>17</v>
      </c>
      <c r="AC314" s="62" t="s">
        <v>17</v>
      </c>
      <c r="AD314" s="61" t="s">
        <v>17</v>
      </c>
      <c r="AF314" s="4" t="s">
        <v>664</v>
      </c>
    </row>
    <row r="315" spans="1:38" ht="12.75" customHeight="1" x14ac:dyDescent="0.3">
      <c r="A315" s="61">
        <v>314</v>
      </c>
      <c r="B315" s="61">
        <v>87</v>
      </c>
      <c r="C315" s="61" t="s">
        <v>763</v>
      </c>
      <c r="D315" s="62" t="s">
        <v>38</v>
      </c>
      <c r="E315" s="62" t="s">
        <v>380</v>
      </c>
      <c r="F315" s="62" t="s">
        <v>381</v>
      </c>
      <c r="G315" s="62" t="s">
        <v>2</v>
      </c>
      <c r="H315" s="63">
        <v>1</v>
      </c>
      <c r="I315" s="62" t="s">
        <v>382</v>
      </c>
      <c r="J315" s="62">
        <v>1</v>
      </c>
      <c r="K315" s="62">
        <v>0</v>
      </c>
      <c r="L315" s="62">
        <v>10</v>
      </c>
      <c r="M315" s="62">
        <v>1</v>
      </c>
      <c r="N315" s="62">
        <v>0</v>
      </c>
      <c r="O315" s="62">
        <v>1</v>
      </c>
      <c r="P315" s="62" t="s">
        <v>386</v>
      </c>
      <c r="Q315" s="64">
        <v>7.58</v>
      </c>
      <c r="R315" s="65">
        <f t="shared" si="20"/>
        <v>0.46875</v>
      </c>
      <c r="S315" s="66">
        <v>8.75</v>
      </c>
      <c r="T315" s="66">
        <v>8.8463588279999996</v>
      </c>
      <c r="U315" s="66">
        <v>9.65625</v>
      </c>
      <c r="V315" s="66">
        <v>9.4616692760000003</v>
      </c>
      <c r="W315" s="62">
        <v>32</v>
      </c>
      <c r="X315" s="62">
        <v>0</v>
      </c>
      <c r="Y315" s="62">
        <v>0</v>
      </c>
      <c r="Z315" s="62" t="s">
        <v>1353</v>
      </c>
      <c r="AA315" s="62"/>
      <c r="AB315" s="62" t="s">
        <v>17</v>
      </c>
      <c r="AC315" s="62" t="s">
        <v>17</v>
      </c>
      <c r="AD315" s="61" t="s">
        <v>17</v>
      </c>
      <c r="AF315" s="4" t="s">
        <v>664</v>
      </c>
    </row>
    <row r="316" spans="1:38" ht="12.75" customHeight="1" x14ac:dyDescent="0.3">
      <c r="A316" s="61">
        <v>315</v>
      </c>
      <c r="B316" s="61">
        <v>87</v>
      </c>
      <c r="C316" s="61" t="s">
        <v>763</v>
      </c>
      <c r="D316" s="62" t="s">
        <v>38</v>
      </c>
      <c r="E316" s="62" t="s">
        <v>380</v>
      </c>
      <c r="F316" s="62" t="s">
        <v>381</v>
      </c>
      <c r="G316" s="62" t="s">
        <v>2</v>
      </c>
      <c r="H316" s="63">
        <v>1</v>
      </c>
      <c r="I316" s="62" t="s">
        <v>382</v>
      </c>
      <c r="J316" s="62">
        <v>1</v>
      </c>
      <c r="K316" s="62">
        <v>0</v>
      </c>
      <c r="L316" s="62">
        <v>10</v>
      </c>
      <c r="M316" s="62">
        <v>1</v>
      </c>
      <c r="N316" s="62">
        <v>0</v>
      </c>
      <c r="O316" s="62">
        <v>1</v>
      </c>
      <c r="P316" s="62" t="s">
        <v>387</v>
      </c>
      <c r="Q316" s="64">
        <v>7.58</v>
      </c>
      <c r="R316" s="65">
        <f t="shared" si="20"/>
        <v>0.46875</v>
      </c>
      <c r="S316" s="66">
        <v>13</v>
      </c>
      <c r="T316" s="66">
        <v>14.098730209999999</v>
      </c>
      <c r="U316" s="66">
        <v>14.28125</v>
      </c>
      <c r="V316" s="66">
        <v>16.367226049999999</v>
      </c>
      <c r="W316" s="62">
        <v>32</v>
      </c>
      <c r="X316" s="62">
        <v>0</v>
      </c>
      <c r="Y316" s="62">
        <v>0</v>
      </c>
      <c r="Z316" s="62" t="s">
        <v>1353</v>
      </c>
      <c r="AA316" s="62"/>
      <c r="AB316" s="62" t="s">
        <v>17</v>
      </c>
      <c r="AC316" s="62" t="s">
        <v>17</v>
      </c>
      <c r="AD316" s="61" t="s">
        <v>17</v>
      </c>
      <c r="AF316" s="4" t="s">
        <v>664</v>
      </c>
    </row>
    <row r="317" spans="1:38" ht="12.75" customHeight="1" x14ac:dyDescent="0.3">
      <c r="A317" s="61">
        <v>316</v>
      </c>
      <c r="B317" s="61">
        <v>87</v>
      </c>
      <c r="C317" s="61" t="s">
        <v>763</v>
      </c>
      <c r="D317" s="62" t="s">
        <v>38</v>
      </c>
      <c r="E317" s="62" t="s">
        <v>380</v>
      </c>
      <c r="F317" s="62" t="s">
        <v>381</v>
      </c>
      <c r="G317" s="62" t="s">
        <v>2</v>
      </c>
      <c r="H317" s="63">
        <v>1</v>
      </c>
      <c r="I317" s="62" t="s">
        <v>382</v>
      </c>
      <c r="J317" s="62">
        <v>1</v>
      </c>
      <c r="K317" s="62">
        <v>0</v>
      </c>
      <c r="L317" s="62">
        <v>10</v>
      </c>
      <c r="M317" s="62">
        <v>1</v>
      </c>
      <c r="N317" s="62">
        <v>0</v>
      </c>
      <c r="O317" s="62">
        <v>1</v>
      </c>
      <c r="P317" s="62" t="s">
        <v>388</v>
      </c>
      <c r="Q317" s="64">
        <v>7.58</v>
      </c>
      <c r="R317" s="65">
        <f t="shared" si="20"/>
        <v>0.46875</v>
      </c>
      <c r="S317" s="66">
        <v>2.3125</v>
      </c>
      <c r="T317" s="66">
        <v>4.2001344060000001</v>
      </c>
      <c r="U317" s="66">
        <v>2.71875</v>
      </c>
      <c r="V317" s="66">
        <v>4.780568025</v>
      </c>
      <c r="W317" s="62">
        <v>32</v>
      </c>
      <c r="X317" s="62">
        <v>0</v>
      </c>
      <c r="Y317" s="62">
        <v>0</v>
      </c>
      <c r="Z317" s="62" t="s">
        <v>1353</v>
      </c>
      <c r="AA317" s="62"/>
      <c r="AB317" s="62" t="s">
        <v>17</v>
      </c>
      <c r="AC317" s="62" t="s">
        <v>17</v>
      </c>
      <c r="AD317" s="61" t="s">
        <v>17</v>
      </c>
      <c r="AF317" s="4" t="s">
        <v>664</v>
      </c>
    </row>
    <row r="318" spans="1:38" ht="12.75" customHeight="1" x14ac:dyDescent="0.3">
      <c r="A318" s="61">
        <v>317</v>
      </c>
      <c r="B318" s="61">
        <v>87</v>
      </c>
      <c r="C318" s="61" t="s">
        <v>763</v>
      </c>
      <c r="D318" s="62" t="s">
        <v>38</v>
      </c>
      <c r="E318" s="62" t="s">
        <v>380</v>
      </c>
      <c r="F318" s="62" t="s">
        <v>381</v>
      </c>
      <c r="G318" s="62" t="s">
        <v>2</v>
      </c>
      <c r="H318" s="63">
        <v>1</v>
      </c>
      <c r="I318" s="62" t="s">
        <v>382</v>
      </c>
      <c r="J318" s="62">
        <v>1</v>
      </c>
      <c r="K318" s="62">
        <v>0</v>
      </c>
      <c r="L318" s="62">
        <v>10</v>
      </c>
      <c r="M318" s="62">
        <v>1</v>
      </c>
      <c r="N318" s="62">
        <v>0</v>
      </c>
      <c r="O318" s="62">
        <v>1</v>
      </c>
      <c r="P318" s="62" t="s">
        <v>389</v>
      </c>
      <c r="Q318" s="64">
        <v>7.58</v>
      </c>
      <c r="R318" s="65">
        <f t="shared" si="20"/>
        <v>0.46875</v>
      </c>
      <c r="S318" s="66">
        <v>252.5568438</v>
      </c>
      <c r="T318" s="66">
        <v>227.73223039999999</v>
      </c>
      <c r="U318" s="66">
        <v>231.45162500000001</v>
      </c>
      <c r="V318" s="66">
        <v>209.967016</v>
      </c>
      <c r="W318" s="62">
        <v>32</v>
      </c>
      <c r="X318" s="62">
        <v>0</v>
      </c>
      <c r="Y318" s="62">
        <v>0</v>
      </c>
      <c r="Z318" s="62" t="s">
        <v>1353</v>
      </c>
      <c r="AA318" s="62"/>
      <c r="AB318" s="62" t="s">
        <v>17</v>
      </c>
      <c r="AC318" s="62" t="s">
        <v>17</v>
      </c>
      <c r="AD318" s="61" t="s">
        <v>17</v>
      </c>
      <c r="AF318" s="4" t="s">
        <v>664</v>
      </c>
    </row>
    <row r="319" spans="1:38" ht="12.75" customHeight="1" x14ac:dyDescent="0.3">
      <c r="A319" s="61">
        <v>318</v>
      </c>
      <c r="B319" s="61">
        <v>87</v>
      </c>
      <c r="C319" s="61" t="s">
        <v>763</v>
      </c>
      <c r="D319" s="62" t="s">
        <v>38</v>
      </c>
      <c r="E319" s="62" t="s">
        <v>380</v>
      </c>
      <c r="F319" s="62" t="s">
        <v>381</v>
      </c>
      <c r="G319" s="62" t="s">
        <v>2</v>
      </c>
      <c r="H319" s="63">
        <v>1</v>
      </c>
      <c r="I319" s="62" t="s">
        <v>382</v>
      </c>
      <c r="J319" s="62">
        <v>1</v>
      </c>
      <c r="K319" s="62">
        <v>0</v>
      </c>
      <c r="L319" s="62">
        <v>10</v>
      </c>
      <c r="M319" s="62">
        <v>1</v>
      </c>
      <c r="N319" s="62">
        <v>0</v>
      </c>
      <c r="O319" s="62">
        <v>1</v>
      </c>
      <c r="P319" s="62" t="s">
        <v>390</v>
      </c>
      <c r="Q319" s="64">
        <v>7.58</v>
      </c>
      <c r="R319" s="65">
        <f t="shared" si="20"/>
        <v>0.46875</v>
      </c>
      <c r="S319" s="66">
        <v>1.73</v>
      </c>
      <c r="T319" s="66">
        <v>0.57843381400000005</v>
      </c>
      <c r="U319" s="66">
        <v>1.8925000000000001</v>
      </c>
      <c r="V319" s="66">
        <v>0.64200859200000004</v>
      </c>
      <c r="W319" s="62">
        <v>32</v>
      </c>
      <c r="X319" s="62">
        <v>0</v>
      </c>
      <c r="Y319" s="62">
        <v>0</v>
      </c>
      <c r="Z319" s="62" t="s">
        <v>1353</v>
      </c>
      <c r="AA319" s="62"/>
      <c r="AB319" s="62" t="s">
        <v>17</v>
      </c>
      <c r="AC319" s="62" t="s">
        <v>17</v>
      </c>
      <c r="AD319" s="61" t="s">
        <v>17</v>
      </c>
      <c r="AF319" s="4" t="s">
        <v>664</v>
      </c>
    </row>
    <row r="320" spans="1:38" ht="12.75" customHeight="1" x14ac:dyDescent="0.3">
      <c r="A320" s="61">
        <v>319</v>
      </c>
      <c r="B320" s="61">
        <v>87</v>
      </c>
      <c r="C320" s="61" t="s">
        <v>763</v>
      </c>
      <c r="D320" s="62" t="s">
        <v>38</v>
      </c>
      <c r="E320" s="62" t="s">
        <v>380</v>
      </c>
      <c r="F320" s="62" t="s">
        <v>381</v>
      </c>
      <c r="G320" s="62" t="s">
        <v>2</v>
      </c>
      <c r="H320" s="63">
        <v>1</v>
      </c>
      <c r="I320" s="62" t="s">
        <v>391</v>
      </c>
      <c r="J320" s="62">
        <v>1</v>
      </c>
      <c r="K320" s="62">
        <v>0</v>
      </c>
      <c r="L320" s="62">
        <v>10</v>
      </c>
      <c r="M320" s="62">
        <v>1</v>
      </c>
      <c r="N320" s="62">
        <v>0</v>
      </c>
      <c r="O320" s="62">
        <v>1</v>
      </c>
      <c r="P320" s="62" t="s">
        <v>383</v>
      </c>
      <c r="Q320" s="64">
        <v>7.58</v>
      </c>
      <c r="R320" s="65">
        <f t="shared" ref="R320:R327" si="21">15/29</f>
        <v>0.51724137931034486</v>
      </c>
      <c r="S320" s="66">
        <v>94.57692308</v>
      </c>
      <c r="T320" s="66">
        <v>90.584843359999994</v>
      </c>
      <c r="U320" s="66">
        <v>103.5769231</v>
      </c>
      <c r="V320" s="66">
        <v>96.173249119999994</v>
      </c>
      <c r="W320" s="62">
        <v>26</v>
      </c>
      <c r="X320" s="62">
        <v>0</v>
      </c>
      <c r="Y320" s="62">
        <v>0</v>
      </c>
      <c r="Z320" s="62" t="s">
        <v>1353</v>
      </c>
      <c r="AA320" s="62"/>
      <c r="AB320" s="62" t="s">
        <v>17</v>
      </c>
      <c r="AC320" s="62" t="s">
        <v>17</v>
      </c>
      <c r="AD320" s="61" t="s">
        <v>17</v>
      </c>
      <c r="AF320" s="4" t="s">
        <v>664</v>
      </c>
    </row>
    <row r="321" spans="1:38" ht="12.75" customHeight="1" x14ac:dyDescent="0.3">
      <c r="A321" s="61">
        <v>320</v>
      </c>
      <c r="B321" s="61">
        <v>87</v>
      </c>
      <c r="C321" s="61" t="s">
        <v>763</v>
      </c>
      <c r="D321" s="62" t="s">
        <v>38</v>
      </c>
      <c r="E321" s="61" t="s">
        <v>380</v>
      </c>
      <c r="F321" s="62" t="s">
        <v>381</v>
      </c>
      <c r="G321" s="61" t="s">
        <v>2</v>
      </c>
      <c r="H321" s="63">
        <v>1</v>
      </c>
      <c r="I321" s="61" t="s">
        <v>391</v>
      </c>
      <c r="J321" s="62">
        <v>1</v>
      </c>
      <c r="K321" s="62">
        <v>0</v>
      </c>
      <c r="L321" s="62">
        <v>10</v>
      </c>
      <c r="M321" s="62">
        <v>1</v>
      </c>
      <c r="N321" s="62">
        <v>0</v>
      </c>
      <c r="O321" s="62">
        <v>1</v>
      </c>
      <c r="P321" s="62" t="s">
        <v>384</v>
      </c>
      <c r="Q321" s="64">
        <v>7.58</v>
      </c>
      <c r="R321" s="65">
        <f t="shared" si="21"/>
        <v>0.51724137931034486</v>
      </c>
      <c r="S321" s="66">
        <v>38.46153846</v>
      </c>
      <c r="T321" s="66">
        <v>41.337857489999998</v>
      </c>
      <c r="U321" s="66">
        <v>53.15384615</v>
      </c>
      <c r="V321" s="66">
        <v>93.335391920000006</v>
      </c>
      <c r="W321" s="62">
        <v>26</v>
      </c>
      <c r="X321" s="62">
        <v>0</v>
      </c>
      <c r="Y321" s="62">
        <v>0</v>
      </c>
      <c r="Z321" s="62" t="s">
        <v>1353</v>
      </c>
      <c r="AA321" s="62"/>
      <c r="AB321" s="62" t="s">
        <v>17</v>
      </c>
      <c r="AC321" s="62" t="s">
        <v>17</v>
      </c>
      <c r="AD321" s="61" t="s">
        <v>17</v>
      </c>
      <c r="AF321" s="4" t="s">
        <v>664</v>
      </c>
    </row>
    <row r="322" spans="1:38" ht="12.75" customHeight="1" x14ac:dyDescent="0.3">
      <c r="A322" s="61">
        <v>321</v>
      </c>
      <c r="B322" s="61">
        <v>87</v>
      </c>
      <c r="C322" s="61" t="s">
        <v>763</v>
      </c>
      <c r="D322" s="62" t="s">
        <v>38</v>
      </c>
      <c r="E322" s="61" t="s">
        <v>380</v>
      </c>
      <c r="F322" s="62" t="s">
        <v>381</v>
      </c>
      <c r="G322" s="61" t="s">
        <v>2</v>
      </c>
      <c r="H322" s="63">
        <v>1</v>
      </c>
      <c r="I322" s="61" t="s">
        <v>391</v>
      </c>
      <c r="J322" s="62">
        <v>1</v>
      </c>
      <c r="K322" s="62">
        <v>0</v>
      </c>
      <c r="L322" s="62">
        <v>10</v>
      </c>
      <c r="M322" s="62">
        <v>1</v>
      </c>
      <c r="N322" s="62">
        <v>0</v>
      </c>
      <c r="O322" s="62">
        <v>1</v>
      </c>
      <c r="P322" s="62" t="s">
        <v>385</v>
      </c>
      <c r="Q322" s="64">
        <v>7.58</v>
      </c>
      <c r="R322" s="65">
        <f t="shared" si="21"/>
        <v>0.51724137931034486</v>
      </c>
      <c r="S322" s="66">
        <v>28.92307692</v>
      </c>
      <c r="T322" s="66">
        <v>30.1196588</v>
      </c>
      <c r="U322" s="66">
        <v>33.61538462</v>
      </c>
      <c r="V322" s="66">
        <v>30.323689649999999</v>
      </c>
      <c r="W322" s="62">
        <v>26</v>
      </c>
      <c r="X322" s="62">
        <v>0</v>
      </c>
      <c r="Y322" s="62">
        <v>0</v>
      </c>
      <c r="Z322" s="62" t="s">
        <v>1353</v>
      </c>
      <c r="AA322" s="62"/>
      <c r="AB322" s="62" t="s">
        <v>17</v>
      </c>
      <c r="AC322" s="62" t="s">
        <v>17</v>
      </c>
      <c r="AD322" s="61" t="s">
        <v>17</v>
      </c>
      <c r="AF322" s="4" t="s">
        <v>664</v>
      </c>
    </row>
    <row r="323" spans="1:38" ht="12.75" customHeight="1" x14ac:dyDescent="0.3">
      <c r="A323" s="61">
        <v>322</v>
      </c>
      <c r="B323" s="61">
        <v>87</v>
      </c>
      <c r="C323" s="61" t="s">
        <v>763</v>
      </c>
      <c r="D323" s="62" t="s">
        <v>38</v>
      </c>
      <c r="E323" s="61" t="s">
        <v>380</v>
      </c>
      <c r="F323" s="62" t="s">
        <v>381</v>
      </c>
      <c r="G323" s="61" t="s">
        <v>2</v>
      </c>
      <c r="H323" s="63">
        <v>1</v>
      </c>
      <c r="I323" s="61" t="s">
        <v>391</v>
      </c>
      <c r="J323" s="62">
        <v>1</v>
      </c>
      <c r="K323" s="62">
        <v>0</v>
      </c>
      <c r="L323" s="62">
        <v>10</v>
      </c>
      <c r="M323" s="62">
        <v>1</v>
      </c>
      <c r="N323" s="62">
        <v>0</v>
      </c>
      <c r="O323" s="62">
        <v>1</v>
      </c>
      <c r="P323" s="62" t="s">
        <v>386</v>
      </c>
      <c r="Q323" s="64">
        <v>7.58</v>
      </c>
      <c r="R323" s="65">
        <f t="shared" si="21"/>
        <v>0.51724137931034486</v>
      </c>
      <c r="S323" s="66">
        <v>9.846153846</v>
      </c>
      <c r="T323" s="66">
        <v>10.09828622</v>
      </c>
      <c r="U323" s="66">
        <v>8.692307692</v>
      </c>
      <c r="V323" s="66">
        <v>9.0011965020000009</v>
      </c>
      <c r="W323" s="62">
        <v>26</v>
      </c>
      <c r="X323" s="62">
        <v>0</v>
      </c>
      <c r="Y323" s="62">
        <v>0</v>
      </c>
      <c r="Z323" s="62" t="s">
        <v>1353</v>
      </c>
      <c r="AA323" s="62"/>
      <c r="AB323" s="62" t="s">
        <v>17</v>
      </c>
      <c r="AC323" s="62" t="s">
        <v>17</v>
      </c>
      <c r="AD323" s="61" t="s">
        <v>17</v>
      </c>
      <c r="AF323" s="4" t="s">
        <v>664</v>
      </c>
    </row>
    <row r="324" spans="1:38" ht="12.75" customHeight="1" x14ac:dyDescent="0.3">
      <c r="A324" s="61">
        <v>323</v>
      </c>
      <c r="B324" s="61">
        <v>87</v>
      </c>
      <c r="C324" s="61" t="s">
        <v>763</v>
      </c>
      <c r="D324" s="62" t="s">
        <v>38</v>
      </c>
      <c r="E324" s="61" t="s">
        <v>380</v>
      </c>
      <c r="F324" s="62" t="s">
        <v>381</v>
      </c>
      <c r="G324" s="61" t="s">
        <v>2</v>
      </c>
      <c r="H324" s="63">
        <v>1</v>
      </c>
      <c r="I324" s="61" t="s">
        <v>391</v>
      </c>
      <c r="J324" s="62">
        <v>1</v>
      </c>
      <c r="K324" s="62">
        <v>0</v>
      </c>
      <c r="L324" s="62">
        <v>10</v>
      </c>
      <c r="M324" s="62">
        <v>1</v>
      </c>
      <c r="N324" s="62">
        <v>0</v>
      </c>
      <c r="O324" s="62">
        <v>1</v>
      </c>
      <c r="P324" s="62" t="s">
        <v>387</v>
      </c>
      <c r="Q324" s="64">
        <v>7.58</v>
      </c>
      <c r="R324" s="65">
        <f t="shared" si="21"/>
        <v>0.51724137931034486</v>
      </c>
      <c r="S324" s="66">
        <v>14.88461538</v>
      </c>
      <c r="T324" s="66">
        <v>9.3608842449999994</v>
      </c>
      <c r="U324" s="66">
        <v>15.03846154</v>
      </c>
      <c r="V324" s="66">
        <v>11.904556339999999</v>
      </c>
      <c r="W324" s="62">
        <v>26</v>
      </c>
      <c r="X324" s="62">
        <v>0</v>
      </c>
      <c r="Y324" s="62">
        <v>0</v>
      </c>
      <c r="Z324" s="62" t="s">
        <v>1353</v>
      </c>
      <c r="AA324" s="62"/>
      <c r="AB324" s="62" t="s">
        <v>17</v>
      </c>
      <c r="AC324" s="62" t="s">
        <v>17</v>
      </c>
      <c r="AD324" s="61" t="s">
        <v>17</v>
      </c>
      <c r="AF324" s="4" t="s">
        <v>664</v>
      </c>
    </row>
    <row r="325" spans="1:38" ht="12.75" customHeight="1" x14ac:dyDescent="0.3">
      <c r="A325" s="61">
        <v>324</v>
      </c>
      <c r="B325" s="61">
        <v>87</v>
      </c>
      <c r="C325" s="61" t="s">
        <v>763</v>
      </c>
      <c r="D325" s="62" t="s">
        <v>38</v>
      </c>
      <c r="E325" s="61" t="s">
        <v>380</v>
      </c>
      <c r="F325" s="62" t="s">
        <v>381</v>
      </c>
      <c r="G325" s="61" t="s">
        <v>2</v>
      </c>
      <c r="H325" s="63">
        <v>1</v>
      </c>
      <c r="I325" s="61" t="s">
        <v>391</v>
      </c>
      <c r="J325" s="62">
        <v>1</v>
      </c>
      <c r="K325" s="62">
        <v>0</v>
      </c>
      <c r="L325" s="62">
        <v>10</v>
      </c>
      <c r="M325" s="62">
        <v>1</v>
      </c>
      <c r="N325" s="62">
        <v>0</v>
      </c>
      <c r="O325" s="62">
        <v>1</v>
      </c>
      <c r="P325" s="62" t="s">
        <v>388</v>
      </c>
      <c r="Q325" s="64">
        <v>7.58</v>
      </c>
      <c r="R325" s="65">
        <f t="shared" si="21"/>
        <v>0.51724137931034486</v>
      </c>
      <c r="S325" s="66">
        <v>2.5</v>
      </c>
      <c r="T325" s="66">
        <v>5.3609700609999997</v>
      </c>
      <c r="U325" s="66">
        <v>2.730769231</v>
      </c>
      <c r="V325" s="66">
        <v>5.1811789570000002</v>
      </c>
      <c r="W325" s="62">
        <v>26</v>
      </c>
      <c r="X325" s="62">
        <v>0</v>
      </c>
      <c r="Y325" s="62">
        <v>0</v>
      </c>
      <c r="Z325" s="62" t="s">
        <v>1353</v>
      </c>
      <c r="AA325" s="62"/>
      <c r="AB325" s="62" t="s">
        <v>17</v>
      </c>
      <c r="AC325" s="62" t="s">
        <v>17</v>
      </c>
      <c r="AD325" s="61" t="s">
        <v>17</v>
      </c>
      <c r="AF325" s="4" t="s">
        <v>664</v>
      </c>
    </row>
    <row r="326" spans="1:38" ht="12.75" customHeight="1" x14ac:dyDescent="0.3">
      <c r="A326" s="61">
        <v>325</v>
      </c>
      <c r="B326" s="61">
        <v>87</v>
      </c>
      <c r="C326" s="61" t="s">
        <v>763</v>
      </c>
      <c r="D326" s="62" t="s">
        <v>38</v>
      </c>
      <c r="E326" s="62" t="s">
        <v>380</v>
      </c>
      <c r="F326" s="62" t="s">
        <v>381</v>
      </c>
      <c r="G326" s="62" t="s">
        <v>2</v>
      </c>
      <c r="H326" s="63">
        <v>1</v>
      </c>
      <c r="I326" s="62" t="s">
        <v>391</v>
      </c>
      <c r="J326" s="62">
        <v>1</v>
      </c>
      <c r="K326" s="62">
        <v>0</v>
      </c>
      <c r="L326" s="62">
        <v>10</v>
      </c>
      <c r="M326" s="62">
        <v>1</v>
      </c>
      <c r="N326" s="62">
        <v>0</v>
      </c>
      <c r="O326" s="62">
        <v>1</v>
      </c>
      <c r="P326" s="62" t="s">
        <v>389</v>
      </c>
      <c r="Q326" s="64">
        <v>7.58</v>
      </c>
      <c r="R326" s="65">
        <f t="shared" si="21"/>
        <v>0.51724137931034486</v>
      </c>
      <c r="S326" s="66">
        <v>253.11823079999999</v>
      </c>
      <c r="T326" s="66">
        <v>225.21011490000001</v>
      </c>
      <c r="U326" s="66">
        <v>194.7896538</v>
      </c>
      <c r="V326" s="66">
        <v>142.1032136</v>
      </c>
      <c r="W326" s="62">
        <v>26</v>
      </c>
      <c r="X326" s="62">
        <v>0</v>
      </c>
      <c r="Y326" s="62">
        <v>0</v>
      </c>
      <c r="Z326" s="62" t="s">
        <v>1353</v>
      </c>
      <c r="AA326" s="62"/>
      <c r="AB326" s="62" t="s">
        <v>17</v>
      </c>
      <c r="AC326" s="62" t="s">
        <v>17</v>
      </c>
      <c r="AD326" s="61" t="s">
        <v>17</v>
      </c>
      <c r="AF326" s="4" t="s">
        <v>664</v>
      </c>
    </row>
    <row r="327" spans="1:38" ht="12.75" customHeight="1" x14ac:dyDescent="0.3">
      <c r="A327" s="61">
        <v>326</v>
      </c>
      <c r="B327" s="61">
        <v>87</v>
      </c>
      <c r="C327" s="61" t="s">
        <v>763</v>
      </c>
      <c r="D327" s="62" t="s">
        <v>38</v>
      </c>
      <c r="E327" s="62" t="s">
        <v>380</v>
      </c>
      <c r="F327" s="62" t="s">
        <v>381</v>
      </c>
      <c r="G327" s="62" t="s">
        <v>2</v>
      </c>
      <c r="H327" s="63">
        <v>1</v>
      </c>
      <c r="I327" s="62" t="s">
        <v>391</v>
      </c>
      <c r="J327" s="62">
        <v>1</v>
      </c>
      <c r="K327" s="62">
        <v>0</v>
      </c>
      <c r="L327" s="62">
        <v>10</v>
      </c>
      <c r="M327" s="62">
        <v>1</v>
      </c>
      <c r="N327" s="62">
        <v>0</v>
      </c>
      <c r="O327" s="62">
        <v>1</v>
      </c>
      <c r="P327" s="62" t="s">
        <v>390</v>
      </c>
      <c r="Q327" s="64">
        <v>7.58</v>
      </c>
      <c r="R327" s="65">
        <f t="shared" si="21"/>
        <v>0.51724137931034486</v>
      </c>
      <c r="S327" s="66">
        <v>1.5856153850000001</v>
      </c>
      <c r="T327" s="66">
        <v>0.61408638299999996</v>
      </c>
      <c r="U327" s="66">
        <v>1.623038462</v>
      </c>
      <c r="V327" s="66">
        <v>0.331606813</v>
      </c>
      <c r="W327" s="62">
        <v>26</v>
      </c>
      <c r="X327" s="62">
        <v>0</v>
      </c>
      <c r="Y327" s="62">
        <v>0</v>
      </c>
      <c r="Z327" s="62" t="s">
        <v>1353</v>
      </c>
      <c r="AA327" s="62"/>
      <c r="AB327" s="62" t="s">
        <v>17</v>
      </c>
      <c r="AC327" s="62" t="s">
        <v>17</v>
      </c>
      <c r="AD327" s="61" t="s">
        <v>17</v>
      </c>
      <c r="AF327" s="4" t="s">
        <v>664</v>
      </c>
    </row>
    <row r="328" spans="1:38" ht="12.75" customHeight="1" x14ac:dyDescent="0.3">
      <c r="A328" s="61">
        <v>327</v>
      </c>
      <c r="B328" s="61">
        <v>88</v>
      </c>
      <c r="C328" s="61" t="s">
        <v>824</v>
      </c>
      <c r="D328" s="62" t="s">
        <v>41</v>
      </c>
      <c r="E328" s="62" t="s">
        <v>392</v>
      </c>
      <c r="F328" s="62" t="s">
        <v>393</v>
      </c>
      <c r="G328" s="62" t="s">
        <v>2</v>
      </c>
      <c r="H328" s="63">
        <v>0</v>
      </c>
      <c r="I328" s="62" t="s">
        <v>124</v>
      </c>
      <c r="J328" s="62">
        <v>1</v>
      </c>
      <c r="K328" s="62">
        <v>0</v>
      </c>
      <c r="L328" s="62">
        <v>38</v>
      </c>
      <c r="M328" s="62">
        <v>1</v>
      </c>
      <c r="N328" s="62">
        <v>0</v>
      </c>
      <c r="O328" s="62">
        <v>1</v>
      </c>
      <c r="P328" s="62" t="s">
        <v>394</v>
      </c>
      <c r="Q328" s="64">
        <v>28</v>
      </c>
      <c r="R328" s="65">
        <f>9/(9+8)</f>
        <v>0.52941176470588236</v>
      </c>
      <c r="S328" s="66">
        <v>7.29</v>
      </c>
      <c r="T328" s="66">
        <v>3.16</v>
      </c>
      <c r="U328" s="66">
        <v>11.82</v>
      </c>
      <c r="V328" s="66">
        <v>2.74</v>
      </c>
      <c r="W328" s="62">
        <f>9+8</f>
        <v>17</v>
      </c>
      <c r="X328" s="62">
        <v>0</v>
      </c>
      <c r="Y328" s="62">
        <v>0</v>
      </c>
      <c r="Z328" s="62" t="s">
        <v>275</v>
      </c>
      <c r="AA328" s="62" t="s">
        <v>395</v>
      </c>
      <c r="AB328" s="62" t="s">
        <v>17</v>
      </c>
      <c r="AC328" s="62" t="s">
        <v>17</v>
      </c>
      <c r="AD328" s="61" t="s">
        <v>17</v>
      </c>
      <c r="AF328" s="4" t="s">
        <v>665</v>
      </c>
    </row>
    <row r="329" spans="1:38" ht="12.75" customHeight="1" x14ac:dyDescent="0.3">
      <c r="A329" s="61">
        <v>328</v>
      </c>
      <c r="B329" s="61">
        <v>88</v>
      </c>
      <c r="C329" s="61" t="s">
        <v>824</v>
      </c>
      <c r="D329" s="62" t="s">
        <v>41</v>
      </c>
      <c r="E329" s="62" t="s">
        <v>392</v>
      </c>
      <c r="F329" s="62" t="s">
        <v>393</v>
      </c>
      <c r="G329" s="62" t="s">
        <v>2</v>
      </c>
      <c r="H329" s="63">
        <v>0</v>
      </c>
      <c r="I329" s="62" t="s">
        <v>122</v>
      </c>
      <c r="J329" s="62">
        <v>1</v>
      </c>
      <c r="K329" s="62">
        <v>0</v>
      </c>
      <c r="L329" s="62">
        <v>38</v>
      </c>
      <c r="M329" s="62">
        <v>1</v>
      </c>
      <c r="N329" s="62">
        <v>0</v>
      </c>
      <c r="O329" s="62">
        <v>1</v>
      </c>
      <c r="P329" s="62" t="s">
        <v>394</v>
      </c>
      <c r="Q329" s="64">
        <v>25</v>
      </c>
      <c r="R329" s="65">
        <f>9/(9+10+1)</f>
        <v>0.45</v>
      </c>
      <c r="S329" s="66">
        <v>8.5500000000000007</v>
      </c>
      <c r="T329" s="66">
        <v>2.93</v>
      </c>
      <c r="U329" s="66">
        <v>11.7</v>
      </c>
      <c r="V329" s="66">
        <v>3.31</v>
      </c>
      <c r="W329" s="62">
        <f>9+10+1</f>
        <v>20</v>
      </c>
      <c r="X329" s="62">
        <v>0</v>
      </c>
      <c r="Y329" s="62">
        <v>0</v>
      </c>
      <c r="Z329" s="62" t="s">
        <v>275</v>
      </c>
      <c r="AA329" s="62"/>
      <c r="AB329" s="62" t="s">
        <v>17</v>
      </c>
      <c r="AC329" s="62" t="s">
        <v>17</v>
      </c>
      <c r="AD329" s="61" t="s">
        <v>17</v>
      </c>
      <c r="AF329" s="4" t="s">
        <v>665</v>
      </c>
      <c r="AJ329" s="67"/>
      <c r="AK329" s="67"/>
      <c r="AL329" s="67"/>
    </row>
    <row r="330" spans="1:38" ht="12.75" customHeight="1" x14ac:dyDescent="0.3">
      <c r="A330" s="61">
        <v>329</v>
      </c>
      <c r="B330" s="61">
        <v>89</v>
      </c>
      <c r="C330" s="61" t="s">
        <v>798</v>
      </c>
      <c r="D330" s="62" t="s">
        <v>62</v>
      </c>
      <c r="E330" s="62" t="s">
        <v>28</v>
      </c>
      <c r="F330" s="62" t="s">
        <v>33</v>
      </c>
      <c r="G330" s="62" t="s">
        <v>2</v>
      </c>
      <c r="H330" s="63">
        <v>0</v>
      </c>
      <c r="I330" s="62"/>
      <c r="J330" s="62">
        <v>1</v>
      </c>
      <c r="K330" s="62">
        <v>1</v>
      </c>
      <c r="L330" s="62">
        <v>30</v>
      </c>
      <c r="M330" s="62">
        <v>1</v>
      </c>
      <c r="N330" s="62">
        <v>0</v>
      </c>
      <c r="O330" s="62">
        <v>1</v>
      </c>
      <c r="P330" s="62" t="s">
        <v>396</v>
      </c>
      <c r="Q330" s="64">
        <v>9</v>
      </c>
      <c r="R330" s="65">
        <v>1</v>
      </c>
      <c r="S330" s="66">
        <f>AVERAGE(9,7)</f>
        <v>8</v>
      </c>
      <c r="T330" s="66">
        <f>STDEV(9,7)</f>
        <v>1.4142135623730951</v>
      </c>
      <c r="U330" s="66">
        <f>AVERAGE(9,9)</f>
        <v>9</v>
      </c>
      <c r="V330" s="66">
        <f>STDEV(9,9)</f>
        <v>0</v>
      </c>
      <c r="W330" s="62">
        <v>2</v>
      </c>
      <c r="X330" s="62">
        <v>0</v>
      </c>
      <c r="Y330" s="62">
        <v>0</v>
      </c>
      <c r="Z330" s="62" t="s">
        <v>397</v>
      </c>
      <c r="AA330" s="62" t="s">
        <v>1637</v>
      </c>
      <c r="AB330" s="62" t="s">
        <v>17</v>
      </c>
      <c r="AC330" s="62" t="s">
        <v>17</v>
      </c>
      <c r="AD330" s="61" t="s">
        <v>17</v>
      </c>
      <c r="AF330" s="4" t="s">
        <v>666</v>
      </c>
      <c r="AJ330" s="67"/>
      <c r="AK330" s="67"/>
      <c r="AL330" s="67"/>
    </row>
    <row r="331" spans="1:38" ht="12.75" customHeight="1" x14ac:dyDescent="0.3">
      <c r="A331" s="61">
        <v>330</v>
      </c>
      <c r="B331" s="61">
        <v>89</v>
      </c>
      <c r="C331" s="61" t="s">
        <v>798</v>
      </c>
      <c r="D331" s="62" t="s">
        <v>62</v>
      </c>
      <c r="E331" s="62" t="s">
        <v>28</v>
      </c>
      <c r="F331" s="62" t="s">
        <v>33</v>
      </c>
      <c r="G331" s="62" t="s">
        <v>2</v>
      </c>
      <c r="H331" s="63">
        <v>0</v>
      </c>
      <c r="I331" s="62"/>
      <c r="J331" s="62">
        <v>1</v>
      </c>
      <c r="K331" s="62">
        <v>1</v>
      </c>
      <c r="L331" s="62">
        <v>30</v>
      </c>
      <c r="M331" s="62">
        <v>1</v>
      </c>
      <c r="N331" s="62">
        <v>0</v>
      </c>
      <c r="O331" s="62">
        <v>1</v>
      </c>
      <c r="P331" s="62" t="s">
        <v>398</v>
      </c>
      <c r="Q331" s="64">
        <v>9</v>
      </c>
      <c r="R331" s="65">
        <v>1</v>
      </c>
      <c r="S331" s="66">
        <f>AVERAGE(5.4,4.8)</f>
        <v>5.0999999999999996</v>
      </c>
      <c r="T331" s="66">
        <f>STDEV(5.4,4.8)</f>
        <v>0.4242640687119289</v>
      </c>
      <c r="U331" s="66">
        <f>AVERAGE(6.5,7.2)</f>
        <v>6.85</v>
      </c>
      <c r="V331" s="66">
        <f>STDEV(6.5,7.2)</f>
        <v>0.4949747468305834</v>
      </c>
      <c r="W331" s="62">
        <v>2</v>
      </c>
      <c r="X331" s="62">
        <v>0</v>
      </c>
      <c r="Y331" s="62">
        <v>0</v>
      </c>
      <c r="Z331" s="62" t="s">
        <v>397</v>
      </c>
      <c r="AA331" s="62"/>
      <c r="AB331" s="62" t="s">
        <v>17</v>
      </c>
      <c r="AC331" s="62" t="s">
        <v>17</v>
      </c>
      <c r="AD331" s="61" t="s">
        <v>17</v>
      </c>
      <c r="AF331" s="4" t="s">
        <v>666</v>
      </c>
      <c r="AJ331" s="67"/>
      <c r="AK331" s="67"/>
      <c r="AL331" s="67"/>
    </row>
    <row r="332" spans="1:38" ht="12.75" customHeight="1" x14ac:dyDescent="0.3">
      <c r="A332" s="61">
        <v>331</v>
      </c>
      <c r="B332" s="61">
        <v>90</v>
      </c>
      <c r="C332" s="61" t="s">
        <v>804</v>
      </c>
      <c r="D332" s="62" t="s">
        <v>399</v>
      </c>
      <c r="E332" s="62" t="s">
        <v>222</v>
      </c>
      <c r="F332" s="62" t="s">
        <v>400</v>
      </c>
      <c r="G332" s="62" t="s">
        <v>2</v>
      </c>
      <c r="H332" s="63">
        <v>0</v>
      </c>
      <c r="I332" s="62"/>
      <c r="J332" s="62">
        <v>1</v>
      </c>
      <c r="K332" s="62">
        <v>0</v>
      </c>
      <c r="L332" s="62">
        <v>5</v>
      </c>
      <c r="M332" s="62">
        <v>1</v>
      </c>
      <c r="N332" s="62">
        <v>0</v>
      </c>
      <c r="O332" s="62">
        <v>2</v>
      </c>
      <c r="P332" s="62" t="s">
        <v>401</v>
      </c>
      <c r="Q332" s="64">
        <v>42.25</v>
      </c>
      <c r="R332" s="65" t="s">
        <v>28</v>
      </c>
      <c r="S332" s="66">
        <f>AVERAGE(45.3,23.9,45.7)</f>
        <v>38.299999999999997</v>
      </c>
      <c r="T332" s="66">
        <v>47.5</v>
      </c>
      <c r="U332" s="66">
        <f>AVERAGE(90,85.5,91.1)</f>
        <v>88.866666666666674</v>
      </c>
      <c r="V332" s="66">
        <v>31.7</v>
      </c>
      <c r="W332" s="62">
        <v>995</v>
      </c>
      <c r="X332" s="62">
        <v>0</v>
      </c>
      <c r="Y332" s="62">
        <v>0</v>
      </c>
      <c r="Z332" s="62" t="s">
        <v>66</v>
      </c>
      <c r="AA332" s="62"/>
      <c r="AB332" s="62" t="s">
        <v>17</v>
      </c>
      <c r="AC332" s="62" t="s">
        <v>17</v>
      </c>
      <c r="AD332" s="61" t="s">
        <v>17</v>
      </c>
      <c r="AF332" s="4" t="s">
        <v>667</v>
      </c>
      <c r="AJ332" s="67"/>
      <c r="AK332" s="67"/>
      <c r="AL332" s="67"/>
    </row>
    <row r="333" spans="1:38" ht="12.75" customHeight="1" x14ac:dyDescent="0.3">
      <c r="A333" s="61">
        <v>332</v>
      </c>
      <c r="B333" s="61">
        <v>91</v>
      </c>
      <c r="C333" s="62" t="s">
        <v>737</v>
      </c>
      <c r="D333" s="62" t="s">
        <v>38</v>
      </c>
      <c r="E333" s="62" t="s">
        <v>324</v>
      </c>
      <c r="F333" s="62" t="s">
        <v>323</v>
      </c>
      <c r="G333" s="62" t="s">
        <v>2</v>
      </c>
      <c r="H333" s="63">
        <v>1</v>
      </c>
      <c r="I333" s="61" t="s">
        <v>402</v>
      </c>
      <c r="J333" s="62">
        <v>1</v>
      </c>
      <c r="K333" s="62">
        <v>0</v>
      </c>
      <c r="L333" s="62">
        <v>15</v>
      </c>
      <c r="M333" s="62">
        <v>1</v>
      </c>
      <c r="N333" s="62">
        <v>0</v>
      </c>
      <c r="O333" s="62">
        <v>2</v>
      </c>
      <c r="P333" s="62" t="s">
        <v>1388</v>
      </c>
      <c r="Q333" s="64">
        <v>8.25</v>
      </c>
      <c r="R333" s="65">
        <f>18/24</f>
        <v>0.75</v>
      </c>
      <c r="S333" s="66"/>
      <c r="T333" s="66"/>
      <c r="U333" s="66">
        <v>4.17</v>
      </c>
      <c r="V333" s="66">
        <f>1.32*SQRT(W333)</f>
        <v>6.46665292094759</v>
      </c>
      <c r="W333" s="62">
        <v>24</v>
      </c>
      <c r="X333" s="62">
        <v>0</v>
      </c>
      <c r="Y333" s="62">
        <v>0</v>
      </c>
      <c r="Z333" s="62" t="s">
        <v>403</v>
      </c>
      <c r="AA333" s="62" t="s">
        <v>404</v>
      </c>
      <c r="AB333" s="62" t="s">
        <v>17</v>
      </c>
      <c r="AC333" s="62" t="s">
        <v>17</v>
      </c>
      <c r="AD333" s="61" t="s">
        <v>17</v>
      </c>
      <c r="AF333" s="4" t="s">
        <v>726</v>
      </c>
      <c r="AJ333" s="67"/>
      <c r="AK333" s="67"/>
      <c r="AL333" s="67"/>
    </row>
    <row r="334" spans="1:38" ht="12.75" customHeight="1" x14ac:dyDescent="0.3">
      <c r="A334" s="61">
        <v>333</v>
      </c>
      <c r="B334" s="61">
        <v>91</v>
      </c>
      <c r="C334" s="62" t="s">
        <v>737</v>
      </c>
      <c r="D334" s="62" t="s">
        <v>38</v>
      </c>
      <c r="E334" s="62" t="s">
        <v>324</v>
      </c>
      <c r="F334" s="62" t="s">
        <v>323</v>
      </c>
      <c r="G334" s="62" t="s">
        <v>2</v>
      </c>
      <c r="H334" s="63">
        <v>1</v>
      </c>
      <c r="I334" s="61" t="s">
        <v>405</v>
      </c>
      <c r="J334" s="62">
        <v>1</v>
      </c>
      <c r="K334" s="62">
        <v>0</v>
      </c>
      <c r="L334" s="62">
        <v>15</v>
      </c>
      <c r="M334" s="62">
        <v>1</v>
      </c>
      <c r="N334" s="62">
        <v>0</v>
      </c>
      <c r="O334" s="62">
        <v>2</v>
      </c>
      <c r="P334" s="62" t="s">
        <v>1388</v>
      </c>
      <c r="Q334" s="64">
        <v>7.79</v>
      </c>
      <c r="R334" s="65">
        <f>14/24</f>
        <v>0.58333333333333337</v>
      </c>
      <c r="S334" s="66"/>
      <c r="T334" s="66"/>
      <c r="U334" s="66">
        <v>1.5</v>
      </c>
      <c r="V334" s="66">
        <f>1.31*SQRT(W334)</f>
        <v>6.4176631260919264</v>
      </c>
      <c r="W334" s="62">
        <v>24</v>
      </c>
      <c r="X334" s="62">
        <v>0</v>
      </c>
      <c r="Y334" s="62">
        <v>0</v>
      </c>
      <c r="Z334" s="62" t="s">
        <v>403</v>
      </c>
      <c r="AA334" s="62"/>
      <c r="AB334" s="62" t="s">
        <v>17</v>
      </c>
      <c r="AC334" s="62" t="s">
        <v>17</v>
      </c>
      <c r="AD334" s="61" t="s">
        <v>17</v>
      </c>
      <c r="AF334" s="4" t="s">
        <v>726</v>
      </c>
      <c r="AJ334" s="67"/>
      <c r="AK334" s="67"/>
      <c r="AL334" s="67"/>
    </row>
    <row r="335" spans="1:38" ht="12.75" customHeight="1" x14ac:dyDescent="0.3">
      <c r="A335" s="61">
        <v>334</v>
      </c>
      <c r="B335" s="61">
        <v>91</v>
      </c>
      <c r="C335" s="62" t="s">
        <v>737</v>
      </c>
      <c r="D335" s="62" t="s">
        <v>38</v>
      </c>
      <c r="E335" s="62" t="s">
        <v>324</v>
      </c>
      <c r="F335" s="62" t="s">
        <v>323</v>
      </c>
      <c r="G335" s="62" t="s">
        <v>2</v>
      </c>
      <c r="H335" s="63">
        <v>1</v>
      </c>
      <c r="I335" s="62" t="s">
        <v>406</v>
      </c>
      <c r="J335" s="62" t="s">
        <v>51</v>
      </c>
      <c r="K335" s="62">
        <v>0</v>
      </c>
      <c r="L335" s="62">
        <v>15</v>
      </c>
      <c r="M335" s="62">
        <v>1</v>
      </c>
      <c r="N335" s="62">
        <v>0</v>
      </c>
      <c r="O335" s="62">
        <v>2</v>
      </c>
      <c r="P335" s="62" t="s">
        <v>1388</v>
      </c>
      <c r="Q335" s="64">
        <v>8.24</v>
      </c>
      <c r="R335" s="65">
        <f>15/29</f>
        <v>0.51724137931034486</v>
      </c>
      <c r="S335" s="66"/>
      <c r="T335" s="66"/>
      <c r="U335" s="66">
        <v>6.56</v>
      </c>
      <c r="V335" s="66">
        <f>1.22*SQRT(W335)</f>
        <v>6.5699010647040943</v>
      </c>
      <c r="W335" s="62">
        <v>29</v>
      </c>
      <c r="X335" s="62">
        <v>0</v>
      </c>
      <c r="Y335" s="62">
        <v>0</v>
      </c>
      <c r="Z335" s="62" t="s">
        <v>403</v>
      </c>
      <c r="AA335" s="62"/>
      <c r="AB335" s="62" t="s">
        <v>17</v>
      </c>
      <c r="AC335" s="62" t="s">
        <v>17</v>
      </c>
      <c r="AD335" s="61" t="s">
        <v>17</v>
      </c>
      <c r="AF335" s="4" t="s">
        <v>726</v>
      </c>
      <c r="AJ335" s="67"/>
      <c r="AK335" s="67"/>
      <c r="AL335" s="67"/>
    </row>
    <row r="336" spans="1:38" ht="12.75" customHeight="1" x14ac:dyDescent="0.3">
      <c r="A336" s="61">
        <v>335</v>
      </c>
      <c r="B336" s="61">
        <v>91</v>
      </c>
      <c r="C336" s="62" t="s">
        <v>737</v>
      </c>
      <c r="D336" s="62" t="s">
        <v>38</v>
      </c>
      <c r="E336" s="62" t="s">
        <v>32</v>
      </c>
      <c r="F336" s="62" t="s">
        <v>323</v>
      </c>
      <c r="G336" s="62" t="s">
        <v>99</v>
      </c>
      <c r="H336" s="63">
        <v>1</v>
      </c>
      <c r="I336" s="62" t="s">
        <v>407</v>
      </c>
      <c r="J336" s="62">
        <v>1</v>
      </c>
      <c r="K336" s="62">
        <v>0</v>
      </c>
      <c r="L336" s="62">
        <v>15</v>
      </c>
      <c r="M336" s="62">
        <v>1</v>
      </c>
      <c r="N336" s="62">
        <v>0</v>
      </c>
      <c r="O336" s="62">
        <v>2</v>
      </c>
      <c r="P336" s="62" t="s">
        <v>1388</v>
      </c>
      <c r="Q336" s="64">
        <v>7.8</v>
      </c>
      <c r="R336" s="65">
        <f>13/25</f>
        <v>0.52</v>
      </c>
      <c r="S336" s="66"/>
      <c r="T336" s="66"/>
      <c r="U336" s="66">
        <v>2.96</v>
      </c>
      <c r="V336" s="66">
        <f>1.3*SQRT(W336)</f>
        <v>6.5</v>
      </c>
      <c r="W336" s="62">
        <v>25</v>
      </c>
      <c r="X336" s="62">
        <v>0</v>
      </c>
      <c r="Y336" s="62">
        <v>0</v>
      </c>
      <c r="Z336" s="62" t="s">
        <v>403</v>
      </c>
      <c r="AA336" s="62"/>
      <c r="AB336" s="62" t="s">
        <v>17</v>
      </c>
      <c r="AC336" s="62" t="s">
        <v>17</v>
      </c>
      <c r="AD336" s="61" t="s">
        <v>17</v>
      </c>
      <c r="AF336" s="4" t="s">
        <v>726</v>
      </c>
      <c r="AJ336" s="67"/>
      <c r="AK336" s="67"/>
      <c r="AL336" s="67"/>
    </row>
    <row r="337" spans="1:38" ht="12.75" customHeight="1" x14ac:dyDescent="0.3">
      <c r="A337" s="61">
        <v>336</v>
      </c>
      <c r="B337" s="61">
        <v>91</v>
      </c>
      <c r="C337" s="62" t="s">
        <v>737</v>
      </c>
      <c r="D337" s="62" t="s">
        <v>38</v>
      </c>
      <c r="E337" s="62" t="s">
        <v>32</v>
      </c>
      <c r="F337" s="62" t="s">
        <v>323</v>
      </c>
      <c r="G337" s="62" t="s">
        <v>99</v>
      </c>
      <c r="H337" s="63">
        <v>1</v>
      </c>
      <c r="I337" s="62" t="s">
        <v>408</v>
      </c>
      <c r="J337" s="62" t="s">
        <v>28</v>
      </c>
      <c r="K337" s="62">
        <v>0</v>
      </c>
      <c r="L337" s="62">
        <v>15</v>
      </c>
      <c r="M337" s="62">
        <v>1</v>
      </c>
      <c r="N337" s="62" t="s">
        <v>32</v>
      </c>
      <c r="O337" s="62">
        <v>2</v>
      </c>
      <c r="P337" s="62" t="s">
        <v>1388</v>
      </c>
      <c r="Q337" s="64">
        <v>8.15</v>
      </c>
      <c r="R337" s="65">
        <f>12/20</f>
        <v>0.6</v>
      </c>
      <c r="S337" s="66"/>
      <c r="T337" s="66"/>
      <c r="U337" s="66">
        <v>3.9</v>
      </c>
      <c r="V337" s="66">
        <f>1.42*SQRT(W236)</f>
        <v>8.0327330342791807</v>
      </c>
      <c r="W337" s="62">
        <v>20</v>
      </c>
      <c r="X337" s="62">
        <v>0</v>
      </c>
      <c r="Y337" s="62">
        <v>0</v>
      </c>
      <c r="Z337" s="62" t="s">
        <v>403</v>
      </c>
      <c r="AA337" s="62"/>
      <c r="AB337" s="62" t="s">
        <v>17</v>
      </c>
      <c r="AC337" s="62" t="s">
        <v>17</v>
      </c>
      <c r="AD337" s="61" t="s">
        <v>17</v>
      </c>
      <c r="AF337" s="4" t="s">
        <v>726</v>
      </c>
      <c r="AJ337" s="67"/>
      <c r="AK337" s="67"/>
      <c r="AL337" s="67"/>
    </row>
    <row r="338" spans="1:38" ht="12.75" customHeight="1" x14ac:dyDescent="0.3">
      <c r="A338" s="61">
        <v>337</v>
      </c>
      <c r="B338" s="61">
        <v>92</v>
      </c>
      <c r="C338" s="61" t="s">
        <v>820</v>
      </c>
      <c r="D338" s="62" t="s">
        <v>1095</v>
      </c>
      <c r="E338" s="62" t="s">
        <v>222</v>
      </c>
      <c r="F338" s="62" t="s">
        <v>33</v>
      </c>
      <c r="G338" s="62" t="s">
        <v>2</v>
      </c>
      <c r="H338" s="63">
        <v>1</v>
      </c>
      <c r="I338" s="62" t="s">
        <v>409</v>
      </c>
      <c r="J338" s="62">
        <v>1</v>
      </c>
      <c r="K338" s="62">
        <v>0</v>
      </c>
      <c r="L338" s="62">
        <v>40</v>
      </c>
      <c r="M338" s="62">
        <v>1</v>
      </c>
      <c r="N338" s="62">
        <f>(24+48)/2</f>
        <v>36</v>
      </c>
      <c r="O338" s="62">
        <v>1</v>
      </c>
      <c r="P338" s="62" t="s">
        <v>410</v>
      </c>
      <c r="Q338" s="64">
        <v>20.399999999999999</v>
      </c>
      <c r="R338" s="65">
        <f>21/(21+105)</f>
        <v>0.16666666666666666</v>
      </c>
      <c r="S338" s="66">
        <v>12.81</v>
      </c>
      <c r="T338" s="66">
        <v>1.17</v>
      </c>
      <c r="U338" s="66">
        <v>13.13</v>
      </c>
      <c r="V338" s="66">
        <v>0.88</v>
      </c>
      <c r="W338" s="62">
        <v>31</v>
      </c>
      <c r="X338" s="62">
        <v>0</v>
      </c>
      <c r="Y338" s="62">
        <v>0</v>
      </c>
      <c r="Z338" s="62" t="s">
        <v>230</v>
      </c>
      <c r="AA338" s="62"/>
      <c r="AB338" s="62" t="s">
        <v>17</v>
      </c>
      <c r="AC338" s="62" t="s">
        <v>17</v>
      </c>
      <c r="AD338" s="61" t="s">
        <v>17</v>
      </c>
      <c r="AF338" s="4" t="s">
        <v>668</v>
      </c>
      <c r="AJ338" s="67"/>
      <c r="AK338" s="67"/>
      <c r="AL338" s="67"/>
    </row>
    <row r="339" spans="1:38" ht="12.75" customHeight="1" x14ac:dyDescent="0.3">
      <c r="A339" s="61">
        <v>338</v>
      </c>
      <c r="B339" s="61">
        <v>92</v>
      </c>
      <c r="C339" s="61" t="s">
        <v>820</v>
      </c>
      <c r="D339" s="62" t="s">
        <v>1095</v>
      </c>
      <c r="E339" s="62" t="s">
        <v>222</v>
      </c>
      <c r="F339" s="62" t="s">
        <v>33</v>
      </c>
      <c r="G339" s="62" t="s">
        <v>2</v>
      </c>
      <c r="H339" s="63">
        <v>1</v>
      </c>
      <c r="I339" s="62" t="s">
        <v>411</v>
      </c>
      <c r="J339" s="62">
        <v>1</v>
      </c>
      <c r="K339" s="62">
        <v>0</v>
      </c>
      <c r="L339" s="62">
        <v>40</v>
      </c>
      <c r="M339" s="62">
        <v>1</v>
      </c>
      <c r="N339" s="62">
        <f>(24+48)/2</f>
        <v>36</v>
      </c>
      <c r="O339" s="62">
        <v>1</v>
      </c>
      <c r="P339" s="62" t="s">
        <v>410</v>
      </c>
      <c r="Q339" s="64">
        <v>20.399999999999999</v>
      </c>
      <c r="R339" s="65">
        <f>21/(21+105)</f>
        <v>0.16666666666666666</v>
      </c>
      <c r="S339" s="66">
        <v>12.61</v>
      </c>
      <c r="T339" s="66">
        <v>1.36</v>
      </c>
      <c r="U339" s="66">
        <v>12.94</v>
      </c>
      <c r="V339" s="66">
        <v>1.57</v>
      </c>
      <c r="W339" s="62">
        <v>31</v>
      </c>
      <c r="X339" s="62">
        <v>0</v>
      </c>
      <c r="Y339" s="62">
        <v>0</v>
      </c>
      <c r="Z339" s="62" t="s">
        <v>230</v>
      </c>
      <c r="AA339" s="62"/>
      <c r="AB339" s="62" t="s">
        <v>17</v>
      </c>
      <c r="AC339" s="62" t="s">
        <v>17</v>
      </c>
      <c r="AD339" s="61" t="s">
        <v>17</v>
      </c>
      <c r="AF339" s="4" t="s">
        <v>668</v>
      </c>
      <c r="AJ339" s="67"/>
      <c r="AK339" s="67"/>
      <c r="AL339" s="67"/>
    </row>
    <row r="340" spans="1:38" ht="12.75" customHeight="1" x14ac:dyDescent="0.3">
      <c r="A340" s="61">
        <v>339</v>
      </c>
      <c r="B340" s="61">
        <v>92</v>
      </c>
      <c r="C340" s="61" t="s">
        <v>820</v>
      </c>
      <c r="D340" s="62" t="s">
        <v>1095</v>
      </c>
      <c r="E340" s="62" t="s">
        <v>32</v>
      </c>
      <c r="F340" s="62" t="s">
        <v>33</v>
      </c>
      <c r="G340" s="62" t="s">
        <v>64</v>
      </c>
      <c r="H340" s="63">
        <v>1</v>
      </c>
      <c r="I340" s="62" t="s">
        <v>412</v>
      </c>
      <c r="J340" s="62">
        <v>1</v>
      </c>
      <c r="K340" s="62">
        <v>0</v>
      </c>
      <c r="L340" s="62">
        <v>40</v>
      </c>
      <c r="M340" s="62">
        <v>1</v>
      </c>
      <c r="N340" s="62">
        <f>(24+48)/2</f>
        <v>36</v>
      </c>
      <c r="O340" s="62">
        <v>1</v>
      </c>
      <c r="P340" s="62" t="s">
        <v>410</v>
      </c>
      <c r="Q340" s="64">
        <v>20.399999999999999</v>
      </c>
      <c r="R340" s="65">
        <f>21/(21+105)</f>
        <v>0.16666666666666666</v>
      </c>
      <c r="S340" s="66">
        <v>13</v>
      </c>
      <c r="T340" s="66">
        <v>1.35</v>
      </c>
      <c r="U340" s="66">
        <v>13.15</v>
      </c>
      <c r="V340" s="66">
        <v>1.28</v>
      </c>
      <c r="W340" s="62">
        <v>34</v>
      </c>
      <c r="X340" s="62">
        <v>0</v>
      </c>
      <c r="Y340" s="62">
        <v>0</v>
      </c>
      <c r="Z340" s="62" t="s">
        <v>230</v>
      </c>
      <c r="AA340" s="62"/>
      <c r="AB340" s="62" t="s">
        <v>17</v>
      </c>
      <c r="AC340" s="62" t="s">
        <v>17</v>
      </c>
      <c r="AD340" s="61" t="s">
        <v>17</v>
      </c>
      <c r="AF340" s="4" t="s">
        <v>668</v>
      </c>
      <c r="AJ340" s="67"/>
      <c r="AK340" s="67"/>
      <c r="AL340" s="67"/>
    </row>
    <row r="341" spans="1:38" ht="12.75" customHeight="1" x14ac:dyDescent="0.3">
      <c r="A341" s="61">
        <v>340</v>
      </c>
      <c r="B341" s="61">
        <v>92</v>
      </c>
      <c r="C341" s="61" t="s">
        <v>820</v>
      </c>
      <c r="D341" s="62" t="s">
        <v>1095</v>
      </c>
      <c r="E341" s="62" t="s">
        <v>32</v>
      </c>
      <c r="F341" s="62" t="s">
        <v>33</v>
      </c>
      <c r="G341" s="62" t="s">
        <v>64</v>
      </c>
      <c r="H341" s="63">
        <v>1</v>
      </c>
      <c r="I341" s="62" t="s">
        <v>413</v>
      </c>
      <c r="J341" s="62">
        <v>1</v>
      </c>
      <c r="K341" s="62">
        <v>0</v>
      </c>
      <c r="L341" s="62">
        <v>40</v>
      </c>
      <c r="M341" s="62">
        <v>1</v>
      </c>
      <c r="N341" s="62">
        <f>(24+48)/2</f>
        <v>36</v>
      </c>
      <c r="O341" s="62">
        <v>1</v>
      </c>
      <c r="P341" s="62" t="s">
        <v>410</v>
      </c>
      <c r="Q341" s="64">
        <v>20.399999999999999</v>
      </c>
      <c r="R341" s="65">
        <f>21/(21+105)</f>
        <v>0.16666666666666666</v>
      </c>
      <c r="S341" s="66">
        <v>12.5</v>
      </c>
      <c r="T341" s="66">
        <v>1.68</v>
      </c>
      <c r="U341" s="66">
        <v>12.8</v>
      </c>
      <c r="V341" s="66">
        <v>1.45</v>
      </c>
      <c r="W341" s="62">
        <v>30</v>
      </c>
      <c r="X341" s="62">
        <v>0</v>
      </c>
      <c r="Y341" s="62">
        <v>0</v>
      </c>
      <c r="Z341" s="62" t="s">
        <v>230</v>
      </c>
      <c r="AA341" s="62"/>
      <c r="AB341" s="62" t="s">
        <v>17</v>
      </c>
      <c r="AC341" s="62" t="s">
        <v>17</v>
      </c>
      <c r="AD341" s="61" t="s">
        <v>17</v>
      </c>
      <c r="AF341" s="4" t="s">
        <v>668</v>
      </c>
      <c r="AJ341" s="67"/>
      <c r="AK341" s="67"/>
      <c r="AL341" s="67"/>
    </row>
    <row r="342" spans="1:38" ht="12.75" customHeight="1" x14ac:dyDescent="0.3">
      <c r="A342" s="61">
        <v>341</v>
      </c>
      <c r="B342" s="61">
        <v>93</v>
      </c>
      <c r="C342" s="61" t="s">
        <v>810</v>
      </c>
      <c r="D342" s="62" t="s">
        <v>414</v>
      </c>
      <c r="E342" s="62" t="s">
        <v>28</v>
      </c>
      <c r="F342" s="62" t="s">
        <v>415</v>
      </c>
      <c r="G342" s="62" t="s">
        <v>2</v>
      </c>
      <c r="H342" s="63">
        <v>1</v>
      </c>
      <c r="I342" s="62"/>
      <c r="J342" s="62">
        <v>1</v>
      </c>
      <c r="K342" s="62">
        <v>0</v>
      </c>
      <c r="L342" s="62">
        <v>60</v>
      </c>
      <c r="M342" s="62">
        <v>1</v>
      </c>
      <c r="N342" s="62">
        <v>0</v>
      </c>
      <c r="O342" s="62">
        <v>1</v>
      </c>
      <c r="P342" s="62" t="s">
        <v>416</v>
      </c>
      <c r="Q342" s="64">
        <v>10.5</v>
      </c>
      <c r="R342" s="65">
        <f>6/9</f>
        <v>0.66666666666666663</v>
      </c>
      <c r="S342" s="66">
        <f>AVERAGE(40,80,80,100,100,100,100,100,100)</f>
        <v>88.888888888888886</v>
      </c>
      <c r="T342" s="66">
        <f>STDEV(40,80,80,100,100,100,100,100,100)</f>
        <v>20.275875100994071</v>
      </c>
      <c r="U342" s="66">
        <f>AVERAGE(0,80,80,100,100,100,100,100,100)</f>
        <v>84.444444444444443</v>
      </c>
      <c r="V342" s="66">
        <f>STDEV(0,80,80,100,100,100,100,100,100)</f>
        <v>32.829526005987013</v>
      </c>
      <c r="W342" s="62">
        <v>9</v>
      </c>
      <c r="X342" s="62">
        <v>0</v>
      </c>
      <c r="Y342" s="62">
        <v>0</v>
      </c>
      <c r="Z342" s="62" t="s">
        <v>417</v>
      </c>
      <c r="AA342" s="62" t="s">
        <v>418</v>
      </c>
      <c r="AB342" s="62" t="s">
        <v>17</v>
      </c>
      <c r="AC342" s="62" t="s">
        <v>17</v>
      </c>
      <c r="AD342" s="61" t="s">
        <v>17</v>
      </c>
      <c r="AF342" s="4" t="s">
        <v>669</v>
      </c>
      <c r="AJ342" s="67"/>
      <c r="AK342" s="67"/>
      <c r="AL342" s="67"/>
    </row>
    <row r="343" spans="1:38" ht="12.75" customHeight="1" x14ac:dyDescent="0.3">
      <c r="A343" s="61">
        <v>342</v>
      </c>
      <c r="B343" s="61">
        <v>93</v>
      </c>
      <c r="C343" s="61" t="s">
        <v>810</v>
      </c>
      <c r="D343" s="62" t="s">
        <v>414</v>
      </c>
      <c r="E343" s="62" t="s">
        <v>28</v>
      </c>
      <c r="F343" s="62" t="s">
        <v>415</v>
      </c>
      <c r="G343" s="62" t="s">
        <v>2</v>
      </c>
      <c r="H343" s="63">
        <v>1</v>
      </c>
      <c r="I343" s="62"/>
      <c r="J343" s="62">
        <v>1</v>
      </c>
      <c r="K343" s="62">
        <v>0</v>
      </c>
      <c r="L343" s="62">
        <v>60</v>
      </c>
      <c r="M343" s="62">
        <v>1</v>
      </c>
      <c r="N343" s="62">
        <v>0</v>
      </c>
      <c r="O343" s="62">
        <v>1</v>
      </c>
      <c r="P343" s="62" t="s">
        <v>419</v>
      </c>
      <c r="Q343" s="64">
        <v>10.5</v>
      </c>
      <c r="R343" s="65">
        <f>6/9</f>
        <v>0.66666666666666663</v>
      </c>
      <c r="S343" s="66">
        <f>AVERAGE(80,40,20,20,0,0,0,0,0)</f>
        <v>17.777777777777779</v>
      </c>
      <c r="T343" s="66">
        <f>STDEV(80,40,20,20,0,0,0,0,0)</f>
        <v>27.284509239574835</v>
      </c>
      <c r="U343" s="66">
        <f>AVERAGE(100,80,80,80,0,0,0,0,0)</f>
        <v>37.777777777777779</v>
      </c>
      <c r="V343" s="66">
        <f>STDEV(100,80,80,80,0,0,0,0,0)</f>
        <v>45.21553322083512</v>
      </c>
      <c r="W343" s="62">
        <v>9</v>
      </c>
      <c r="X343" s="62">
        <v>0</v>
      </c>
      <c r="Y343" s="62">
        <v>0</v>
      </c>
      <c r="Z343" s="62" t="s">
        <v>417</v>
      </c>
      <c r="AA343" s="62"/>
      <c r="AB343" s="62" t="s">
        <v>17</v>
      </c>
      <c r="AC343" s="62" t="s">
        <v>17</v>
      </c>
      <c r="AD343" s="61" t="s">
        <v>17</v>
      </c>
      <c r="AF343" s="4" t="s">
        <v>669</v>
      </c>
      <c r="AJ343" s="67"/>
      <c r="AK343" s="67"/>
      <c r="AL343" s="67"/>
    </row>
    <row r="344" spans="1:38" ht="12.75" customHeight="1" x14ac:dyDescent="0.3">
      <c r="A344" s="61">
        <v>343</v>
      </c>
      <c r="B344" s="61">
        <v>93</v>
      </c>
      <c r="C344" s="61" t="s">
        <v>810</v>
      </c>
      <c r="D344" s="62" t="s">
        <v>414</v>
      </c>
      <c r="E344" s="62" t="s">
        <v>28</v>
      </c>
      <c r="F344" s="62" t="s">
        <v>415</v>
      </c>
      <c r="G344" s="62" t="s">
        <v>2</v>
      </c>
      <c r="H344" s="63">
        <v>1</v>
      </c>
      <c r="I344" s="62"/>
      <c r="J344" s="62">
        <v>1</v>
      </c>
      <c r="K344" s="62">
        <v>0</v>
      </c>
      <c r="L344" s="62">
        <v>60</v>
      </c>
      <c r="M344" s="62">
        <v>1</v>
      </c>
      <c r="N344" s="62">
        <v>0</v>
      </c>
      <c r="O344" s="62">
        <v>1</v>
      </c>
      <c r="P344" s="62" t="s">
        <v>420</v>
      </c>
      <c r="Q344" s="64">
        <v>10.5</v>
      </c>
      <c r="R344" s="65">
        <f>6/9</f>
        <v>0.66666666666666663</v>
      </c>
      <c r="S344" s="66">
        <f>AVERAGE(93,39,31,31,17,0,0,0,0)</f>
        <v>23.444444444444443</v>
      </c>
      <c r="T344" s="66">
        <f>STDEV(93,39,31,31,17,0,0,0,0)</f>
        <v>30.484057764309821</v>
      </c>
      <c r="U344" s="66">
        <f>AVERAGE(36,17,16,10,0,0,0,0,0)</f>
        <v>8.7777777777777786</v>
      </c>
      <c r="V344" s="66">
        <f>STDEV(36,17,16,10,0,0,0,0,0)</f>
        <v>12.487771796619462</v>
      </c>
      <c r="W344" s="62">
        <v>9</v>
      </c>
      <c r="X344" s="62">
        <v>1</v>
      </c>
      <c r="Y344" s="62">
        <v>0</v>
      </c>
      <c r="Z344" s="62" t="s">
        <v>417</v>
      </c>
      <c r="AA344" s="62"/>
      <c r="AB344" s="62" t="s">
        <v>17</v>
      </c>
      <c r="AC344" s="62" t="s">
        <v>17</v>
      </c>
      <c r="AD344" s="61" t="s">
        <v>17</v>
      </c>
      <c r="AF344" s="4" t="s">
        <v>669</v>
      </c>
      <c r="AJ344" s="67"/>
      <c r="AK344" s="67"/>
      <c r="AL344" s="67"/>
    </row>
    <row r="345" spans="1:38" ht="12.75" customHeight="1" x14ac:dyDescent="0.3">
      <c r="A345" s="61">
        <v>344</v>
      </c>
      <c r="B345" s="61">
        <v>93</v>
      </c>
      <c r="C345" s="61" t="s">
        <v>810</v>
      </c>
      <c r="D345" s="62" t="s">
        <v>414</v>
      </c>
      <c r="E345" s="62" t="s">
        <v>28</v>
      </c>
      <c r="F345" s="62" t="s">
        <v>415</v>
      </c>
      <c r="G345" s="62" t="s">
        <v>2</v>
      </c>
      <c r="H345" s="63">
        <v>1</v>
      </c>
      <c r="I345" s="62"/>
      <c r="J345" s="62">
        <v>1</v>
      </c>
      <c r="K345" s="62">
        <v>0</v>
      </c>
      <c r="L345" s="62">
        <v>60</v>
      </c>
      <c r="M345" s="62">
        <v>1</v>
      </c>
      <c r="N345" s="62">
        <v>0</v>
      </c>
      <c r="O345" s="62">
        <v>1</v>
      </c>
      <c r="P345" s="62" t="s">
        <v>421</v>
      </c>
      <c r="Q345" s="64">
        <v>10.5</v>
      </c>
      <c r="R345" s="65">
        <f>6/9</f>
        <v>0.66666666666666663</v>
      </c>
      <c r="S345" s="66">
        <f>AVERAGE(77,32,30,5,0,0,0,0,0)</f>
        <v>16</v>
      </c>
      <c r="T345" s="66">
        <f>STDEV(77,32,30,5,0,0,0,0,0)</f>
        <v>26.396022427631024</v>
      </c>
      <c r="U345" s="66">
        <f>AVERAGE(54,6,0,0,0,0,0,0,0)</f>
        <v>6.666666666666667</v>
      </c>
      <c r="V345" s="66">
        <f>STDEV(54,6,0,0,0,0,0,0,0)</f>
        <v>17.86057109949175</v>
      </c>
      <c r="W345" s="62">
        <v>9</v>
      </c>
      <c r="X345" s="62">
        <v>1</v>
      </c>
      <c r="Y345" s="62">
        <v>0</v>
      </c>
      <c r="Z345" s="62" t="s">
        <v>417</v>
      </c>
      <c r="AA345" s="62"/>
      <c r="AB345" s="62" t="s">
        <v>17</v>
      </c>
      <c r="AC345" s="62" t="s">
        <v>17</v>
      </c>
      <c r="AD345" s="61" t="s">
        <v>17</v>
      </c>
      <c r="AF345" s="4" t="s">
        <v>669</v>
      </c>
      <c r="AJ345" s="67"/>
      <c r="AK345" s="67"/>
      <c r="AL345" s="67"/>
    </row>
    <row r="346" spans="1:38" ht="12.75" customHeight="1" x14ac:dyDescent="0.3">
      <c r="A346" s="61">
        <v>345</v>
      </c>
      <c r="B346" s="61">
        <v>94</v>
      </c>
      <c r="C346" s="62" t="s">
        <v>773</v>
      </c>
      <c r="D346" s="62" t="s">
        <v>62</v>
      </c>
      <c r="E346" s="62" t="s">
        <v>422</v>
      </c>
      <c r="F346" s="62" t="s">
        <v>33</v>
      </c>
      <c r="G346" s="62" t="s">
        <v>2</v>
      </c>
      <c r="H346" s="63">
        <v>0</v>
      </c>
      <c r="I346" s="62" t="s">
        <v>423</v>
      </c>
      <c r="J346" s="62">
        <v>1</v>
      </c>
      <c r="K346" s="62">
        <v>0</v>
      </c>
      <c r="L346" s="62">
        <v>18</v>
      </c>
      <c r="M346" s="62">
        <v>1</v>
      </c>
      <c r="N346" s="62">
        <v>0</v>
      </c>
      <c r="O346" s="62">
        <v>1</v>
      </c>
      <c r="P346" s="62" t="s">
        <v>424</v>
      </c>
      <c r="Q346" s="64">
        <f>AVERAGE(18,30)</f>
        <v>24</v>
      </c>
      <c r="R346" s="65">
        <f>14/(14+29)</f>
        <v>0.32558139534883723</v>
      </c>
      <c r="S346" s="66">
        <v>4.2300000000000004</v>
      </c>
      <c r="T346" s="66">
        <v>1.56</v>
      </c>
      <c r="U346" s="66">
        <v>5.72</v>
      </c>
      <c r="V346" s="66">
        <v>0.7</v>
      </c>
      <c r="W346" s="62">
        <v>43</v>
      </c>
      <c r="X346" s="62">
        <v>0</v>
      </c>
      <c r="Y346" s="62">
        <v>1</v>
      </c>
      <c r="Z346" s="62" t="s">
        <v>425</v>
      </c>
      <c r="AA346" s="62" t="s">
        <v>1495</v>
      </c>
      <c r="AB346" s="62" t="s">
        <v>17</v>
      </c>
      <c r="AC346" s="62" t="s">
        <v>17</v>
      </c>
      <c r="AD346" s="61" t="s">
        <v>17</v>
      </c>
      <c r="AF346" s="4" t="s">
        <v>855</v>
      </c>
      <c r="AJ346" s="67"/>
      <c r="AK346" s="67"/>
      <c r="AL346" s="67"/>
    </row>
    <row r="347" spans="1:38" ht="12.75" customHeight="1" x14ac:dyDescent="0.3">
      <c r="A347" s="61">
        <v>346</v>
      </c>
      <c r="B347" s="61">
        <v>94</v>
      </c>
      <c r="C347" s="62" t="s">
        <v>773</v>
      </c>
      <c r="D347" s="62" t="s">
        <v>62</v>
      </c>
      <c r="E347" s="62" t="s">
        <v>422</v>
      </c>
      <c r="F347" s="62" t="s">
        <v>33</v>
      </c>
      <c r="G347" s="62" t="s">
        <v>2</v>
      </c>
      <c r="H347" s="63">
        <v>0</v>
      </c>
      <c r="I347" s="62" t="s">
        <v>426</v>
      </c>
      <c r="J347" s="62">
        <v>1</v>
      </c>
      <c r="K347" s="62">
        <v>0</v>
      </c>
      <c r="L347" s="62">
        <v>18</v>
      </c>
      <c r="M347" s="62">
        <v>1</v>
      </c>
      <c r="N347" s="62">
        <v>0</v>
      </c>
      <c r="O347" s="62">
        <v>1</v>
      </c>
      <c r="P347" s="62" t="s">
        <v>424</v>
      </c>
      <c r="Q347" s="64">
        <f>AVERAGE(18,30)</f>
        <v>24</v>
      </c>
      <c r="R347" s="65">
        <f>14/(14+29)</f>
        <v>0.32558139534883723</v>
      </c>
      <c r="S347" s="66">
        <v>4.2300000000000004</v>
      </c>
      <c r="T347" s="66">
        <v>1.56</v>
      </c>
      <c r="U347" s="66">
        <v>5.6</v>
      </c>
      <c r="V347" s="66">
        <v>0.73</v>
      </c>
      <c r="W347" s="62">
        <v>43</v>
      </c>
      <c r="X347" s="62">
        <v>0</v>
      </c>
      <c r="Y347" s="62">
        <v>1</v>
      </c>
      <c r="Z347" s="62" t="s">
        <v>425</v>
      </c>
      <c r="AA347" s="62" t="s">
        <v>1345</v>
      </c>
      <c r="AB347" s="62" t="s">
        <v>17</v>
      </c>
      <c r="AC347" s="62" t="s">
        <v>17</v>
      </c>
      <c r="AD347" s="61" t="s">
        <v>17</v>
      </c>
      <c r="AF347" s="4" t="s">
        <v>855</v>
      </c>
      <c r="AJ347" s="67"/>
      <c r="AK347" s="67"/>
      <c r="AL347" s="67"/>
    </row>
    <row r="348" spans="1:38" ht="12.75" customHeight="1" x14ac:dyDescent="0.3">
      <c r="A348" s="61">
        <v>347</v>
      </c>
      <c r="B348" s="61">
        <v>95</v>
      </c>
      <c r="C348" s="61" t="s">
        <v>750</v>
      </c>
      <c r="D348" s="62" t="s">
        <v>62</v>
      </c>
      <c r="E348" s="62" t="s">
        <v>32</v>
      </c>
      <c r="F348" s="62" t="s">
        <v>33</v>
      </c>
      <c r="G348" s="62" t="s">
        <v>34</v>
      </c>
      <c r="H348" s="63">
        <v>0</v>
      </c>
      <c r="I348" s="62"/>
      <c r="J348" s="62" t="s">
        <v>51</v>
      </c>
      <c r="K348" s="62" t="s">
        <v>32</v>
      </c>
      <c r="L348" s="62">
        <v>50</v>
      </c>
      <c r="M348" s="62">
        <v>1</v>
      </c>
      <c r="N348" s="62">
        <v>0</v>
      </c>
      <c r="O348" s="62">
        <v>1</v>
      </c>
      <c r="P348" s="62" t="s">
        <v>427</v>
      </c>
      <c r="Q348" s="64">
        <v>11</v>
      </c>
      <c r="R348" s="65" t="s">
        <v>28</v>
      </c>
      <c r="S348" s="66">
        <v>36</v>
      </c>
      <c r="T348" s="66">
        <v>25.41</v>
      </c>
      <c r="U348" s="66">
        <v>68</v>
      </c>
      <c r="V348" s="66">
        <v>20.81</v>
      </c>
      <c r="W348" s="62">
        <v>30</v>
      </c>
      <c r="X348" s="62">
        <v>0</v>
      </c>
      <c r="Y348" s="62">
        <v>0</v>
      </c>
      <c r="Z348" s="62" t="s">
        <v>210</v>
      </c>
      <c r="AA348" s="62"/>
      <c r="AB348" s="62" t="s">
        <v>17</v>
      </c>
      <c r="AC348" s="62" t="s">
        <v>17</v>
      </c>
      <c r="AD348" s="61" t="s">
        <v>17</v>
      </c>
      <c r="AF348" s="4" t="s">
        <v>670</v>
      </c>
      <c r="AJ348" s="67"/>
      <c r="AK348" s="67"/>
      <c r="AL348" s="67"/>
    </row>
    <row r="349" spans="1:38" ht="12.75" customHeight="1" x14ac:dyDescent="0.3">
      <c r="A349" s="61">
        <v>348</v>
      </c>
      <c r="B349" s="61">
        <v>95</v>
      </c>
      <c r="C349" s="61" t="s">
        <v>750</v>
      </c>
      <c r="D349" s="62" t="s">
        <v>62</v>
      </c>
      <c r="E349" s="62" t="s">
        <v>308</v>
      </c>
      <c r="F349" s="62" t="s">
        <v>33</v>
      </c>
      <c r="G349" s="62" t="s">
        <v>2</v>
      </c>
      <c r="H349" s="63">
        <v>0</v>
      </c>
      <c r="I349" s="62"/>
      <c r="J349" s="62" t="s">
        <v>51</v>
      </c>
      <c r="K349" s="62">
        <v>1</v>
      </c>
      <c r="L349" s="62">
        <v>50</v>
      </c>
      <c r="M349" s="62">
        <v>1</v>
      </c>
      <c r="N349" s="62">
        <v>0</v>
      </c>
      <c r="O349" s="62">
        <v>1</v>
      </c>
      <c r="P349" s="62" t="s">
        <v>427</v>
      </c>
      <c r="Q349" s="64">
        <v>11</v>
      </c>
      <c r="R349" s="65" t="s">
        <v>28</v>
      </c>
      <c r="S349" s="66">
        <v>38.67</v>
      </c>
      <c r="T349" s="66">
        <v>23.6</v>
      </c>
      <c r="U349" s="66">
        <v>80.83</v>
      </c>
      <c r="V349" s="66">
        <v>23.33</v>
      </c>
      <c r="W349" s="62">
        <v>30</v>
      </c>
      <c r="X349" s="62">
        <v>0</v>
      </c>
      <c r="Y349" s="62">
        <v>0</v>
      </c>
      <c r="Z349" s="62" t="s">
        <v>210</v>
      </c>
      <c r="AA349" s="62"/>
      <c r="AB349" s="62" t="s">
        <v>17</v>
      </c>
      <c r="AC349" s="62" t="s">
        <v>17</v>
      </c>
      <c r="AD349" s="61" t="s">
        <v>17</v>
      </c>
      <c r="AF349" s="4" t="s">
        <v>670</v>
      </c>
      <c r="AJ349" s="67"/>
      <c r="AK349" s="67"/>
      <c r="AL349" s="67"/>
    </row>
    <row r="350" spans="1:38" ht="12.75" customHeight="1" x14ac:dyDescent="0.3">
      <c r="A350" s="61">
        <v>349</v>
      </c>
      <c r="B350" s="61">
        <v>96</v>
      </c>
      <c r="C350" s="61" t="s">
        <v>771</v>
      </c>
      <c r="D350" s="62" t="s">
        <v>62</v>
      </c>
      <c r="E350" s="62" t="s">
        <v>428</v>
      </c>
      <c r="F350" s="62" t="s">
        <v>415</v>
      </c>
      <c r="G350" s="62" t="s">
        <v>2</v>
      </c>
      <c r="H350" s="63">
        <v>0</v>
      </c>
      <c r="I350" s="62"/>
      <c r="J350" s="62" t="s">
        <v>51</v>
      </c>
      <c r="K350" s="62">
        <v>1</v>
      </c>
      <c r="L350" s="62">
        <v>960</v>
      </c>
      <c r="M350" s="62" t="s">
        <v>429</v>
      </c>
      <c r="N350" s="62">
        <v>7</v>
      </c>
      <c r="O350" s="62">
        <v>2</v>
      </c>
      <c r="P350" s="62" t="s">
        <v>700</v>
      </c>
      <c r="Q350" s="64">
        <v>18</v>
      </c>
      <c r="R350" s="65" t="s">
        <v>28</v>
      </c>
      <c r="S350" s="66">
        <v>48.51</v>
      </c>
      <c r="T350" s="66">
        <v>33.04</v>
      </c>
      <c r="U350" s="66">
        <v>207.46</v>
      </c>
      <c r="V350" s="66">
        <v>28.67</v>
      </c>
      <c r="W350" s="62">
        <v>35</v>
      </c>
      <c r="X350" s="62">
        <v>0</v>
      </c>
      <c r="Y350" s="62">
        <v>0</v>
      </c>
      <c r="Z350" s="62" t="s">
        <v>430</v>
      </c>
      <c r="AA350" s="62"/>
      <c r="AB350" s="62" t="s">
        <v>17</v>
      </c>
      <c r="AC350" s="62" t="s">
        <v>17</v>
      </c>
      <c r="AD350" s="61" t="s">
        <v>17</v>
      </c>
      <c r="AF350" s="4" t="s">
        <v>671</v>
      </c>
      <c r="AJ350" s="67"/>
      <c r="AK350" s="67"/>
      <c r="AL350" s="67"/>
    </row>
    <row r="351" spans="1:38" ht="12.75" customHeight="1" x14ac:dyDescent="0.3">
      <c r="A351" s="61">
        <v>350</v>
      </c>
      <c r="B351" s="61">
        <v>96</v>
      </c>
      <c r="C351" s="61" t="s">
        <v>771</v>
      </c>
      <c r="D351" s="62" t="s">
        <v>62</v>
      </c>
      <c r="E351" s="62" t="s">
        <v>32</v>
      </c>
      <c r="F351" s="62" t="s">
        <v>415</v>
      </c>
      <c r="G351" s="62" t="s">
        <v>34</v>
      </c>
      <c r="H351" s="63">
        <v>0</v>
      </c>
      <c r="I351" s="62"/>
      <c r="J351" s="62" t="s">
        <v>51</v>
      </c>
      <c r="K351" s="62" t="s">
        <v>32</v>
      </c>
      <c r="L351" s="62">
        <v>960</v>
      </c>
      <c r="M351" s="62" t="s">
        <v>429</v>
      </c>
      <c r="N351" s="62">
        <v>7</v>
      </c>
      <c r="O351" s="62">
        <v>2</v>
      </c>
      <c r="P351" s="62" t="s">
        <v>700</v>
      </c>
      <c r="Q351" s="64">
        <v>18</v>
      </c>
      <c r="R351" s="65" t="s">
        <v>28</v>
      </c>
      <c r="S351" s="66">
        <v>46.49</v>
      </c>
      <c r="T351" s="66">
        <v>24.69</v>
      </c>
      <c r="U351" s="66">
        <v>202.69</v>
      </c>
      <c r="V351" s="66">
        <v>31.13</v>
      </c>
      <c r="W351" s="62">
        <v>35</v>
      </c>
      <c r="X351" s="62">
        <v>0</v>
      </c>
      <c r="Y351" s="62">
        <v>0</v>
      </c>
      <c r="Z351" s="62" t="s">
        <v>430</v>
      </c>
      <c r="AA351" s="62"/>
      <c r="AB351" s="62" t="s">
        <v>17</v>
      </c>
      <c r="AC351" s="62" t="s">
        <v>17</v>
      </c>
      <c r="AD351" s="61" t="s">
        <v>17</v>
      </c>
      <c r="AF351" s="4" t="s">
        <v>671</v>
      </c>
      <c r="AJ351" s="67"/>
      <c r="AK351" s="67"/>
      <c r="AL351" s="67"/>
    </row>
    <row r="352" spans="1:38" ht="12.75" customHeight="1" x14ac:dyDescent="0.3">
      <c r="A352" s="61">
        <v>351</v>
      </c>
      <c r="B352" s="61">
        <v>96</v>
      </c>
      <c r="C352" s="61" t="s">
        <v>771</v>
      </c>
      <c r="D352" s="62" t="s">
        <v>62</v>
      </c>
      <c r="E352" s="62" t="s">
        <v>32</v>
      </c>
      <c r="F352" s="62" t="s">
        <v>415</v>
      </c>
      <c r="G352" s="62" t="s">
        <v>34</v>
      </c>
      <c r="H352" s="63">
        <v>0</v>
      </c>
      <c r="I352" s="62"/>
      <c r="J352" s="62" t="s">
        <v>51</v>
      </c>
      <c r="K352" s="62" t="s">
        <v>32</v>
      </c>
      <c r="L352" s="62">
        <v>960</v>
      </c>
      <c r="M352" s="62" t="s">
        <v>429</v>
      </c>
      <c r="N352" s="62">
        <v>7</v>
      </c>
      <c r="O352" s="62">
        <v>2</v>
      </c>
      <c r="P352" s="62" t="s">
        <v>700</v>
      </c>
      <c r="Q352" s="64">
        <v>18</v>
      </c>
      <c r="R352" s="65" t="s">
        <v>28</v>
      </c>
      <c r="S352" s="66">
        <v>53.69</v>
      </c>
      <c r="T352" s="66">
        <v>27.11</v>
      </c>
      <c r="U352" s="66">
        <v>189.6</v>
      </c>
      <c r="V352" s="66">
        <v>26.1</v>
      </c>
      <c r="W352" s="62">
        <v>35</v>
      </c>
      <c r="X352" s="62">
        <v>0</v>
      </c>
      <c r="Y352" s="62">
        <v>0</v>
      </c>
      <c r="Z352" s="62" t="s">
        <v>430</v>
      </c>
      <c r="AA352" s="62"/>
      <c r="AB352" s="62" t="s">
        <v>17</v>
      </c>
      <c r="AC352" s="62" t="s">
        <v>17</v>
      </c>
      <c r="AD352" s="61" t="s">
        <v>17</v>
      </c>
      <c r="AF352" s="4" t="s">
        <v>671</v>
      </c>
      <c r="AJ352" s="67"/>
      <c r="AK352" s="67"/>
      <c r="AL352" s="67"/>
    </row>
    <row r="353" spans="1:38" ht="12.75" customHeight="1" x14ac:dyDescent="0.3">
      <c r="A353" s="61">
        <v>352</v>
      </c>
      <c r="B353" s="61">
        <v>96</v>
      </c>
      <c r="C353" s="61" t="s">
        <v>771</v>
      </c>
      <c r="D353" s="62" t="s">
        <v>62</v>
      </c>
      <c r="E353" s="62" t="s">
        <v>32</v>
      </c>
      <c r="F353" s="62" t="s">
        <v>415</v>
      </c>
      <c r="G353" s="62" t="s">
        <v>2</v>
      </c>
      <c r="H353" s="63">
        <v>0</v>
      </c>
      <c r="I353" s="62"/>
      <c r="J353" s="62" t="s">
        <v>51</v>
      </c>
      <c r="K353" s="62">
        <v>1</v>
      </c>
      <c r="L353" s="62">
        <v>960</v>
      </c>
      <c r="M353" s="62" t="s">
        <v>429</v>
      </c>
      <c r="N353" s="62">
        <f>9*7</f>
        <v>63</v>
      </c>
      <c r="O353" s="62">
        <v>2</v>
      </c>
      <c r="P353" s="62" t="s">
        <v>700</v>
      </c>
      <c r="Q353" s="64">
        <v>18</v>
      </c>
      <c r="R353" s="65" t="s">
        <v>28</v>
      </c>
      <c r="S353" s="66">
        <v>48.51</v>
      </c>
      <c r="T353" s="66">
        <v>33.04</v>
      </c>
      <c r="U353" s="66">
        <v>190.31</v>
      </c>
      <c r="V353" s="66">
        <v>29.48</v>
      </c>
      <c r="W353" s="62">
        <v>35</v>
      </c>
      <c r="X353" s="62">
        <v>0</v>
      </c>
      <c r="Y353" s="62">
        <v>0</v>
      </c>
      <c r="Z353" s="62" t="s">
        <v>431</v>
      </c>
      <c r="AA353" s="62"/>
      <c r="AB353" s="62" t="s">
        <v>17</v>
      </c>
      <c r="AC353" s="62" t="s">
        <v>17</v>
      </c>
      <c r="AD353" s="61" t="s">
        <v>17</v>
      </c>
      <c r="AF353" s="4" t="s">
        <v>671</v>
      </c>
      <c r="AJ353" s="67"/>
      <c r="AK353" s="67"/>
      <c r="AL353" s="67"/>
    </row>
    <row r="354" spans="1:38" ht="12.75" customHeight="1" x14ac:dyDescent="0.3">
      <c r="A354" s="61">
        <v>353</v>
      </c>
      <c r="B354" s="61">
        <v>96</v>
      </c>
      <c r="C354" s="61" t="s">
        <v>771</v>
      </c>
      <c r="D354" s="62" t="s">
        <v>62</v>
      </c>
      <c r="E354" s="62" t="s">
        <v>32</v>
      </c>
      <c r="F354" s="62" t="s">
        <v>415</v>
      </c>
      <c r="G354" s="62" t="s">
        <v>34</v>
      </c>
      <c r="H354" s="63">
        <v>0</v>
      </c>
      <c r="I354" s="62"/>
      <c r="J354" s="62" t="s">
        <v>51</v>
      </c>
      <c r="K354" s="62" t="s">
        <v>32</v>
      </c>
      <c r="L354" s="62">
        <v>960</v>
      </c>
      <c r="M354" s="62" t="s">
        <v>429</v>
      </c>
      <c r="N354" s="62">
        <f>9*7</f>
        <v>63</v>
      </c>
      <c r="O354" s="62">
        <v>2</v>
      </c>
      <c r="P354" s="62" t="s">
        <v>700</v>
      </c>
      <c r="Q354" s="64">
        <v>18</v>
      </c>
      <c r="R354" s="65" t="s">
        <v>28</v>
      </c>
      <c r="S354" s="66">
        <v>46.49</v>
      </c>
      <c r="T354" s="66">
        <v>24.69</v>
      </c>
      <c r="U354" s="66">
        <v>185.89</v>
      </c>
      <c r="V354" s="66">
        <v>32.18</v>
      </c>
      <c r="W354" s="62">
        <v>35</v>
      </c>
      <c r="X354" s="62">
        <v>0</v>
      </c>
      <c r="Y354" s="62">
        <v>0</v>
      </c>
      <c r="Z354" s="62" t="s">
        <v>431</v>
      </c>
      <c r="AA354" s="62"/>
      <c r="AB354" s="62" t="s">
        <v>17</v>
      </c>
      <c r="AC354" s="62" t="s">
        <v>17</v>
      </c>
      <c r="AD354" s="61" t="s">
        <v>17</v>
      </c>
      <c r="AF354" s="4" t="s">
        <v>671</v>
      </c>
      <c r="AJ354" s="67"/>
      <c r="AK354" s="67"/>
      <c r="AL354" s="67"/>
    </row>
    <row r="355" spans="1:38" ht="12.75" customHeight="1" x14ac:dyDescent="0.3">
      <c r="A355" s="61">
        <v>354</v>
      </c>
      <c r="B355" s="61">
        <v>96</v>
      </c>
      <c r="C355" s="61" t="s">
        <v>771</v>
      </c>
      <c r="D355" s="62" t="s">
        <v>62</v>
      </c>
      <c r="E355" s="62" t="s">
        <v>32</v>
      </c>
      <c r="F355" s="62" t="s">
        <v>415</v>
      </c>
      <c r="G355" s="62" t="s">
        <v>34</v>
      </c>
      <c r="H355" s="63">
        <v>0</v>
      </c>
      <c r="I355" s="62"/>
      <c r="J355" s="62" t="s">
        <v>51</v>
      </c>
      <c r="K355" s="62" t="s">
        <v>32</v>
      </c>
      <c r="L355" s="62">
        <v>960</v>
      </c>
      <c r="M355" s="62" t="s">
        <v>429</v>
      </c>
      <c r="N355" s="62">
        <f>9*7</f>
        <v>63</v>
      </c>
      <c r="O355" s="62">
        <v>2</v>
      </c>
      <c r="P355" s="62" t="s">
        <v>700</v>
      </c>
      <c r="Q355" s="64">
        <v>18</v>
      </c>
      <c r="R355" s="65" t="s">
        <v>28</v>
      </c>
      <c r="S355" s="66">
        <v>53.69</v>
      </c>
      <c r="T355" s="66">
        <v>27.11</v>
      </c>
      <c r="U355" s="66">
        <v>173.91</v>
      </c>
      <c r="V355" s="66">
        <v>25.97</v>
      </c>
      <c r="W355" s="62">
        <v>35</v>
      </c>
      <c r="X355" s="62">
        <v>0</v>
      </c>
      <c r="Y355" s="62">
        <v>0</v>
      </c>
      <c r="Z355" s="62" t="s">
        <v>431</v>
      </c>
      <c r="AA355" s="62"/>
      <c r="AB355" s="62" t="s">
        <v>17</v>
      </c>
      <c r="AC355" s="62" t="s">
        <v>17</v>
      </c>
      <c r="AD355" s="61" t="s">
        <v>17</v>
      </c>
      <c r="AF355" s="4" t="s">
        <v>671</v>
      </c>
      <c r="AJ355" s="67"/>
      <c r="AK355" s="67"/>
      <c r="AL355" s="67"/>
    </row>
    <row r="356" spans="1:38" ht="12.75" customHeight="1" x14ac:dyDescent="0.3">
      <c r="A356" s="61">
        <v>355</v>
      </c>
      <c r="B356" s="61">
        <v>97</v>
      </c>
      <c r="C356" s="61" t="s">
        <v>838</v>
      </c>
      <c r="D356" s="62" t="s">
        <v>227</v>
      </c>
      <c r="E356" s="62" t="s">
        <v>26</v>
      </c>
      <c r="F356" s="62" t="s">
        <v>228</v>
      </c>
      <c r="G356" s="62" t="s">
        <v>2</v>
      </c>
      <c r="H356" s="63">
        <v>0</v>
      </c>
      <c r="I356" s="62"/>
      <c r="J356" s="62">
        <v>2</v>
      </c>
      <c r="K356" s="62">
        <v>0</v>
      </c>
      <c r="L356" s="62">
        <v>35</v>
      </c>
      <c r="M356" s="62">
        <v>1</v>
      </c>
      <c r="N356" s="62">
        <v>0</v>
      </c>
      <c r="O356" s="62">
        <v>1</v>
      </c>
      <c r="P356" s="62" t="s">
        <v>1269</v>
      </c>
      <c r="Q356" s="64">
        <f>(6+11)/2</f>
        <v>8.5</v>
      </c>
      <c r="R356" s="65">
        <v>0.44900000000000001</v>
      </c>
      <c r="S356" s="63"/>
      <c r="T356" s="66"/>
      <c r="U356" s="66">
        <v>1.73</v>
      </c>
      <c r="V356" s="66">
        <v>1.88</v>
      </c>
      <c r="W356" s="62">
        <v>44</v>
      </c>
      <c r="X356" s="62">
        <v>0</v>
      </c>
      <c r="Y356" s="62">
        <v>0</v>
      </c>
      <c r="Z356" s="62" t="s">
        <v>432</v>
      </c>
      <c r="AA356" s="62" t="s">
        <v>1315</v>
      </c>
      <c r="AB356" s="62" t="s">
        <v>17</v>
      </c>
      <c r="AC356" s="62" t="s">
        <v>17</v>
      </c>
      <c r="AD356" s="61" t="s">
        <v>17</v>
      </c>
      <c r="AF356" s="4" t="s">
        <v>852</v>
      </c>
      <c r="AJ356" s="67"/>
      <c r="AK356" s="67"/>
      <c r="AL356" s="67"/>
    </row>
    <row r="357" spans="1:38" ht="12.75" customHeight="1" x14ac:dyDescent="0.3">
      <c r="A357" s="61">
        <v>356</v>
      </c>
      <c r="B357" s="61">
        <v>97</v>
      </c>
      <c r="C357" s="61" t="s">
        <v>838</v>
      </c>
      <c r="D357" s="62" t="s">
        <v>227</v>
      </c>
      <c r="E357" s="62" t="s">
        <v>32</v>
      </c>
      <c r="F357" s="62" t="s">
        <v>228</v>
      </c>
      <c r="G357" s="62" t="s">
        <v>34</v>
      </c>
      <c r="H357" s="63">
        <v>0</v>
      </c>
      <c r="I357" s="62"/>
      <c r="J357" s="62">
        <v>2</v>
      </c>
      <c r="K357" s="62" t="s">
        <v>32</v>
      </c>
      <c r="L357" s="62">
        <v>35</v>
      </c>
      <c r="M357" s="62">
        <v>1</v>
      </c>
      <c r="N357" s="62">
        <v>0</v>
      </c>
      <c r="O357" s="62">
        <v>1</v>
      </c>
      <c r="P357" s="62" t="s">
        <v>1269</v>
      </c>
      <c r="Q357" s="64">
        <f>(6+11)/2</f>
        <v>8.5</v>
      </c>
      <c r="R357" s="65">
        <v>0.44900000000000001</v>
      </c>
      <c r="S357" s="63"/>
      <c r="T357" s="66"/>
      <c r="U357" s="66">
        <v>2.82</v>
      </c>
      <c r="V357" s="66">
        <v>2.04</v>
      </c>
      <c r="W357" s="62">
        <v>45</v>
      </c>
      <c r="X357" s="62">
        <v>0</v>
      </c>
      <c r="Y357" s="62">
        <v>0</v>
      </c>
      <c r="Z357" s="62" t="s">
        <v>432</v>
      </c>
      <c r="AA357" s="62"/>
      <c r="AB357" s="62" t="s">
        <v>17</v>
      </c>
      <c r="AC357" s="62" t="s">
        <v>17</v>
      </c>
      <c r="AD357" s="61" t="s">
        <v>17</v>
      </c>
      <c r="AF357" s="4" t="s">
        <v>852</v>
      </c>
      <c r="AJ357" s="67"/>
      <c r="AK357" s="67"/>
      <c r="AL357" s="67"/>
    </row>
    <row r="358" spans="1:38" ht="12.75" customHeight="1" x14ac:dyDescent="0.3">
      <c r="A358" s="61">
        <v>357</v>
      </c>
      <c r="B358" s="61">
        <v>98</v>
      </c>
      <c r="C358" s="62" t="s">
        <v>433</v>
      </c>
      <c r="D358" s="62" t="s">
        <v>434</v>
      </c>
      <c r="E358" s="62" t="s">
        <v>435</v>
      </c>
      <c r="F358" s="62" t="s">
        <v>33</v>
      </c>
      <c r="G358" s="62" t="s">
        <v>2</v>
      </c>
      <c r="H358" s="63">
        <v>0</v>
      </c>
      <c r="I358" s="62" t="s">
        <v>436</v>
      </c>
      <c r="J358" s="62">
        <v>1</v>
      </c>
      <c r="K358" s="62">
        <v>0</v>
      </c>
      <c r="L358" s="62">
        <v>5</v>
      </c>
      <c r="M358" s="62">
        <v>1</v>
      </c>
      <c r="N358" s="62">
        <v>0</v>
      </c>
      <c r="O358" s="62">
        <v>1</v>
      </c>
      <c r="P358" s="62" t="s">
        <v>437</v>
      </c>
      <c r="Q358" s="64">
        <v>6.5</v>
      </c>
      <c r="R358" s="65">
        <f>11/21</f>
        <v>0.52380952380952384</v>
      </c>
      <c r="S358" s="66">
        <v>0.48</v>
      </c>
      <c r="T358" s="66">
        <v>1.0998181667894</v>
      </c>
      <c r="U358" s="66">
        <v>2.38</v>
      </c>
      <c r="V358" s="66">
        <v>2.3371136044274801</v>
      </c>
      <c r="W358" s="62">
        <v>21</v>
      </c>
      <c r="X358" s="62">
        <v>0</v>
      </c>
      <c r="Y358" s="62">
        <v>0</v>
      </c>
      <c r="Z358" s="62" t="s">
        <v>230</v>
      </c>
      <c r="AA358" s="62" t="s">
        <v>438</v>
      </c>
      <c r="AB358" s="62" t="s">
        <v>17</v>
      </c>
      <c r="AC358" s="62" t="s">
        <v>17</v>
      </c>
      <c r="AD358" s="61" t="s">
        <v>17</v>
      </c>
      <c r="AF358" s="4" t="s">
        <v>672</v>
      </c>
      <c r="AJ358" s="67"/>
      <c r="AK358" s="67"/>
      <c r="AL358" s="67"/>
    </row>
    <row r="359" spans="1:38" ht="12.75" customHeight="1" x14ac:dyDescent="0.3">
      <c r="A359" s="61">
        <v>358</v>
      </c>
      <c r="B359" s="61">
        <v>98</v>
      </c>
      <c r="C359" s="62" t="s">
        <v>433</v>
      </c>
      <c r="D359" s="62" t="s">
        <v>434</v>
      </c>
      <c r="E359" s="62" t="s">
        <v>435</v>
      </c>
      <c r="F359" s="62" t="s">
        <v>33</v>
      </c>
      <c r="G359" s="62" t="s">
        <v>2</v>
      </c>
      <c r="H359" s="63">
        <v>0</v>
      </c>
      <c r="I359" s="62" t="s">
        <v>439</v>
      </c>
      <c r="J359" s="62">
        <v>1</v>
      </c>
      <c r="K359" s="62">
        <v>0</v>
      </c>
      <c r="L359" s="62">
        <v>5</v>
      </c>
      <c r="M359" s="62">
        <v>1</v>
      </c>
      <c r="N359" s="62">
        <v>0</v>
      </c>
      <c r="O359" s="62">
        <v>1</v>
      </c>
      <c r="P359" s="62" t="s">
        <v>437</v>
      </c>
      <c r="Q359" s="64">
        <v>6.5</v>
      </c>
      <c r="R359" s="65">
        <v>0.5</v>
      </c>
      <c r="S359" s="66">
        <v>0.7</v>
      </c>
      <c r="T359" s="66">
        <v>1.4758048651498601</v>
      </c>
      <c r="U359" s="66">
        <v>1.5</v>
      </c>
      <c r="V359" s="66">
        <v>2.32551069659978</v>
      </c>
      <c r="W359" s="62">
        <v>20</v>
      </c>
      <c r="X359" s="62">
        <v>0</v>
      </c>
      <c r="Y359" s="62">
        <v>0</v>
      </c>
      <c r="Z359" s="62" t="s">
        <v>230</v>
      </c>
      <c r="AA359" s="62"/>
      <c r="AB359" s="62" t="s">
        <v>17</v>
      </c>
      <c r="AC359" s="62" t="s">
        <v>17</v>
      </c>
      <c r="AD359" s="61" t="s">
        <v>17</v>
      </c>
      <c r="AF359" s="4" t="s">
        <v>672</v>
      </c>
      <c r="AJ359" s="67"/>
      <c r="AK359" s="67"/>
      <c r="AL359" s="67"/>
    </row>
    <row r="360" spans="1:38" ht="12.75" customHeight="1" x14ac:dyDescent="0.3">
      <c r="A360" s="61">
        <v>359</v>
      </c>
      <c r="B360" s="61">
        <v>98</v>
      </c>
      <c r="C360" s="62" t="s">
        <v>433</v>
      </c>
      <c r="D360" s="62" t="s">
        <v>434</v>
      </c>
      <c r="E360" s="62" t="s">
        <v>435</v>
      </c>
      <c r="F360" s="62" t="s">
        <v>33</v>
      </c>
      <c r="G360" s="62" t="s">
        <v>2</v>
      </c>
      <c r="H360" s="63">
        <v>0</v>
      </c>
      <c r="I360" s="62" t="s">
        <v>440</v>
      </c>
      <c r="J360" s="62">
        <v>1</v>
      </c>
      <c r="K360" s="62">
        <v>0</v>
      </c>
      <c r="L360" s="62">
        <v>5</v>
      </c>
      <c r="M360" s="62">
        <v>1</v>
      </c>
      <c r="N360" s="62">
        <v>0</v>
      </c>
      <c r="O360" s="62">
        <v>1</v>
      </c>
      <c r="P360" s="62" t="s">
        <v>437</v>
      </c>
      <c r="Q360" s="64">
        <v>6.5</v>
      </c>
      <c r="R360" s="65">
        <f>11/21</f>
        <v>0.52380952380952384</v>
      </c>
      <c r="S360" s="66">
        <v>1.19</v>
      </c>
      <c r="T360" s="66">
        <v>2.3371136044274801</v>
      </c>
      <c r="U360" s="66">
        <v>2.71</v>
      </c>
      <c r="V360" s="66">
        <v>2.8870226878221801</v>
      </c>
      <c r="W360" s="62">
        <v>21</v>
      </c>
      <c r="X360" s="62">
        <v>0</v>
      </c>
      <c r="Y360" s="62">
        <v>0</v>
      </c>
      <c r="Z360" s="62" t="s">
        <v>230</v>
      </c>
      <c r="AA360" s="62"/>
      <c r="AB360" s="62" t="s">
        <v>17</v>
      </c>
      <c r="AC360" s="62" t="s">
        <v>17</v>
      </c>
      <c r="AD360" s="61" t="s">
        <v>17</v>
      </c>
      <c r="AF360" s="4" t="s">
        <v>672</v>
      </c>
      <c r="AJ360" s="67"/>
      <c r="AK360" s="67"/>
      <c r="AL360" s="67"/>
    </row>
    <row r="361" spans="1:38" ht="12.75" customHeight="1" x14ac:dyDescent="0.3">
      <c r="A361" s="61">
        <v>360</v>
      </c>
      <c r="B361" s="61">
        <v>98</v>
      </c>
      <c r="C361" s="62" t="s">
        <v>433</v>
      </c>
      <c r="D361" s="62" t="s">
        <v>434</v>
      </c>
      <c r="E361" s="62" t="s">
        <v>435</v>
      </c>
      <c r="F361" s="62" t="s">
        <v>33</v>
      </c>
      <c r="G361" s="62" t="s">
        <v>2</v>
      </c>
      <c r="H361" s="63">
        <v>0</v>
      </c>
      <c r="I361" s="62" t="s">
        <v>408</v>
      </c>
      <c r="J361" s="62">
        <v>1</v>
      </c>
      <c r="K361" s="62">
        <v>0</v>
      </c>
      <c r="L361" s="62">
        <v>5</v>
      </c>
      <c r="M361" s="62">
        <v>1</v>
      </c>
      <c r="N361" s="62">
        <v>0</v>
      </c>
      <c r="O361" s="62">
        <v>1</v>
      </c>
      <c r="P361" s="62" t="s">
        <v>437</v>
      </c>
      <c r="Q361" s="64">
        <v>6.5</v>
      </c>
      <c r="R361" s="65">
        <f>11/21</f>
        <v>0.52380952380952384</v>
      </c>
      <c r="S361" s="66">
        <v>0.81</v>
      </c>
      <c r="T361" s="66">
        <v>2.2454620905283602</v>
      </c>
      <c r="U361" s="66">
        <v>1.29</v>
      </c>
      <c r="V361" s="66">
        <v>2.7953711739230598</v>
      </c>
      <c r="W361" s="62">
        <v>21</v>
      </c>
      <c r="X361" s="62">
        <v>0</v>
      </c>
      <c r="Y361" s="62">
        <v>0</v>
      </c>
      <c r="Z361" s="62" t="s">
        <v>230</v>
      </c>
      <c r="AA361" s="62"/>
      <c r="AB361" s="62" t="s">
        <v>17</v>
      </c>
      <c r="AC361" s="62" t="s">
        <v>17</v>
      </c>
      <c r="AD361" s="61" t="s">
        <v>17</v>
      </c>
      <c r="AF361" s="4" t="s">
        <v>672</v>
      </c>
      <c r="AJ361" s="67"/>
      <c r="AK361" s="67"/>
      <c r="AL361" s="67"/>
    </row>
    <row r="362" spans="1:38" ht="12.75" customHeight="1" x14ac:dyDescent="0.3">
      <c r="A362" s="61">
        <v>361</v>
      </c>
      <c r="B362" s="61">
        <v>98</v>
      </c>
      <c r="C362" s="62" t="s">
        <v>433</v>
      </c>
      <c r="D362" s="62" t="s">
        <v>434</v>
      </c>
      <c r="E362" s="62" t="s">
        <v>435</v>
      </c>
      <c r="F362" s="62" t="s">
        <v>33</v>
      </c>
      <c r="G362" s="62" t="s">
        <v>2</v>
      </c>
      <c r="H362" s="63">
        <v>0</v>
      </c>
      <c r="I362" s="62" t="s">
        <v>436</v>
      </c>
      <c r="J362" s="62">
        <v>1</v>
      </c>
      <c r="K362" s="62">
        <v>0</v>
      </c>
      <c r="L362" s="62">
        <v>5</v>
      </c>
      <c r="M362" s="62">
        <v>1</v>
      </c>
      <c r="N362" s="62">
        <v>0</v>
      </c>
      <c r="O362" s="62">
        <v>1</v>
      </c>
      <c r="P362" s="62" t="s">
        <v>701</v>
      </c>
      <c r="Q362" s="64">
        <v>6.5</v>
      </c>
      <c r="R362" s="65">
        <f>11/21</f>
        <v>0.52380952380952384</v>
      </c>
      <c r="S362" s="66">
        <v>0.48</v>
      </c>
      <c r="T362" s="66">
        <v>1.0998181667894</v>
      </c>
      <c r="U362" s="66">
        <v>2.4300000000000002</v>
      </c>
      <c r="V362" s="66">
        <v>2.3371136044274801</v>
      </c>
      <c r="W362" s="62">
        <v>21</v>
      </c>
      <c r="X362" s="62">
        <v>0</v>
      </c>
      <c r="Y362" s="62">
        <v>0</v>
      </c>
      <c r="Z362" s="62" t="s">
        <v>230</v>
      </c>
      <c r="AA362" s="62"/>
      <c r="AB362" s="62" t="s">
        <v>17</v>
      </c>
      <c r="AC362" s="62" t="s">
        <v>17</v>
      </c>
      <c r="AD362" s="61" t="s">
        <v>17</v>
      </c>
      <c r="AF362" s="4" t="s">
        <v>672</v>
      </c>
      <c r="AJ362" s="67"/>
      <c r="AK362" s="67"/>
      <c r="AL362" s="67"/>
    </row>
    <row r="363" spans="1:38" ht="12.75" customHeight="1" x14ac:dyDescent="0.3">
      <c r="A363" s="61">
        <v>362</v>
      </c>
      <c r="B363" s="61">
        <v>98</v>
      </c>
      <c r="C363" s="62" t="s">
        <v>433</v>
      </c>
      <c r="D363" s="62" t="s">
        <v>434</v>
      </c>
      <c r="E363" s="62" t="s">
        <v>435</v>
      </c>
      <c r="F363" s="62" t="s">
        <v>33</v>
      </c>
      <c r="G363" s="62" t="s">
        <v>2</v>
      </c>
      <c r="H363" s="63">
        <v>0</v>
      </c>
      <c r="I363" s="62" t="s">
        <v>439</v>
      </c>
      <c r="J363" s="62">
        <v>1</v>
      </c>
      <c r="K363" s="62">
        <v>0</v>
      </c>
      <c r="L363" s="62">
        <v>5</v>
      </c>
      <c r="M363" s="62">
        <v>1</v>
      </c>
      <c r="N363" s="62">
        <v>0</v>
      </c>
      <c r="O363" s="62">
        <v>1</v>
      </c>
      <c r="P363" s="62" t="s">
        <v>701</v>
      </c>
      <c r="Q363" s="64">
        <v>6.5</v>
      </c>
      <c r="R363" s="65">
        <v>0.5</v>
      </c>
      <c r="S363" s="66">
        <v>0.7</v>
      </c>
      <c r="T363" s="66">
        <v>1.4758048651498601</v>
      </c>
      <c r="U363" s="66">
        <v>1.55</v>
      </c>
      <c r="V363" s="66">
        <v>2.2807893370497898</v>
      </c>
      <c r="W363" s="62">
        <v>20</v>
      </c>
      <c r="X363" s="62">
        <v>0</v>
      </c>
      <c r="Y363" s="62">
        <v>0</v>
      </c>
      <c r="Z363" s="62" t="s">
        <v>230</v>
      </c>
      <c r="AA363" s="62"/>
      <c r="AB363" s="62" t="s">
        <v>17</v>
      </c>
      <c r="AC363" s="62" t="s">
        <v>17</v>
      </c>
      <c r="AD363" s="61" t="s">
        <v>17</v>
      </c>
      <c r="AF363" s="4" t="s">
        <v>672</v>
      </c>
      <c r="AJ363" s="67"/>
      <c r="AK363" s="67"/>
      <c r="AL363" s="67"/>
    </row>
    <row r="364" spans="1:38" ht="12.75" customHeight="1" x14ac:dyDescent="0.3">
      <c r="A364" s="61">
        <v>363</v>
      </c>
      <c r="B364" s="61">
        <v>98</v>
      </c>
      <c r="C364" s="62" t="s">
        <v>433</v>
      </c>
      <c r="D364" s="62" t="s">
        <v>434</v>
      </c>
      <c r="E364" s="62" t="s">
        <v>435</v>
      </c>
      <c r="F364" s="62" t="s">
        <v>33</v>
      </c>
      <c r="G364" s="62" t="s">
        <v>2</v>
      </c>
      <c r="H364" s="63">
        <v>0</v>
      </c>
      <c r="I364" s="62" t="s">
        <v>440</v>
      </c>
      <c r="J364" s="62">
        <v>1</v>
      </c>
      <c r="K364" s="62">
        <v>0</v>
      </c>
      <c r="L364" s="62">
        <v>5</v>
      </c>
      <c r="M364" s="62">
        <v>1</v>
      </c>
      <c r="N364" s="62">
        <v>0</v>
      </c>
      <c r="O364" s="62">
        <v>1</v>
      </c>
      <c r="P364" s="62" t="s">
        <v>701</v>
      </c>
      <c r="Q364" s="64">
        <v>6.5</v>
      </c>
      <c r="R364" s="65">
        <f>11/21</f>
        <v>0.52380952380952384</v>
      </c>
      <c r="S364" s="66">
        <v>1.19</v>
      </c>
      <c r="T364" s="66">
        <v>2.3371136044274801</v>
      </c>
      <c r="U364" s="66">
        <v>2.71</v>
      </c>
      <c r="V364" s="66">
        <v>2.8870226878221801</v>
      </c>
      <c r="W364" s="62">
        <v>21</v>
      </c>
      <c r="X364" s="62">
        <v>0</v>
      </c>
      <c r="Y364" s="62">
        <v>0</v>
      </c>
      <c r="Z364" s="62" t="s">
        <v>230</v>
      </c>
      <c r="AA364" s="62"/>
      <c r="AB364" s="62" t="s">
        <v>17</v>
      </c>
      <c r="AC364" s="62" t="s">
        <v>17</v>
      </c>
      <c r="AD364" s="61" t="s">
        <v>17</v>
      </c>
      <c r="AF364" s="4" t="s">
        <v>672</v>
      </c>
      <c r="AJ364" s="67"/>
      <c r="AK364" s="67"/>
      <c r="AL364" s="67"/>
    </row>
    <row r="365" spans="1:38" ht="12.75" customHeight="1" x14ac:dyDescent="0.3">
      <c r="A365" s="61">
        <v>364</v>
      </c>
      <c r="B365" s="61">
        <v>98</v>
      </c>
      <c r="C365" s="62" t="s">
        <v>433</v>
      </c>
      <c r="D365" s="62" t="s">
        <v>434</v>
      </c>
      <c r="E365" s="62" t="s">
        <v>435</v>
      </c>
      <c r="F365" s="62" t="s">
        <v>33</v>
      </c>
      <c r="G365" s="62" t="s">
        <v>2</v>
      </c>
      <c r="H365" s="63">
        <v>0</v>
      </c>
      <c r="I365" s="62" t="s">
        <v>408</v>
      </c>
      <c r="J365" s="62">
        <v>1</v>
      </c>
      <c r="K365" s="62">
        <v>0</v>
      </c>
      <c r="L365" s="62">
        <v>5</v>
      </c>
      <c r="M365" s="62">
        <v>1</v>
      </c>
      <c r="N365" s="62">
        <v>0</v>
      </c>
      <c r="O365" s="62">
        <v>1</v>
      </c>
      <c r="P365" s="62" t="s">
        <v>701</v>
      </c>
      <c r="Q365" s="64">
        <v>6.5</v>
      </c>
      <c r="R365" s="65">
        <f>11/21</f>
        <v>0.52380952380952384</v>
      </c>
      <c r="S365" s="66">
        <v>0.81</v>
      </c>
      <c r="T365" s="66">
        <v>2.2454620905283602</v>
      </c>
      <c r="U365" s="66">
        <v>1.33</v>
      </c>
      <c r="V365" s="66">
        <v>2.7953711739230598</v>
      </c>
      <c r="W365" s="62">
        <v>21</v>
      </c>
      <c r="X365" s="62">
        <v>0</v>
      </c>
      <c r="Y365" s="62">
        <v>0</v>
      </c>
      <c r="Z365" s="62" t="s">
        <v>230</v>
      </c>
      <c r="AA365" s="62"/>
      <c r="AB365" s="62" t="s">
        <v>17</v>
      </c>
      <c r="AC365" s="62" t="s">
        <v>17</v>
      </c>
      <c r="AD365" s="61" t="s">
        <v>17</v>
      </c>
      <c r="AF365" s="4" t="s">
        <v>672</v>
      </c>
      <c r="AJ365" s="67"/>
      <c r="AK365" s="67"/>
      <c r="AL365" s="67"/>
    </row>
    <row r="366" spans="1:38" ht="12.75" customHeight="1" x14ac:dyDescent="0.3">
      <c r="A366" s="61">
        <v>365</v>
      </c>
      <c r="B366" s="61">
        <v>99</v>
      </c>
      <c r="C366" s="61" t="s">
        <v>826</v>
      </c>
      <c r="D366" s="62" t="s">
        <v>1095</v>
      </c>
      <c r="E366" s="62" t="s">
        <v>222</v>
      </c>
      <c r="F366" s="62" t="s">
        <v>33</v>
      </c>
      <c r="G366" s="62" t="s">
        <v>2</v>
      </c>
      <c r="H366" s="63">
        <v>1</v>
      </c>
      <c r="I366" s="62"/>
      <c r="J366" s="62">
        <v>1</v>
      </c>
      <c r="K366" s="62">
        <v>0</v>
      </c>
      <c r="L366" s="62">
        <v>5</v>
      </c>
      <c r="M366" s="62">
        <v>1</v>
      </c>
      <c r="N366" s="62">
        <v>0</v>
      </c>
      <c r="O366" s="62" t="s">
        <v>32</v>
      </c>
      <c r="P366" s="62" t="s">
        <v>441</v>
      </c>
      <c r="Q366" s="64">
        <v>25.9</v>
      </c>
      <c r="R366" s="65">
        <f>7/18</f>
        <v>0.3888888888888889</v>
      </c>
      <c r="S366" s="66"/>
      <c r="T366" s="66"/>
      <c r="U366" s="66">
        <v>94.23</v>
      </c>
      <c r="V366" s="66">
        <v>14.98</v>
      </c>
      <c r="W366" s="62">
        <f>18-5</f>
        <v>13</v>
      </c>
      <c r="X366" s="62">
        <v>0</v>
      </c>
      <c r="Y366" s="62">
        <v>0</v>
      </c>
      <c r="Z366" s="62" t="s">
        <v>105</v>
      </c>
      <c r="AA366" s="62" t="s">
        <v>1332</v>
      </c>
      <c r="AB366" s="62" t="s">
        <v>17</v>
      </c>
      <c r="AC366" s="62" t="s">
        <v>17</v>
      </c>
      <c r="AD366" s="61" t="s">
        <v>17</v>
      </c>
      <c r="AF366" s="4" t="s">
        <v>673</v>
      </c>
      <c r="AJ366" s="67"/>
      <c r="AK366" s="67"/>
      <c r="AL366" s="67"/>
    </row>
    <row r="367" spans="1:38" ht="12.75" customHeight="1" x14ac:dyDescent="0.3">
      <c r="A367" s="61">
        <v>366</v>
      </c>
      <c r="B367" s="61">
        <v>99</v>
      </c>
      <c r="C367" s="61" t="s">
        <v>826</v>
      </c>
      <c r="D367" s="62" t="s">
        <v>1095</v>
      </c>
      <c r="E367" s="62" t="s">
        <v>32</v>
      </c>
      <c r="F367" s="62" t="s">
        <v>33</v>
      </c>
      <c r="G367" s="62" t="s">
        <v>34</v>
      </c>
      <c r="H367" s="63">
        <v>1</v>
      </c>
      <c r="I367" s="62"/>
      <c r="J367" s="62">
        <v>1</v>
      </c>
      <c r="K367" s="62" t="s">
        <v>32</v>
      </c>
      <c r="L367" s="62">
        <v>5</v>
      </c>
      <c r="M367" s="62">
        <v>1</v>
      </c>
      <c r="N367" s="62">
        <v>0</v>
      </c>
      <c r="O367" s="62" t="s">
        <v>32</v>
      </c>
      <c r="P367" s="62" t="s">
        <v>441</v>
      </c>
      <c r="Q367" s="64">
        <v>26.88</v>
      </c>
      <c r="R367" s="65">
        <f>12/48</f>
        <v>0.25</v>
      </c>
      <c r="S367" s="66"/>
      <c r="T367" s="66"/>
      <c r="U367" s="66">
        <v>95.37</v>
      </c>
      <c r="V367" s="66">
        <v>9.9</v>
      </c>
      <c r="W367" s="62">
        <f>48-21</f>
        <v>27</v>
      </c>
      <c r="X367" s="62">
        <v>0</v>
      </c>
      <c r="Y367" s="62">
        <v>0</v>
      </c>
      <c r="Z367" s="62" t="s">
        <v>105</v>
      </c>
      <c r="AA367" s="62"/>
      <c r="AB367" s="62" t="s">
        <v>17</v>
      </c>
      <c r="AC367" s="62" t="s">
        <v>17</v>
      </c>
      <c r="AD367" s="61" t="s">
        <v>17</v>
      </c>
      <c r="AF367" s="4" t="s">
        <v>673</v>
      </c>
      <c r="AJ367" s="67"/>
      <c r="AK367" s="67"/>
      <c r="AL367" s="67"/>
    </row>
    <row r="368" spans="1:38" ht="12.75" customHeight="1" x14ac:dyDescent="0.3">
      <c r="A368" s="61">
        <v>367</v>
      </c>
      <c r="B368" s="61">
        <v>99</v>
      </c>
      <c r="C368" s="61" t="s">
        <v>826</v>
      </c>
      <c r="D368" s="62" t="s">
        <v>1095</v>
      </c>
      <c r="E368" s="62" t="s">
        <v>32</v>
      </c>
      <c r="F368" s="62" t="s">
        <v>33</v>
      </c>
      <c r="G368" s="62" t="s">
        <v>64</v>
      </c>
      <c r="H368" s="63">
        <v>1</v>
      </c>
      <c r="I368" s="62"/>
      <c r="J368" s="62">
        <v>1</v>
      </c>
      <c r="K368" s="62">
        <v>0</v>
      </c>
      <c r="L368" s="62">
        <v>5</v>
      </c>
      <c r="M368" s="62">
        <v>1</v>
      </c>
      <c r="N368" s="62">
        <v>0</v>
      </c>
      <c r="O368" s="62" t="s">
        <v>32</v>
      </c>
      <c r="P368" s="62" t="s">
        <v>441</v>
      </c>
      <c r="Q368" s="64">
        <v>25.73</v>
      </c>
      <c r="R368" s="65">
        <f>14/51</f>
        <v>0.27450980392156865</v>
      </c>
      <c r="S368" s="66"/>
      <c r="T368" s="66"/>
      <c r="U368" s="66">
        <v>98.39</v>
      </c>
      <c r="V368" s="66">
        <v>6.24</v>
      </c>
      <c r="W368" s="62">
        <f>51-20</f>
        <v>31</v>
      </c>
      <c r="X368" s="62">
        <v>0</v>
      </c>
      <c r="Y368" s="62">
        <v>0</v>
      </c>
      <c r="Z368" s="62" t="s">
        <v>105</v>
      </c>
      <c r="AA368" s="62"/>
      <c r="AB368" s="62" t="s">
        <v>17</v>
      </c>
      <c r="AC368" s="62" t="s">
        <v>17</v>
      </c>
      <c r="AD368" s="61" t="s">
        <v>17</v>
      </c>
      <c r="AF368" s="4" t="s">
        <v>673</v>
      </c>
      <c r="AJ368" s="67"/>
      <c r="AK368" s="67"/>
      <c r="AL368" s="67"/>
    </row>
    <row r="369" spans="1:38" ht="12.75" customHeight="1" x14ac:dyDescent="0.3">
      <c r="A369" s="61">
        <v>368</v>
      </c>
      <c r="B369" s="61">
        <v>99</v>
      </c>
      <c r="C369" s="61" t="s">
        <v>826</v>
      </c>
      <c r="D369" s="62" t="s">
        <v>1095</v>
      </c>
      <c r="E369" s="62" t="s">
        <v>222</v>
      </c>
      <c r="F369" s="62" t="s">
        <v>101</v>
      </c>
      <c r="G369" s="62" t="s">
        <v>2</v>
      </c>
      <c r="H369" s="63">
        <v>1</v>
      </c>
      <c r="I369" s="62"/>
      <c r="J369" s="62">
        <v>1</v>
      </c>
      <c r="K369" s="62">
        <v>0</v>
      </c>
      <c r="L369" s="62">
        <v>5</v>
      </c>
      <c r="M369" s="62">
        <v>1</v>
      </c>
      <c r="N369" s="62">
        <v>0</v>
      </c>
      <c r="O369" s="62" t="s">
        <v>32</v>
      </c>
      <c r="P369" s="62" t="s">
        <v>442</v>
      </c>
      <c r="Q369" s="64">
        <v>25.9</v>
      </c>
      <c r="R369" s="65">
        <f>7/18</f>
        <v>0.3888888888888889</v>
      </c>
      <c r="S369" s="66"/>
      <c r="T369" s="66"/>
      <c r="U369" s="66">
        <v>76.92</v>
      </c>
      <c r="V369" s="66">
        <v>25.94</v>
      </c>
      <c r="W369" s="62">
        <f>18-5</f>
        <v>13</v>
      </c>
      <c r="X369" s="62">
        <v>0</v>
      </c>
      <c r="Y369" s="62">
        <v>0</v>
      </c>
      <c r="Z369" s="62" t="s">
        <v>105</v>
      </c>
      <c r="AA369" s="62"/>
      <c r="AB369" s="62" t="s">
        <v>17</v>
      </c>
      <c r="AC369" s="62" t="s">
        <v>17</v>
      </c>
      <c r="AD369" s="61" t="s">
        <v>17</v>
      </c>
      <c r="AF369" s="4" t="s">
        <v>673</v>
      </c>
      <c r="AJ369" s="67"/>
      <c r="AK369" s="67"/>
      <c r="AL369" s="67"/>
    </row>
    <row r="370" spans="1:38" ht="12.75" customHeight="1" x14ac:dyDescent="0.3">
      <c r="A370" s="61">
        <v>369</v>
      </c>
      <c r="B370" s="61">
        <v>99</v>
      </c>
      <c r="C370" s="61" t="s">
        <v>826</v>
      </c>
      <c r="D370" s="62" t="s">
        <v>1095</v>
      </c>
      <c r="E370" s="62" t="s">
        <v>32</v>
      </c>
      <c r="F370" s="62" t="s">
        <v>101</v>
      </c>
      <c r="G370" s="62" t="s">
        <v>34</v>
      </c>
      <c r="H370" s="63">
        <v>1</v>
      </c>
      <c r="I370" s="62"/>
      <c r="J370" s="62">
        <v>1</v>
      </c>
      <c r="K370" s="62" t="s">
        <v>32</v>
      </c>
      <c r="L370" s="62">
        <v>5</v>
      </c>
      <c r="M370" s="62">
        <v>1</v>
      </c>
      <c r="N370" s="62">
        <v>0</v>
      </c>
      <c r="O370" s="62" t="s">
        <v>32</v>
      </c>
      <c r="P370" s="62" t="s">
        <v>442</v>
      </c>
      <c r="Q370" s="64">
        <v>26.88</v>
      </c>
      <c r="R370" s="65">
        <f>12/48</f>
        <v>0.25</v>
      </c>
      <c r="S370" s="66"/>
      <c r="T370" s="66"/>
      <c r="U370" s="66">
        <v>69.44</v>
      </c>
      <c r="V370" s="66">
        <v>22.29</v>
      </c>
      <c r="W370" s="62">
        <f>48-21</f>
        <v>27</v>
      </c>
      <c r="X370" s="62">
        <v>0</v>
      </c>
      <c r="Y370" s="62">
        <v>0</v>
      </c>
      <c r="Z370" s="62" t="s">
        <v>105</v>
      </c>
      <c r="AA370" s="62"/>
      <c r="AB370" s="62" t="s">
        <v>17</v>
      </c>
      <c r="AC370" s="62" t="s">
        <v>17</v>
      </c>
      <c r="AD370" s="61" t="s">
        <v>17</v>
      </c>
      <c r="AF370" s="4" t="s">
        <v>673</v>
      </c>
      <c r="AJ370" s="67"/>
      <c r="AK370" s="67"/>
      <c r="AL370" s="67"/>
    </row>
    <row r="371" spans="1:38" ht="12.75" customHeight="1" x14ac:dyDescent="0.3">
      <c r="A371" s="61">
        <v>370</v>
      </c>
      <c r="B371" s="61">
        <v>99</v>
      </c>
      <c r="C371" s="61" t="s">
        <v>826</v>
      </c>
      <c r="D371" s="62" t="s">
        <v>1095</v>
      </c>
      <c r="E371" s="62" t="s">
        <v>32</v>
      </c>
      <c r="F371" s="62" t="s">
        <v>101</v>
      </c>
      <c r="G371" s="62" t="s">
        <v>64</v>
      </c>
      <c r="H371" s="63">
        <v>1</v>
      </c>
      <c r="I371" s="62"/>
      <c r="J371" s="62">
        <v>1</v>
      </c>
      <c r="K371" s="62">
        <v>0</v>
      </c>
      <c r="L371" s="62">
        <v>5</v>
      </c>
      <c r="M371" s="62">
        <v>1</v>
      </c>
      <c r="N371" s="62">
        <v>0</v>
      </c>
      <c r="O371" s="62" t="s">
        <v>32</v>
      </c>
      <c r="P371" s="62" t="s">
        <v>442</v>
      </c>
      <c r="Q371" s="64">
        <v>25.73</v>
      </c>
      <c r="R371" s="65">
        <f>14/51</f>
        <v>0.27450980392156865</v>
      </c>
      <c r="S371" s="66"/>
      <c r="T371" s="66"/>
      <c r="U371" s="66">
        <v>87.9</v>
      </c>
      <c r="V371" s="66">
        <v>16.920000000000002</v>
      </c>
      <c r="W371" s="62">
        <f>51-20</f>
        <v>31</v>
      </c>
      <c r="X371" s="62">
        <v>0</v>
      </c>
      <c r="Y371" s="62">
        <v>0</v>
      </c>
      <c r="Z371" s="62" t="s">
        <v>105</v>
      </c>
      <c r="AA371" s="62"/>
      <c r="AB371" s="62" t="s">
        <v>17</v>
      </c>
      <c r="AC371" s="62" t="s">
        <v>17</v>
      </c>
      <c r="AD371" s="61" t="s">
        <v>17</v>
      </c>
      <c r="AF371" s="4" t="s">
        <v>673</v>
      </c>
      <c r="AJ371" s="67"/>
      <c r="AK371" s="67"/>
      <c r="AL371" s="67"/>
    </row>
    <row r="372" spans="1:38" ht="12.75" customHeight="1" x14ac:dyDescent="0.3">
      <c r="A372" s="61">
        <v>371</v>
      </c>
      <c r="B372" s="61">
        <v>99</v>
      </c>
      <c r="C372" s="61" t="s">
        <v>826</v>
      </c>
      <c r="D372" s="62" t="s">
        <v>1095</v>
      </c>
      <c r="E372" s="62" t="s">
        <v>222</v>
      </c>
      <c r="F372" s="62" t="s">
        <v>33</v>
      </c>
      <c r="G372" s="62" t="s">
        <v>2</v>
      </c>
      <c r="H372" s="63">
        <v>1</v>
      </c>
      <c r="I372" s="62"/>
      <c r="J372" s="62">
        <v>1</v>
      </c>
      <c r="K372" s="62">
        <v>0</v>
      </c>
      <c r="L372" s="62">
        <v>5</v>
      </c>
      <c r="M372" s="62">
        <v>1</v>
      </c>
      <c r="N372" s="62">
        <v>7</v>
      </c>
      <c r="O372" s="62" t="s">
        <v>32</v>
      </c>
      <c r="P372" s="62" t="s">
        <v>441</v>
      </c>
      <c r="Q372" s="64">
        <v>25.9</v>
      </c>
      <c r="R372" s="65">
        <f>7/18</f>
        <v>0.3888888888888889</v>
      </c>
      <c r="S372" s="66"/>
      <c r="T372" s="66"/>
      <c r="U372" s="66">
        <v>71.150000000000006</v>
      </c>
      <c r="V372" s="66">
        <v>43.12</v>
      </c>
      <c r="W372" s="62">
        <f>18-5</f>
        <v>13</v>
      </c>
      <c r="X372" s="62">
        <v>0</v>
      </c>
      <c r="Y372" s="62">
        <v>0</v>
      </c>
      <c r="Z372" s="62" t="s">
        <v>105</v>
      </c>
      <c r="AA372" s="62"/>
      <c r="AB372" s="62" t="s">
        <v>17</v>
      </c>
      <c r="AC372" s="62" t="s">
        <v>17</v>
      </c>
      <c r="AD372" s="61" t="s">
        <v>17</v>
      </c>
      <c r="AF372" s="4" t="s">
        <v>673</v>
      </c>
      <c r="AJ372" s="67"/>
      <c r="AK372" s="67"/>
      <c r="AL372" s="67"/>
    </row>
    <row r="373" spans="1:38" ht="12.75" customHeight="1" x14ac:dyDescent="0.3">
      <c r="A373" s="61">
        <v>372</v>
      </c>
      <c r="B373" s="61">
        <v>99</v>
      </c>
      <c r="C373" s="61" t="s">
        <v>826</v>
      </c>
      <c r="D373" s="62" t="s">
        <v>1095</v>
      </c>
      <c r="E373" s="62" t="s">
        <v>32</v>
      </c>
      <c r="F373" s="62" t="s">
        <v>33</v>
      </c>
      <c r="G373" s="62" t="s">
        <v>34</v>
      </c>
      <c r="H373" s="63">
        <v>1</v>
      </c>
      <c r="I373" s="62"/>
      <c r="J373" s="62">
        <v>1</v>
      </c>
      <c r="K373" s="62" t="s">
        <v>32</v>
      </c>
      <c r="L373" s="62">
        <v>5</v>
      </c>
      <c r="M373" s="62">
        <v>1</v>
      </c>
      <c r="N373" s="62">
        <v>7</v>
      </c>
      <c r="O373" s="62" t="s">
        <v>32</v>
      </c>
      <c r="P373" s="62" t="s">
        <v>441</v>
      </c>
      <c r="Q373" s="64">
        <v>26.88</v>
      </c>
      <c r="R373" s="65">
        <f>12/48</f>
        <v>0.25</v>
      </c>
      <c r="S373" s="66"/>
      <c r="T373" s="66"/>
      <c r="U373" s="66">
        <v>61.11</v>
      </c>
      <c r="V373" s="66">
        <v>46.17</v>
      </c>
      <c r="W373" s="62">
        <f>48-21</f>
        <v>27</v>
      </c>
      <c r="X373" s="62">
        <v>0</v>
      </c>
      <c r="Y373" s="62">
        <v>0</v>
      </c>
      <c r="Z373" s="62" t="s">
        <v>105</v>
      </c>
      <c r="AA373" s="62"/>
      <c r="AB373" s="62" t="s">
        <v>17</v>
      </c>
      <c r="AC373" s="62" t="s">
        <v>17</v>
      </c>
      <c r="AD373" s="61" t="s">
        <v>17</v>
      </c>
      <c r="AF373" s="4" t="s">
        <v>673</v>
      </c>
      <c r="AJ373" s="67"/>
      <c r="AK373" s="67"/>
      <c r="AL373" s="67"/>
    </row>
    <row r="374" spans="1:38" ht="12.75" customHeight="1" x14ac:dyDescent="0.3">
      <c r="A374" s="61">
        <v>373</v>
      </c>
      <c r="B374" s="61">
        <v>99</v>
      </c>
      <c r="C374" s="61" t="s">
        <v>826</v>
      </c>
      <c r="D374" s="62" t="s">
        <v>1095</v>
      </c>
      <c r="E374" s="62" t="s">
        <v>32</v>
      </c>
      <c r="F374" s="62" t="s">
        <v>33</v>
      </c>
      <c r="G374" s="62" t="s">
        <v>64</v>
      </c>
      <c r="H374" s="63">
        <v>1</v>
      </c>
      <c r="I374" s="62"/>
      <c r="J374" s="62">
        <v>1</v>
      </c>
      <c r="K374" s="62">
        <v>0</v>
      </c>
      <c r="L374" s="62">
        <v>5</v>
      </c>
      <c r="M374" s="62">
        <v>1</v>
      </c>
      <c r="N374" s="62">
        <v>7</v>
      </c>
      <c r="O374" s="62" t="s">
        <v>32</v>
      </c>
      <c r="P374" s="62" t="s">
        <v>441</v>
      </c>
      <c r="Q374" s="64">
        <v>25.73</v>
      </c>
      <c r="R374" s="65">
        <f>14/51</f>
        <v>0.27450980392156865</v>
      </c>
      <c r="S374" s="66"/>
      <c r="T374" s="66"/>
      <c r="U374" s="66">
        <v>78.23</v>
      </c>
      <c r="V374" s="66">
        <v>40.18</v>
      </c>
      <c r="W374" s="62">
        <f>51-20</f>
        <v>31</v>
      </c>
      <c r="X374" s="62">
        <v>0</v>
      </c>
      <c r="Y374" s="62">
        <v>0</v>
      </c>
      <c r="Z374" s="62" t="s">
        <v>105</v>
      </c>
      <c r="AA374" s="62"/>
      <c r="AB374" s="62" t="s">
        <v>17</v>
      </c>
      <c r="AC374" s="62" t="s">
        <v>17</v>
      </c>
      <c r="AD374" s="61" t="s">
        <v>17</v>
      </c>
      <c r="AF374" s="4" t="s">
        <v>673</v>
      </c>
      <c r="AJ374" s="67"/>
      <c r="AK374" s="67"/>
      <c r="AL374" s="67"/>
    </row>
    <row r="375" spans="1:38" ht="12.75" customHeight="1" x14ac:dyDescent="0.3">
      <c r="A375" s="61">
        <v>374</v>
      </c>
      <c r="B375" s="61">
        <v>99</v>
      </c>
      <c r="C375" s="61" t="s">
        <v>826</v>
      </c>
      <c r="D375" s="62" t="s">
        <v>1095</v>
      </c>
      <c r="E375" s="62" t="s">
        <v>222</v>
      </c>
      <c r="F375" s="62" t="s">
        <v>101</v>
      </c>
      <c r="G375" s="62" t="s">
        <v>2</v>
      </c>
      <c r="H375" s="63">
        <v>1</v>
      </c>
      <c r="I375" s="62"/>
      <c r="J375" s="62">
        <v>1</v>
      </c>
      <c r="K375" s="62">
        <v>0</v>
      </c>
      <c r="L375" s="62">
        <v>5</v>
      </c>
      <c r="M375" s="62">
        <v>1</v>
      </c>
      <c r="N375" s="62">
        <v>7</v>
      </c>
      <c r="O375" s="62" t="s">
        <v>32</v>
      </c>
      <c r="P375" s="62" t="s">
        <v>442</v>
      </c>
      <c r="Q375" s="64">
        <v>25.9</v>
      </c>
      <c r="R375" s="65">
        <f>7/18</f>
        <v>0.3888888888888889</v>
      </c>
      <c r="S375" s="66"/>
      <c r="T375" s="66"/>
      <c r="U375" s="66">
        <v>51.92</v>
      </c>
      <c r="V375" s="66">
        <v>36.03</v>
      </c>
      <c r="W375" s="62">
        <f>18-5</f>
        <v>13</v>
      </c>
      <c r="X375" s="62">
        <v>0</v>
      </c>
      <c r="Y375" s="62">
        <v>0</v>
      </c>
      <c r="Z375" s="62" t="s">
        <v>105</v>
      </c>
      <c r="AA375" s="62"/>
      <c r="AB375" s="62" t="s">
        <v>17</v>
      </c>
      <c r="AC375" s="62" t="s">
        <v>17</v>
      </c>
      <c r="AD375" s="61" t="s">
        <v>17</v>
      </c>
      <c r="AF375" s="4" t="s">
        <v>673</v>
      </c>
      <c r="AJ375" s="67"/>
      <c r="AK375" s="67"/>
      <c r="AL375" s="67"/>
    </row>
    <row r="376" spans="1:38" ht="12.75" customHeight="1" x14ac:dyDescent="0.3">
      <c r="A376" s="61">
        <v>375</v>
      </c>
      <c r="B376" s="61">
        <v>99</v>
      </c>
      <c r="C376" s="61" t="s">
        <v>826</v>
      </c>
      <c r="D376" s="62" t="s">
        <v>1095</v>
      </c>
      <c r="E376" s="62" t="s">
        <v>32</v>
      </c>
      <c r="F376" s="62" t="s">
        <v>101</v>
      </c>
      <c r="G376" s="62" t="s">
        <v>34</v>
      </c>
      <c r="H376" s="63">
        <v>1</v>
      </c>
      <c r="I376" s="62"/>
      <c r="J376" s="62">
        <v>1</v>
      </c>
      <c r="K376" s="62" t="s">
        <v>32</v>
      </c>
      <c r="L376" s="62">
        <v>5</v>
      </c>
      <c r="M376" s="62">
        <v>1</v>
      </c>
      <c r="N376" s="62">
        <v>7</v>
      </c>
      <c r="O376" s="62" t="s">
        <v>32</v>
      </c>
      <c r="P376" s="62" t="s">
        <v>442</v>
      </c>
      <c r="Q376" s="64">
        <v>26.88</v>
      </c>
      <c r="R376" s="65">
        <f>12/48</f>
        <v>0.25</v>
      </c>
      <c r="S376" s="66"/>
      <c r="T376" s="66"/>
      <c r="U376" s="66">
        <v>47.22</v>
      </c>
      <c r="V376" s="66">
        <v>38.19</v>
      </c>
      <c r="W376" s="62">
        <f>48-21</f>
        <v>27</v>
      </c>
      <c r="X376" s="62">
        <v>0</v>
      </c>
      <c r="Y376" s="62">
        <v>0</v>
      </c>
      <c r="Z376" s="62" t="s">
        <v>105</v>
      </c>
      <c r="AA376" s="62"/>
      <c r="AB376" s="62" t="s">
        <v>17</v>
      </c>
      <c r="AC376" s="62" t="s">
        <v>17</v>
      </c>
      <c r="AD376" s="61" t="s">
        <v>17</v>
      </c>
      <c r="AF376" s="4" t="s">
        <v>673</v>
      </c>
      <c r="AJ376" s="67"/>
      <c r="AK376" s="67"/>
      <c r="AL376" s="67"/>
    </row>
    <row r="377" spans="1:38" ht="12.75" customHeight="1" x14ac:dyDescent="0.3">
      <c r="A377" s="61">
        <v>376</v>
      </c>
      <c r="B377" s="61">
        <v>99</v>
      </c>
      <c r="C377" s="61" t="s">
        <v>826</v>
      </c>
      <c r="D377" s="62" t="s">
        <v>1095</v>
      </c>
      <c r="E377" s="62" t="s">
        <v>32</v>
      </c>
      <c r="F377" s="62" t="s">
        <v>101</v>
      </c>
      <c r="G377" s="62" t="s">
        <v>64</v>
      </c>
      <c r="H377" s="63">
        <v>1</v>
      </c>
      <c r="I377" s="62"/>
      <c r="J377" s="62">
        <v>1</v>
      </c>
      <c r="K377" s="62">
        <v>0</v>
      </c>
      <c r="L377" s="62">
        <v>5</v>
      </c>
      <c r="M377" s="62">
        <v>1</v>
      </c>
      <c r="N377" s="62">
        <v>7</v>
      </c>
      <c r="O377" s="62" t="s">
        <v>32</v>
      </c>
      <c r="P377" s="62" t="s">
        <v>442</v>
      </c>
      <c r="Q377" s="64">
        <v>25.73</v>
      </c>
      <c r="R377" s="65">
        <f>14/51</f>
        <v>0.27450980392156865</v>
      </c>
      <c r="S377" s="66"/>
      <c r="T377" s="66"/>
      <c r="U377" s="66">
        <v>66.13</v>
      </c>
      <c r="V377" s="66">
        <v>40.08</v>
      </c>
      <c r="W377" s="62">
        <f>51-20</f>
        <v>31</v>
      </c>
      <c r="X377" s="62">
        <v>0</v>
      </c>
      <c r="Y377" s="62">
        <v>0</v>
      </c>
      <c r="Z377" s="62" t="s">
        <v>105</v>
      </c>
      <c r="AA377" s="62"/>
      <c r="AB377" s="62" t="s">
        <v>17</v>
      </c>
      <c r="AC377" s="62" t="s">
        <v>17</v>
      </c>
      <c r="AD377" s="61" t="s">
        <v>17</v>
      </c>
      <c r="AF377" s="4" t="s">
        <v>673</v>
      </c>
      <c r="AJ377" s="67"/>
      <c r="AK377" s="67"/>
      <c r="AL377" s="67"/>
    </row>
    <row r="378" spans="1:38" ht="12.75" customHeight="1" x14ac:dyDescent="0.3">
      <c r="A378" s="61">
        <v>377</v>
      </c>
      <c r="B378" s="61">
        <v>100</v>
      </c>
      <c r="C378" s="61" t="s">
        <v>760</v>
      </c>
      <c r="D378" s="62" t="s">
        <v>1095</v>
      </c>
      <c r="E378" s="62" t="s">
        <v>222</v>
      </c>
      <c r="F378" s="62" t="s">
        <v>219</v>
      </c>
      <c r="G378" s="62" t="s">
        <v>2</v>
      </c>
      <c r="H378" s="63">
        <v>1</v>
      </c>
      <c r="I378" s="62" t="s">
        <v>141</v>
      </c>
      <c r="J378" s="62">
        <v>1</v>
      </c>
      <c r="K378" s="62">
        <v>0</v>
      </c>
      <c r="L378" s="62">
        <f>40+35+45</f>
        <v>120</v>
      </c>
      <c r="M378" s="62">
        <v>3</v>
      </c>
      <c r="N378" s="62" t="s">
        <v>443</v>
      </c>
      <c r="O378" s="62" t="s">
        <v>32</v>
      </c>
      <c r="P378" s="62" t="s">
        <v>444</v>
      </c>
      <c r="Q378" s="64">
        <v>19.8</v>
      </c>
      <c r="R378" s="65">
        <f>2/30</f>
        <v>6.6666666666666666E-2</v>
      </c>
      <c r="S378" s="66"/>
      <c r="T378" s="66"/>
      <c r="U378" s="66">
        <v>1.85</v>
      </c>
      <c r="V378" s="66">
        <v>0.49</v>
      </c>
      <c r="W378" s="62">
        <v>22</v>
      </c>
      <c r="X378" s="62">
        <v>1</v>
      </c>
      <c r="Y378" s="62">
        <v>0</v>
      </c>
      <c r="Z378" s="62" t="s">
        <v>295</v>
      </c>
      <c r="AA378" s="62" t="s">
        <v>1623</v>
      </c>
      <c r="AB378" s="62" t="s">
        <v>17</v>
      </c>
      <c r="AC378" s="62" t="s">
        <v>17</v>
      </c>
      <c r="AD378" s="61" t="s">
        <v>17</v>
      </c>
      <c r="AF378" s="4" t="s">
        <v>674</v>
      </c>
      <c r="AJ378" s="67"/>
      <c r="AK378" s="67"/>
      <c r="AL378" s="67"/>
    </row>
    <row r="379" spans="1:38" ht="12.75" customHeight="1" x14ac:dyDescent="0.3">
      <c r="A379" s="61">
        <v>378</v>
      </c>
      <c r="B379" s="61">
        <v>100</v>
      </c>
      <c r="C379" s="61" t="s">
        <v>760</v>
      </c>
      <c r="D379" s="62" t="s">
        <v>1095</v>
      </c>
      <c r="E379" s="62" t="s">
        <v>222</v>
      </c>
      <c r="F379" s="62" t="s">
        <v>219</v>
      </c>
      <c r="G379" s="62" t="s">
        <v>2</v>
      </c>
      <c r="H379" s="63">
        <v>1</v>
      </c>
      <c r="I379" s="62" t="s">
        <v>445</v>
      </c>
      <c r="J379" s="62">
        <v>1</v>
      </c>
      <c r="K379" s="62">
        <v>0</v>
      </c>
      <c r="L379" s="62">
        <f>40+35+45</f>
        <v>120</v>
      </c>
      <c r="M379" s="62">
        <v>3</v>
      </c>
      <c r="N379" s="62" t="s">
        <v>443</v>
      </c>
      <c r="O379" s="62" t="s">
        <v>32</v>
      </c>
      <c r="P379" s="62" t="s">
        <v>444</v>
      </c>
      <c r="Q379" s="64">
        <v>19.64</v>
      </c>
      <c r="R379" s="65">
        <f>4/28</f>
        <v>0.14285714285714285</v>
      </c>
      <c r="S379" s="66"/>
      <c r="T379" s="66"/>
      <c r="U379" s="66">
        <v>2.0299999999999998</v>
      </c>
      <c r="V379" s="66">
        <v>0.84</v>
      </c>
      <c r="W379" s="62">
        <v>21</v>
      </c>
      <c r="X379" s="62">
        <v>1</v>
      </c>
      <c r="Y379" s="62">
        <v>0</v>
      </c>
      <c r="Z379" s="62" t="s">
        <v>295</v>
      </c>
      <c r="AA379" s="62"/>
      <c r="AB379" s="62" t="s">
        <v>17</v>
      </c>
      <c r="AC379" s="62" t="s">
        <v>17</v>
      </c>
      <c r="AD379" s="61" t="s">
        <v>17</v>
      </c>
      <c r="AF379" s="4" t="s">
        <v>674</v>
      </c>
      <c r="AJ379" s="67"/>
      <c r="AK379" s="67"/>
      <c r="AL379" s="67"/>
    </row>
    <row r="380" spans="1:38" ht="12.75" customHeight="1" x14ac:dyDescent="0.3">
      <c r="A380" s="61">
        <v>379</v>
      </c>
      <c r="B380" s="61">
        <v>100</v>
      </c>
      <c r="C380" s="61" t="s">
        <v>760</v>
      </c>
      <c r="D380" s="62" t="s">
        <v>1095</v>
      </c>
      <c r="E380" s="62" t="s">
        <v>32</v>
      </c>
      <c r="F380" s="62" t="s">
        <v>219</v>
      </c>
      <c r="G380" s="62" t="s">
        <v>60</v>
      </c>
      <c r="H380" s="63">
        <v>1</v>
      </c>
      <c r="I380" s="62"/>
      <c r="J380" s="62" t="s">
        <v>32</v>
      </c>
      <c r="K380" s="62" t="s">
        <v>32</v>
      </c>
      <c r="L380" s="62" t="s">
        <v>32</v>
      </c>
      <c r="M380" s="62" t="s">
        <v>32</v>
      </c>
      <c r="N380" s="62" t="s">
        <v>32</v>
      </c>
      <c r="O380" s="62" t="s">
        <v>32</v>
      </c>
      <c r="P380" s="62" t="s">
        <v>444</v>
      </c>
      <c r="Q380" s="64">
        <v>19.72</v>
      </c>
      <c r="R380" s="65">
        <f>6/58</f>
        <v>0.10344827586206896</v>
      </c>
      <c r="S380" s="66"/>
      <c r="T380" s="66"/>
      <c r="U380" s="66">
        <v>2.79</v>
      </c>
      <c r="V380" s="66">
        <v>1.21</v>
      </c>
      <c r="W380" s="62">
        <v>122</v>
      </c>
      <c r="X380" s="62">
        <v>1</v>
      </c>
      <c r="Y380" s="62">
        <v>0</v>
      </c>
      <c r="Z380" s="62" t="s">
        <v>295</v>
      </c>
      <c r="AA380" s="62"/>
      <c r="AB380" s="62" t="s">
        <v>17</v>
      </c>
      <c r="AC380" s="62" t="s">
        <v>17</v>
      </c>
      <c r="AD380" s="61" t="s">
        <v>17</v>
      </c>
      <c r="AF380" s="4" t="s">
        <v>674</v>
      </c>
      <c r="AJ380" s="67"/>
      <c r="AK380" s="67"/>
      <c r="AL380" s="67"/>
    </row>
    <row r="381" spans="1:38" ht="12.75" customHeight="1" x14ac:dyDescent="0.3">
      <c r="A381" s="61">
        <v>380</v>
      </c>
      <c r="B381" s="61">
        <v>101</v>
      </c>
      <c r="C381" s="62" t="s">
        <v>800</v>
      </c>
      <c r="D381" s="62" t="s">
        <v>25</v>
      </c>
      <c r="E381" s="62" t="s">
        <v>26</v>
      </c>
      <c r="F381" s="62" t="s">
        <v>33</v>
      </c>
      <c r="G381" s="62" t="s">
        <v>2</v>
      </c>
      <c r="H381" s="63">
        <v>1</v>
      </c>
      <c r="I381" s="62" t="s">
        <v>446</v>
      </c>
      <c r="J381" s="62">
        <v>1</v>
      </c>
      <c r="K381" s="62">
        <v>0</v>
      </c>
      <c r="L381" s="62">
        <f>2*(8.16+7.09)/2</f>
        <v>15.25</v>
      </c>
      <c r="M381" s="62">
        <v>2</v>
      </c>
      <c r="N381" s="62">
        <v>0</v>
      </c>
      <c r="O381" s="62">
        <v>1</v>
      </c>
      <c r="P381" s="62" t="s">
        <v>845</v>
      </c>
      <c r="Q381" s="64">
        <v>5</v>
      </c>
      <c r="R381" s="65">
        <f>14/27</f>
        <v>0.51851851851851849</v>
      </c>
      <c r="S381" s="66">
        <v>0.93</v>
      </c>
      <c r="T381" s="66">
        <v>0.92</v>
      </c>
      <c r="U381" s="66">
        <v>4.1100000000000003</v>
      </c>
      <c r="V381" s="66">
        <v>1.34</v>
      </c>
      <c r="W381" s="62">
        <v>14</v>
      </c>
      <c r="X381" s="62">
        <v>0</v>
      </c>
      <c r="Y381" s="62">
        <v>0</v>
      </c>
      <c r="Z381" s="62" t="s">
        <v>447</v>
      </c>
      <c r="AA381" s="62" t="s">
        <v>448</v>
      </c>
      <c r="AB381" s="62" t="s">
        <v>17</v>
      </c>
      <c r="AC381" s="62" t="s">
        <v>17</v>
      </c>
      <c r="AD381" s="61" t="s">
        <v>17</v>
      </c>
      <c r="AF381" s="4" t="s">
        <v>675</v>
      </c>
      <c r="AJ381" s="67"/>
      <c r="AK381" s="67"/>
      <c r="AL381" s="67"/>
    </row>
    <row r="382" spans="1:38" ht="12.75" customHeight="1" x14ac:dyDescent="0.3">
      <c r="A382" s="61">
        <v>381</v>
      </c>
      <c r="B382" s="61">
        <v>101</v>
      </c>
      <c r="C382" s="62" t="s">
        <v>800</v>
      </c>
      <c r="D382" s="62" t="s">
        <v>25</v>
      </c>
      <c r="E382" s="62" t="s">
        <v>26</v>
      </c>
      <c r="F382" s="62" t="s">
        <v>33</v>
      </c>
      <c r="G382" s="62" t="s">
        <v>2</v>
      </c>
      <c r="H382" s="63">
        <v>1</v>
      </c>
      <c r="I382" s="62" t="s">
        <v>449</v>
      </c>
      <c r="J382" s="62">
        <v>1</v>
      </c>
      <c r="K382" s="62">
        <v>0</v>
      </c>
      <c r="L382" s="62">
        <f>2*(8.16+7.09)/2</f>
        <v>15.25</v>
      </c>
      <c r="M382" s="62">
        <v>2</v>
      </c>
      <c r="N382" s="62">
        <v>0</v>
      </c>
      <c r="O382" s="62">
        <v>1</v>
      </c>
      <c r="P382" s="62" t="s">
        <v>845</v>
      </c>
      <c r="Q382" s="64">
        <v>5</v>
      </c>
      <c r="R382" s="65">
        <f>14/27</f>
        <v>0.51851851851851849</v>
      </c>
      <c r="S382" s="66">
        <v>0.96</v>
      </c>
      <c r="T382" s="66">
        <v>0.94</v>
      </c>
      <c r="U382" s="66">
        <v>4.3</v>
      </c>
      <c r="V382" s="66">
        <v>1.61</v>
      </c>
      <c r="W382" s="62">
        <v>13</v>
      </c>
      <c r="X382" s="62">
        <v>0</v>
      </c>
      <c r="Y382" s="62">
        <v>0</v>
      </c>
      <c r="Z382" s="62" t="s">
        <v>447</v>
      </c>
      <c r="AA382" s="62"/>
      <c r="AB382" s="62" t="s">
        <v>17</v>
      </c>
      <c r="AC382" s="62" t="s">
        <v>17</v>
      </c>
      <c r="AD382" s="61" t="s">
        <v>17</v>
      </c>
      <c r="AF382" s="4" t="s">
        <v>675</v>
      </c>
      <c r="AJ382" s="67"/>
      <c r="AK382" s="67"/>
      <c r="AL382" s="67"/>
    </row>
    <row r="383" spans="1:38" ht="12.75" customHeight="1" x14ac:dyDescent="0.3">
      <c r="A383" s="61">
        <v>382</v>
      </c>
      <c r="B383" s="61">
        <v>102</v>
      </c>
      <c r="C383" s="62" t="s">
        <v>837</v>
      </c>
      <c r="D383" s="62" t="s">
        <v>450</v>
      </c>
      <c r="E383" s="62" t="s">
        <v>451</v>
      </c>
      <c r="F383" s="62" t="s">
        <v>452</v>
      </c>
      <c r="G383" s="62" t="s">
        <v>2</v>
      </c>
      <c r="H383" s="63">
        <v>1</v>
      </c>
      <c r="I383" s="62"/>
      <c r="J383" s="62">
        <v>1</v>
      </c>
      <c r="K383" s="62">
        <v>0</v>
      </c>
      <c r="L383" s="62">
        <v>60</v>
      </c>
      <c r="M383" s="62">
        <v>1</v>
      </c>
      <c r="N383" s="62">
        <v>0</v>
      </c>
      <c r="O383" s="62">
        <v>2</v>
      </c>
      <c r="P383" s="62" t="s">
        <v>453</v>
      </c>
      <c r="Q383" s="64">
        <v>17.5</v>
      </c>
      <c r="R383" s="65" t="s">
        <v>28</v>
      </c>
      <c r="S383" s="66"/>
      <c r="T383" s="66"/>
      <c r="U383" s="66">
        <v>4.7</v>
      </c>
      <c r="V383" s="66">
        <v>1.8</v>
      </c>
      <c r="W383" s="62">
        <v>7</v>
      </c>
      <c r="X383" s="62">
        <v>0</v>
      </c>
      <c r="Y383" s="62">
        <v>0</v>
      </c>
      <c r="Z383" s="62" t="s">
        <v>454</v>
      </c>
      <c r="AA383" s="62" t="s">
        <v>1333</v>
      </c>
      <c r="AB383" s="62" t="s">
        <v>17</v>
      </c>
      <c r="AC383" s="62" t="s">
        <v>17</v>
      </c>
      <c r="AD383" s="61" t="s">
        <v>17</v>
      </c>
      <c r="AF383" s="4" t="s">
        <v>676</v>
      </c>
      <c r="AJ383" s="67"/>
      <c r="AK383" s="67"/>
      <c r="AL383" s="67"/>
    </row>
    <row r="384" spans="1:38" ht="12.75" customHeight="1" x14ac:dyDescent="0.3">
      <c r="A384" s="61">
        <v>383</v>
      </c>
      <c r="B384" s="61">
        <v>102</v>
      </c>
      <c r="C384" s="62" t="s">
        <v>837</v>
      </c>
      <c r="D384" s="62" t="s">
        <v>450</v>
      </c>
      <c r="E384" s="62" t="s">
        <v>451</v>
      </c>
      <c r="F384" s="62" t="s">
        <v>452</v>
      </c>
      <c r="G384" s="62" t="s">
        <v>64</v>
      </c>
      <c r="H384" s="63">
        <v>1</v>
      </c>
      <c r="I384" s="62"/>
      <c r="J384" s="62">
        <v>1</v>
      </c>
      <c r="K384" s="62">
        <v>0</v>
      </c>
      <c r="L384" s="62">
        <v>60</v>
      </c>
      <c r="M384" s="62">
        <v>1</v>
      </c>
      <c r="N384" s="62">
        <v>0</v>
      </c>
      <c r="O384" s="62">
        <v>2</v>
      </c>
      <c r="P384" s="62" t="s">
        <v>453</v>
      </c>
      <c r="Q384" s="64">
        <v>17.5</v>
      </c>
      <c r="R384" s="65" t="s">
        <v>28</v>
      </c>
      <c r="S384" s="66"/>
      <c r="T384" s="66"/>
      <c r="U384" s="66">
        <v>4.8</v>
      </c>
      <c r="V384" s="66">
        <v>0.8</v>
      </c>
      <c r="W384" s="62">
        <v>5</v>
      </c>
      <c r="X384" s="62">
        <v>0</v>
      </c>
      <c r="Y384" s="62">
        <v>0</v>
      </c>
      <c r="Z384" s="62" t="s">
        <v>454</v>
      </c>
      <c r="AA384" s="62"/>
      <c r="AB384" s="62" t="s">
        <v>17</v>
      </c>
      <c r="AC384" s="62" t="s">
        <v>17</v>
      </c>
      <c r="AD384" s="61" t="s">
        <v>17</v>
      </c>
      <c r="AF384" s="4" t="s">
        <v>676</v>
      </c>
      <c r="AJ384" s="67"/>
      <c r="AK384" s="67"/>
      <c r="AL384" s="67"/>
    </row>
    <row r="385" spans="1:38" ht="12.75" customHeight="1" x14ac:dyDescent="0.3">
      <c r="A385" s="61">
        <v>384</v>
      </c>
      <c r="B385" s="61">
        <v>103</v>
      </c>
      <c r="C385" s="61" t="s">
        <v>1238</v>
      </c>
      <c r="D385" s="62" t="s">
        <v>41</v>
      </c>
      <c r="E385" s="62" t="s">
        <v>455</v>
      </c>
      <c r="F385" s="62" t="s">
        <v>456</v>
      </c>
      <c r="G385" s="62" t="s">
        <v>2</v>
      </c>
      <c r="H385" s="63">
        <v>0</v>
      </c>
      <c r="I385" s="62" t="s">
        <v>457</v>
      </c>
      <c r="J385" s="62">
        <v>1</v>
      </c>
      <c r="K385" s="62">
        <v>0</v>
      </c>
      <c r="L385" s="62">
        <f>6*15</f>
        <v>90</v>
      </c>
      <c r="M385" s="62">
        <v>6</v>
      </c>
      <c r="N385" s="62" t="s">
        <v>28</v>
      </c>
      <c r="O385" s="62">
        <v>2</v>
      </c>
      <c r="P385" s="62" t="s">
        <v>458</v>
      </c>
      <c r="Q385" s="64">
        <v>5.133</v>
      </c>
      <c r="R385" s="65">
        <f>7/15</f>
        <v>0.46666666666666667</v>
      </c>
      <c r="S385" s="66">
        <v>8.3000000000000004E-2</v>
      </c>
      <c r="T385" s="66">
        <v>6.0999999999999999E-2</v>
      </c>
      <c r="U385" s="66">
        <v>0.113</v>
      </c>
      <c r="V385" s="66">
        <v>0.10199999999999999</v>
      </c>
      <c r="W385" s="62">
        <v>15</v>
      </c>
      <c r="X385" s="62">
        <v>0</v>
      </c>
      <c r="Y385" s="62">
        <v>0</v>
      </c>
      <c r="Z385" s="62" t="s">
        <v>36</v>
      </c>
      <c r="AA385" s="62" t="s">
        <v>459</v>
      </c>
      <c r="AB385" s="62" t="s">
        <v>17</v>
      </c>
      <c r="AC385" s="62" t="s">
        <v>17</v>
      </c>
      <c r="AD385" s="61" t="s">
        <v>17</v>
      </c>
      <c r="AF385" s="4" t="s">
        <v>677</v>
      </c>
      <c r="AJ385" s="67"/>
      <c r="AK385" s="67"/>
      <c r="AL385" s="67"/>
    </row>
    <row r="386" spans="1:38" ht="12.75" customHeight="1" x14ac:dyDescent="0.3">
      <c r="A386" s="61">
        <v>385</v>
      </c>
      <c r="B386" s="61">
        <v>103</v>
      </c>
      <c r="C386" s="61" t="s">
        <v>1238</v>
      </c>
      <c r="D386" s="62" t="s">
        <v>41</v>
      </c>
      <c r="E386" s="62" t="s">
        <v>455</v>
      </c>
      <c r="F386" s="62" t="s">
        <v>456</v>
      </c>
      <c r="G386" s="62" t="s">
        <v>2</v>
      </c>
      <c r="H386" s="63">
        <v>0</v>
      </c>
      <c r="I386" s="62" t="s">
        <v>460</v>
      </c>
      <c r="J386" s="62">
        <v>1</v>
      </c>
      <c r="K386" s="62">
        <v>0</v>
      </c>
      <c r="L386" s="62">
        <f>6*15</f>
        <v>90</v>
      </c>
      <c r="M386" s="62">
        <v>6</v>
      </c>
      <c r="N386" s="62" t="s">
        <v>28</v>
      </c>
      <c r="O386" s="62">
        <v>2</v>
      </c>
      <c r="P386" s="62" t="s">
        <v>458</v>
      </c>
      <c r="Q386" s="64">
        <v>5.3120000000000003</v>
      </c>
      <c r="R386" s="65">
        <f>8/16</f>
        <v>0.5</v>
      </c>
      <c r="S386" s="66">
        <v>7.1999999999999995E-2</v>
      </c>
      <c r="T386" s="66">
        <v>5.2999999999999999E-2</v>
      </c>
      <c r="U386" s="63">
        <v>7.0000000000000007E-2</v>
      </c>
      <c r="V386" s="66">
        <v>7.1999999999999995E-2</v>
      </c>
      <c r="W386" s="62">
        <v>16</v>
      </c>
      <c r="X386" s="62">
        <v>0</v>
      </c>
      <c r="Y386" s="62">
        <v>0</v>
      </c>
      <c r="Z386" s="62" t="s">
        <v>36</v>
      </c>
      <c r="AA386" s="62" t="s">
        <v>461</v>
      </c>
      <c r="AB386" s="62" t="s">
        <v>17</v>
      </c>
      <c r="AC386" s="62" t="s">
        <v>17</v>
      </c>
      <c r="AD386" s="61" t="s">
        <v>17</v>
      </c>
      <c r="AF386" s="4" t="s">
        <v>677</v>
      </c>
      <c r="AJ386" s="67"/>
      <c r="AK386" s="67"/>
      <c r="AL386" s="67"/>
    </row>
    <row r="387" spans="1:38" ht="12.75" customHeight="1" x14ac:dyDescent="0.3">
      <c r="A387" s="61">
        <v>386</v>
      </c>
      <c r="B387" s="61">
        <v>104</v>
      </c>
      <c r="C387" s="61" t="s">
        <v>828</v>
      </c>
      <c r="D387" s="62" t="s">
        <v>25</v>
      </c>
      <c r="E387" s="62" t="s">
        <v>435</v>
      </c>
      <c r="F387" s="62" t="s">
        <v>33</v>
      </c>
      <c r="G387" s="62" t="s">
        <v>2</v>
      </c>
      <c r="H387" s="63">
        <v>1</v>
      </c>
      <c r="I387" s="62" t="s">
        <v>462</v>
      </c>
      <c r="J387" s="62" t="s">
        <v>51</v>
      </c>
      <c r="K387" s="62">
        <v>0</v>
      </c>
      <c r="L387" s="62">
        <v>30</v>
      </c>
      <c r="M387" s="62">
        <v>1</v>
      </c>
      <c r="N387" s="62">
        <v>0</v>
      </c>
      <c r="O387" s="62">
        <v>1</v>
      </c>
      <c r="P387" s="62" t="s">
        <v>463</v>
      </c>
      <c r="Q387" s="64">
        <v>5.12</v>
      </c>
      <c r="R387" s="65">
        <f>(36-11)/36</f>
        <v>0.69444444444444442</v>
      </c>
      <c r="S387" s="66">
        <v>1.94</v>
      </c>
      <c r="T387" s="66">
        <v>1.06</v>
      </c>
      <c r="U387" s="66">
        <v>3.17</v>
      </c>
      <c r="V387" s="66">
        <f>2*(3.83-U387)</f>
        <v>1.3200000000000003</v>
      </c>
      <c r="W387" s="62">
        <v>16</v>
      </c>
      <c r="X387" s="62">
        <v>0</v>
      </c>
      <c r="Y387" s="62">
        <v>0</v>
      </c>
      <c r="Z387" s="62" t="s">
        <v>464</v>
      </c>
      <c r="AA387" s="62" t="s">
        <v>1362</v>
      </c>
      <c r="AB387" s="62" t="s">
        <v>17</v>
      </c>
      <c r="AC387" s="62" t="s">
        <v>17</v>
      </c>
      <c r="AD387" s="61" t="s">
        <v>17</v>
      </c>
      <c r="AF387" s="4" t="s">
        <v>678</v>
      </c>
      <c r="AJ387" s="67"/>
      <c r="AK387" s="67"/>
      <c r="AL387" s="67"/>
    </row>
    <row r="388" spans="1:38" ht="12.75" customHeight="1" x14ac:dyDescent="0.3">
      <c r="A388" s="61">
        <v>387</v>
      </c>
      <c r="B388" s="61">
        <v>104</v>
      </c>
      <c r="C388" s="61" t="s">
        <v>828</v>
      </c>
      <c r="D388" s="62" t="s">
        <v>25</v>
      </c>
      <c r="E388" s="62" t="s">
        <v>435</v>
      </c>
      <c r="F388" s="62" t="s">
        <v>33</v>
      </c>
      <c r="G388" s="62" t="s">
        <v>2</v>
      </c>
      <c r="H388" s="63">
        <v>1</v>
      </c>
      <c r="I388" s="62" t="s">
        <v>465</v>
      </c>
      <c r="J388" s="62" t="s">
        <v>51</v>
      </c>
      <c r="K388" s="62">
        <v>0</v>
      </c>
      <c r="L388" s="62">
        <v>30</v>
      </c>
      <c r="M388" s="62">
        <v>1</v>
      </c>
      <c r="N388" s="62">
        <v>0</v>
      </c>
      <c r="O388" s="62">
        <v>1</v>
      </c>
      <c r="P388" s="62" t="s">
        <v>463</v>
      </c>
      <c r="Q388" s="64">
        <v>5.15</v>
      </c>
      <c r="R388" s="65">
        <f>(36-11)/36</f>
        <v>0.69444444444444442</v>
      </c>
      <c r="S388" s="66">
        <v>2.2999999999999998</v>
      </c>
      <c r="T388" s="66">
        <v>0.92</v>
      </c>
      <c r="U388" s="66">
        <v>3.23</v>
      </c>
      <c r="V388" s="66">
        <f>2*(3.82-U388)</f>
        <v>1.1799999999999997</v>
      </c>
      <c r="W388" s="62">
        <v>20</v>
      </c>
      <c r="X388" s="62">
        <v>0</v>
      </c>
      <c r="Y388" s="62">
        <v>0</v>
      </c>
      <c r="Z388" s="62" t="s">
        <v>464</v>
      </c>
      <c r="AA388" s="62"/>
      <c r="AB388" s="62" t="s">
        <v>17</v>
      </c>
      <c r="AC388" s="62" t="s">
        <v>17</v>
      </c>
      <c r="AD388" s="61" t="s">
        <v>17</v>
      </c>
      <c r="AF388" s="4" t="s">
        <v>678</v>
      </c>
      <c r="AJ388" s="67"/>
      <c r="AK388" s="67"/>
      <c r="AL388" s="67"/>
    </row>
    <row r="389" spans="1:38" ht="12.75" customHeight="1" x14ac:dyDescent="0.3">
      <c r="A389" s="61">
        <v>388</v>
      </c>
      <c r="B389" s="61">
        <v>104</v>
      </c>
      <c r="C389" s="61" t="s">
        <v>828</v>
      </c>
      <c r="D389" s="62" t="s">
        <v>25</v>
      </c>
      <c r="E389" s="62" t="s">
        <v>435</v>
      </c>
      <c r="F389" s="62" t="s">
        <v>33</v>
      </c>
      <c r="G389" s="62" t="s">
        <v>2</v>
      </c>
      <c r="H389" s="63">
        <v>1</v>
      </c>
      <c r="I389" s="62" t="s">
        <v>462</v>
      </c>
      <c r="J389" s="62" t="s">
        <v>51</v>
      </c>
      <c r="K389" s="62">
        <v>0</v>
      </c>
      <c r="L389" s="62">
        <v>30</v>
      </c>
      <c r="M389" s="62">
        <v>1</v>
      </c>
      <c r="N389" s="62">
        <v>7</v>
      </c>
      <c r="O389" s="62">
        <v>1</v>
      </c>
      <c r="P389" s="62" t="s">
        <v>463</v>
      </c>
      <c r="Q389" s="64">
        <v>5.12</v>
      </c>
      <c r="R389" s="65">
        <f>(36-11)/36</f>
        <v>0.69444444444444442</v>
      </c>
      <c r="S389" s="66">
        <v>1.94</v>
      </c>
      <c r="T389" s="66">
        <v>1.06</v>
      </c>
      <c r="U389" s="66">
        <v>3.12</v>
      </c>
      <c r="V389" s="66">
        <f>2*(3.69-U389)</f>
        <v>1.1399999999999997</v>
      </c>
      <c r="W389" s="62">
        <v>16</v>
      </c>
      <c r="X389" s="62">
        <v>0</v>
      </c>
      <c r="Y389" s="62">
        <v>0</v>
      </c>
      <c r="Z389" s="62" t="s">
        <v>464</v>
      </c>
      <c r="AA389" s="62"/>
      <c r="AB389" s="62" t="s">
        <v>17</v>
      </c>
      <c r="AC389" s="62" t="s">
        <v>17</v>
      </c>
      <c r="AD389" s="61" t="s">
        <v>17</v>
      </c>
      <c r="AF389" s="4" t="s">
        <v>678</v>
      </c>
      <c r="AJ389" s="67"/>
      <c r="AK389" s="67"/>
      <c r="AL389" s="67"/>
    </row>
    <row r="390" spans="1:38" ht="12.75" customHeight="1" x14ac:dyDescent="0.3">
      <c r="A390" s="61">
        <v>389</v>
      </c>
      <c r="B390" s="61">
        <v>104</v>
      </c>
      <c r="C390" s="61" t="s">
        <v>828</v>
      </c>
      <c r="D390" s="62" t="s">
        <v>25</v>
      </c>
      <c r="E390" s="62" t="s">
        <v>435</v>
      </c>
      <c r="F390" s="62" t="s">
        <v>33</v>
      </c>
      <c r="G390" s="62" t="s">
        <v>2</v>
      </c>
      <c r="H390" s="63">
        <v>1</v>
      </c>
      <c r="I390" s="62" t="s">
        <v>465</v>
      </c>
      <c r="J390" s="62" t="s">
        <v>51</v>
      </c>
      <c r="K390" s="62">
        <v>0</v>
      </c>
      <c r="L390" s="62">
        <v>30</v>
      </c>
      <c r="M390" s="62">
        <v>1</v>
      </c>
      <c r="N390" s="62">
        <v>7</v>
      </c>
      <c r="O390" s="62">
        <v>1</v>
      </c>
      <c r="P390" s="62" t="s">
        <v>463</v>
      </c>
      <c r="Q390" s="64">
        <v>5.15</v>
      </c>
      <c r="R390" s="65">
        <f>(36-11)/36</f>
        <v>0.69444444444444442</v>
      </c>
      <c r="S390" s="66">
        <v>2.2999999999999998</v>
      </c>
      <c r="T390" s="66">
        <v>0.92</v>
      </c>
      <c r="U390" s="66">
        <v>2.94</v>
      </c>
      <c r="V390" s="66">
        <f>2*(3.45-U390)</f>
        <v>1.0200000000000005</v>
      </c>
      <c r="W390" s="62">
        <v>20</v>
      </c>
      <c r="X390" s="62">
        <v>0</v>
      </c>
      <c r="Y390" s="62">
        <v>0</v>
      </c>
      <c r="Z390" s="62" t="s">
        <v>464</v>
      </c>
      <c r="AA390" s="62"/>
      <c r="AB390" s="62" t="s">
        <v>17</v>
      </c>
      <c r="AC390" s="62" t="s">
        <v>17</v>
      </c>
      <c r="AD390" s="61" t="s">
        <v>17</v>
      </c>
      <c r="AF390" s="4" t="s">
        <v>678</v>
      </c>
      <c r="AJ390" s="67"/>
      <c r="AK390" s="67"/>
      <c r="AL390" s="67"/>
    </row>
    <row r="391" spans="1:38" ht="12.75" customHeight="1" x14ac:dyDescent="0.3">
      <c r="A391" s="61">
        <v>390</v>
      </c>
      <c r="B391" s="61">
        <v>105</v>
      </c>
      <c r="C391" s="61" t="s">
        <v>813</v>
      </c>
      <c r="D391" s="62" t="s">
        <v>466</v>
      </c>
      <c r="E391" s="62" t="s">
        <v>26</v>
      </c>
      <c r="F391" s="62" t="s">
        <v>467</v>
      </c>
      <c r="G391" s="62" t="s">
        <v>2</v>
      </c>
      <c r="H391" s="63">
        <v>1</v>
      </c>
      <c r="I391" s="62"/>
      <c r="J391" s="62">
        <v>2</v>
      </c>
      <c r="K391" s="62">
        <v>0</v>
      </c>
      <c r="L391" s="62" t="s">
        <v>468</v>
      </c>
      <c r="M391" s="62" t="s">
        <v>468</v>
      </c>
      <c r="N391" s="62">
        <v>7</v>
      </c>
      <c r="O391" s="62">
        <v>1</v>
      </c>
      <c r="P391" s="62" t="s">
        <v>469</v>
      </c>
      <c r="Q391" s="64">
        <v>11</v>
      </c>
      <c r="R391" s="65">
        <f>(8+7)/(8+7+16+19)</f>
        <v>0.3</v>
      </c>
      <c r="S391" s="66">
        <v>4.72</v>
      </c>
      <c r="T391" s="66">
        <v>1.64</v>
      </c>
      <c r="U391" s="66">
        <v>6.77</v>
      </c>
      <c r="V391" s="66">
        <v>1.47</v>
      </c>
      <c r="W391" s="62">
        <v>50</v>
      </c>
      <c r="X391" s="62">
        <v>0</v>
      </c>
      <c r="Y391" s="62">
        <v>0</v>
      </c>
      <c r="Z391" s="62" t="s">
        <v>470</v>
      </c>
      <c r="AA391" s="62" t="s">
        <v>1569</v>
      </c>
      <c r="AB391" s="62" t="s">
        <v>17</v>
      </c>
      <c r="AC391" s="62" t="s">
        <v>17</v>
      </c>
      <c r="AD391" s="61" t="s">
        <v>17</v>
      </c>
      <c r="AF391" s="4" t="s">
        <v>679</v>
      </c>
      <c r="AJ391" s="67"/>
      <c r="AK391" s="67"/>
      <c r="AL391" s="67"/>
    </row>
    <row r="392" spans="1:38" ht="12.75" customHeight="1" x14ac:dyDescent="0.3">
      <c r="A392" s="61">
        <v>391</v>
      </c>
      <c r="B392" s="61">
        <v>106</v>
      </c>
      <c r="C392" s="61" t="s">
        <v>583</v>
      </c>
      <c r="D392" s="62" t="s">
        <v>224</v>
      </c>
      <c r="E392" s="62" t="s">
        <v>32</v>
      </c>
      <c r="F392" s="62" t="s">
        <v>471</v>
      </c>
      <c r="G392" s="62" t="s">
        <v>2</v>
      </c>
      <c r="H392" s="63">
        <v>1</v>
      </c>
      <c r="I392" s="62"/>
      <c r="J392" s="62" t="s">
        <v>51</v>
      </c>
      <c r="K392" s="62">
        <v>0</v>
      </c>
      <c r="L392" s="62">
        <v>40</v>
      </c>
      <c r="M392" s="62">
        <v>1</v>
      </c>
      <c r="N392" s="62">
        <v>0</v>
      </c>
      <c r="O392" s="62">
        <v>1</v>
      </c>
      <c r="P392" s="62" t="s">
        <v>472</v>
      </c>
      <c r="Q392" s="64">
        <v>11.5</v>
      </c>
      <c r="R392" s="65">
        <f>20/38</f>
        <v>0.52631578947368418</v>
      </c>
      <c r="S392" s="66">
        <v>7.5</v>
      </c>
      <c r="T392" s="66">
        <v>2.6890000000000001</v>
      </c>
      <c r="U392" s="66">
        <v>11.74</v>
      </c>
      <c r="V392" s="66">
        <v>4.3410000000000002</v>
      </c>
      <c r="W392" s="62">
        <v>38</v>
      </c>
      <c r="X392" s="62">
        <v>0</v>
      </c>
      <c r="Y392" s="62">
        <v>0</v>
      </c>
      <c r="Z392" s="62" t="s">
        <v>230</v>
      </c>
      <c r="AA392" s="62" t="s">
        <v>1496</v>
      </c>
      <c r="AB392" s="62" t="s">
        <v>17</v>
      </c>
      <c r="AC392" s="62" t="s">
        <v>17</v>
      </c>
      <c r="AD392" s="61" t="s">
        <v>17</v>
      </c>
      <c r="AF392" s="4" t="s">
        <v>680</v>
      </c>
      <c r="AJ392" s="67"/>
      <c r="AK392" s="67"/>
      <c r="AL392" s="67"/>
    </row>
    <row r="393" spans="1:38" ht="12.75" customHeight="1" x14ac:dyDescent="0.3">
      <c r="A393" s="61">
        <v>392</v>
      </c>
      <c r="B393" s="61">
        <v>106</v>
      </c>
      <c r="C393" s="61" t="s">
        <v>583</v>
      </c>
      <c r="D393" s="62" t="s">
        <v>224</v>
      </c>
      <c r="E393" s="62" t="s">
        <v>32</v>
      </c>
      <c r="F393" s="62" t="s">
        <v>471</v>
      </c>
      <c r="G393" s="62" t="s">
        <v>64</v>
      </c>
      <c r="H393" s="63">
        <v>1</v>
      </c>
      <c r="I393" s="62"/>
      <c r="J393" s="62" t="s">
        <v>51</v>
      </c>
      <c r="K393" s="62">
        <v>0</v>
      </c>
      <c r="L393" s="62">
        <v>40</v>
      </c>
      <c r="M393" s="62">
        <v>1</v>
      </c>
      <c r="N393" s="62">
        <v>0</v>
      </c>
      <c r="O393" s="62">
        <v>1</v>
      </c>
      <c r="P393" s="62" t="s">
        <v>472</v>
      </c>
      <c r="Q393" s="64">
        <v>11.5</v>
      </c>
      <c r="R393" s="65">
        <f>27/48</f>
        <v>0.5625</v>
      </c>
      <c r="S393" s="66">
        <v>6.88</v>
      </c>
      <c r="T393" s="66">
        <v>3.8410000000000002</v>
      </c>
      <c r="U393" s="66">
        <v>11.42</v>
      </c>
      <c r="V393" s="66">
        <v>4.5330000000000004</v>
      </c>
      <c r="W393" s="62">
        <v>48</v>
      </c>
      <c r="X393" s="62">
        <v>0</v>
      </c>
      <c r="Y393" s="62">
        <v>0</v>
      </c>
      <c r="Z393" s="62" t="s">
        <v>230</v>
      </c>
      <c r="AA393" s="62"/>
      <c r="AB393" s="62" t="s">
        <v>17</v>
      </c>
      <c r="AC393" s="62" t="s">
        <v>17</v>
      </c>
      <c r="AD393" s="61" t="s">
        <v>17</v>
      </c>
      <c r="AF393" s="4" t="s">
        <v>680</v>
      </c>
      <c r="AJ393" s="67"/>
      <c r="AK393" s="67"/>
      <c r="AL393" s="67"/>
    </row>
    <row r="394" spans="1:38" ht="12.75" customHeight="1" x14ac:dyDescent="0.3">
      <c r="A394" s="61">
        <v>393</v>
      </c>
      <c r="B394" s="61">
        <v>106</v>
      </c>
      <c r="C394" s="61" t="s">
        <v>583</v>
      </c>
      <c r="D394" s="62" t="s">
        <v>224</v>
      </c>
      <c r="E394" s="62" t="s">
        <v>32</v>
      </c>
      <c r="F394" s="62" t="s">
        <v>471</v>
      </c>
      <c r="G394" s="62" t="s">
        <v>34</v>
      </c>
      <c r="H394" s="63">
        <v>1</v>
      </c>
      <c r="I394" s="62"/>
      <c r="J394" s="62" t="s">
        <v>51</v>
      </c>
      <c r="K394" s="62" t="s">
        <v>32</v>
      </c>
      <c r="L394" s="62">
        <v>40</v>
      </c>
      <c r="M394" s="62">
        <v>1</v>
      </c>
      <c r="N394" s="62">
        <v>0</v>
      </c>
      <c r="O394" s="62">
        <v>1</v>
      </c>
      <c r="P394" s="62" t="s">
        <v>472</v>
      </c>
      <c r="Q394" s="64">
        <v>11.5</v>
      </c>
      <c r="R394" s="65">
        <f>26/47</f>
        <v>0.55319148936170215</v>
      </c>
      <c r="S394" s="66">
        <v>4.96</v>
      </c>
      <c r="T394" s="66">
        <v>3.0430000000000001</v>
      </c>
      <c r="U394" s="66">
        <v>9.51</v>
      </c>
      <c r="V394" s="66">
        <v>4.2270000000000003</v>
      </c>
      <c r="W394" s="62">
        <v>47</v>
      </c>
      <c r="X394" s="62">
        <v>0</v>
      </c>
      <c r="Y394" s="62">
        <v>0</v>
      </c>
      <c r="Z394" s="62" t="s">
        <v>230</v>
      </c>
      <c r="AA394" s="62"/>
      <c r="AB394" s="62" t="s">
        <v>17</v>
      </c>
      <c r="AC394" s="62" t="s">
        <v>17</v>
      </c>
      <c r="AD394" s="61" t="s">
        <v>17</v>
      </c>
      <c r="AF394" s="4" t="s">
        <v>680</v>
      </c>
      <c r="AJ394" s="67"/>
      <c r="AK394" s="67"/>
      <c r="AL394" s="67"/>
    </row>
    <row r="395" spans="1:38" ht="12.75" customHeight="1" x14ac:dyDescent="0.3">
      <c r="A395" s="61">
        <v>394</v>
      </c>
      <c r="B395" s="61">
        <v>106</v>
      </c>
      <c r="C395" s="61" t="s">
        <v>583</v>
      </c>
      <c r="D395" s="62" t="s">
        <v>224</v>
      </c>
      <c r="E395" s="62" t="s">
        <v>32</v>
      </c>
      <c r="F395" s="62" t="s">
        <v>471</v>
      </c>
      <c r="G395" s="62" t="s">
        <v>2</v>
      </c>
      <c r="H395" s="63">
        <v>1</v>
      </c>
      <c r="I395" s="62"/>
      <c r="J395" s="62" t="s">
        <v>51</v>
      </c>
      <c r="K395" s="62">
        <v>0</v>
      </c>
      <c r="L395" s="62">
        <v>40</v>
      </c>
      <c r="M395" s="62">
        <v>1</v>
      </c>
      <c r="N395" s="62">
        <v>14</v>
      </c>
      <c r="O395" s="62">
        <v>1</v>
      </c>
      <c r="P395" s="62" t="s">
        <v>472</v>
      </c>
      <c r="Q395" s="64">
        <v>11.5</v>
      </c>
      <c r="R395" s="65">
        <f>20/38</f>
        <v>0.52631578947368418</v>
      </c>
      <c r="S395" s="66">
        <v>7.5</v>
      </c>
      <c r="T395" s="66">
        <v>2.6890000000000001</v>
      </c>
      <c r="U395" s="66">
        <v>10.16</v>
      </c>
      <c r="V395" s="66">
        <v>4.0709999999999997</v>
      </c>
      <c r="W395" s="62">
        <v>38</v>
      </c>
      <c r="X395" s="62">
        <v>0</v>
      </c>
      <c r="Y395" s="62">
        <v>0</v>
      </c>
      <c r="Z395" s="62" t="s">
        <v>230</v>
      </c>
      <c r="AA395" s="62"/>
      <c r="AB395" s="62" t="s">
        <v>17</v>
      </c>
      <c r="AC395" s="62" t="s">
        <v>17</v>
      </c>
      <c r="AD395" s="61" t="s">
        <v>17</v>
      </c>
      <c r="AF395" s="4" t="s">
        <v>680</v>
      </c>
      <c r="AJ395" s="67"/>
      <c r="AK395" s="67"/>
      <c r="AL395" s="67"/>
    </row>
    <row r="396" spans="1:38" ht="12.75" customHeight="1" x14ac:dyDescent="0.3">
      <c r="A396" s="61">
        <v>395</v>
      </c>
      <c r="B396" s="61">
        <v>106</v>
      </c>
      <c r="C396" s="61" t="s">
        <v>583</v>
      </c>
      <c r="D396" s="62" t="s">
        <v>224</v>
      </c>
      <c r="E396" s="62" t="s">
        <v>32</v>
      </c>
      <c r="F396" s="62" t="s">
        <v>471</v>
      </c>
      <c r="G396" s="62" t="s">
        <v>64</v>
      </c>
      <c r="H396" s="63">
        <v>1</v>
      </c>
      <c r="I396" s="62"/>
      <c r="J396" s="62" t="s">
        <v>51</v>
      </c>
      <c r="K396" s="62">
        <v>0</v>
      </c>
      <c r="L396" s="62">
        <v>40</v>
      </c>
      <c r="M396" s="62">
        <v>1</v>
      </c>
      <c r="N396" s="62">
        <v>14</v>
      </c>
      <c r="O396" s="62">
        <v>1</v>
      </c>
      <c r="P396" s="62" t="s">
        <v>472</v>
      </c>
      <c r="Q396" s="64">
        <v>11.5</v>
      </c>
      <c r="R396" s="65">
        <f>27/48</f>
        <v>0.5625</v>
      </c>
      <c r="S396" s="66">
        <v>6.88</v>
      </c>
      <c r="T396" s="66">
        <v>3.8410000000000002</v>
      </c>
      <c r="U396" s="66">
        <v>9.9600000000000009</v>
      </c>
      <c r="V396" s="66">
        <v>4.2270000000000003</v>
      </c>
      <c r="W396" s="62">
        <v>48</v>
      </c>
      <c r="X396" s="62">
        <v>0</v>
      </c>
      <c r="Y396" s="62">
        <v>0</v>
      </c>
      <c r="Z396" s="62" t="s">
        <v>230</v>
      </c>
      <c r="AA396" s="62"/>
      <c r="AB396" s="62" t="s">
        <v>17</v>
      </c>
      <c r="AC396" s="62" t="s">
        <v>17</v>
      </c>
      <c r="AD396" s="61" t="s">
        <v>17</v>
      </c>
      <c r="AF396" s="4" t="s">
        <v>680</v>
      </c>
      <c r="AJ396" s="67"/>
      <c r="AK396" s="67"/>
      <c r="AL396" s="67"/>
    </row>
    <row r="397" spans="1:38" ht="12.75" customHeight="1" x14ac:dyDescent="0.3">
      <c r="A397" s="61">
        <v>396</v>
      </c>
      <c r="B397" s="61">
        <v>106</v>
      </c>
      <c r="C397" s="61" t="s">
        <v>583</v>
      </c>
      <c r="D397" s="62" t="s">
        <v>224</v>
      </c>
      <c r="E397" s="62" t="s">
        <v>32</v>
      </c>
      <c r="F397" s="62" t="s">
        <v>471</v>
      </c>
      <c r="G397" s="62" t="s">
        <v>34</v>
      </c>
      <c r="H397" s="63">
        <v>1</v>
      </c>
      <c r="I397" s="62"/>
      <c r="J397" s="62" t="s">
        <v>51</v>
      </c>
      <c r="K397" s="62" t="s">
        <v>32</v>
      </c>
      <c r="L397" s="62">
        <v>40</v>
      </c>
      <c r="M397" s="62">
        <v>1</v>
      </c>
      <c r="N397" s="62">
        <v>14</v>
      </c>
      <c r="O397" s="62">
        <v>1</v>
      </c>
      <c r="P397" s="62" t="s">
        <v>472</v>
      </c>
      <c r="Q397" s="64">
        <v>11.5</v>
      </c>
      <c r="R397" s="65">
        <f>26/47</f>
        <v>0.55319148936170215</v>
      </c>
      <c r="S397" s="66">
        <v>4.96</v>
      </c>
      <c r="T397" s="66">
        <v>3.0430000000000001</v>
      </c>
      <c r="U397" s="66">
        <v>9.51</v>
      </c>
      <c r="V397" s="66">
        <v>4.5629999999999997</v>
      </c>
      <c r="W397" s="62">
        <v>47</v>
      </c>
      <c r="X397" s="62">
        <v>0</v>
      </c>
      <c r="Y397" s="62">
        <v>0</v>
      </c>
      <c r="Z397" s="62" t="s">
        <v>230</v>
      </c>
      <c r="AA397" s="62"/>
      <c r="AB397" s="62" t="s">
        <v>17</v>
      </c>
      <c r="AC397" s="62" t="s">
        <v>17</v>
      </c>
      <c r="AD397" s="61" t="s">
        <v>17</v>
      </c>
      <c r="AF397" s="4" t="s">
        <v>680</v>
      </c>
      <c r="AJ397" s="67"/>
      <c r="AK397" s="67"/>
      <c r="AL397" s="67"/>
    </row>
    <row r="398" spans="1:38" ht="12.75" customHeight="1" x14ac:dyDescent="0.3">
      <c r="A398" s="61">
        <v>397</v>
      </c>
      <c r="B398" s="61">
        <v>107</v>
      </c>
      <c r="C398" s="61" t="s">
        <v>799</v>
      </c>
      <c r="D398" s="62" t="s">
        <v>434</v>
      </c>
      <c r="E398" s="62" t="s">
        <v>473</v>
      </c>
      <c r="F398" s="62" t="s">
        <v>474</v>
      </c>
      <c r="G398" s="62" t="s">
        <v>2</v>
      </c>
      <c r="H398" s="63">
        <v>0</v>
      </c>
      <c r="I398" s="62" t="s">
        <v>475</v>
      </c>
      <c r="J398" s="62">
        <v>1</v>
      </c>
      <c r="K398" s="62">
        <v>0</v>
      </c>
      <c r="L398" s="62">
        <v>45</v>
      </c>
      <c r="M398" s="62">
        <v>1</v>
      </c>
      <c r="N398" s="62">
        <v>0</v>
      </c>
      <c r="O398" s="62">
        <v>1</v>
      </c>
      <c r="P398" s="62" t="s">
        <v>476</v>
      </c>
      <c r="Q398" s="64">
        <v>24.8</v>
      </c>
      <c r="R398" s="65">
        <f>3/36</f>
        <v>8.3333333333333329E-2</v>
      </c>
      <c r="S398" s="66">
        <v>42.42</v>
      </c>
      <c r="T398" s="66">
        <v>3.91</v>
      </c>
      <c r="U398" s="66">
        <v>47.08</v>
      </c>
      <c r="V398" s="66">
        <v>4.42</v>
      </c>
      <c r="W398" s="62">
        <v>36</v>
      </c>
      <c r="X398" s="62">
        <v>0</v>
      </c>
      <c r="Y398" s="62">
        <v>0</v>
      </c>
      <c r="Z398" s="62" t="s">
        <v>477</v>
      </c>
      <c r="AA398" s="62"/>
      <c r="AB398" s="62" t="s">
        <v>17</v>
      </c>
      <c r="AC398" s="62" t="s">
        <v>17</v>
      </c>
      <c r="AD398" s="61" t="s">
        <v>45</v>
      </c>
      <c r="AF398" s="11" t="s">
        <v>681</v>
      </c>
      <c r="AJ398" s="67"/>
      <c r="AK398" s="67"/>
      <c r="AL398" s="67"/>
    </row>
    <row r="399" spans="1:38" ht="12.75" customHeight="1" x14ac:dyDescent="0.3">
      <c r="A399" s="61">
        <v>398</v>
      </c>
      <c r="B399" s="61">
        <v>107</v>
      </c>
      <c r="C399" s="61" t="s">
        <v>799</v>
      </c>
      <c r="D399" s="62" t="s">
        <v>434</v>
      </c>
      <c r="E399" s="62" t="s">
        <v>473</v>
      </c>
      <c r="F399" s="62" t="s">
        <v>474</v>
      </c>
      <c r="G399" s="62" t="s">
        <v>2</v>
      </c>
      <c r="H399" s="63">
        <v>0</v>
      </c>
      <c r="I399" s="62" t="s">
        <v>478</v>
      </c>
      <c r="J399" s="62">
        <v>1</v>
      </c>
      <c r="K399" s="62">
        <v>0</v>
      </c>
      <c r="L399" s="62">
        <v>45</v>
      </c>
      <c r="M399" s="62">
        <v>1</v>
      </c>
      <c r="N399" s="62">
        <v>0</v>
      </c>
      <c r="O399" s="62">
        <v>1</v>
      </c>
      <c r="P399" s="62" t="s">
        <v>476</v>
      </c>
      <c r="Q399" s="64">
        <v>25.2</v>
      </c>
      <c r="R399" s="65">
        <f>9/36</f>
        <v>0.25</v>
      </c>
      <c r="S399" s="66">
        <v>39.86</v>
      </c>
      <c r="T399" s="66">
        <v>6.96</v>
      </c>
      <c r="U399" s="66">
        <v>47.08</v>
      </c>
      <c r="V399" s="66">
        <v>4.49</v>
      </c>
      <c r="W399" s="62">
        <v>36</v>
      </c>
      <c r="X399" s="62">
        <v>0</v>
      </c>
      <c r="Y399" s="62">
        <v>0</v>
      </c>
      <c r="Z399" s="62" t="s">
        <v>477</v>
      </c>
      <c r="AA399" s="62"/>
      <c r="AB399" s="62" t="s">
        <v>17</v>
      </c>
      <c r="AC399" s="62" t="s">
        <v>17</v>
      </c>
      <c r="AD399" s="61" t="s">
        <v>45</v>
      </c>
      <c r="AF399" s="11" t="s">
        <v>681</v>
      </c>
      <c r="AJ399" s="67"/>
      <c r="AK399" s="67"/>
      <c r="AL399" s="67"/>
    </row>
    <row r="400" spans="1:38" ht="12.75" customHeight="1" x14ac:dyDescent="0.3">
      <c r="A400" s="61">
        <v>399</v>
      </c>
      <c r="B400" s="61">
        <v>107</v>
      </c>
      <c r="C400" s="61" t="s">
        <v>799</v>
      </c>
      <c r="D400" s="62" t="s">
        <v>434</v>
      </c>
      <c r="E400" s="62" t="s">
        <v>473</v>
      </c>
      <c r="F400" s="62" t="s">
        <v>474</v>
      </c>
      <c r="G400" s="62" t="s">
        <v>2</v>
      </c>
      <c r="H400" s="63">
        <v>0</v>
      </c>
      <c r="I400" s="62" t="s">
        <v>475</v>
      </c>
      <c r="J400" s="62">
        <v>1</v>
      </c>
      <c r="K400" s="62">
        <v>0</v>
      </c>
      <c r="L400" s="62">
        <v>45</v>
      </c>
      <c r="M400" s="62">
        <v>1</v>
      </c>
      <c r="N400" s="62">
        <v>0</v>
      </c>
      <c r="O400" s="62">
        <v>2</v>
      </c>
      <c r="P400" s="62" t="s">
        <v>1389</v>
      </c>
      <c r="Q400" s="64">
        <v>24.8</v>
      </c>
      <c r="R400" s="65">
        <f>3/36</f>
        <v>8.3333333333333329E-2</v>
      </c>
      <c r="S400" s="66">
        <v>42.42</v>
      </c>
      <c r="T400" s="66">
        <v>3.91</v>
      </c>
      <c r="U400" s="66">
        <v>34.97</v>
      </c>
      <c r="V400" s="66">
        <v>3.49</v>
      </c>
      <c r="W400" s="62">
        <v>36</v>
      </c>
      <c r="X400" s="62">
        <v>0</v>
      </c>
      <c r="Y400" s="62">
        <v>0</v>
      </c>
      <c r="Z400" s="62" t="s">
        <v>477</v>
      </c>
      <c r="AA400" s="62"/>
      <c r="AB400" s="62" t="s">
        <v>17</v>
      </c>
      <c r="AC400" s="62" t="s">
        <v>17</v>
      </c>
      <c r="AD400" s="61" t="s">
        <v>45</v>
      </c>
      <c r="AF400" s="11" t="s">
        <v>681</v>
      </c>
      <c r="AJ400" s="67"/>
      <c r="AK400" s="67"/>
      <c r="AL400" s="67"/>
    </row>
    <row r="401" spans="1:38" ht="12.75" customHeight="1" x14ac:dyDescent="0.3">
      <c r="A401" s="61">
        <v>400</v>
      </c>
      <c r="B401" s="61">
        <v>107</v>
      </c>
      <c r="C401" s="61" t="s">
        <v>799</v>
      </c>
      <c r="D401" s="62" t="s">
        <v>434</v>
      </c>
      <c r="E401" s="62" t="s">
        <v>473</v>
      </c>
      <c r="F401" s="62" t="s">
        <v>474</v>
      </c>
      <c r="G401" s="62" t="s">
        <v>2</v>
      </c>
      <c r="H401" s="63">
        <v>0</v>
      </c>
      <c r="I401" s="62" t="s">
        <v>478</v>
      </c>
      <c r="J401" s="62">
        <v>1</v>
      </c>
      <c r="K401" s="62">
        <v>0</v>
      </c>
      <c r="L401" s="62">
        <v>45</v>
      </c>
      <c r="M401" s="62">
        <v>1</v>
      </c>
      <c r="N401" s="62">
        <v>0</v>
      </c>
      <c r="O401" s="62">
        <v>2</v>
      </c>
      <c r="P401" s="62" t="s">
        <v>1389</v>
      </c>
      <c r="Q401" s="64">
        <v>25.2</v>
      </c>
      <c r="R401" s="65">
        <f>9/36</f>
        <v>0.25</v>
      </c>
      <c r="S401" s="66">
        <v>39.86</v>
      </c>
      <c r="T401" s="66">
        <v>6.96</v>
      </c>
      <c r="U401" s="66">
        <v>33.1</v>
      </c>
      <c r="V401" s="66">
        <v>4.49</v>
      </c>
      <c r="W401" s="62">
        <v>36</v>
      </c>
      <c r="X401" s="62">
        <v>0</v>
      </c>
      <c r="Y401" s="62">
        <v>0</v>
      </c>
      <c r="Z401" s="62" t="s">
        <v>477</v>
      </c>
      <c r="AA401" s="62"/>
      <c r="AB401" s="62" t="s">
        <v>17</v>
      </c>
      <c r="AC401" s="62" t="s">
        <v>17</v>
      </c>
      <c r="AD401" s="61" t="s">
        <v>45</v>
      </c>
      <c r="AF401" s="11" t="s">
        <v>681</v>
      </c>
      <c r="AJ401" s="67"/>
      <c r="AK401" s="67"/>
      <c r="AL401" s="67"/>
    </row>
    <row r="402" spans="1:38" ht="12.75" customHeight="1" x14ac:dyDescent="0.3">
      <c r="A402" s="61">
        <v>401</v>
      </c>
      <c r="B402" s="61">
        <v>108</v>
      </c>
      <c r="C402" s="61" t="s">
        <v>764</v>
      </c>
      <c r="D402" s="62" t="s">
        <v>50</v>
      </c>
      <c r="E402" s="62" t="s">
        <v>308</v>
      </c>
      <c r="F402" s="62" t="s">
        <v>42</v>
      </c>
      <c r="G402" s="62" t="s">
        <v>2</v>
      </c>
      <c r="H402" s="63">
        <v>0</v>
      </c>
      <c r="I402" s="62"/>
      <c r="J402" s="62">
        <v>1</v>
      </c>
      <c r="K402" s="62">
        <v>1</v>
      </c>
      <c r="L402" s="62">
        <v>20</v>
      </c>
      <c r="M402" s="62">
        <v>2</v>
      </c>
      <c r="N402" s="62">
        <v>0</v>
      </c>
      <c r="O402" s="62" t="s">
        <v>32</v>
      </c>
      <c r="P402" s="62" t="s">
        <v>479</v>
      </c>
      <c r="Q402" s="64">
        <v>5.53</v>
      </c>
      <c r="R402" s="65">
        <v>0.5</v>
      </c>
      <c r="S402" s="66"/>
      <c r="T402" s="66"/>
      <c r="U402" s="66">
        <v>0.83</v>
      </c>
      <c r="V402" s="66">
        <v>0.20200000000000001</v>
      </c>
      <c r="W402" s="62">
        <v>20</v>
      </c>
      <c r="X402" s="62">
        <v>0</v>
      </c>
      <c r="Y402" s="62">
        <v>0</v>
      </c>
      <c r="Z402" s="62" t="s">
        <v>36</v>
      </c>
      <c r="AA402" s="62"/>
      <c r="AB402" s="62" t="s">
        <v>17</v>
      </c>
      <c r="AC402" s="62" t="s">
        <v>17</v>
      </c>
      <c r="AD402" s="61" t="s">
        <v>17</v>
      </c>
      <c r="AF402" s="4" t="s">
        <v>682</v>
      </c>
      <c r="AJ402" s="67"/>
      <c r="AK402" s="67"/>
      <c r="AL402" s="67"/>
    </row>
    <row r="403" spans="1:38" ht="12.75" customHeight="1" x14ac:dyDescent="0.3">
      <c r="A403" s="61">
        <v>402</v>
      </c>
      <c r="B403" s="61">
        <v>108</v>
      </c>
      <c r="C403" s="61" t="s">
        <v>764</v>
      </c>
      <c r="D403" s="62" t="s">
        <v>50</v>
      </c>
      <c r="E403" s="62" t="s">
        <v>32</v>
      </c>
      <c r="F403" s="62" t="s">
        <v>42</v>
      </c>
      <c r="G403" s="62" t="s">
        <v>34</v>
      </c>
      <c r="H403" s="63">
        <v>0</v>
      </c>
      <c r="I403" s="62"/>
      <c r="J403" s="62">
        <v>1</v>
      </c>
      <c r="K403" s="62" t="s">
        <v>32</v>
      </c>
      <c r="L403" s="62">
        <v>20</v>
      </c>
      <c r="M403" s="62">
        <v>2</v>
      </c>
      <c r="N403" s="62">
        <v>0</v>
      </c>
      <c r="O403" s="62" t="s">
        <v>32</v>
      </c>
      <c r="P403" s="62" t="s">
        <v>479</v>
      </c>
      <c r="Q403" s="64">
        <v>5.53</v>
      </c>
      <c r="R403" s="65">
        <v>0.5</v>
      </c>
      <c r="S403" s="66"/>
      <c r="T403" s="66"/>
      <c r="U403" s="66">
        <v>0.68</v>
      </c>
      <c r="V403" s="66">
        <v>0.22900000000000001</v>
      </c>
      <c r="W403" s="62">
        <v>20</v>
      </c>
      <c r="X403" s="62">
        <v>0</v>
      </c>
      <c r="Y403" s="62">
        <v>0</v>
      </c>
      <c r="Z403" s="62" t="s">
        <v>36</v>
      </c>
      <c r="AA403" s="62"/>
      <c r="AB403" s="62" t="s">
        <v>17</v>
      </c>
      <c r="AC403" s="62" t="s">
        <v>17</v>
      </c>
      <c r="AD403" s="61" t="s">
        <v>17</v>
      </c>
      <c r="AF403" s="4" t="s">
        <v>682</v>
      </c>
      <c r="AJ403" s="67"/>
      <c r="AK403" s="67"/>
      <c r="AL403" s="67"/>
    </row>
    <row r="404" spans="1:38" ht="12.75" customHeight="1" x14ac:dyDescent="0.3">
      <c r="A404" s="61">
        <v>403</v>
      </c>
      <c r="B404" s="61">
        <v>108</v>
      </c>
      <c r="C404" s="61" t="s">
        <v>764</v>
      </c>
      <c r="D404" s="62" t="s">
        <v>50</v>
      </c>
      <c r="E404" s="62" t="s">
        <v>308</v>
      </c>
      <c r="F404" s="62" t="s">
        <v>42</v>
      </c>
      <c r="G404" s="62" t="s">
        <v>2</v>
      </c>
      <c r="H404" s="63">
        <v>0</v>
      </c>
      <c r="I404" s="62"/>
      <c r="J404" s="62">
        <v>1</v>
      </c>
      <c r="K404" s="62">
        <v>1</v>
      </c>
      <c r="L404" s="62">
        <v>20</v>
      </c>
      <c r="M404" s="62">
        <v>2</v>
      </c>
      <c r="N404" s="62">
        <v>7</v>
      </c>
      <c r="O404" s="62" t="s">
        <v>32</v>
      </c>
      <c r="P404" s="62" t="s">
        <v>479</v>
      </c>
      <c r="Q404" s="64">
        <v>5.53</v>
      </c>
      <c r="R404" s="65">
        <v>0.5</v>
      </c>
      <c r="S404" s="66"/>
      <c r="T404" s="66"/>
      <c r="U404" s="66">
        <v>0.73</v>
      </c>
      <c r="V404" s="66">
        <v>0.17399999999999999</v>
      </c>
      <c r="W404" s="62">
        <v>20</v>
      </c>
      <c r="X404" s="62">
        <v>0</v>
      </c>
      <c r="Y404" s="62">
        <v>0</v>
      </c>
      <c r="Z404" s="62" t="s">
        <v>36</v>
      </c>
      <c r="AA404" s="62"/>
      <c r="AB404" s="62" t="s">
        <v>17</v>
      </c>
      <c r="AC404" s="62" t="s">
        <v>17</v>
      </c>
      <c r="AD404" s="61" t="s">
        <v>17</v>
      </c>
      <c r="AF404" s="4" t="s">
        <v>682</v>
      </c>
      <c r="AJ404" s="67"/>
      <c r="AK404" s="67"/>
      <c r="AL404" s="67"/>
    </row>
    <row r="405" spans="1:38" ht="12.75" customHeight="1" x14ac:dyDescent="0.3">
      <c r="A405" s="61">
        <v>404</v>
      </c>
      <c r="B405" s="61">
        <v>108</v>
      </c>
      <c r="C405" s="61" t="s">
        <v>764</v>
      </c>
      <c r="D405" s="62" t="s">
        <v>50</v>
      </c>
      <c r="E405" s="62" t="s">
        <v>32</v>
      </c>
      <c r="F405" s="62" t="s">
        <v>42</v>
      </c>
      <c r="G405" s="62" t="s">
        <v>34</v>
      </c>
      <c r="H405" s="63">
        <v>0</v>
      </c>
      <c r="I405" s="62"/>
      <c r="J405" s="62">
        <v>1</v>
      </c>
      <c r="K405" s="62" t="s">
        <v>32</v>
      </c>
      <c r="L405" s="62">
        <v>20</v>
      </c>
      <c r="M405" s="62">
        <v>2</v>
      </c>
      <c r="N405" s="62">
        <v>7</v>
      </c>
      <c r="O405" s="62" t="s">
        <v>32</v>
      </c>
      <c r="P405" s="62" t="s">
        <v>479</v>
      </c>
      <c r="Q405" s="64">
        <v>5.53</v>
      </c>
      <c r="R405" s="65">
        <v>0.5</v>
      </c>
      <c r="S405" s="66"/>
      <c r="T405" s="66"/>
      <c r="U405" s="66">
        <v>0.55000000000000004</v>
      </c>
      <c r="V405" s="66">
        <v>0.311</v>
      </c>
      <c r="W405" s="62">
        <v>20</v>
      </c>
      <c r="X405" s="62">
        <v>0</v>
      </c>
      <c r="Y405" s="62">
        <v>0</v>
      </c>
      <c r="Z405" s="62" t="s">
        <v>36</v>
      </c>
      <c r="AA405" s="62"/>
      <c r="AB405" s="62" t="s">
        <v>17</v>
      </c>
      <c r="AC405" s="62" t="s">
        <v>17</v>
      </c>
      <c r="AD405" s="61" t="s">
        <v>17</v>
      </c>
      <c r="AF405" s="4" t="s">
        <v>682</v>
      </c>
      <c r="AJ405" s="67"/>
      <c r="AK405" s="67"/>
      <c r="AL405" s="67"/>
    </row>
    <row r="406" spans="1:38" ht="12.75" customHeight="1" x14ac:dyDescent="0.3">
      <c r="A406" s="61">
        <v>405</v>
      </c>
      <c r="B406" s="61">
        <v>109</v>
      </c>
      <c r="C406" s="61" t="s">
        <v>733</v>
      </c>
      <c r="D406" s="62" t="s">
        <v>50</v>
      </c>
      <c r="E406" s="62" t="s">
        <v>480</v>
      </c>
      <c r="F406" s="62" t="s">
        <v>481</v>
      </c>
      <c r="G406" s="62" t="s">
        <v>2</v>
      </c>
      <c r="H406" s="63">
        <v>0</v>
      </c>
      <c r="I406" s="61"/>
      <c r="J406" s="62" t="s">
        <v>51</v>
      </c>
      <c r="K406" s="62">
        <v>1</v>
      </c>
      <c r="L406" s="62">
        <f>600</f>
        <v>600</v>
      </c>
      <c r="M406" s="62">
        <v>10</v>
      </c>
      <c r="N406" s="62">
        <v>0</v>
      </c>
      <c r="O406" s="62">
        <v>1</v>
      </c>
      <c r="P406" s="62" t="s">
        <v>482</v>
      </c>
      <c r="Q406" s="64">
        <v>13</v>
      </c>
      <c r="R406" s="65">
        <v>1</v>
      </c>
      <c r="S406" s="66">
        <v>7.75</v>
      </c>
      <c r="T406" s="66">
        <v>2.1800000000000002</v>
      </c>
      <c r="U406" s="66">
        <v>19.940000000000001</v>
      </c>
      <c r="V406" s="66">
        <v>0.25</v>
      </c>
      <c r="W406" s="62">
        <v>16</v>
      </c>
      <c r="X406" s="62">
        <v>0</v>
      </c>
      <c r="Y406" s="62">
        <v>0</v>
      </c>
      <c r="Z406" s="62" t="s">
        <v>430</v>
      </c>
      <c r="AA406" s="62"/>
      <c r="AB406" s="62" t="s">
        <v>17</v>
      </c>
      <c r="AC406" s="62" t="s">
        <v>17</v>
      </c>
      <c r="AD406" s="61" t="s">
        <v>17</v>
      </c>
      <c r="AF406" s="4" t="s">
        <v>683</v>
      </c>
      <c r="AH406" s="74"/>
      <c r="AJ406" s="67"/>
      <c r="AK406" s="67"/>
      <c r="AL406" s="67"/>
    </row>
    <row r="407" spans="1:38" ht="12.75" customHeight="1" x14ac:dyDescent="0.3">
      <c r="A407" s="61">
        <v>406</v>
      </c>
      <c r="B407" s="61">
        <v>109</v>
      </c>
      <c r="C407" s="61" t="s">
        <v>733</v>
      </c>
      <c r="D407" s="62" t="s">
        <v>50</v>
      </c>
      <c r="E407" s="62" t="s">
        <v>32</v>
      </c>
      <c r="F407" s="62" t="s">
        <v>481</v>
      </c>
      <c r="G407" s="62" t="s">
        <v>34</v>
      </c>
      <c r="H407" s="63">
        <v>0</v>
      </c>
      <c r="I407" s="62"/>
      <c r="J407" s="62" t="s">
        <v>51</v>
      </c>
      <c r="K407" s="62" t="s">
        <v>32</v>
      </c>
      <c r="L407" s="62">
        <f>15*90</f>
        <v>1350</v>
      </c>
      <c r="M407" s="62">
        <v>15</v>
      </c>
      <c r="N407" s="62">
        <v>0</v>
      </c>
      <c r="O407" s="62">
        <v>1</v>
      </c>
      <c r="P407" s="62" t="s">
        <v>482</v>
      </c>
      <c r="Q407" s="64">
        <v>13</v>
      </c>
      <c r="R407" s="65">
        <v>1</v>
      </c>
      <c r="S407" s="66">
        <v>6.94</v>
      </c>
      <c r="T407" s="66">
        <v>2.52</v>
      </c>
      <c r="U407" s="66">
        <v>19.309999999999999</v>
      </c>
      <c r="V407" s="66">
        <v>0.95</v>
      </c>
      <c r="W407" s="62">
        <v>16</v>
      </c>
      <c r="X407" s="62">
        <v>0</v>
      </c>
      <c r="Y407" s="62">
        <v>0</v>
      </c>
      <c r="Z407" s="62" t="s">
        <v>430</v>
      </c>
      <c r="AA407" s="62"/>
      <c r="AB407" s="62" t="s">
        <v>17</v>
      </c>
      <c r="AC407" s="62" t="s">
        <v>17</v>
      </c>
      <c r="AD407" s="61" t="s">
        <v>17</v>
      </c>
      <c r="AF407" s="4" t="s">
        <v>683</v>
      </c>
      <c r="AH407" s="74"/>
      <c r="AJ407" s="67"/>
      <c r="AK407" s="67"/>
      <c r="AL407" s="67"/>
    </row>
    <row r="408" spans="1:38" ht="12.75" customHeight="1" x14ac:dyDescent="0.3">
      <c r="A408" s="61">
        <v>407</v>
      </c>
      <c r="B408" s="61">
        <v>109</v>
      </c>
      <c r="C408" s="61" t="s">
        <v>733</v>
      </c>
      <c r="D408" s="62" t="s">
        <v>50</v>
      </c>
      <c r="E408" s="62" t="s">
        <v>32</v>
      </c>
      <c r="F408" s="62" t="s">
        <v>481</v>
      </c>
      <c r="G408" s="62" t="s">
        <v>34</v>
      </c>
      <c r="H408" s="63">
        <v>0</v>
      </c>
      <c r="I408" s="62"/>
      <c r="J408" s="62" t="s">
        <v>51</v>
      </c>
      <c r="K408" s="62" t="s">
        <v>32</v>
      </c>
      <c r="L408" s="62">
        <f>15*120</f>
        <v>1800</v>
      </c>
      <c r="M408" s="62">
        <v>15</v>
      </c>
      <c r="N408" s="62">
        <v>0</v>
      </c>
      <c r="O408" s="62">
        <v>1</v>
      </c>
      <c r="P408" s="62" t="s">
        <v>482</v>
      </c>
      <c r="Q408" s="64">
        <v>13</v>
      </c>
      <c r="R408" s="65">
        <v>1</v>
      </c>
      <c r="S408" s="66">
        <v>7.63</v>
      </c>
      <c r="T408" s="66">
        <v>1.71</v>
      </c>
      <c r="U408" s="66">
        <v>18.940000000000001</v>
      </c>
      <c r="V408" s="66">
        <v>0.85</v>
      </c>
      <c r="W408" s="62">
        <v>16</v>
      </c>
      <c r="X408" s="62">
        <v>0</v>
      </c>
      <c r="Y408" s="62">
        <v>0</v>
      </c>
      <c r="Z408" s="62" t="s">
        <v>430</v>
      </c>
      <c r="AA408" s="62"/>
      <c r="AB408" s="62" t="s">
        <v>17</v>
      </c>
      <c r="AC408" s="62" t="s">
        <v>17</v>
      </c>
      <c r="AD408" s="61" t="s">
        <v>17</v>
      </c>
      <c r="AF408" s="4" t="s">
        <v>683</v>
      </c>
      <c r="AH408" s="74"/>
      <c r="AJ408" s="67"/>
      <c r="AK408" s="67"/>
      <c r="AL408" s="67"/>
    </row>
    <row r="409" spans="1:38" ht="12.75" customHeight="1" x14ac:dyDescent="0.3">
      <c r="A409" s="61">
        <v>408</v>
      </c>
      <c r="B409" s="61">
        <v>109</v>
      </c>
      <c r="C409" s="61" t="s">
        <v>733</v>
      </c>
      <c r="D409" s="62" t="s">
        <v>50</v>
      </c>
      <c r="E409" s="62" t="s">
        <v>480</v>
      </c>
      <c r="F409" s="62" t="s">
        <v>481</v>
      </c>
      <c r="G409" s="62" t="s">
        <v>2</v>
      </c>
      <c r="H409" s="63">
        <v>0</v>
      </c>
      <c r="I409" s="61"/>
      <c r="J409" s="62" t="s">
        <v>51</v>
      </c>
      <c r="K409" s="62">
        <v>1</v>
      </c>
      <c r="L409" s="62">
        <f>600</f>
        <v>600</v>
      </c>
      <c r="M409" s="62">
        <v>10</v>
      </c>
      <c r="N409" s="62">
        <v>14</v>
      </c>
      <c r="O409" s="62">
        <v>1</v>
      </c>
      <c r="P409" s="62" t="s">
        <v>482</v>
      </c>
      <c r="Q409" s="64">
        <v>13</v>
      </c>
      <c r="R409" s="65">
        <v>1</v>
      </c>
      <c r="S409" s="66">
        <v>7.75</v>
      </c>
      <c r="T409" s="66">
        <v>2.1800000000000002</v>
      </c>
      <c r="U409" s="66">
        <v>19.75</v>
      </c>
      <c r="V409" s="66">
        <v>0.45</v>
      </c>
      <c r="W409" s="62">
        <v>16</v>
      </c>
      <c r="X409" s="62">
        <v>0</v>
      </c>
      <c r="Y409" s="62">
        <v>0</v>
      </c>
      <c r="Z409" s="62" t="s">
        <v>431</v>
      </c>
      <c r="AA409" s="62"/>
      <c r="AB409" s="62" t="s">
        <v>17</v>
      </c>
      <c r="AC409" s="62" t="s">
        <v>17</v>
      </c>
      <c r="AD409" s="61" t="s">
        <v>17</v>
      </c>
      <c r="AF409" s="4" t="s">
        <v>683</v>
      </c>
      <c r="AH409" s="74"/>
      <c r="AJ409" s="67"/>
      <c r="AK409" s="67"/>
      <c r="AL409" s="67"/>
    </row>
    <row r="410" spans="1:38" ht="12.75" customHeight="1" x14ac:dyDescent="0.3">
      <c r="A410" s="61">
        <v>409</v>
      </c>
      <c r="B410" s="61">
        <v>109</v>
      </c>
      <c r="C410" s="61" t="s">
        <v>733</v>
      </c>
      <c r="D410" s="62" t="s">
        <v>50</v>
      </c>
      <c r="E410" s="62" t="s">
        <v>32</v>
      </c>
      <c r="F410" s="62" t="s">
        <v>481</v>
      </c>
      <c r="G410" s="62" t="s">
        <v>34</v>
      </c>
      <c r="H410" s="63">
        <v>0</v>
      </c>
      <c r="I410" s="62"/>
      <c r="J410" s="62" t="s">
        <v>51</v>
      </c>
      <c r="K410" s="62" t="s">
        <v>32</v>
      </c>
      <c r="L410" s="62">
        <f>15*90</f>
        <v>1350</v>
      </c>
      <c r="M410" s="62">
        <v>15</v>
      </c>
      <c r="N410" s="62">
        <v>14</v>
      </c>
      <c r="O410" s="62">
        <v>1</v>
      </c>
      <c r="P410" s="62" t="s">
        <v>482</v>
      </c>
      <c r="Q410" s="64">
        <v>13</v>
      </c>
      <c r="R410" s="65">
        <v>1</v>
      </c>
      <c r="S410" s="66">
        <v>6.94</v>
      </c>
      <c r="T410" s="66">
        <v>2.52</v>
      </c>
      <c r="U410" s="66">
        <v>17.809999999999999</v>
      </c>
      <c r="V410" s="66">
        <v>1.28</v>
      </c>
      <c r="W410" s="62">
        <v>16</v>
      </c>
      <c r="X410" s="62">
        <v>0</v>
      </c>
      <c r="Y410" s="62">
        <v>0</v>
      </c>
      <c r="Z410" s="62" t="s">
        <v>431</v>
      </c>
      <c r="AA410" s="62"/>
      <c r="AB410" s="62" t="s">
        <v>17</v>
      </c>
      <c r="AC410" s="62" t="s">
        <v>17</v>
      </c>
      <c r="AD410" s="61" t="s">
        <v>17</v>
      </c>
      <c r="AF410" s="4" t="s">
        <v>683</v>
      </c>
      <c r="AH410" s="74"/>
      <c r="AJ410" s="67"/>
      <c r="AK410" s="67"/>
      <c r="AL410" s="67"/>
    </row>
    <row r="411" spans="1:38" ht="12.75" customHeight="1" x14ac:dyDescent="0.3">
      <c r="A411" s="61">
        <v>410</v>
      </c>
      <c r="B411" s="61">
        <v>109</v>
      </c>
      <c r="C411" s="61" t="s">
        <v>733</v>
      </c>
      <c r="D411" s="62" t="s">
        <v>50</v>
      </c>
      <c r="E411" s="62" t="s">
        <v>32</v>
      </c>
      <c r="F411" s="62" t="s">
        <v>481</v>
      </c>
      <c r="G411" s="62" t="s">
        <v>34</v>
      </c>
      <c r="H411" s="63">
        <v>0</v>
      </c>
      <c r="I411" s="62"/>
      <c r="J411" s="62" t="s">
        <v>51</v>
      </c>
      <c r="K411" s="62" t="s">
        <v>32</v>
      </c>
      <c r="L411" s="62">
        <f>15*120</f>
        <v>1800</v>
      </c>
      <c r="M411" s="62">
        <v>15</v>
      </c>
      <c r="N411" s="62">
        <v>14</v>
      </c>
      <c r="O411" s="62">
        <v>1</v>
      </c>
      <c r="P411" s="62" t="s">
        <v>482</v>
      </c>
      <c r="Q411" s="64">
        <v>13</v>
      </c>
      <c r="R411" s="65">
        <v>1</v>
      </c>
      <c r="S411" s="66">
        <v>7.63</v>
      </c>
      <c r="T411" s="66">
        <v>1.71</v>
      </c>
      <c r="U411" s="66">
        <v>17.190000000000001</v>
      </c>
      <c r="V411" s="66">
        <v>1.28</v>
      </c>
      <c r="W411" s="62">
        <v>16</v>
      </c>
      <c r="X411" s="62">
        <v>0</v>
      </c>
      <c r="Y411" s="62">
        <v>0</v>
      </c>
      <c r="Z411" s="62" t="s">
        <v>431</v>
      </c>
      <c r="AA411" s="62"/>
      <c r="AB411" s="62" t="s">
        <v>17</v>
      </c>
      <c r="AC411" s="62" t="s">
        <v>17</v>
      </c>
      <c r="AD411" s="61" t="s">
        <v>17</v>
      </c>
      <c r="AF411" s="4" t="s">
        <v>683</v>
      </c>
      <c r="AH411" s="74"/>
      <c r="AJ411" s="67"/>
      <c r="AK411" s="67"/>
      <c r="AL411" s="67"/>
    </row>
    <row r="412" spans="1:38" ht="12.75" customHeight="1" x14ac:dyDescent="0.3">
      <c r="A412" s="61">
        <v>411</v>
      </c>
      <c r="B412" s="61">
        <v>110</v>
      </c>
      <c r="C412" s="61" t="s">
        <v>584</v>
      </c>
      <c r="D412" s="62" t="s">
        <v>25</v>
      </c>
      <c r="E412" s="62" t="s">
        <v>26</v>
      </c>
      <c r="F412" s="62" t="s">
        <v>483</v>
      </c>
      <c r="G412" s="62" t="s">
        <v>2</v>
      </c>
      <c r="H412" s="63">
        <v>1</v>
      </c>
      <c r="I412" s="62"/>
      <c r="J412" s="62" t="s">
        <v>51</v>
      </c>
      <c r="K412" s="62">
        <v>0</v>
      </c>
      <c r="L412" s="62">
        <v>30</v>
      </c>
      <c r="M412" s="62">
        <v>1</v>
      </c>
      <c r="N412" s="62">
        <v>0</v>
      </c>
      <c r="O412" s="62" t="s">
        <v>32</v>
      </c>
      <c r="P412" s="62" t="s">
        <v>484</v>
      </c>
      <c r="Q412" s="64">
        <v>17.850000000000001</v>
      </c>
      <c r="R412" s="65">
        <f>1/13</f>
        <v>7.6923076923076927E-2</v>
      </c>
      <c r="S412" s="66"/>
      <c r="T412" s="66"/>
      <c r="U412" s="66">
        <f>AVERAGE(4,4,6,6)</f>
        <v>5</v>
      </c>
      <c r="V412" s="66">
        <f>STDEV(4,4,6,6)</f>
        <v>1.1547005383792515</v>
      </c>
      <c r="W412" s="62">
        <v>4</v>
      </c>
      <c r="X412" s="62">
        <v>0</v>
      </c>
      <c r="Y412" s="62">
        <v>1</v>
      </c>
      <c r="Z412" s="62" t="s">
        <v>230</v>
      </c>
      <c r="AA412" s="62" t="s">
        <v>485</v>
      </c>
      <c r="AB412" s="62" t="s">
        <v>17</v>
      </c>
      <c r="AC412" s="62" t="s">
        <v>17</v>
      </c>
      <c r="AD412" s="61" t="s">
        <v>17</v>
      </c>
      <c r="AF412" s="4" t="s">
        <v>684</v>
      </c>
      <c r="AJ412" s="67"/>
      <c r="AK412" s="67"/>
      <c r="AL412" s="67"/>
    </row>
    <row r="413" spans="1:38" ht="12.75" customHeight="1" x14ac:dyDescent="0.3">
      <c r="A413" s="61">
        <v>412</v>
      </c>
      <c r="B413" s="61">
        <v>110</v>
      </c>
      <c r="C413" s="61" t="s">
        <v>584</v>
      </c>
      <c r="D413" s="62" t="s">
        <v>25</v>
      </c>
      <c r="E413" s="62" t="s">
        <v>32</v>
      </c>
      <c r="F413" s="62" t="s">
        <v>483</v>
      </c>
      <c r="G413" s="62" t="s">
        <v>64</v>
      </c>
      <c r="H413" s="63">
        <v>1</v>
      </c>
      <c r="I413" s="62"/>
      <c r="J413" s="62" t="s">
        <v>51</v>
      </c>
      <c r="K413" s="62">
        <v>0</v>
      </c>
      <c r="L413" s="62">
        <v>30</v>
      </c>
      <c r="M413" s="62">
        <v>1</v>
      </c>
      <c r="N413" s="62">
        <v>0</v>
      </c>
      <c r="O413" s="62" t="s">
        <v>32</v>
      </c>
      <c r="P413" s="62" t="s">
        <v>484</v>
      </c>
      <c r="Q413" s="64">
        <v>17.850000000000001</v>
      </c>
      <c r="R413" s="65">
        <f>1/13</f>
        <v>7.6923076923076927E-2</v>
      </c>
      <c r="S413" s="66"/>
      <c r="T413" s="66"/>
      <c r="U413" s="66">
        <f>AVERAGE(4,5,4,5)</f>
        <v>4.5</v>
      </c>
      <c r="V413" s="66">
        <f>STDEV(4,5,4,5)</f>
        <v>0.57735026918962573</v>
      </c>
      <c r="W413" s="62">
        <v>4</v>
      </c>
      <c r="X413" s="62">
        <v>0</v>
      </c>
      <c r="Y413" s="62">
        <v>1</v>
      </c>
      <c r="Z413" s="62" t="s">
        <v>230</v>
      </c>
      <c r="AA413" s="62" t="s">
        <v>485</v>
      </c>
      <c r="AB413" s="62" t="s">
        <v>17</v>
      </c>
      <c r="AC413" s="62" t="s">
        <v>17</v>
      </c>
      <c r="AD413" s="61" t="s">
        <v>17</v>
      </c>
      <c r="AF413" s="4" t="s">
        <v>684</v>
      </c>
      <c r="AJ413" s="67"/>
      <c r="AK413" s="67"/>
      <c r="AL413" s="67"/>
    </row>
    <row r="414" spans="1:38" ht="12.75" customHeight="1" x14ac:dyDescent="0.3">
      <c r="A414" s="61">
        <v>413</v>
      </c>
      <c r="B414" s="61">
        <v>111</v>
      </c>
      <c r="C414" s="61" t="s">
        <v>772</v>
      </c>
      <c r="D414" s="62" t="s">
        <v>62</v>
      </c>
      <c r="E414" s="62" t="s">
        <v>422</v>
      </c>
      <c r="F414" s="62" t="s">
        <v>467</v>
      </c>
      <c r="G414" s="62" t="s">
        <v>2</v>
      </c>
      <c r="H414" s="63">
        <v>0</v>
      </c>
      <c r="I414" s="62" t="s">
        <v>486</v>
      </c>
      <c r="J414" s="62">
        <v>1</v>
      </c>
      <c r="K414" s="62">
        <v>0</v>
      </c>
      <c r="L414" s="62">
        <f>40*5</f>
        <v>200</v>
      </c>
      <c r="M414" s="62">
        <v>5</v>
      </c>
      <c r="N414" s="62">
        <v>0</v>
      </c>
      <c r="O414" s="62">
        <v>1</v>
      </c>
      <c r="P414" s="62" t="s">
        <v>487</v>
      </c>
      <c r="Q414" s="64">
        <v>10.5</v>
      </c>
      <c r="R414" s="65">
        <f>13/(13+16)</f>
        <v>0.44827586206896552</v>
      </c>
      <c r="S414" s="66">
        <v>24.59</v>
      </c>
      <c r="T414" s="66">
        <v>15.65</v>
      </c>
      <c r="U414" s="66">
        <v>28.14</v>
      </c>
      <c r="V414" s="66">
        <v>17.2</v>
      </c>
      <c r="W414" s="62">
        <v>29</v>
      </c>
      <c r="X414" s="62">
        <v>0</v>
      </c>
      <c r="Y414" s="62">
        <v>0</v>
      </c>
      <c r="Z414" s="62" t="s">
        <v>66</v>
      </c>
      <c r="AA414" s="62" t="s">
        <v>488</v>
      </c>
      <c r="AB414" s="62" t="s">
        <v>17</v>
      </c>
      <c r="AC414" s="62" t="s">
        <v>17</v>
      </c>
      <c r="AD414" s="61" t="s">
        <v>17</v>
      </c>
      <c r="AF414" s="4" t="s">
        <v>854</v>
      </c>
      <c r="AJ414" s="67"/>
      <c r="AK414" s="67"/>
      <c r="AL414" s="67"/>
    </row>
    <row r="415" spans="1:38" ht="12.75" customHeight="1" x14ac:dyDescent="0.3">
      <c r="A415" s="61">
        <v>414</v>
      </c>
      <c r="B415" s="61">
        <v>112</v>
      </c>
      <c r="C415" s="62" t="s">
        <v>806</v>
      </c>
      <c r="D415" s="62" t="s">
        <v>68</v>
      </c>
      <c r="E415" s="62" t="s">
        <v>489</v>
      </c>
      <c r="F415" s="62" t="s">
        <v>483</v>
      </c>
      <c r="G415" s="62" t="s">
        <v>2</v>
      </c>
      <c r="H415" s="63">
        <v>0</v>
      </c>
      <c r="I415" s="62" t="s">
        <v>490</v>
      </c>
      <c r="J415" s="62">
        <v>1</v>
      </c>
      <c r="K415" s="62">
        <v>0</v>
      </c>
      <c r="L415" s="62">
        <v>35</v>
      </c>
      <c r="M415" s="62">
        <v>5</v>
      </c>
      <c r="N415" s="62">
        <v>2.5</v>
      </c>
      <c r="O415" s="62">
        <v>1</v>
      </c>
      <c r="P415" s="62" t="s">
        <v>491</v>
      </c>
      <c r="Q415" s="64">
        <v>13</v>
      </c>
      <c r="R415" s="75" t="s">
        <v>28</v>
      </c>
      <c r="S415" s="66">
        <v>25.2</v>
      </c>
      <c r="T415" s="66">
        <v>13.981</v>
      </c>
      <c r="U415" s="66">
        <v>22.6</v>
      </c>
      <c r="V415" s="66">
        <v>13.85</v>
      </c>
      <c r="W415" s="62">
        <v>5</v>
      </c>
      <c r="X415" s="62">
        <v>0</v>
      </c>
      <c r="Y415" s="62">
        <v>0</v>
      </c>
      <c r="Z415" s="62" t="s">
        <v>492</v>
      </c>
      <c r="AA415" s="62" t="s">
        <v>1632</v>
      </c>
      <c r="AB415" s="62" t="s">
        <v>17</v>
      </c>
      <c r="AC415" s="62" t="s">
        <v>17</v>
      </c>
      <c r="AD415" s="61" t="s">
        <v>45</v>
      </c>
      <c r="AF415" s="4" t="s">
        <v>685</v>
      </c>
      <c r="AJ415" s="67"/>
      <c r="AK415" s="67"/>
      <c r="AL415" s="67"/>
    </row>
    <row r="416" spans="1:38" ht="12.75" customHeight="1" x14ac:dyDescent="0.3">
      <c r="A416" s="61">
        <v>415</v>
      </c>
      <c r="B416" s="61">
        <v>112</v>
      </c>
      <c r="C416" s="62" t="s">
        <v>806</v>
      </c>
      <c r="D416" s="62" t="s">
        <v>68</v>
      </c>
      <c r="E416" s="62" t="s">
        <v>489</v>
      </c>
      <c r="F416" s="62" t="s">
        <v>483</v>
      </c>
      <c r="G416" s="62" t="s">
        <v>2</v>
      </c>
      <c r="H416" s="63">
        <v>0</v>
      </c>
      <c r="I416" s="62" t="s">
        <v>493</v>
      </c>
      <c r="J416" s="62">
        <v>1</v>
      </c>
      <c r="K416" s="62">
        <v>0</v>
      </c>
      <c r="L416" s="62">
        <v>35</v>
      </c>
      <c r="M416" s="62">
        <v>5</v>
      </c>
      <c r="N416" s="62">
        <v>2.5</v>
      </c>
      <c r="O416" s="62">
        <v>1</v>
      </c>
      <c r="P416" s="62" t="s">
        <v>491</v>
      </c>
      <c r="Q416" s="64">
        <v>13</v>
      </c>
      <c r="R416" s="75" t="s">
        <v>28</v>
      </c>
      <c r="S416" s="66">
        <v>25.6</v>
      </c>
      <c r="T416" s="66">
        <v>8.8539999999999992</v>
      </c>
      <c r="U416" s="66">
        <v>35.4</v>
      </c>
      <c r="V416" s="66">
        <v>8.718</v>
      </c>
      <c r="W416" s="62">
        <v>5</v>
      </c>
      <c r="X416" s="62">
        <v>0</v>
      </c>
      <c r="Y416" s="62">
        <v>0</v>
      </c>
      <c r="Z416" s="62" t="s">
        <v>492</v>
      </c>
      <c r="AA416" s="62" t="s">
        <v>494</v>
      </c>
      <c r="AB416" s="62" t="s">
        <v>17</v>
      </c>
      <c r="AC416" s="62" t="s">
        <v>17</v>
      </c>
      <c r="AD416" s="61" t="s">
        <v>45</v>
      </c>
      <c r="AF416" s="4" t="s">
        <v>685</v>
      </c>
      <c r="AJ416" s="67"/>
      <c r="AK416" s="67"/>
      <c r="AL416" s="67"/>
    </row>
    <row r="417" spans="1:38" ht="12.75" customHeight="1" x14ac:dyDescent="0.3">
      <c r="A417" s="61">
        <v>416</v>
      </c>
      <c r="B417" s="61">
        <v>112</v>
      </c>
      <c r="C417" s="62" t="s">
        <v>806</v>
      </c>
      <c r="D417" s="62" t="s">
        <v>68</v>
      </c>
      <c r="E417" s="62" t="s">
        <v>489</v>
      </c>
      <c r="F417" s="62" t="s">
        <v>483</v>
      </c>
      <c r="G417" s="62" t="s">
        <v>64</v>
      </c>
      <c r="H417" s="63">
        <v>0</v>
      </c>
      <c r="I417" s="62" t="s">
        <v>495</v>
      </c>
      <c r="J417" s="62">
        <v>1</v>
      </c>
      <c r="K417" s="62">
        <v>0</v>
      </c>
      <c r="L417" s="62">
        <v>35</v>
      </c>
      <c r="M417" s="62">
        <v>5</v>
      </c>
      <c r="N417" s="62">
        <v>2.5</v>
      </c>
      <c r="O417" s="62">
        <v>1</v>
      </c>
      <c r="P417" s="62" t="s">
        <v>491</v>
      </c>
      <c r="Q417" s="64">
        <v>13</v>
      </c>
      <c r="R417" s="75" t="s">
        <v>28</v>
      </c>
      <c r="S417" s="66">
        <v>24.8</v>
      </c>
      <c r="T417" s="66">
        <v>6.5030000000000001</v>
      </c>
      <c r="U417" s="66">
        <v>31</v>
      </c>
      <c r="V417" s="66">
        <v>10.807</v>
      </c>
      <c r="W417" s="62">
        <v>5</v>
      </c>
      <c r="X417" s="62">
        <v>0</v>
      </c>
      <c r="Y417" s="62">
        <v>0</v>
      </c>
      <c r="Z417" s="62" t="s">
        <v>492</v>
      </c>
      <c r="AA417" s="62" t="s">
        <v>494</v>
      </c>
      <c r="AB417" s="62" t="s">
        <v>17</v>
      </c>
      <c r="AC417" s="62" t="s">
        <v>17</v>
      </c>
      <c r="AD417" s="61" t="s">
        <v>45</v>
      </c>
      <c r="AF417" s="4" t="s">
        <v>685</v>
      </c>
      <c r="AJ417" s="67"/>
      <c r="AK417" s="67"/>
      <c r="AL417" s="67"/>
    </row>
    <row r="418" spans="1:38" ht="12.75" customHeight="1" x14ac:dyDescent="0.3">
      <c r="A418" s="61">
        <v>417</v>
      </c>
      <c r="B418" s="61">
        <v>112</v>
      </c>
      <c r="C418" s="62" t="s">
        <v>806</v>
      </c>
      <c r="D418" s="62" t="s">
        <v>68</v>
      </c>
      <c r="E418" s="62" t="s">
        <v>489</v>
      </c>
      <c r="F418" s="62" t="s">
        <v>483</v>
      </c>
      <c r="G418" s="62" t="s">
        <v>2</v>
      </c>
      <c r="H418" s="63">
        <v>0</v>
      </c>
      <c r="I418" s="62" t="s">
        <v>490</v>
      </c>
      <c r="J418" s="62">
        <v>1</v>
      </c>
      <c r="K418" s="62">
        <v>0</v>
      </c>
      <c r="L418" s="62">
        <v>35</v>
      </c>
      <c r="M418" s="62">
        <v>5</v>
      </c>
      <c r="N418" s="62">
        <v>3.5</v>
      </c>
      <c r="O418" s="62">
        <v>2</v>
      </c>
      <c r="P418" s="62" t="s">
        <v>496</v>
      </c>
      <c r="Q418" s="64">
        <v>13</v>
      </c>
      <c r="R418" s="75" t="s">
        <v>28</v>
      </c>
      <c r="S418" s="66"/>
      <c r="T418" s="66"/>
      <c r="U418" s="66">
        <v>6.8</v>
      </c>
      <c r="V418" s="66">
        <v>7.0851958340000003</v>
      </c>
      <c r="W418" s="62">
        <v>5</v>
      </c>
      <c r="X418" s="62">
        <v>0</v>
      </c>
      <c r="Y418" s="62">
        <v>0</v>
      </c>
      <c r="Z418" s="62" t="s">
        <v>230</v>
      </c>
      <c r="AA418" s="62" t="s">
        <v>494</v>
      </c>
      <c r="AB418" s="62" t="s">
        <v>17</v>
      </c>
      <c r="AC418" s="62" t="s">
        <v>17</v>
      </c>
      <c r="AD418" s="61" t="s">
        <v>45</v>
      </c>
      <c r="AF418" s="4" t="s">
        <v>685</v>
      </c>
      <c r="AJ418" s="67"/>
      <c r="AK418" s="67"/>
      <c r="AL418" s="67"/>
    </row>
    <row r="419" spans="1:38" ht="12.75" customHeight="1" x14ac:dyDescent="0.3">
      <c r="A419" s="61">
        <v>418</v>
      </c>
      <c r="B419" s="61">
        <v>112</v>
      </c>
      <c r="C419" s="62" t="s">
        <v>806</v>
      </c>
      <c r="D419" s="62" t="s">
        <v>68</v>
      </c>
      <c r="E419" s="62" t="s">
        <v>489</v>
      </c>
      <c r="F419" s="62" t="s">
        <v>483</v>
      </c>
      <c r="G419" s="62" t="s">
        <v>2</v>
      </c>
      <c r="H419" s="63">
        <v>0</v>
      </c>
      <c r="I419" s="62" t="s">
        <v>493</v>
      </c>
      <c r="J419" s="62">
        <v>1</v>
      </c>
      <c r="K419" s="62">
        <v>0</v>
      </c>
      <c r="L419" s="62">
        <v>35</v>
      </c>
      <c r="M419" s="62">
        <v>5</v>
      </c>
      <c r="N419" s="62">
        <v>3.5</v>
      </c>
      <c r="O419" s="62">
        <v>2</v>
      </c>
      <c r="P419" s="62" t="s">
        <v>496</v>
      </c>
      <c r="Q419" s="64">
        <v>13</v>
      </c>
      <c r="R419" s="75" t="s">
        <v>28</v>
      </c>
      <c r="S419" s="66"/>
      <c r="T419" s="66"/>
      <c r="U419" s="66">
        <v>9.1999999999999993</v>
      </c>
      <c r="V419" s="66">
        <v>5.8480766070000003</v>
      </c>
      <c r="W419" s="62">
        <v>5</v>
      </c>
      <c r="X419" s="62">
        <v>0</v>
      </c>
      <c r="Y419" s="62">
        <v>0</v>
      </c>
      <c r="Z419" s="62" t="s">
        <v>230</v>
      </c>
      <c r="AA419" s="62" t="s">
        <v>497</v>
      </c>
      <c r="AB419" s="62" t="s">
        <v>17</v>
      </c>
      <c r="AC419" s="62" t="s">
        <v>17</v>
      </c>
      <c r="AD419" s="61" t="s">
        <v>45</v>
      </c>
      <c r="AF419" s="4" t="s">
        <v>685</v>
      </c>
    </row>
    <row r="420" spans="1:38" ht="12.75" customHeight="1" x14ac:dyDescent="0.3">
      <c r="A420" s="61">
        <v>419</v>
      </c>
      <c r="B420" s="61">
        <v>112</v>
      </c>
      <c r="C420" s="62" t="s">
        <v>806</v>
      </c>
      <c r="D420" s="62" t="s">
        <v>68</v>
      </c>
      <c r="E420" s="62" t="s">
        <v>489</v>
      </c>
      <c r="F420" s="62" t="s">
        <v>483</v>
      </c>
      <c r="G420" s="62" t="s">
        <v>64</v>
      </c>
      <c r="H420" s="63">
        <v>0</v>
      </c>
      <c r="I420" s="62" t="s">
        <v>495</v>
      </c>
      <c r="J420" s="62">
        <v>1</v>
      </c>
      <c r="K420" s="62">
        <v>0</v>
      </c>
      <c r="L420" s="62">
        <v>35</v>
      </c>
      <c r="M420" s="62">
        <v>5</v>
      </c>
      <c r="N420" s="62">
        <v>3.5</v>
      </c>
      <c r="O420" s="62">
        <v>2</v>
      </c>
      <c r="P420" s="62" t="s">
        <v>496</v>
      </c>
      <c r="Q420" s="64">
        <v>13</v>
      </c>
      <c r="R420" s="75" t="s">
        <v>28</v>
      </c>
      <c r="S420" s="66"/>
      <c r="T420" s="66"/>
      <c r="U420" s="66">
        <v>9.1999999999999993</v>
      </c>
      <c r="V420" s="66">
        <v>6.4961527080000003</v>
      </c>
      <c r="W420" s="62">
        <v>5</v>
      </c>
      <c r="X420" s="62">
        <v>0</v>
      </c>
      <c r="Y420" s="62">
        <v>0</v>
      </c>
      <c r="Z420" s="62" t="s">
        <v>230</v>
      </c>
      <c r="AA420" s="62" t="s">
        <v>494</v>
      </c>
      <c r="AB420" s="62" t="s">
        <v>17</v>
      </c>
      <c r="AC420" s="62" t="s">
        <v>17</v>
      </c>
      <c r="AD420" s="61" t="s">
        <v>45</v>
      </c>
      <c r="AF420" s="4" t="s">
        <v>685</v>
      </c>
    </row>
    <row r="421" spans="1:38" ht="12.75" customHeight="1" x14ac:dyDescent="0.3">
      <c r="A421" s="61">
        <v>420</v>
      </c>
      <c r="B421" s="61">
        <v>113</v>
      </c>
      <c r="C421" s="62" t="s">
        <v>806</v>
      </c>
      <c r="D421" s="62" t="s">
        <v>68</v>
      </c>
      <c r="E421" s="62" t="s">
        <v>489</v>
      </c>
      <c r="F421" s="62" t="s">
        <v>483</v>
      </c>
      <c r="G421" s="62" t="s">
        <v>2</v>
      </c>
      <c r="H421" s="63">
        <v>0</v>
      </c>
      <c r="I421" s="62"/>
      <c r="J421" s="62">
        <v>1</v>
      </c>
      <c r="K421" s="62">
        <v>0</v>
      </c>
      <c r="L421" s="62">
        <v>35</v>
      </c>
      <c r="M421" s="62">
        <v>3</v>
      </c>
      <c r="N421" s="62">
        <v>2.5</v>
      </c>
      <c r="O421" s="62">
        <v>1</v>
      </c>
      <c r="P421" s="62" t="s">
        <v>498</v>
      </c>
      <c r="Q421" s="64">
        <v>20</v>
      </c>
      <c r="R421" s="75" t="s">
        <v>28</v>
      </c>
      <c r="S421" s="66">
        <v>30.1</v>
      </c>
      <c r="T421" s="66">
        <v>12.702999999999999</v>
      </c>
      <c r="U421" s="66">
        <v>46.6</v>
      </c>
      <c r="V421" s="66">
        <v>9.3829999999999991</v>
      </c>
      <c r="W421" s="62">
        <v>10</v>
      </c>
      <c r="X421" s="62">
        <v>0</v>
      </c>
      <c r="Y421" s="62">
        <v>0</v>
      </c>
      <c r="Z421" s="62" t="s">
        <v>268</v>
      </c>
      <c r="AA421" s="62" t="s">
        <v>499</v>
      </c>
      <c r="AB421" s="62" t="s">
        <v>17</v>
      </c>
      <c r="AC421" s="62" t="s">
        <v>17</v>
      </c>
      <c r="AD421" s="61" t="s">
        <v>45</v>
      </c>
      <c r="AF421" s="4" t="s">
        <v>685</v>
      </c>
      <c r="AJ421" s="67"/>
      <c r="AK421" s="67"/>
      <c r="AL421" s="67"/>
    </row>
    <row r="422" spans="1:38" ht="12.75" customHeight="1" x14ac:dyDescent="0.3">
      <c r="A422" s="61">
        <v>421</v>
      </c>
      <c r="B422" s="61">
        <v>113</v>
      </c>
      <c r="C422" s="62" t="s">
        <v>806</v>
      </c>
      <c r="D422" s="62" t="s">
        <v>68</v>
      </c>
      <c r="E422" s="62" t="s">
        <v>489</v>
      </c>
      <c r="F422" s="62" t="s">
        <v>483</v>
      </c>
      <c r="G422" s="62" t="s">
        <v>64</v>
      </c>
      <c r="H422" s="63">
        <v>0</v>
      </c>
      <c r="I422" s="62"/>
      <c r="J422" s="62">
        <v>1</v>
      </c>
      <c r="K422" s="62">
        <v>0</v>
      </c>
      <c r="L422" s="62">
        <v>35</v>
      </c>
      <c r="M422" s="62">
        <v>3</v>
      </c>
      <c r="N422" s="62">
        <v>2.5</v>
      </c>
      <c r="O422" s="62">
        <v>1</v>
      </c>
      <c r="P422" s="62" t="s">
        <v>498</v>
      </c>
      <c r="Q422" s="64">
        <v>20</v>
      </c>
      <c r="R422" s="75" t="s">
        <v>28</v>
      </c>
      <c r="S422" s="66">
        <v>30.3</v>
      </c>
      <c r="T422" s="66">
        <v>15.39</v>
      </c>
      <c r="U422" s="66">
        <v>42.8</v>
      </c>
      <c r="V422" s="66">
        <v>14.941000000000001</v>
      </c>
      <c r="W422" s="62">
        <v>10</v>
      </c>
      <c r="X422" s="62">
        <v>0</v>
      </c>
      <c r="Y422" s="62">
        <v>0</v>
      </c>
      <c r="Z422" s="62" t="s">
        <v>268</v>
      </c>
      <c r="AA422" s="62" t="s">
        <v>499</v>
      </c>
      <c r="AB422" s="62" t="s">
        <v>17</v>
      </c>
      <c r="AC422" s="62" t="s">
        <v>17</v>
      </c>
      <c r="AD422" s="61" t="s">
        <v>45</v>
      </c>
      <c r="AF422" s="4" t="s">
        <v>685</v>
      </c>
      <c r="AJ422" s="67"/>
      <c r="AK422" s="67"/>
      <c r="AL422" s="67"/>
    </row>
    <row r="423" spans="1:38" ht="12.75" customHeight="1" x14ac:dyDescent="0.3">
      <c r="A423" s="61">
        <v>422</v>
      </c>
      <c r="B423" s="61">
        <v>113</v>
      </c>
      <c r="C423" s="62" t="s">
        <v>806</v>
      </c>
      <c r="D423" s="62" t="s">
        <v>68</v>
      </c>
      <c r="E423" s="62" t="s">
        <v>489</v>
      </c>
      <c r="F423" s="62" t="s">
        <v>483</v>
      </c>
      <c r="G423" s="62" t="s">
        <v>2</v>
      </c>
      <c r="H423" s="63">
        <v>0</v>
      </c>
      <c r="I423" s="62"/>
      <c r="J423" s="62">
        <v>1</v>
      </c>
      <c r="K423" s="62">
        <v>0</v>
      </c>
      <c r="L423" s="62">
        <v>35</v>
      </c>
      <c r="M423" s="62">
        <v>3</v>
      </c>
      <c r="N423" s="62">
        <v>3.5</v>
      </c>
      <c r="O423" s="62">
        <v>2</v>
      </c>
      <c r="P423" s="62" t="s">
        <v>496</v>
      </c>
      <c r="Q423" s="64">
        <v>20</v>
      </c>
      <c r="R423" s="75" t="s">
        <v>28</v>
      </c>
      <c r="S423" s="66"/>
      <c r="T423" s="66"/>
      <c r="U423" s="66">
        <v>18.2</v>
      </c>
      <c r="V423" s="66">
        <v>5.5537774930000001</v>
      </c>
      <c r="W423" s="62">
        <v>10</v>
      </c>
      <c r="X423" s="62">
        <v>0</v>
      </c>
      <c r="Y423" s="62">
        <v>0</v>
      </c>
      <c r="Z423" s="62" t="s">
        <v>202</v>
      </c>
      <c r="AA423" s="62" t="s">
        <v>499</v>
      </c>
      <c r="AB423" s="62" t="s">
        <v>17</v>
      </c>
      <c r="AC423" s="62" t="s">
        <v>17</v>
      </c>
      <c r="AD423" s="61" t="s">
        <v>45</v>
      </c>
      <c r="AF423" s="4" t="s">
        <v>685</v>
      </c>
      <c r="AJ423" s="67"/>
      <c r="AK423" s="67"/>
      <c r="AL423" s="67"/>
    </row>
    <row r="424" spans="1:38" ht="12.75" customHeight="1" x14ac:dyDescent="0.3">
      <c r="A424" s="61">
        <v>423</v>
      </c>
      <c r="B424" s="61">
        <v>113</v>
      </c>
      <c r="C424" s="62" t="s">
        <v>806</v>
      </c>
      <c r="D424" s="62" t="s">
        <v>68</v>
      </c>
      <c r="E424" s="62" t="s">
        <v>489</v>
      </c>
      <c r="F424" s="62" t="s">
        <v>483</v>
      </c>
      <c r="G424" s="62" t="s">
        <v>64</v>
      </c>
      <c r="H424" s="63">
        <v>0</v>
      </c>
      <c r="I424" s="62"/>
      <c r="J424" s="62">
        <v>1</v>
      </c>
      <c r="K424" s="62">
        <v>0</v>
      </c>
      <c r="L424" s="62">
        <v>35</v>
      </c>
      <c r="M424" s="62">
        <v>3</v>
      </c>
      <c r="N424" s="62">
        <v>3.5</v>
      </c>
      <c r="O424" s="62">
        <v>2</v>
      </c>
      <c r="P424" s="62" t="s">
        <v>496</v>
      </c>
      <c r="Q424" s="64">
        <v>20</v>
      </c>
      <c r="R424" s="75" t="s">
        <v>28</v>
      </c>
      <c r="S424" s="66"/>
      <c r="T424" s="66"/>
      <c r="U424" s="66">
        <v>14</v>
      </c>
      <c r="V424" s="66">
        <v>8.5505035589999991</v>
      </c>
      <c r="W424" s="62">
        <v>10</v>
      </c>
      <c r="X424" s="62">
        <v>0</v>
      </c>
      <c r="Y424" s="62">
        <v>0</v>
      </c>
      <c r="Z424" s="62" t="s">
        <v>202</v>
      </c>
      <c r="AA424" s="62" t="s">
        <v>499</v>
      </c>
      <c r="AB424" s="62" t="s">
        <v>17</v>
      </c>
      <c r="AC424" s="62" t="s">
        <v>17</v>
      </c>
      <c r="AD424" s="61" t="s">
        <v>45</v>
      </c>
      <c r="AF424" s="4" t="s">
        <v>685</v>
      </c>
      <c r="AJ424" s="67"/>
      <c r="AK424" s="67"/>
      <c r="AL424" s="67"/>
    </row>
    <row r="425" spans="1:38" ht="12.75" customHeight="1" x14ac:dyDescent="0.3">
      <c r="A425" s="61">
        <v>424</v>
      </c>
      <c r="B425" s="61">
        <v>114</v>
      </c>
      <c r="C425" s="62" t="s">
        <v>822</v>
      </c>
      <c r="D425" s="62" t="s">
        <v>1095</v>
      </c>
      <c r="E425" s="62" t="s">
        <v>26</v>
      </c>
      <c r="F425" s="62" t="s">
        <v>103</v>
      </c>
      <c r="G425" s="62" t="s">
        <v>2</v>
      </c>
      <c r="H425" s="63">
        <v>1</v>
      </c>
      <c r="I425" s="62" t="s">
        <v>500</v>
      </c>
      <c r="J425" s="62">
        <v>1</v>
      </c>
      <c r="K425" s="62">
        <v>0</v>
      </c>
      <c r="L425" s="62">
        <v>50</v>
      </c>
      <c r="M425" s="62">
        <v>1</v>
      </c>
      <c r="N425" s="62">
        <v>0</v>
      </c>
      <c r="O425" s="62">
        <v>2</v>
      </c>
      <c r="P425" s="62" t="s">
        <v>501</v>
      </c>
      <c r="Q425" s="64">
        <v>26.6</v>
      </c>
      <c r="R425" s="65">
        <f t="shared" ref="R425:R430" si="22">56/(56+74)</f>
        <v>0.43076923076923079</v>
      </c>
      <c r="S425" s="66">
        <v>49.35</v>
      </c>
      <c r="T425" s="66">
        <v>21.23</v>
      </c>
      <c r="U425" s="66">
        <v>51.85</v>
      </c>
      <c r="V425" s="66">
        <v>18.579999999999998</v>
      </c>
      <c r="W425" s="62">
        <v>22</v>
      </c>
      <c r="X425" s="62">
        <v>0</v>
      </c>
      <c r="Y425" s="62">
        <v>0</v>
      </c>
      <c r="Z425" s="62" t="s">
        <v>210</v>
      </c>
      <c r="AA425" s="62" t="s">
        <v>1361</v>
      </c>
      <c r="AB425" s="62" t="s">
        <v>17</v>
      </c>
      <c r="AC425" s="62" t="s">
        <v>17</v>
      </c>
      <c r="AD425" s="62" t="s">
        <v>17</v>
      </c>
      <c r="AF425" s="4" t="s">
        <v>686</v>
      </c>
      <c r="AJ425" s="67"/>
      <c r="AK425" s="67"/>
      <c r="AL425" s="67"/>
    </row>
    <row r="426" spans="1:38" ht="12.75" customHeight="1" x14ac:dyDescent="0.3">
      <c r="A426" s="61">
        <v>425</v>
      </c>
      <c r="B426" s="61">
        <v>114</v>
      </c>
      <c r="C426" s="62" t="s">
        <v>822</v>
      </c>
      <c r="D426" s="62" t="s">
        <v>1095</v>
      </c>
      <c r="E426" s="62" t="s">
        <v>26</v>
      </c>
      <c r="F426" s="62" t="s">
        <v>103</v>
      </c>
      <c r="G426" s="62" t="s">
        <v>2</v>
      </c>
      <c r="H426" s="63">
        <v>1</v>
      </c>
      <c r="I426" s="62" t="s">
        <v>502</v>
      </c>
      <c r="J426" s="62">
        <v>1</v>
      </c>
      <c r="K426" s="62">
        <v>0</v>
      </c>
      <c r="L426" s="62">
        <v>50</v>
      </c>
      <c r="M426" s="62">
        <v>1</v>
      </c>
      <c r="N426" s="62">
        <v>0</v>
      </c>
      <c r="O426" s="62">
        <v>2</v>
      </c>
      <c r="P426" s="62" t="s">
        <v>501</v>
      </c>
      <c r="Q426" s="64">
        <v>26.6</v>
      </c>
      <c r="R426" s="65">
        <f t="shared" si="22"/>
        <v>0.43076923076923079</v>
      </c>
      <c r="S426" s="66">
        <v>54.18</v>
      </c>
      <c r="T426" s="66">
        <v>18.16</v>
      </c>
      <c r="U426" s="66">
        <v>51</v>
      </c>
      <c r="V426" s="66">
        <v>18.48</v>
      </c>
      <c r="W426" s="62">
        <v>22</v>
      </c>
      <c r="X426" s="62">
        <v>0</v>
      </c>
      <c r="Y426" s="62">
        <v>0</v>
      </c>
      <c r="Z426" s="62" t="s">
        <v>210</v>
      </c>
      <c r="AA426" s="62"/>
      <c r="AB426" s="62" t="s">
        <v>17</v>
      </c>
      <c r="AC426" s="62" t="s">
        <v>17</v>
      </c>
      <c r="AD426" s="62" t="s">
        <v>17</v>
      </c>
      <c r="AF426" s="4" t="s">
        <v>686</v>
      </c>
      <c r="AJ426" s="67"/>
      <c r="AK426" s="67"/>
      <c r="AL426" s="67"/>
    </row>
    <row r="427" spans="1:38" ht="12.75" customHeight="1" x14ac:dyDescent="0.3">
      <c r="A427" s="61">
        <v>426</v>
      </c>
      <c r="B427" s="61">
        <v>114</v>
      </c>
      <c r="C427" s="62" t="s">
        <v>822</v>
      </c>
      <c r="D427" s="62" t="s">
        <v>1095</v>
      </c>
      <c r="E427" s="62" t="s">
        <v>26</v>
      </c>
      <c r="F427" s="62" t="s">
        <v>103</v>
      </c>
      <c r="G427" s="62" t="s">
        <v>64</v>
      </c>
      <c r="H427" s="63">
        <v>1</v>
      </c>
      <c r="I427" s="62" t="s">
        <v>500</v>
      </c>
      <c r="J427" s="62">
        <v>1</v>
      </c>
      <c r="K427" s="62">
        <v>0</v>
      </c>
      <c r="L427" s="62">
        <v>50</v>
      </c>
      <c r="M427" s="62">
        <v>1</v>
      </c>
      <c r="N427" s="62">
        <v>0</v>
      </c>
      <c r="O427" s="62">
        <v>2</v>
      </c>
      <c r="P427" s="62" t="s">
        <v>501</v>
      </c>
      <c r="Q427" s="64">
        <v>26.6</v>
      </c>
      <c r="R427" s="65">
        <f t="shared" si="22"/>
        <v>0.43076923076923079</v>
      </c>
      <c r="S427" s="66">
        <v>57.15</v>
      </c>
      <c r="T427" s="66">
        <v>20.440000000000001</v>
      </c>
      <c r="U427" s="66">
        <v>51.25</v>
      </c>
      <c r="V427" s="66">
        <v>18</v>
      </c>
      <c r="W427" s="62">
        <v>22</v>
      </c>
      <c r="X427" s="62">
        <v>0</v>
      </c>
      <c r="Y427" s="62">
        <v>0</v>
      </c>
      <c r="Z427" s="62" t="s">
        <v>210</v>
      </c>
      <c r="AA427" s="62"/>
      <c r="AB427" s="62" t="s">
        <v>17</v>
      </c>
      <c r="AC427" s="62" t="s">
        <v>17</v>
      </c>
      <c r="AD427" s="62" t="s">
        <v>17</v>
      </c>
      <c r="AF427" s="4" t="s">
        <v>686</v>
      </c>
      <c r="AJ427" s="67"/>
      <c r="AK427" s="67"/>
      <c r="AL427" s="67"/>
    </row>
    <row r="428" spans="1:38" ht="12.75" customHeight="1" x14ac:dyDescent="0.3">
      <c r="A428" s="61">
        <v>427</v>
      </c>
      <c r="B428" s="61">
        <v>114</v>
      </c>
      <c r="C428" s="62" t="s">
        <v>822</v>
      </c>
      <c r="D428" s="62" t="s">
        <v>1095</v>
      </c>
      <c r="E428" s="62" t="s">
        <v>26</v>
      </c>
      <c r="F428" s="62" t="s">
        <v>103</v>
      </c>
      <c r="G428" s="62" t="s">
        <v>64</v>
      </c>
      <c r="H428" s="63">
        <v>1</v>
      </c>
      <c r="I428" s="62" t="s">
        <v>502</v>
      </c>
      <c r="J428" s="62">
        <v>1</v>
      </c>
      <c r="K428" s="62">
        <v>0</v>
      </c>
      <c r="L428" s="62">
        <v>50</v>
      </c>
      <c r="M428" s="62">
        <v>1</v>
      </c>
      <c r="N428" s="62">
        <v>0</v>
      </c>
      <c r="O428" s="62">
        <v>2</v>
      </c>
      <c r="P428" s="62" t="s">
        <v>501</v>
      </c>
      <c r="Q428" s="64">
        <v>26.6</v>
      </c>
      <c r="R428" s="65">
        <f t="shared" si="22"/>
        <v>0.43076923076923079</v>
      </c>
      <c r="S428" s="66">
        <v>57.72</v>
      </c>
      <c r="T428" s="66">
        <v>17.23</v>
      </c>
      <c r="U428" s="66">
        <v>52.2</v>
      </c>
      <c r="V428" s="66">
        <v>15.68</v>
      </c>
      <c r="W428" s="62">
        <v>22</v>
      </c>
      <c r="X428" s="62">
        <v>0</v>
      </c>
      <c r="Y428" s="62">
        <v>0</v>
      </c>
      <c r="Z428" s="62" t="s">
        <v>210</v>
      </c>
      <c r="AA428" s="62"/>
      <c r="AB428" s="62" t="s">
        <v>17</v>
      </c>
      <c r="AC428" s="62" t="s">
        <v>17</v>
      </c>
      <c r="AD428" s="62" t="s">
        <v>17</v>
      </c>
      <c r="AF428" s="4" t="s">
        <v>686</v>
      </c>
      <c r="AJ428" s="67"/>
      <c r="AK428" s="67"/>
      <c r="AL428" s="67"/>
    </row>
    <row r="429" spans="1:38" ht="12.75" customHeight="1" x14ac:dyDescent="0.3">
      <c r="A429" s="61">
        <v>428</v>
      </c>
      <c r="B429" s="61">
        <v>114</v>
      </c>
      <c r="C429" s="62" t="s">
        <v>822</v>
      </c>
      <c r="D429" s="62" t="s">
        <v>1095</v>
      </c>
      <c r="E429" s="62" t="s">
        <v>32</v>
      </c>
      <c r="F429" s="62" t="s">
        <v>103</v>
      </c>
      <c r="G429" s="62" t="s">
        <v>261</v>
      </c>
      <c r="H429" s="63">
        <v>1</v>
      </c>
      <c r="I429" s="62" t="s">
        <v>500</v>
      </c>
      <c r="J429" s="62">
        <v>1</v>
      </c>
      <c r="K429" s="62">
        <v>0</v>
      </c>
      <c r="L429" s="62">
        <v>50</v>
      </c>
      <c r="M429" s="62">
        <v>1</v>
      </c>
      <c r="N429" s="62">
        <v>0</v>
      </c>
      <c r="O429" s="62">
        <v>2</v>
      </c>
      <c r="P429" s="62" t="s">
        <v>501</v>
      </c>
      <c r="Q429" s="64">
        <v>26.6</v>
      </c>
      <c r="R429" s="65">
        <f t="shared" si="22"/>
        <v>0.43076923076923079</v>
      </c>
      <c r="S429" s="66">
        <v>61.95</v>
      </c>
      <c r="T429" s="66">
        <v>22.97</v>
      </c>
      <c r="U429" s="66">
        <v>55</v>
      </c>
      <c r="V429" s="66">
        <v>19.28</v>
      </c>
      <c r="W429" s="62">
        <v>21</v>
      </c>
      <c r="X429" s="62">
        <v>0</v>
      </c>
      <c r="Y429" s="62">
        <v>0</v>
      </c>
      <c r="Z429" s="62" t="s">
        <v>210</v>
      </c>
      <c r="AA429" s="62"/>
      <c r="AB429" s="62" t="s">
        <v>17</v>
      </c>
      <c r="AC429" s="62" t="s">
        <v>17</v>
      </c>
      <c r="AD429" s="62" t="s">
        <v>17</v>
      </c>
      <c r="AF429" s="4" t="s">
        <v>686</v>
      </c>
      <c r="AJ429" s="67"/>
      <c r="AK429" s="67"/>
      <c r="AL429" s="67"/>
    </row>
    <row r="430" spans="1:38" ht="12.75" customHeight="1" x14ac:dyDescent="0.3">
      <c r="A430" s="61">
        <v>429</v>
      </c>
      <c r="B430" s="61">
        <v>114</v>
      </c>
      <c r="C430" s="62" t="s">
        <v>822</v>
      </c>
      <c r="D430" s="62" t="s">
        <v>1095</v>
      </c>
      <c r="E430" s="62" t="s">
        <v>32</v>
      </c>
      <c r="F430" s="62" t="s">
        <v>103</v>
      </c>
      <c r="G430" s="62" t="s">
        <v>261</v>
      </c>
      <c r="H430" s="63">
        <v>1</v>
      </c>
      <c r="I430" s="62" t="s">
        <v>502</v>
      </c>
      <c r="J430" s="62">
        <v>1</v>
      </c>
      <c r="K430" s="62">
        <v>0</v>
      </c>
      <c r="L430" s="62">
        <v>50</v>
      </c>
      <c r="M430" s="62">
        <v>1</v>
      </c>
      <c r="N430" s="62">
        <v>0</v>
      </c>
      <c r="O430" s="62">
        <v>2</v>
      </c>
      <c r="P430" s="62" t="s">
        <v>501</v>
      </c>
      <c r="Q430" s="64">
        <v>26.6</v>
      </c>
      <c r="R430" s="65">
        <f t="shared" si="22"/>
        <v>0.43076923076923079</v>
      </c>
      <c r="S430" s="66">
        <v>53.81</v>
      </c>
      <c r="T430" s="66">
        <v>16.440000000000001</v>
      </c>
      <c r="U430" s="66">
        <v>50.09</v>
      </c>
      <c r="V430" s="66">
        <v>13.83</v>
      </c>
      <c r="W430" s="62">
        <v>21</v>
      </c>
      <c r="X430" s="62">
        <v>0</v>
      </c>
      <c r="Y430" s="62">
        <v>0</v>
      </c>
      <c r="Z430" s="62" t="s">
        <v>210</v>
      </c>
      <c r="AA430" s="62"/>
      <c r="AB430" s="62" t="s">
        <v>17</v>
      </c>
      <c r="AC430" s="62" t="s">
        <v>17</v>
      </c>
      <c r="AD430" s="62" t="s">
        <v>17</v>
      </c>
      <c r="AF430" s="4" t="s">
        <v>686</v>
      </c>
      <c r="AJ430" s="67"/>
      <c r="AK430" s="67"/>
      <c r="AL430" s="67"/>
    </row>
    <row r="431" spans="1:38" ht="12.75" customHeight="1" x14ac:dyDescent="0.3">
      <c r="A431" s="61">
        <v>430</v>
      </c>
      <c r="B431" s="61">
        <v>115</v>
      </c>
      <c r="C431" s="62" t="s">
        <v>758</v>
      </c>
      <c r="D431" s="62" t="s">
        <v>1095</v>
      </c>
      <c r="E431" s="62" t="s">
        <v>222</v>
      </c>
      <c r="F431" s="62" t="s">
        <v>503</v>
      </c>
      <c r="G431" s="62" t="s">
        <v>2</v>
      </c>
      <c r="H431" s="63">
        <v>1</v>
      </c>
      <c r="I431" s="62" t="s">
        <v>504</v>
      </c>
      <c r="J431" s="62">
        <v>1</v>
      </c>
      <c r="K431" s="62">
        <v>0</v>
      </c>
      <c r="L431" s="62">
        <v>15</v>
      </c>
      <c r="M431" s="62">
        <v>1</v>
      </c>
      <c r="N431" s="62">
        <v>0</v>
      </c>
      <c r="O431" s="62">
        <v>2</v>
      </c>
      <c r="P431" s="62" t="s">
        <v>419</v>
      </c>
      <c r="Q431" s="64">
        <v>21.68</v>
      </c>
      <c r="R431" s="65">
        <f>16/(16+46)</f>
        <v>0.25806451612903225</v>
      </c>
      <c r="S431" s="66">
        <v>25.2</v>
      </c>
      <c r="T431" s="66">
        <v>21.3</v>
      </c>
      <c r="U431" s="66">
        <v>69.900000000000006</v>
      </c>
      <c r="V431" s="66">
        <v>14.4</v>
      </c>
      <c r="W431" s="62">
        <v>31</v>
      </c>
      <c r="X431" s="62">
        <v>0</v>
      </c>
      <c r="Y431" s="62">
        <v>0</v>
      </c>
      <c r="Z431" s="62" t="s">
        <v>66</v>
      </c>
      <c r="AA431" s="62"/>
      <c r="AB431" s="62" t="s">
        <v>17</v>
      </c>
      <c r="AC431" s="62" t="s">
        <v>17</v>
      </c>
      <c r="AD431" s="62" t="s">
        <v>17</v>
      </c>
      <c r="AF431" s="4" t="s">
        <v>687</v>
      </c>
      <c r="AJ431" s="67"/>
      <c r="AK431" s="67"/>
      <c r="AL431" s="67"/>
    </row>
    <row r="432" spans="1:38" ht="12.75" customHeight="1" x14ac:dyDescent="0.3">
      <c r="A432" s="61">
        <v>431</v>
      </c>
      <c r="B432" s="61">
        <v>115</v>
      </c>
      <c r="C432" s="62" t="s">
        <v>758</v>
      </c>
      <c r="D432" s="62" t="s">
        <v>1095</v>
      </c>
      <c r="E432" s="62" t="s">
        <v>222</v>
      </c>
      <c r="F432" s="62" t="s">
        <v>503</v>
      </c>
      <c r="G432" s="62" t="s">
        <v>2</v>
      </c>
      <c r="H432" s="63">
        <v>1</v>
      </c>
      <c r="I432" s="62" t="s">
        <v>505</v>
      </c>
      <c r="J432" s="62">
        <v>1</v>
      </c>
      <c r="K432" s="62">
        <v>0</v>
      </c>
      <c r="L432" s="62">
        <v>15</v>
      </c>
      <c r="M432" s="62">
        <v>1</v>
      </c>
      <c r="N432" s="62">
        <v>0</v>
      </c>
      <c r="O432" s="62">
        <v>2</v>
      </c>
      <c r="P432" s="62" t="s">
        <v>419</v>
      </c>
      <c r="Q432" s="64">
        <v>21.68</v>
      </c>
      <c r="R432" s="65">
        <f>16/(16+46)</f>
        <v>0.25806451612903225</v>
      </c>
      <c r="S432" s="66">
        <v>29</v>
      </c>
      <c r="T432" s="66">
        <v>26.2</v>
      </c>
      <c r="U432" s="66">
        <v>69.5</v>
      </c>
      <c r="V432" s="66">
        <v>18.8</v>
      </c>
      <c r="W432" s="62">
        <v>31</v>
      </c>
      <c r="X432" s="62">
        <v>0</v>
      </c>
      <c r="Y432" s="62">
        <v>0</v>
      </c>
      <c r="Z432" s="62" t="s">
        <v>66</v>
      </c>
      <c r="AA432" s="61"/>
      <c r="AB432" s="62" t="s">
        <v>17</v>
      </c>
      <c r="AC432" s="62" t="s">
        <v>17</v>
      </c>
      <c r="AD432" s="62" t="s">
        <v>17</v>
      </c>
      <c r="AF432" s="4" t="s">
        <v>687</v>
      </c>
    </row>
    <row r="433" spans="1:38" ht="12.75" customHeight="1" x14ac:dyDescent="0.3">
      <c r="A433" s="61">
        <v>432</v>
      </c>
      <c r="B433" s="61">
        <v>116</v>
      </c>
      <c r="C433" s="62" t="s">
        <v>1240</v>
      </c>
      <c r="D433" s="62" t="s">
        <v>506</v>
      </c>
      <c r="E433" s="62" t="s">
        <v>451</v>
      </c>
      <c r="F433" s="62" t="s">
        <v>33</v>
      </c>
      <c r="G433" s="62" t="s">
        <v>2</v>
      </c>
      <c r="H433" s="63">
        <v>1</v>
      </c>
      <c r="I433" s="62"/>
      <c r="J433" s="62">
        <v>1</v>
      </c>
      <c r="K433" s="62">
        <v>0</v>
      </c>
      <c r="L433" s="62">
        <v>10</v>
      </c>
      <c r="M433" s="62">
        <v>1</v>
      </c>
      <c r="N433" s="62">
        <v>0</v>
      </c>
      <c r="O433" s="62">
        <v>1</v>
      </c>
      <c r="P433" s="62" t="s">
        <v>507</v>
      </c>
      <c r="Q433" s="64">
        <f>(11*15+10*16)/21</f>
        <v>15.476190476190476</v>
      </c>
      <c r="R433" s="65">
        <v>0</v>
      </c>
      <c r="S433" s="76">
        <v>14</v>
      </c>
      <c r="T433" s="76">
        <v>2.2110831935702699</v>
      </c>
      <c r="U433" s="76">
        <v>18.100000000000001</v>
      </c>
      <c r="V433" s="76">
        <v>2.8460498941515402</v>
      </c>
      <c r="W433" s="62">
        <v>10</v>
      </c>
      <c r="X433" s="62">
        <v>0</v>
      </c>
      <c r="Y433" s="62">
        <v>0</v>
      </c>
      <c r="Z433" s="62" t="s">
        <v>508</v>
      </c>
      <c r="AA433" s="61" t="s">
        <v>1497</v>
      </c>
      <c r="AB433" s="62" t="s">
        <v>17</v>
      </c>
      <c r="AC433" s="62" t="s">
        <v>17</v>
      </c>
      <c r="AD433" s="62" t="s">
        <v>17</v>
      </c>
      <c r="AF433" s="4" t="s">
        <v>767</v>
      </c>
      <c r="AJ433" s="67"/>
      <c r="AK433" s="67"/>
      <c r="AL433" s="67"/>
    </row>
    <row r="434" spans="1:38" ht="12.75" customHeight="1" x14ac:dyDescent="0.3">
      <c r="A434" s="61">
        <v>433</v>
      </c>
      <c r="B434" s="61">
        <v>116</v>
      </c>
      <c r="C434" s="62" t="s">
        <v>1240</v>
      </c>
      <c r="D434" s="62" t="s">
        <v>506</v>
      </c>
      <c r="E434" s="62" t="s">
        <v>32</v>
      </c>
      <c r="F434" s="62" t="s">
        <v>33</v>
      </c>
      <c r="G434" s="62" t="s">
        <v>64</v>
      </c>
      <c r="H434" s="63">
        <v>1</v>
      </c>
      <c r="I434" s="62"/>
      <c r="J434" s="62">
        <v>1</v>
      </c>
      <c r="K434" s="62">
        <v>0</v>
      </c>
      <c r="L434" s="62">
        <v>10</v>
      </c>
      <c r="M434" s="62">
        <v>1</v>
      </c>
      <c r="N434" s="62">
        <v>0</v>
      </c>
      <c r="O434" s="62">
        <v>1</v>
      </c>
      <c r="P434" s="62" t="s">
        <v>507</v>
      </c>
      <c r="Q434" s="64">
        <f>(11*15+10*16)/21</f>
        <v>15.476190476190476</v>
      </c>
      <c r="R434" s="65">
        <f>2/11</f>
        <v>0.18181818181818182</v>
      </c>
      <c r="S434" s="76">
        <v>13.363636363636401</v>
      </c>
      <c r="T434" s="76">
        <v>2.1105794120443502</v>
      </c>
      <c r="U434" s="76">
        <v>17.545454545454501</v>
      </c>
      <c r="V434" s="76">
        <v>2.6967994498529699</v>
      </c>
      <c r="W434" s="62">
        <v>11</v>
      </c>
      <c r="X434" s="62">
        <v>0</v>
      </c>
      <c r="Y434" s="62">
        <v>0</v>
      </c>
      <c r="Z434" s="62" t="s">
        <v>508</v>
      </c>
      <c r="AA434" s="61"/>
      <c r="AB434" s="62" t="s">
        <v>17</v>
      </c>
      <c r="AC434" s="62" t="s">
        <v>17</v>
      </c>
      <c r="AD434" s="62" t="s">
        <v>17</v>
      </c>
      <c r="AF434" s="4" t="s">
        <v>767</v>
      </c>
      <c r="AJ434" s="67"/>
      <c r="AK434" s="67"/>
      <c r="AL434" s="67"/>
    </row>
    <row r="435" spans="1:38" ht="12.75" customHeight="1" x14ac:dyDescent="0.3">
      <c r="A435" s="61">
        <v>434</v>
      </c>
      <c r="B435" s="61">
        <v>117</v>
      </c>
      <c r="C435" s="62" t="s">
        <v>776</v>
      </c>
      <c r="D435" s="62" t="s">
        <v>68</v>
      </c>
      <c r="E435" s="62" t="s">
        <v>32</v>
      </c>
      <c r="F435" s="62" t="s">
        <v>70</v>
      </c>
      <c r="G435" s="62" t="s">
        <v>34</v>
      </c>
      <c r="H435" s="63">
        <v>0</v>
      </c>
      <c r="I435" s="62"/>
      <c r="J435" s="62">
        <v>1</v>
      </c>
      <c r="K435" s="62" t="s">
        <v>32</v>
      </c>
      <c r="L435" s="62">
        <f t="shared" ref="L435:L470" si="23">7*30</f>
        <v>210</v>
      </c>
      <c r="M435" s="62">
        <v>7</v>
      </c>
      <c r="N435" s="62">
        <v>0</v>
      </c>
      <c r="O435" s="62">
        <v>1</v>
      </c>
      <c r="P435" s="62" t="s">
        <v>509</v>
      </c>
      <c r="Q435" s="64">
        <f t="shared" ref="Q435:Q470" si="24">AVERAGE(18,22)</f>
        <v>20</v>
      </c>
      <c r="R435" s="65">
        <f>0.5</f>
        <v>0.5</v>
      </c>
      <c r="S435" s="76">
        <v>9.4E-2</v>
      </c>
      <c r="T435" s="76">
        <v>5.3999999999999999E-2</v>
      </c>
      <c r="U435" s="66">
        <v>5.5E-2</v>
      </c>
      <c r="V435" s="66">
        <v>4.4999999999999998E-2</v>
      </c>
      <c r="W435" s="62">
        <v>12</v>
      </c>
      <c r="X435" s="62">
        <v>1</v>
      </c>
      <c r="Y435" s="62">
        <v>0</v>
      </c>
      <c r="Z435" s="62" t="s">
        <v>66</v>
      </c>
      <c r="AA435" s="62" t="s">
        <v>510</v>
      </c>
      <c r="AB435" s="62" t="s">
        <v>17</v>
      </c>
      <c r="AC435" s="62" t="s">
        <v>17</v>
      </c>
      <c r="AD435" s="62" t="s">
        <v>17</v>
      </c>
      <c r="AF435" s="11" t="s">
        <v>688</v>
      </c>
      <c r="AJ435" s="67"/>
      <c r="AK435" s="67"/>
      <c r="AL435" s="67"/>
    </row>
    <row r="436" spans="1:38" ht="12.75" customHeight="1" x14ac:dyDescent="0.3">
      <c r="A436" s="61">
        <v>435</v>
      </c>
      <c r="B436" s="61">
        <v>117</v>
      </c>
      <c r="C436" s="62" t="s">
        <v>776</v>
      </c>
      <c r="D436" s="62" t="s">
        <v>68</v>
      </c>
      <c r="E436" s="62" t="s">
        <v>69</v>
      </c>
      <c r="F436" s="62" t="s">
        <v>70</v>
      </c>
      <c r="G436" s="62" t="s">
        <v>2</v>
      </c>
      <c r="H436" s="63">
        <v>0</v>
      </c>
      <c r="I436" s="62"/>
      <c r="J436" s="62">
        <v>1</v>
      </c>
      <c r="K436" s="62">
        <v>0</v>
      </c>
      <c r="L436" s="62">
        <f t="shared" si="23"/>
        <v>210</v>
      </c>
      <c r="M436" s="62">
        <v>7</v>
      </c>
      <c r="N436" s="62">
        <v>0</v>
      </c>
      <c r="O436" s="62">
        <v>1</v>
      </c>
      <c r="P436" s="62" t="s">
        <v>509</v>
      </c>
      <c r="Q436" s="64">
        <f t="shared" si="24"/>
        <v>20</v>
      </c>
      <c r="R436" s="65">
        <f>6/(6+8)</f>
        <v>0.42857142857142855</v>
      </c>
      <c r="S436" s="76">
        <v>0.10299999999999999</v>
      </c>
      <c r="T436" s="76">
        <v>6.6000000000000003E-2</v>
      </c>
      <c r="U436" s="66">
        <v>1.0999999999999999E-2</v>
      </c>
      <c r="V436" s="66">
        <v>1.6E-2</v>
      </c>
      <c r="W436" s="62">
        <v>14</v>
      </c>
      <c r="X436" s="62">
        <v>1</v>
      </c>
      <c r="Y436" s="62">
        <v>0</v>
      </c>
      <c r="Z436" s="62" t="s">
        <v>66</v>
      </c>
      <c r="AA436" s="62" t="s">
        <v>510</v>
      </c>
      <c r="AB436" s="62" t="s">
        <v>17</v>
      </c>
      <c r="AC436" s="62" t="s">
        <v>17</v>
      </c>
      <c r="AD436" s="62" t="s">
        <v>17</v>
      </c>
      <c r="AF436" s="11" t="s">
        <v>688</v>
      </c>
      <c r="AJ436" s="67"/>
      <c r="AK436" s="67"/>
      <c r="AL436" s="67"/>
    </row>
    <row r="437" spans="1:38" ht="12.75" customHeight="1" x14ac:dyDescent="0.3">
      <c r="A437" s="61">
        <v>436</v>
      </c>
      <c r="B437" s="61">
        <v>117</v>
      </c>
      <c r="C437" s="62" t="s">
        <v>776</v>
      </c>
      <c r="D437" s="62" t="s">
        <v>68</v>
      </c>
      <c r="E437" s="62" t="s">
        <v>32</v>
      </c>
      <c r="F437" s="62" t="s">
        <v>70</v>
      </c>
      <c r="G437" s="62" t="s">
        <v>34</v>
      </c>
      <c r="H437" s="63">
        <v>0</v>
      </c>
      <c r="I437" s="62"/>
      <c r="J437" s="62">
        <v>1</v>
      </c>
      <c r="K437" s="62" t="s">
        <v>32</v>
      </c>
      <c r="L437" s="62">
        <f t="shared" si="23"/>
        <v>210</v>
      </c>
      <c r="M437" s="62">
        <v>7</v>
      </c>
      <c r="N437" s="62">
        <v>0</v>
      </c>
      <c r="O437" s="62">
        <v>1</v>
      </c>
      <c r="P437" s="62" t="s">
        <v>511</v>
      </c>
      <c r="Q437" s="64">
        <f t="shared" si="24"/>
        <v>20</v>
      </c>
      <c r="R437" s="65">
        <f>0.5</f>
        <v>0.5</v>
      </c>
      <c r="S437" s="76">
        <v>1.4890000000000001</v>
      </c>
      <c r="T437" s="76">
        <v>0.6</v>
      </c>
      <c r="U437" s="66">
        <v>1.702</v>
      </c>
      <c r="V437" s="66">
        <v>0.505</v>
      </c>
      <c r="W437" s="62">
        <v>12</v>
      </c>
      <c r="X437" s="62">
        <v>0</v>
      </c>
      <c r="Y437" s="62">
        <v>0</v>
      </c>
      <c r="Z437" s="62" t="s">
        <v>66</v>
      </c>
      <c r="AA437" s="62" t="s">
        <v>510</v>
      </c>
      <c r="AB437" s="62" t="s">
        <v>17</v>
      </c>
      <c r="AC437" s="62" t="s">
        <v>17</v>
      </c>
      <c r="AD437" s="62" t="s">
        <v>17</v>
      </c>
      <c r="AF437" s="11" t="s">
        <v>688</v>
      </c>
      <c r="AJ437" s="67"/>
      <c r="AK437" s="67"/>
      <c r="AL437" s="67"/>
    </row>
    <row r="438" spans="1:38" ht="12.75" customHeight="1" x14ac:dyDescent="0.3">
      <c r="A438" s="61">
        <v>437</v>
      </c>
      <c r="B438" s="61">
        <v>117</v>
      </c>
      <c r="C438" s="62" t="s">
        <v>776</v>
      </c>
      <c r="D438" s="62" t="s">
        <v>68</v>
      </c>
      <c r="E438" s="62" t="s">
        <v>69</v>
      </c>
      <c r="F438" s="62" t="s">
        <v>70</v>
      </c>
      <c r="G438" s="62" t="s">
        <v>2</v>
      </c>
      <c r="H438" s="63">
        <v>0</v>
      </c>
      <c r="I438" s="62"/>
      <c r="J438" s="62">
        <v>1</v>
      </c>
      <c r="K438" s="62">
        <v>0</v>
      </c>
      <c r="L438" s="62">
        <f t="shared" si="23"/>
        <v>210</v>
      </c>
      <c r="M438" s="62">
        <v>7</v>
      </c>
      <c r="N438" s="62">
        <v>0</v>
      </c>
      <c r="O438" s="62">
        <v>1</v>
      </c>
      <c r="P438" s="62" t="s">
        <v>511</v>
      </c>
      <c r="Q438" s="64">
        <f t="shared" si="24"/>
        <v>20</v>
      </c>
      <c r="R438" s="65">
        <f>6/(6+8)</f>
        <v>0.42857142857142855</v>
      </c>
      <c r="S438" s="76">
        <v>1.4690000000000001</v>
      </c>
      <c r="T438" s="76">
        <v>0.52100000000000002</v>
      </c>
      <c r="U438" s="66">
        <v>2.2469999999999999</v>
      </c>
      <c r="V438" s="66">
        <v>0.45400000000000001</v>
      </c>
      <c r="W438" s="62">
        <v>14</v>
      </c>
      <c r="X438" s="62">
        <v>0</v>
      </c>
      <c r="Y438" s="62">
        <v>0</v>
      </c>
      <c r="Z438" s="62" t="s">
        <v>66</v>
      </c>
      <c r="AA438" s="62" t="s">
        <v>510</v>
      </c>
      <c r="AB438" s="62" t="s">
        <v>17</v>
      </c>
      <c r="AC438" s="62" t="s">
        <v>17</v>
      </c>
      <c r="AD438" s="62" t="s">
        <v>17</v>
      </c>
      <c r="AF438" s="11" t="s">
        <v>688</v>
      </c>
      <c r="AJ438" s="67"/>
      <c r="AK438" s="67"/>
      <c r="AL438" s="67"/>
    </row>
    <row r="439" spans="1:38" ht="12.75" customHeight="1" x14ac:dyDescent="0.3">
      <c r="A439" s="61">
        <v>438</v>
      </c>
      <c r="B439" s="61">
        <v>117</v>
      </c>
      <c r="C439" s="62" t="s">
        <v>776</v>
      </c>
      <c r="D439" s="62" t="s">
        <v>68</v>
      </c>
      <c r="E439" s="62" t="s">
        <v>32</v>
      </c>
      <c r="F439" s="62" t="s">
        <v>70</v>
      </c>
      <c r="G439" s="62" t="s">
        <v>34</v>
      </c>
      <c r="H439" s="63">
        <v>0</v>
      </c>
      <c r="I439" s="62"/>
      <c r="J439" s="62">
        <v>1</v>
      </c>
      <c r="K439" s="62" t="s">
        <v>32</v>
      </c>
      <c r="L439" s="62">
        <f t="shared" si="23"/>
        <v>210</v>
      </c>
      <c r="M439" s="62">
        <v>7</v>
      </c>
      <c r="N439" s="62">
        <v>0</v>
      </c>
      <c r="O439" s="62">
        <v>1</v>
      </c>
      <c r="P439" s="62" t="s">
        <v>512</v>
      </c>
      <c r="Q439" s="64">
        <f t="shared" si="24"/>
        <v>20</v>
      </c>
      <c r="R439" s="65">
        <f>0.5</f>
        <v>0.5</v>
      </c>
      <c r="S439" s="66">
        <v>0.92200000000000004</v>
      </c>
      <c r="T439" s="66">
        <v>0.123</v>
      </c>
      <c r="U439" s="66">
        <v>0.93300000000000005</v>
      </c>
      <c r="V439" s="66">
        <v>7.0000000000000007E-2</v>
      </c>
      <c r="W439" s="62">
        <v>12</v>
      </c>
      <c r="X439" s="62">
        <v>0</v>
      </c>
      <c r="Y439" s="62">
        <v>0</v>
      </c>
      <c r="Z439" s="62" t="s">
        <v>66</v>
      </c>
      <c r="AA439" s="62" t="s">
        <v>510</v>
      </c>
      <c r="AB439" s="62" t="s">
        <v>17</v>
      </c>
      <c r="AC439" s="62" t="s">
        <v>17</v>
      </c>
      <c r="AD439" s="62" t="s">
        <v>17</v>
      </c>
      <c r="AF439" s="11" t="s">
        <v>688</v>
      </c>
      <c r="AJ439" s="67"/>
      <c r="AK439" s="67"/>
      <c r="AL439" s="67"/>
    </row>
    <row r="440" spans="1:38" ht="12.75" customHeight="1" x14ac:dyDescent="0.3">
      <c r="A440" s="61">
        <v>439</v>
      </c>
      <c r="B440" s="61">
        <v>117</v>
      </c>
      <c r="C440" s="62" t="s">
        <v>776</v>
      </c>
      <c r="D440" s="62" t="s">
        <v>68</v>
      </c>
      <c r="E440" s="62" t="s">
        <v>69</v>
      </c>
      <c r="F440" s="62" t="s">
        <v>70</v>
      </c>
      <c r="G440" s="62" t="s">
        <v>2</v>
      </c>
      <c r="H440" s="63">
        <v>0</v>
      </c>
      <c r="I440" s="62"/>
      <c r="J440" s="62">
        <v>1</v>
      </c>
      <c r="K440" s="62">
        <v>0</v>
      </c>
      <c r="L440" s="62">
        <f t="shared" si="23"/>
        <v>210</v>
      </c>
      <c r="M440" s="62">
        <v>7</v>
      </c>
      <c r="N440" s="62">
        <v>0</v>
      </c>
      <c r="O440" s="62">
        <v>1</v>
      </c>
      <c r="P440" s="62" t="s">
        <v>512</v>
      </c>
      <c r="Q440" s="64">
        <f t="shared" si="24"/>
        <v>20</v>
      </c>
      <c r="R440" s="65">
        <f>6/(6+8)</f>
        <v>0.42857142857142855</v>
      </c>
      <c r="S440" s="66">
        <v>0.69099999999999995</v>
      </c>
      <c r="T440" s="66">
        <v>0.17100000000000001</v>
      </c>
      <c r="U440" s="66">
        <v>0.96699999999999997</v>
      </c>
      <c r="V440" s="66">
        <v>6.3E-2</v>
      </c>
      <c r="W440" s="62">
        <v>14</v>
      </c>
      <c r="X440" s="62">
        <v>0</v>
      </c>
      <c r="Y440" s="62">
        <v>0</v>
      </c>
      <c r="Z440" s="62" t="s">
        <v>66</v>
      </c>
      <c r="AA440" s="62" t="s">
        <v>510</v>
      </c>
      <c r="AB440" s="62" t="s">
        <v>17</v>
      </c>
      <c r="AC440" s="62" t="s">
        <v>17</v>
      </c>
      <c r="AD440" s="62" t="s">
        <v>17</v>
      </c>
      <c r="AF440" s="11" t="s">
        <v>688</v>
      </c>
      <c r="AJ440" s="67"/>
      <c r="AK440" s="67"/>
      <c r="AL440" s="67"/>
    </row>
    <row r="441" spans="1:38" ht="12.75" customHeight="1" x14ac:dyDescent="0.3">
      <c r="A441" s="61">
        <v>440</v>
      </c>
      <c r="B441" s="61">
        <v>117</v>
      </c>
      <c r="C441" s="62" t="s">
        <v>776</v>
      </c>
      <c r="D441" s="62" t="s">
        <v>68</v>
      </c>
      <c r="E441" s="62" t="s">
        <v>32</v>
      </c>
      <c r="F441" s="62" t="s">
        <v>70</v>
      </c>
      <c r="G441" s="62" t="s">
        <v>34</v>
      </c>
      <c r="H441" s="63">
        <v>0</v>
      </c>
      <c r="I441" s="62"/>
      <c r="J441" s="62">
        <v>1</v>
      </c>
      <c r="K441" s="62" t="s">
        <v>32</v>
      </c>
      <c r="L441" s="62">
        <f t="shared" si="23"/>
        <v>210</v>
      </c>
      <c r="M441" s="62">
        <v>7</v>
      </c>
      <c r="N441" s="62">
        <v>0</v>
      </c>
      <c r="O441" s="62">
        <v>1</v>
      </c>
      <c r="P441" s="62" t="s">
        <v>513</v>
      </c>
      <c r="Q441" s="64">
        <f t="shared" si="24"/>
        <v>20</v>
      </c>
      <c r="R441" s="65">
        <f>0.5</f>
        <v>0.5</v>
      </c>
      <c r="S441" s="66">
        <v>0.58899999999999997</v>
      </c>
      <c r="T441" s="66">
        <v>0.17699999999999999</v>
      </c>
      <c r="U441" s="66">
        <v>0.63300000000000001</v>
      </c>
      <c r="V441" s="66">
        <v>0.30399999999999999</v>
      </c>
      <c r="W441" s="62">
        <v>12</v>
      </c>
      <c r="X441" s="62">
        <v>0</v>
      </c>
      <c r="Y441" s="62">
        <v>0</v>
      </c>
      <c r="Z441" s="62" t="s">
        <v>66</v>
      </c>
      <c r="AA441" s="62" t="s">
        <v>510</v>
      </c>
      <c r="AB441" s="62" t="s">
        <v>17</v>
      </c>
      <c r="AC441" s="62" t="s">
        <v>17</v>
      </c>
      <c r="AD441" s="62" t="s">
        <v>17</v>
      </c>
      <c r="AF441" s="11" t="s">
        <v>688</v>
      </c>
      <c r="AJ441" s="67"/>
      <c r="AK441" s="67"/>
      <c r="AL441" s="67"/>
    </row>
    <row r="442" spans="1:38" ht="12.75" customHeight="1" x14ac:dyDescent="0.3">
      <c r="A442" s="61">
        <v>441</v>
      </c>
      <c r="B442" s="61">
        <v>117</v>
      </c>
      <c r="C442" s="62" t="s">
        <v>776</v>
      </c>
      <c r="D442" s="62" t="s">
        <v>68</v>
      </c>
      <c r="E442" s="62" t="s">
        <v>69</v>
      </c>
      <c r="F442" s="62" t="s">
        <v>70</v>
      </c>
      <c r="G442" s="62" t="s">
        <v>2</v>
      </c>
      <c r="H442" s="63">
        <v>0</v>
      </c>
      <c r="I442" s="62"/>
      <c r="J442" s="62">
        <v>1</v>
      </c>
      <c r="K442" s="62">
        <v>0</v>
      </c>
      <c r="L442" s="62">
        <f t="shared" si="23"/>
        <v>210</v>
      </c>
      <c r="M442" s="62">
        <v>7</v>
      </c>
      <c r="N442" s="62">
        <v>0</v>
      </c>
      <c r="O442" s="62">
        <v>1</v>
      </c>
      <c r="P442" s="62" t="s">
        <v>513</v>
      </c>
      <c r="Q442" s="64">
        <f t="shared" si="24"/>
        <v>20</v>
      </c>
      <c r="R442" s="65">
        <f>6/(6+8)</f>
        <v>0.42857142857142855</v>
      </c>
      <c r="S442" s="66">
        <v>0.39100000000000001</v>
      </c>
      <c r="T442" s="66">
        <v>0.248</v>
      </c>
      <c r="U442" s="66">
        <v>0.52</v>
      </c>
      <c r="V442" s="66">
        <v>0.23300000000000001</v>
      </c>
      <c r="W442" s="62">
        <v>14</v>
      </c>
      <c r="X442" s="62">
        <v>0</v>
      </c>
      <c r="Y442" s="62">
        <v>0</v>
      </c>
      <c r="Z442" s="62" t="s">
        <v>66</v>
      </c>
      <c r="AA442" s="62" t="s">
        <v>510</v>
      </c>
      <c r="AB442" s="62" t="s">
        <v>17</v>
      </c>
      <c r="AC442" s="62" t="s">
        <v>17</v>
      </c>
      <c r="AD442" s="62" t="s">
        <v>17</v>
      </c>
      <c r="AF442" s="11" t="s">
        <v>688</v>
      </c>
      <c r="AJ442" s="67"/>
      <c r="AK442" s="67"/>
      <c r="AL442" s="67"/>
    </row>
    <row r="443" spans="1:38" ht="12.75" customHeight="1" x14ac:dyDescent="0.3">
      <c r="A443" s="61">
        <v>442</v>
      </c>
      <c r="B443" s="61">
        <v>117</v>
      </c>
      <c r="C443" s="62" t="s">
        <v>776</v>
      </c>
      <c r="D443" s="62" t="s">
        <v>68</v>
      </c>
      <c r="E443" s="62" t="s">
        <v>32</v>
      </c>
      <c r="F443" s="62" t="s">
        <v>70</v>
      </c>
      <c r="G443" s="62" t="s">
        <v>34</v>
      </c>
      <c r="H443" s="63">
        <v>0</v>
      </c>
      <c r="I443" s="62"/>
      <c r="J443" s="62">
        <v>1</v>
      </c>
      <c r="K443" s="62" t="s">
        <v>32</v>
      </c>
      <c r="L443" s="62">
        <f t="shared" si="23"/>
        <v>210</v>
      </c>
      <c r="M443" s="62">
        <v>7</v>
      </c>
      <c r="N443" s="62">
        <v>0</v>
      </c>
      <c r="O443" s="62">
        <v>1</v>
      </c>
      <c r="P443" s="62" t="s">
        <v>514</v>
      </c>
      <c r="Q443" s="64">
        <f t="shared" si="24"/>
        <v>20</v>
      </c>
      <c r="R443" s="65">
        <f>0.5</f>
        <v>0.5</v>
      </c>
      <c r="S443" s="66">
        <v>4.1630000000000003</v>
      </c>
      <c r="T443" s="66">
        <v>0.86</v>
      </c>
      <c r="U443" s="66">
        <v>4.5350000000000001</v>
      </c>
      <c r="V443" s="66">
        <v>0.69299999999999995</v>
      </c>
      <c r="W443" s="62">
        <v>12</v>
      </c>
      <c r="X443" s="62">
        <v>0</v>
      </c>
      <c r="Y443" s="62">
        <v>0</v>
      </c>
      <c r="Z443" s="62" t="s">
        <v>66</v>
      </c>
      <c r="AA443" s="62" t="s">
        <v>510</v>
      </c>
      <c r="AB443" s="62" t="s">
        <v>17</v>
      </c>
      <c r="AC443" s="62" t="s">
        <v>17</v>
      </c>
      <c r="AD443" s="62" t="s">
        <v>17</v>
      </c>
      <c r="AF443" s="11" t="s">
        <v>688</v>
      </c>
      <c r="AJ443" s="67"/>
      <c r="AK443" s="67"/>
      <c r="AL443" s="67"/>
    </row>
    <row r="444" spans="1:38" ht="12.75" customHeight="1" x14ac:dyDescent="0.3">
      <c r="A444" s="61">
        <v>443</v>
      </c>
      <c r="B444" s="61">
        <v>117</v>
      </c>
      <c r="C444" s="62" t="s">
        <v>776</v>
      </c>
      <c r="D444" s="62" t="s">
        <v>68</v>
      </c>
      <c r="E444" s="62" t="s">
        <v>69</v>
      </c>
      <c r="F444" s="62" t="s">
        <v>70</v>
      </c>
      <c r="G444" s="62" t="s">
        <v>2</v>
      </c>
      <c r="H444" s="63">
        <v>0</v>
      </c>
      <c r="I444" s="62"/>
      <c r="J444" s="62">
        <v>1</v>
      </c>
      <c r="K444" s="62">
        <v>0</v>
      </c>
      <c r="L444" s="62">
        <f t="shared" si="23"/>
        <v>210</v>
      </c>
      <c r="M444" s="62">
        <v>7</v>
      </c>
      <c r="N444" s="62">
        <v>0</v>
      </c>
      <c r="O444" s="62">
        <v>1</v>
      </c>
      <c r="P444" s="62" t="s">
        <v>514</v>
      </c>
      <c r="Q444" s="64">
        <f t="shared" si="24"/>
        <v>20</v>
      </c>
      <c r="R444" s="65">
        <f>6/(6+8)</f>
        <v>0.42857142857142855</v>
      </c>
      <c r="S444" s="66">
        <v>4.1550000000000002</v>
      </c>
      <c r="T444" s="66">
        <v>1.028</v>
      </c>
      <c r="U444" s="66">
        <v>4.6689999999999996</v>
      </c>
      <c r="V444" s="66">
        <v>0.58099999999999996</v>
      </c>
      <c r="W444" s="62">
        <v>14</v>
      </c>
      <c r="X444" s="62">
        <v>0</v>
      </c>
      <c r="Y444" s="62">
        <v>0</v>
      </c>
      <c r="Z444" s="62" t="s">
        <v>66</v>
      </c>
      <c r="AA444" s="62" t="s">
        <v>510</v>
      </c>
      <c r="AB444" s="62" t="s">
        <v>17</v>
      </c>
      <c r="AC444" s="62" t="s">
        <v>17</v>
      </c>
      <c r="AD444" s="62" t="s">
        <v>17</v>
      </c>
      <c r="AF444" s="11" t="s">
        <v>688</v>
      </c>
      <c r="AJ444" s="67"/>
      <c r="AK444" s="67"/>
      <c r="AL444" s="67"/>
    </row>
    <row r="445" spans="1:38" ht="12.75" customHeight="1" x14ac:dyDescent="0.3">
      <c r="A445" s="61">
        <v>444</v>
      </c>
      <c r="B445" s="61">
        <v>117</v>
      </c>
      <c r="C445" s="62" t="s">
        <v>776</v>
      </c>
      <c r="D445" s="62" t="s">
        <v>68</v>
      </c>
      <c r="E445" s="62" t="s">
        <v>32</v>
      </c>
      <c r="F445" s="62" t="s">
        <v>70</v>
      </c>
      <c r="G445" s="62" t="s">
        <v>34</v>
      </c>
      <c r="H445" s="63">
        <v>0</v>
      </c>
      <c r="I445" s="62"/>
      <c r="J445" s="62">
        <v>1</v>
      </c>
      <c r="K445" s="62" t="s">
        <v>32</v>
      </c>
      <c r="L445" s="62">
        <f t="shared" si="23"/>
        <v>210</v>
      </c>
      <c r="M445" s="62">
        <v>7</v>
      </c>
      <c r="N445" s="62">
        <v>0</v>
      </c>
      <c r="O445" s="62">
        <v>1</v>
      </c>
      <c r="P445" s="62" t="s">
        <v>515</v>
      </c>
      <c r="Q445" s="64">
        <f t="shared" si="24"/>
        <v>20</v>
      </c>
      <c r="R445" s="65">
        <f>0.5</f>
        <v>0.5</v>
      </c>
      <c r="S445" s="66">
        <v>0.93899999999999995</v>
      </c>
      <c r="T445" s="66">
        <v>6.6000000000000003E-2</v>
      </c>
      <c r="U445" s="66">
        <v>0.96699999999999997</v>
      </c>
      <c r="V445" s="66">
        <v>4.4999999999999998E-2</v>
      </c>
      <c r="W445" s="62">
        <v>12</v>
      </c>
      <c r="X445" s="62">
        <v>0</v>
      </c>
      <c r="Y445" s="62">
        <v>0</v>
      </c>
      <c r="Z445" s="62" t="s">
        <v>66</v>
      </c>
      <c r="AA445" s="62" t="s">
        <v>510</v>
      </c>
      <c r="AB445" s="62" t="s">
        <v>17</v>
      </c>
      <c r="AC445" s="62" t="s">
        <v>17</v>
      </c>
      <c r="AD445" s="62" t="s">
        <v>17</v>
      </c>
      <c r="AF445" s="11" t="s">
        <v>688</v>
      </c>
      <c r="AJ445" s="67"/>
      <c r="AK445" s="67"/>
      <c r="AL445" s="67"/>
    </row>
    <row r="446" spans="1:38" ht="12.75" customHeight="1" x14ac:dyDescent="0.3">
      <c r="A446" s="61">
        <v>445</v>
      </c>
      <c r="B446" s="61">
        <v>117</v>
      </c>
      <c r="C446" s="62" t="s">
        <v>776</v>
      </c>
      <c r="D446" s="62" t="s">
        <v>68</v>
      </c>
      <c r="E446" s="62" t="s">
        <v>69</v>
      </c>
      <c r="F446" s="62" t="s">
        <v>70</v>
      </c>
      <c r="G446" s="62" t="s">
        <v>2</v>
      </c>
      <c r="H446" s="63">
        <v>0</v>
      </c>
      <c r="I446" s="62"/>
      <c r="J446" s="62">
        <v>1</v>
      </c>
      <c r="K446" s="62">
        <v>0</v>
      </c>
      <c r="L446" s="62">
        <f t="shared" si="23"/>
        <v>210</v>
      </c>
      <c r="M446" s="62">
        <v>7</v>
      </c>
      <c r="N446" s="62">
        <v>0</v>
      </c>
      <c r="O446" s="62">
        <v>1</v>
      </c>
      <c r="P446" s="62" t="s">
        <v>515</v>
      </c>
      <c r="Q446" s="64">
        <f t="shared" si="24"/>
        <v>20</v>
      </c>
      <c r="R446" s="65">
        <f>6/(6+8)</f>
        <v>0.42857142857142855</v>
      </c>
      <c r="S446" s="66">
        <v>0.94299999999999995</v>
      </c>
      <c r="T446" s="66">
        <v>7.2999999999999995E-2</v>
      </c>
      <c r="U446" s="66">
        <v>0.98099999999999998</v>
      </c>
      <c r="V446" s="66">
        <v>4.1000000000000002E-2</v>
      </c>
      <c r="W446" s="62">
        <v>14</v>
      </c>
      <c r="X446" s="62">
        <v>0</v>
      </c>
      <c r="Y446" s="62">
        <v>0</v>
      </c>
      <c r="Z446" s="62" t="s">
        <v>66</v>
      </c>
      <c r="AA446" s="62" t="s">
        <v>510</v>
      </c>
      <c r="AB446" s="62" t="s">
        <v>17</v>
      </c>
      <c r="AC446" s="62" t="s">
        <v>17</v>
      </c>
      <c r="AD446" s="62" t="s">
        <v>17</v>
      </c>
      <c r="AF446" s="11" t="s">
        <v>688</v>
      </c>
      <c r="AJ446" s="67"/>
      <c r="AK446" s="67"/>
      <c r="AL446" s="67"/>
    </row>
    <row r="447" spans="1:38" ht="12.75" customHeight="1" x14ac:dyDescent="0.3">
      <c r="A447" s="61">
        <v>446</v>
      </c>
      <c r="B447" s="61">
        <v>117</v>
      </c>
      <c r="C447" s="62" t="s">
        <v>776</v>
      </c>
      <c r="D447" s="62" t="s">
        <v>68</v>
      </c>
      <c r="E447" s="62" t="s">
        <v>32</v>
      </c>
      <c r="F447" s="62" t="s">
        <v>70</v>
      </c>
      <c r="G447" s="62" t="s">
        <v>34</v>
      </c>
      <c r="H447" s="63">
        <v>0</v>
      </c>
      <c r="I447" s="62"/>
      <c r="J447" s="62">
        <v>1</v>
      </c>
      <c r="K447" s="62" t="s">
        <v>32</v>
      </c>
      <c r="L447" s="62">
        <f t="shared" si="23"/>
        <v>210</v>
      </c>
      <c r="M447" s="62">
        <v>7</v>
      </c>
      <c r="N447" s="62">
        <v>0</v>
      </c>
      <c r="O447" s="62">
        <v>2</v>
      </c>
      <c r="P447" s="62" t="s">
        <v>509</v>
      </c>
      <c r="Q447" s="64">
        <f t="shared" si="24"/>
        <v>20</v>
      </c>
      <c r="R447" s="65">
        <f>0.5</f>
        <v>0.5</v>
      </c>
      <c r="S447" s="76">
        <v>9.4E-2</v>
      </c>
      <c r="T447" s="76">
        <v>5.3999999999999999E-2</v>
      </c>
      <c r="U447" s="66">
        <v>0.05</v>
      </c>
      <c r="V447" s="66">
        <v>2.1999999999999999E-2</v>
      </c>
      <c r="W447" s="62">
        <v>12</v>
      </c>
      <c r="X447" s="62">
        <v>1</v>
      </c>
      <c r="Y447" s="62">
        <v>0</v>
      </c>
      <c r="Z447" s="62" t="s">
        <v>36</v>
      </c>
      <c r="AA447" s="62" t="s">
        <v>516</v>
      </c>
      <c r="AB447" s="62" t="s">
        <v>17</v>
      </c>
      <c r="AC447" s="62" t="s">
        <v>17</v>
      </c>
      <c r="AD447" s="62" t="s">
        <v>17</v>
      </c>
      <c r="AF447" s="11" t="s">
        <v>688</v>
      </c>
      <c r="AJ447" s="67"/>
      <c r="AK447" s="67"/>
      <c r="AL447" s="67"/>
    </row>
    <row r="448" spans="1:38" ht="12.75" customHeight="1" x14ac:dyDescent="0.3">
      <c r="A448" s="61">
        <v>447</v>
      </c>
      <c r="B448" s="61">
        <v>117</v>
      </c>
      <c r="C448" s="62" t="s">
        <v>776</v>
      </c>
      <c r="D448" s="62" t="s">
        <v>68</v>
      </c>
      <c r="E448" s="62" t="s">
        <v>69</v>
      </c>
      <c r="F448" s="62" t="s">
        <v>70</v>
      </c>
      <c r="G448" s="62" t="s">
        <v>2</v>
      </c>
      <c r="H448" s="63">
        <v>0</v>
      </c>
      <c r="I448" s="62"/>
      <c r="J448" s="62">
        <v>1</v>
      </c>
      <c r="K448" s="62">
        <v>0</v>
      </c>
      <c r="L448" s="62">
        <f t="shared" si="23"/>
        <v>210</v>
      </c>
      <c r="M448" s="62">
        <v>7</v>
      </c>
      <c r="N448" s="62">
        <v>0</v>
      </c>
      <c r="O448" s="62">
        <v>2</v>
      </c>
      <c r="P448" s="62" t="s">
        <v>509</v>
      </c>
      <c r="Q448" s="64">
        <f t="shared" si="24"/>
        <v>20</v>
      </c>
      <c r="R448" s="65">
        <f>6/(6+8)</f>
        <v>0.42857142857142855</v>
      </c>
      <c r="S448" s="76">
        <v>0.10299999999999999</v>
      </c>
      <c r="T448" s="76">
        <v>6.6000000000000003E-2</v>
      </c>
      <c r="U448" s="66">
        <v>2.8000000000000001E-2</v>
      </c>
      <c r="V448" s="66">
        <v>2.7E-2</v>
      </c>
      <c r="W448" s="62">
        <v>14</v>
      </c>
      <c r="X448" s="62">
        <v>1</v>
      </c>
      <c r="Y448" s="62">
        <v>0</v>
      </c>
      <c r="Z448" s="62" t="s">
        <v>36</v>
      </c>
      <c r="AA448" s="62" t="s">
        <v>516</v>
      </c>
      <c r="AB448" s="62" t="s">
        <v>17</v>
      </c>
      <c r="AC448" s="62" t="s">
        <v>17</v>
      </c>
      <c r="AD448" s="62" t="s">
        <v>17</v>
      </c>
      <c r="AF448" s="11" t="s">
        <v>688</v>
      </c>
      <c r="AJ448" s="67"/>
      <c r="AK448" s="67"/>
      <c r="AL448" s="67"/>
    </row>
    <row r="449" spans="1:38" ht="12.75" customHeight="1" x14ac:dyDescent="0.3">
      <c r="A449" s="61">
        <v>448</v>
      </c>
      <c r="B449" s="61">
        <v>117</v>
      </c>
      <c r="C449" s="62" t="s">
        <v>776</v>
      </c>
      <c r="D449" s="62" t="s">
        <v>68</v>
      </c>
      <c r="E449" s="62" t="s">
        <v>32</v>
      </c>
      <c r="F449" s="62" t="s">
        <v>70</v>
      </c>
      <c r="G449" s="62" t="s">
        <v>34</v>
      </c>
      <c r="H449" s="63">
        <v>0</v>
      </c>
      <c r="I449" s="62"/>
      <c r="J449" s="62">
        <v>1</v>
      </c>
      <c r="K449" s="62" t="s">
        <v>32</v>
      </c>
      <c r="L449" s="62">
        <f t="shared" si="23"/>
        <v>210</v>
      </c>
      <c r="M449" s="62">
        <v>7</v>
      </c>
      <c r="N449" s="62">
        <v>0</v>
      </c>
      <c r="O449" s="62">
        <v>3</v>
      </c>
      <c r="P449" s="62" t="s">
        <v>509</v>
      </c>
      <c r="Q449" s="64">
        <f t="shared" si="24"/>
        <v>20</v>
      </c>
      <c r="R449" s="65">
        <f>0.5</f>
        <v>0.5</v>
      </c>
      <c r="S449" s="76">
        <v>9.4E-2</v>
      </c>
      <c r="T449" s="76">
        <v>5.3999999999999999E-2</v>
      </c>
      <c r="U449" s="66">
        <v>4.2999999999999997E-2</v>
      </c>
      <c r="V449" s="66">
        <v>2.9000000000000001E-2</v>
      </c>
      <c r="W449" s="62">
        <v>12</v>
      </c>
      <c r="X449" s="62">
        <v>1</v>
      </c>
      <c r="Y449" s="62">
        <v>0</v>
      </c>
      <c r="Z449" s="62" t="s">
        <v>36</v>
      </c>
      <c r="AA449" s="62" t="s">
        <v>517</v>
      </c>
      <c r="AB449" s="62" t="s">
        <v>17</v>
      </c>
      <c r="AC449" s="62" t="s">
        <v>17</v>
      </c>
      <c r="AD449" s="62" t="s">
        <v>17</v>
      </c>
      <c r="AF449" s="11" t="s">
        <v>688</v>
      </c>
      <c r="AJ449" s="67"/>
      <c r="AK449" s="67"/>
      <c r="AL449" s="67"/>
    </row>
    <row r="450" spans="1:38" ht="12.75" customHeight="1" x14ac:dyDescent="0.3">
      <c r="A450" s="61">
        <v>449</v>
      </c>
      <c r="B450" s="61">
        <v>117</v>
      </c>
      <c r="C450" s="62" t="s">
        <v>776</v>
      </c>
      <c r="D450" s="62" t="s">
        <v>68</v>
      </c>
      <c r="E450" s="62" t="s">
        <v>69</v>
      </c>
      <c r="F450" s="62" t="s">
        <v>70</v>
      </c>
      <c r="G450" s="62" t="s">
        <v>2</v>
      </c>
      <c r="H450" s="63">
        <v>0</v>
      </c>
      <c r="I450" s="62"/>
      <c r="J450" s="62">
        <v>1</v>
      </c>
      <c r="K450" s="62">
        <v>0</v>
      </c>
      <c r="L450" s="62">
        <f t="shared" si="23"/>
        <v>210</v>
      </c>
      <c r="M450" s="62">
        <v>7</v>
      </c>
      <c r="N450" s="62">
        <v>0</v>
      </c>
      <c r="O450" s="62">
        <v>3</v>
      </c>
      <c r="P450" s="62" t="s">
        <v>509</v>
      </c>
      <c r="Q450" s="64">
        <f t="shared" si="24"/>
        <v>20</v>
      </c>
      <c r="R450" s="65">
        <f>6/(6+8)</f>
        <v>0.42857142857142855</v>
      </c>
      <c r="S450" s="76">
        <v>0.10299999999999999</v>
      </c>
      <c r="T450" s="76">
        <v>6.6000000000000003E-2</v>
      </c>
      <c r="U450" s="66">
        <v>1.4E-2</v>
      </c>
      <c r="V450" s="66">
        <v>1.4999999999999999E-2</v>
      </c>
      <c r="W450" s="62">
        <v>14</v>
      </c>
      <c r="X450" s="62">
        <v>1</v>
      </c>
      <c r="Y450" s="62">
        <v>0</v>
      </c>
      <c r="Z450" s="62" t="s">
        <v>36</v>
      </c>
      <c r="AA450" s="62" t="s">
        <v>517</v>
      </c>
      <c r="AB450" s="62" t="s">
        <v>17</v>
      </c>
      <c r="AC450" s="62" t="s">
        <v>17</v>
      </c>
      <c r="AD450" s="62" t="s">
        <v>17</v>
      </c>
      <c r="AF450" s="11" t="s">
        <v>688</v>
      </c>
      <c r="AJ450" s="67"/>
      <c r="AK450" s="67"/>
      <c r="AL450" s="67"/>
    </row>
    <row r="451" spans="1:38" ht="12.75" customHeight="1" x14ac:dyDescent="0.3">
      <c r="A451" s="61">
        <v>450</v>
      </c>
      <c r="B451" s="61">
        <v>117</v>
      </c>
      <c r="C451" s="62" t="s">
        <v>776</v>
      </c>
      <c r="D451" s="62" t="s">
        <v>68</v>
      </c>
      <c r="E451" s="62" t="s">
        <v>32</v>
      </c>
      <c r="F451" s="62" t="s">
        <v>70</v>
      </c>
      <c r="G451" s="62" t="s">
        <v>34</v>
      </c>
      <c r="H451" s="63">
        <v>0</v>
      </c>
      <c r="I451" s="62"/>
      <c r="J451" s="62">
        <v>1</v>
      </c>
      <c r="K451" s="62" t="s">
        <v>32</v>
      </c>
      <c r="L451" s="62">
        <f t="shared" si="23"/>
        <v>210</v>
      </c>
      <c r="M451" s="62">
        <v>7</v>
      </c>
      <c r="N451" s="62">
        <v>0</v>
      </c>
      <c r="O451" s="62">
        <v>2</v>
      </c>
      <c r="P451" s="62" t="s">
        <v>511</v>
      </c>
      <c r="Q451" s="64">
        <f t="shared" si="24"/>
        <v>20</v>
      </c>
      <c r="R451" s="65">
        <f>0.5</f>
        <v>0.5</v>
      </c>
      <c r="S451" s="76">
        <v>1.4890000000000001</v>
      </c>
      <c r="T451" s="76">
        <v>0.6</v>
      </c>
      <c r="U451" s="66">
        <v>1.6379999999999999</v>
      </c>
      <c r="V451" s="66">
        <v>0.502</v>
      </c>
      <c r="W451" s="62">
        <v>12</v>
      </c>
      <c r="X451" s="62">
        <v>0</v>
      </c>
      <c r="Y451" s="62">
        <v>0</v>
      </c>
      <c r="Z451" s="62" t="s">
        <v>36</v>
      </c>
      <c r="AA451" s="62" t="s">
        <v>516</v>
      </c>
      <c r="AB451" s="62" t="s">
        <v>17</v>
      </c>
      <c r="AC451" s="62" t="s">
        <v>17</v>
      </c>
      <c r="AD451" s="62" t="s">
        <v>17</v>
      </c>
      <c r="AF451" s="11" t="s">
        <v>688</v>
      </c>
      <c r="AJ451" s="67"/>
      <c r="AK451" s="67"/>
      <c r="AL451" s="67"/>
    </row>
    <row r="452" spans="1:38" ht="12.75" customHeight="1" x14ac:dyDescent="0.3">
      <c r="A452" s="61">
        <v>451</v>
      </c>
      <c r="B452" s="61">
        <v>117</v>
      </c>
      <c r="C452" s="62" t="s">
        <v>776</v>
      </c>
      <c r="D452" s="62" t="s">
        <v>68</v>
      </c>
      <c r="E452" s="62" t="s">
        <v>69</v>
      </c>
      <c r="F452" s="62" t="s">
        <v>70</v>
      </c>
      <c r="G452" s="62" t="s">
        <v>2</v>
      </c>
      <c r="H452" s="63">
        <v>0</v>
      </c>
      <c r="I452" s="62"/>
      <c r="J452" s="62">
        <v>1</v>
      </c>
      <c r="K452" s="62">
        <v>0</v>
      </c>
      <c r="L452" s="62">
        <f t="shared" si="23"/>
        <v>210</v>
      </c>
      <c r="M452" s="62">
        <v>7</v>
      </c>
      <c r="N452" s="62">
        <v>0</v>
      </c>
      <c r="O452" s="62">
        <v>2</v>
      </c>
      <c r="P452" s="62" t="s">
        <v>511</v>
      </c>
      <c r="Q452" s="64">
        <f t="shared" si="24"/>
        <v>20</v>
      </c>
      <c r="R452" s="65">
        <f>6/(6+8)</f>
        <v>0.42857142857142855</v>
      </c>
      <c r="S452" s="76">
        <v>1.4690000000000001</v>
      </c>
      <c r="T452" s="76">
        <v>0.52100000000000002</v>
      </c>
      <c r="U452" s="66">
        <v>1.992</v>
      </c>
      <c r="V452" s="66">
        <v>0.47599999999999998</v>
      </c>
      <c r="W452" s="62">
        <v>14</v>
      </c>
      <c r="X452" s="62">
        <v>0</v>
      </c>
      <c r="Y452" s="62">
        <v>0</v>
      </c>
      <c r="Z452" s="62" t="s">
        <v>36</v>
      </c>
      <c r="AA452" s="62" t="s">
        <v>516</v>
      </c>
      <c r="AB452" s="62" t="s">
        <v>17</v>
      </c>
      <c r="AC452" s="62" t="s">
        <v>17</v>
      </c>
      <c r="AD452" s="62" t="s">
        <v>17</v>
      </c>
      <c r="AF452" s="11" t="s">
        <v>688</v>
      </c>
      <c r="AJ452" s="67"/>
      <c r="AK452" s="67"/>
      <c r="AL452" s="67"/>
    </row>
    <row r="453" spans="1:38" ht="12.75" customHeight="1" x14ac:dyDescent="0.3">
      <c r="A453" s="61">
        <v>452</v>
      </c>
      <c r="B453" s="61">
        <v>117</v>
      </c>
      <c r="C453" s="62" t="s">
        <v>776</v>
      </c>
      <c r="D453" s="62" t="s">
        <v>68</v>
      </c>
      <c r="E453" s="62" t="s">
        <v>32</v>
      </c>
      <c r="F453" s="62" t="s">
        <v>70</v>
      </c>
      <c r="G453" s="62" t="s">
        <v>34</v>
      </c>
      <c r="H453" s="63">
        <v>0</v>
      </c>
      <c r="I453" s="62"/>
      <c r="J453" s="62">
        <v>1</v>
      </c>
      <c r="K453" s="62" t="s">
        <v>32</v>
      </c>
      <c r="L453" s="62">
        <f t="shared" si="23"/>
        <v>210</v>
      </c>
      <c r="M453" s="62">
        <v>7</v>
      </c>
      <c r="N453" s="62">
        <v>0</v>
      </c>
      <c r="O453" s="62">
        <v>3</v>
      </c>
      <c r="P453" s="62" t="s">
        <v>511</v>
      </c>
      <c r="Q453" s="64">
        <f t="shared" si="24"/>
        <v>20</v>
      </c>
      <c r="R453" s="65">
        <f>0.5</f>
        <v>0.5</v>
      </c>
      <c r="S453" s="76">
        <v>1.4890000000000001</v>
      </c>
      <c r="T453" s="76">
        <v>0.6</v>
      </c>
      <c r="U453" s="66">
        <v>1.5469999999999999</v>
      </c>
      <c r="V453" s="66">
        <v>0.49199999999999999</v>
      </c>
      <c r="W453" s="62">
        <v>12</v>
      </c>
      <c r="X453" s="62">
        <v>0</v>
      </c>
      <c r="Y453" s="62">
        <v>0</v>
      </c>
      <c r="Z453" s="62" t="s">
        <v>36</v>
      </c>
      <c r="AA453" s="62" t="s">
        <v>517</v>
      </c>
      <c r="AB453" s="62" t="s">
        <v>17</v>
      </c>
      <c r="AC453" s="62" t="s">
        <v>17</v>
      </c>
      <c r="AD453" s="62" t="s">
        <v>17</v>
      </c>
      <c r="AF453" s="11" t="s">
        <v>688</v>
      </c>
      <c r="AJ453" s="67"/>
      <c r="AK453" s="67"/>
      <c r="AL453" s="67"/>
    </row>
    <row r="454" spans="1:38" ht="12.75" customHeight="1" x14ac:dyDescent="0.3">
      <c r="A454" s="61">
        <v>453</v>
      </c>
      <c r="B454" s="61">
        <v>117</v>
      </c>
      <c r="C454" s="62" t="s">
        <v>776</v>
      </c>
      <c r="D454" s="62" t="s">
        <v>68</v>
      </c>
      <c r="E454" s="62" t="s">
        <v>69</v>
      </c>
      <c r="F454" s="62" t="s">
        <v>70</v>
      </c>
      <c r="G454" s="62" t="s">
        <v>2</v>
      </c>
      <c r="H454" s="63">
        <v>0</v>
      </c>
      <c r="I454" s="62"/>
      <c r="J454" s="62">
        <v>1</v>
      </c>
      <c r="K454" s="62">
        <v>0</v>
      </c>
      <c r="L454" s="62">
        <f t="shared" si="23"/>
        <v>210</v>
      </c>
      <c r="M454" s="62">
        <v>7</v>
      </c>
      <c r="N454" s="62">
        <v>0</v>
      </c>
      <c r="O454" s="62">
        <v>3</v>
      </c>
      <c r="P454" s="62" t="s">
        <v>511</v>
      </c>
      <c r="Q454" s="64">
        <f t="shared" si="24"/>
        <v>20</v>
      </c>
      <c r="R454" s="65">
        <f>6/(6+8)</f>
        <v>0.42857142857142855</v>
      </c>
      <c r="S454" s="76">
        <v>1.4690000000000001</v>
      </c>
      <c r="T454" s="76">
        <v>0.52100000000000002</v>
      </c>
      <c r="U454" s="66">
        <v>1.9339999999999999</v>
      </c>
      <c r="V454" s="66">
        <v>0.496</v>
      </c>
      <c r="W454" s="62">
        <v>14</v>
      </c>
      <c r="X454" s="62">
        <v>0</v>
      </c>
      <c r="Y454" s="62">
        <v>0</v>
      </c>
      <c r="Z454" s="62" t="s">
        <v>36</v>
      </c>
      <c r="AA454" s="62" t="s">
        <v>517</v>
      </c>
      <c r="AB454" s="62" t="s">
        <v>17</v>
      </c>
      <c r="AC454" s="62" t="s">
        <v>17</v>
      </c>
      <c r="AD454" s="62" t="s">
        <v>17</v>
      </c>
      <c r="AF454" s="11" t="s">
        <v>688</v>
      </c>
      <c r="AJ454" s="67"/>
      <c r="AK454" s="67"/>
      <c r="AL454" s="67"/>
    </row>
    <row r="455" spans="1:38" ht="12.75" customHeight="1" x14ac:dyDescent="0.3">
      <c r="A455" s="61">
        <v>454</v>
      </c>
      <c r="B455" s="61">
        <v>117</v>
      </c>
      <c r="C455" s="62" t="s">
        <v>776</v>
      </c>
      <c r="D455" s="62" t="s">
        <v>68</v>
      </c>
      <c r="E455" s="62" t="s">
        <v>32</v>
      </c>
      <c r="F455" s="62" t="s">
        <v>70</v>
      </c>
      <c r="G455" s="62" t="s">
        <v>34</v>
      </c>
      <c r="H455" s="63">
        <v>0</v>
      </c>
      <c r="I455" s="62"/>
      <c r="J455" s="62">
        <v>1</v>
      </c>
      <c r="K455" s="62" t="s">
        <v>32</v>
      </c>
      <c r="L455" s="62">
        <f t="shared" si="23"/>
        <v>210</v>
      </c>
      <c r="M455" s="62">
        <v>7</v>
      </c>
      <c r="N455" s="62">
        <v>0</v>
      </c>
      <c r="O455" s="62">
        <v>2</v>
      </c>
      <c r="P455" s="62" t="s">
        <v>512</v>
      </c>
      <c r="Q455" s="64">
        <f t="shared" si="24"/>
        <v>20</v>
      </c>
      <c r="R455" s="65">
        <f>0.5</f>
        <v>0.5</v>
      </c>
      <c r="S455" s="66">
        <v>0.92200000000000004</v>
      </c>
      <c r="T455" s="66">
        <v>0.123</v>
      </c>
      <c r="U455" s="66">
        <v>0.9</v>
      </c>
      <c r="V455" s="66">
        <v>0.14099999999999999</v>
      </c>
      <c r="W455" s="62">
        <v>12</v>
      </c>
      <c r="X455" s="62">
        <v>0</v>
      </c>
      <c r="Y455" s="62">
        <v>0</v>
      </c>
      <c r="Z455" s="62" t="s">
        <v>36</v>
      </c>
      <c r="AA455" s="62" t="s">
        <v>516</v>
      </c>
      <c r="AB455" s="62" t="s">
        <v>17</v>
      </c>
      <c r="AC455" s="62" t="s">
        <v>17</v>
      </c>
      <c r="AD455" s="62" t="s">
        <v>17</v>
      </c>
      <c r="AF455" s="11" t="s">
        <v>688</v>
      </c>
      <c r="AJ455" s="67"/>
      <c r="AK455" s="67"/>
      <c r="AL455" s="67"/>
    </row>
    <row r="456" spans="1:38" ht="12.75" customHeight="1" x14ac:dyDescent="0.3">
      <c r="A456" s="61">
        <v>455</v>
      </c>
      <c r="B456" s="61">
        <v>117</v>
      </c>
      <c r="C456" s="62" t="s">
        <v>776</v>
      </c>
      <c r="D456" s="62" t="s">
        <v>68</v>
      </c>
      <c r="E456" s="62" t="s">
        <v>69</v>
      </c>
      <c r="F456" s="62" t="s">
        <v>70</v>
      </c>
      <c r="G456" s="62" t="s">
        <v>2</v>
      </c>
      <c r="H456" s="63">
        <v>0</v>
      </c>
      <c r="I456" s="62"/>
      <c r="J456" s="62">
        <v>1</v>
      </c>
      <c r="K456" s="62">
        <v>0</v>
      </c>
      <c r="L456" s="62">
        <f t="shared" si="23"/>
        <v>210</v>
      </c>
      <c r="M456" s="62">
        <v>7</v>
      </c>
      <c r="N456" s="62">
        <v>0</v>
      </c>
      <c r="O456" s="62">
        <v>2</v>
      </c>
      <c r="P456" s="62" t="s">
        <v>512</v>
      </c>
      <c r="Q456" s="64">
        <f t="shared" si="24"/>
        <v>20</v>
      </c>
      <c r="R456" s="65">
        <f>6/(6+8)</f>
        <v>0.42857142857142855</v>
      </c>
      <c r="S456" s="66">
        <v>0.69099999999999995</v>
      </c>
      <c r="T456" s="66">
        <v>0.17100000000000001</v>
      </c>
      <c r="U456" s="66">
        <v>0.95699999999999996</v>
      </c>
      <c r="V456" s="66">
        <v>0.05</v>
      </c>
      <c r="W456" s="62">
        <v>14</v>
      </c>
      <c r="X456" s="62">
        <v>0</v>
      </c>
      <c r="Y456" s="62">
        <v>0</v>
      </c>
      <c r="Z456" s="62" t="s">
        <v>36</v>
      </c>
      <c r="AA456" s="62" t="s">
        <v>516</v>
      </c>
      <c r="AB456" s="62" t="s">
        <v>17</v>
      </c>
      <c r="AC456" s="62" t="s">
        <v>17</v>
      </c>
      <c r="AD456" s="62" t="s">
        <v>17</v>
      </c>
      <c r="AF456" s="11" t="s">
        <v>688</v>
      </c>
      <c r="AJ456" s="67"/>
      <c r="AK456" s="67"/>
      <c r="AL456" s="67"/>
    </row>
    <row r="457" spans="1:38" ht="12.75" customHeight="1" x14ac:dyDescent="0.3">
      <c r="A457" s="61">
        <v>456</v>
      </c>
      <c r="B457" s="61">
        <v>117</v>
      </c>
      <c r="C457" s="62" t="s">
        <v>776</v>
      </c>
      <c r="D457" s="62" t="s">
        <v>68</v>
      </c>
      <c r="E457" s="62" t="s">
        <v>32</v>
      </c>
      <c r="F457" s="62" t="s">
        <v>70</v>
      </c>
      <c r="G457" s="62" t="s">
        <v>34</v>
      </c>
      <c r="H457" s="63">
        <v>0</v>
      </c>
      <c r="I457" s="62"/>
      <c r="J457" s="62">
        <v>1</v>
      </c>
      <c r="K457" s="62" t="s">
        <v>32</v>
      </c>
      <c r="L457" s="62">
        <f t="shared" si="23"/>
        <v>210</v>
      </c>
      <c r="M457" s="62">
        <v>7</v>
      </c>
      <c r="N457" s="62">
        <v>0</v>
      </c>
      <c r="O457" s="62">
        <v>3</v>
      </c>
      <c r="P457" s="62" t="s">
        <v>512</v>
      </c>
      <c r="Q457" s="64">
        <f t="shared" si="24"/>
        <v>20</v>
      </c>
      <c r="R457" s="65">
        <f>0.5</f>
        <v>0.5</v>
      </c>
      <c r="S457" s="66">
        <v>0.92200000000000004</v>
      </c>
      <c r="T457" s="66">
        <v>0.123</v>
      </c>
      <c r="U457" s="66">
        <v>0.89400000000000002</v>
      </c>
      <c r="V457" s="66">
        <v>0.112</v>
      </c>
      <c r="W457" s="62">
        <v>12</v>
      </c>
      <c r="X457" s="62">
        <v>0</v>
      </c>
      <c r="Y457" s="62">
        <v>0</v>
      </c>
      <c r="Z457" s="62" t="s">
        <v>36</v>
      </c>
      <c r="AA457" s="62" t="s">
        <v>517</v>
      </c>
      <c r="AB457" s="62" t="s">
        <v>17</v>
      </c>
      <c r="AC457" s="62" t="s">
        <v>17</v>
      </c>
      <c r="AD457" s="62" t="s">
        <v>17</v>
      </c>
      <c r="AF457" s="11" t="s">
        <v>688</v>
      </c>
      <c r="AJ457" s="67"/>
      <c r="AK457" s="67"/>
      <c r="AL457" s="67"/>
    </row>
    <row r="458" spans="1:38" ht="12.75" customHeight="1" x14ac:dyDescent="0.3">
      <c r="A458" s="61">
        <v>457</v>
      </c>
      <c r="B458" s="61">
        <v>117</v>
      </c>
      <c r="C458" s="62" t="s">
        <v>776</v>
      </c>
      <c r="D458" s="62" t="s">
        <v>68</v>
      </c>
      <c r="E458" s="62" t="s">
        <v>69</v>
      </c>
      <c r="F458" s="62" t="s">
        <v>70</v>
      </c>
      <c r="G458" s="62" t="s">
        <v>2</v>
      </c>
      <c r="H458" s="63">
        <v>0</v>
      </c>
      <c r="I458" s="62"/>
      <c r="J458" s="62">
        <v>1</v>
      </c>
      <c r="K458" s="62">
        <v>0</v>
      </c>
      <c r="L458" s="62">
        <f t="shared" si="23"/>
        <v>210</v>
      </c>
      <c r="M458" s="62">
        <v>7</v>
      </c>
      <c r="N458" s="62">
        <v>0</v>
      </c>
      <c r="O458" s="62">
        <v>3</v>
      </c>
      <c r="P458" s="62" t="s">
        <v>512</v>
      </c>
      <c r="Q458" s="64">
        <f t="shared" si="24"/>
        <v>20</v>
      </c>
      <c r="R458" s="65">
        <f>6/(6+8)</f>
        <v>0.42857142857142855</v>
      </c>
      <c r="S458" s="66">
        <v>0.69099999999999995</v>
      </c>
      <c r="T458" s="66">
        <v>0.17100000000000001</v>
      </c>
      <c r="U458" s="66">
        <v>0.95699999999999996</v>
      </c>
      <c r="V458" s="66">
        <v>6.7000000000000004E-2</v>
      </c>
      <c r="W458" s="62">
        <v>14</v>
      </c>
      <c r="X458" s="62">
        <v>0</v>
      </c>
      <c r="Y458" s="62">
        <v>0</v>
      </c>
      <c r="Z458" s="62" t="s">
        <v>36</v>
      </c>
      <c r="AA458" s="62" t="s">
        <v>517</v>
      </c>
      <c r="AB458" s="62" t="s">
        <v>17</v>
      </c>
      <c r="AC458" s="62" t="s">
        <v>17</v>
      </c>
      <c r="AD458" s="62" t="s">
        <v>17</v>
      </c>
      <c r="AF458" s="11" t="s">
        <v>688</v>
      </c>
      <c r="AJ458" s="67"/>
      <c r="AK458" s="67"/>
      <c r="AL458" s="67"/>
    </row>
    <row r="459" spans="1:38" ht="12.75" customHeight="1" x14ac:dyDescent="0.3">
      <c r="A459" s="61">
        <v>458</v>
      </c>
      <c r="B459" s="61">
        <v>117</v>
      </c>
      <c r="C459" s="62" t="s">
        <v>776</v>
      </c>
      <c r="D459" s="62" t="s">
        <v>68</v>
      </c>
      <c r="E459" s="62" t="s">
        <v>32</v>
      </c>
      <c r="F459" s="62" t="s">
        <v>70</v>
      </c>
      <c r="G459" s="62" t="s">
        <v>34</v>
      </c>
      <c r="H459" s="63">
        <v>0</v>
      </c>
      <c r="I459" s="62"/>
      <c r="J459" s="62">
        <v>1</v>
      </c>
      <c r="K459" s="62" t="s">
        <v>32</v>
      </c>
      <c r="L459" s="62">
        <f t="shared" si="23"/>
        <v>210</v>
      </c>
      <c r="M459" s="62">
        <v>7</v>
      </c>
      <c r="N459" s="62">
        <v>0</v>
      </c>
      <c r="O459" s="62">
        <v>2</v>
      </c>
      <c r="P459" s="62" t="s">
        <v>513</v>
      </c>
      <c r="Q459" s="64">
        <f t="shared" si="24"/>
        <v>20</v>
      </c>
      <c r="R459" s="65">
        <f>0.5</f>
        <v>0.5</v>
      </c>
      <c r="S459" s="66">
        <v>0.58899999999999997</v>
      </c>
      <c r="T459" s="66">
        <v>0.17699999999999999</v>
      </c>
      <c r="U459" s="66">
        <v>0.57799999999999996</v>
      </c>
      <c r="V459" s="66">
        <v>0.20399999999999999</v>
      </c>
      <c r="W459" s="62">
        <v>12</v>
      </c>
      <c r="X459" s="62">
        <v>0</v>
      </c>
      <c r="Y459" s="62">
        <v>0</v>
      </c>
      <c r="Z459" s="62" t="s">
        <v>36</v>
      </c>
      <c r="AA459" s="62" t="s">
        <v>516</v>
      </c>
      <c r="AB459" s="62" t="s">
        <v>17</v>
      </c>
      <c r="AC459" s="62" t="s">
        <v>17</v>
      </c>
      <c r="AD459" s="62" t="s">
        <v>17</v>
      </c>
      <c r="AF459" s="11" t="s">
        <v>688</v>
      </c>
      <c r="AJ459" s="67"/>
      <c r="AK459" s="67"/>
      <c r="AL459" s="67"/>
    </row>
    <row r="460" spans="1:38" ht="12.75" customHeight="1" x14ac:dyDescent="0.3">
      <c r="A460" s="61">
        <v>459</v>
      </c>
      <c r="B460" s="61">
        <v>117</v>
      </c>
      <c r="C460" s="62" t="s">
        <v>776</v>
      </c>
      <c r="D460" s="62" t="s">
        <v>68</v>
      </c>
      <c r="E460" s="62" t="s">
        <v>69</v>
      </c>
      <c r="F460" s="62" t="s">
        <v>70</v>
      </c>
      <c r="G460" s="62" t="s">
        <v>2</v>
      </c>
      <c r="H460" s="63">
        <v>0</v>
      </c>
      <c r="I460" s="62"/>
      <c r="J460" s="62">
        <v>1</v>
      </c>
      <c r="K460" s="62">
        <v>0</v>
      </c>
      <c r="L460" s="62">
        <f t="shared" si="23"/>
        <v>210</v>
      </c>
      <c r="M460" s="62">
        <v>7</v>
      </c>
      <c r="N460" s="62">
        <v>0</v>
      </c>
      <c r="O460" s="62">
        <v>2</v>
      </c>
      <c r="P460" s="62" t="s">
        <v>513</v>
      </c>
      <c r="Q460" s="64">
        <f t="shared" si="24"/>
        <v>20</v>
      </c>
      <c r="R460" s="65">
        <f>6/(6+8)</f>
        <v>0.42857142857142855</v>
      </c>
      <c r="S460" s="66">
        <v>0.39100000000000001</v>
      </c>
      <c r="T460" s="66">
        <v>0.248</v>
      </c>
      <c r="U460" s="66">
        <v>0.61899999999999999</v>
      </c>
      <c r="V460" s="66">
        <v>0.22900000000000001</v>
      </c>
      <c r="W460" s="62">
        <v>14</v>
      </c>
      <c r="X460" s="62">
        <v>0</v>
      </c>
      <c r="Y460" s="62">
        <v>0</v>
      </c>
      <c r="Z460" s="62" t="s">
        <v>36</v>
      </c>
      <c r="AA460" s="62" t="s">
        <v>516</v>
      </c>
      <c r="AB460" s="62" t="s">
        <v>17</v>
      </c>
      <c r="AC460" s="62" t="s">
        <v>17</v>
      </c>
      <c r="AD460" s="62" t="s">
        <v>17</v>
      </c>
      <c r="AF460" s="11" t="s">
        <v>688</v>
      </c>
      <c r="AJ460" s="67"/>
      <c r="AK460" s="67"/>
      <c r="AL460" s="67"/>
    </row>
    <row r="461" spans="1:38" ht="12.75" customHeight="1" x14ac:dyDescent="0.3">
      <c r="A461" s="61">
        <v>460</v>
      </c>
      <c r="B461" s="61">
        <v>117</v>
      </c>
      <c r="C461" s="62" t="s">
        <v>776</v>
      </c>
      <c r="D461" s="62" t="s">
        <v>68</v>
      </c>
      <c r="E461" s="62" t="s">
        <v>32</v>
      </c>
      <c r="F461" s="62" t="s">
        <v>70</v>
      </c>
      <c r="G461" s="62" t="s">
        <v>34</v>
      </c>
      <c r="H461" s="63">
        <v>0</v>
      </c>
      <c r="I461" s="62"/>
      <c r="J461" s="62">
        <v>1</v>
      </c>
      <c r="K461" s="62" t="s">
        <v>32</v>
      </c>
      <c r="L461" s="62">
        <f t="shared" si="23"/>
        <v>210</v>
      </c>
      <c r="M461" s="62">
        <v>7</v>
      </c>
      <c r="N461" s="62">
        <v>0</v>
      </c>
      <c r="O461" s="62">
        <v>3</v>
      </c>
      <c r="P461" s="62" t="s">
        <v>513</v>
      </c>
      <c r="Q461" s="64">
        <f t="shared" si="24"/>
        <v>20</v>
      </c>
      <c r="R461" s="65">
        <f>0.5</f>
        <v>0.5</v>
      </c>
      <c r="S461" s="66">
        <v>0.58899999999999997</v>
      </c>
      <c r="T461" s="66">
        <v>0.17699999999999999</v>
      </c>
      <c r="U461" s="66">
        <v>0.7</v>
      </c>
      <c r="V461" s="66">
        <v>0.23699999999999999</v>
      </c>
      <c r="W461" s="62">
        <v>12</v>
      </c>
      <c r="X461" s="62">
        <v>0</v>
      </c>
      <c r="Y461" s="62">
        <v>0</v>
      </c>
      <c r="Z461" s="62" t="s">
        <v>36</v>
      </c>
      <c r="AA461" s="62" t="s">
        <v>517</v>
      </c>
      <c r="AB461" s="62" t="s">
        <v>17</v>
      </c>
      <c r="AC461" s="62" t="s">
        <v>17</v>
      </c>
      <c r="AD461" s="62" t="s">
        <v>17</v>
      </c>
      <c r="AF461" s="11" t="s">
        <v>688</v>
      </c>
      <c r="AJ461" s="67"/>
      <c r="AK461" s="67"/>
      <c r="AL461" s="67"/>
    </row>
    <row r="462" spans="1:38" ht="12.75" customHeight="1" x14ac:dyDescent="0.3">
      <c r="A462" s="61">
        <v>461</v>
      </c>
      <c r="B462" s="61">
        <v>117</v>
      </c>
      <c r="C462" s="62" t="s">
        <v>776</v>
      </c>
      <c r="D462" s="62" t="s">
        <v>68</v>
      </c>
      <c r="E462" s="62" t="s">
        <v>69</v>
      </c>
      <c r="F462" s="62" t="s">
        <v>70</v>
      </c>
      <c r="G462" s="62" t="s">
        <v>2</v>
      </c>
      <c r="H462" s="63">
        <v>0</v>
      </c>
      <c r="I462" s="62"/>
      <c r="J462" s="62">
        <v>1</v>
      </c>
      <c r="K462" s="62">
        <v>0</v>
      </c>
      <c r="L462" s="62">
        <f t="shared" si="23"/>
        <v>210</v>
      </c>
      <c r="M462" s="62">
        <v>7</v>
      </c>
      <c r="N462" s="62">
        <v>0</v>
      </c>
      <c r="O462" s="62">
        <v>3</v>
      </c>
      <c r="P462" s="62" t="s">
        <v>513</v>
      </c>
      <c r="Q462" s="64">
        <f t="shared" si="24"/>
        <v>20</v>
      </c>
      <c r="R462" s="65">
        <f>6/(6+8)</f>
        <v>0.42857142857142855</v>
      </c>
      <c r="S462" s="66">
        <v>0.39100000000000001</v>
      </c>
      <c r="T462" s="66">
        <v>0.248</v>
      </c>
      <c r="U462" s="66">
        <v>0.629</v>
      </c>
      <c r="V462" s="66">
        <v>0.26500000000000001</v>
      </c>
      <c r="W462" s="62">
        <v>14</v>
      </c>
      <c r="X462" s="62">
        <v>0</v>
      </c>
      <c r="Y462" s="62">
        <v>0</v>
      </c>
      <c r="Z462" s="62" t="s">
        <v>36</v>
      </c>
      <c r="AA462" s="62" t="s">
        <v>517</v>
      </c>
      <c r="AB462" s="62" t="s">
        <v>17</v>
      </c>
      <c r="AC462" s="62" t="s">
        <v>17</v>
      </c>
      <c r="AD462" s="62" t="s">
        <v>17</v>
      </c>
      <c r="AF462" s="11" t="s">
        <v>688</v>
      </c>
      <c r="AJ462" s="67"/>
      <c r="AK462" s="67"/>
      <c r="AL462" s="67"/>
    </row>
    <row r="463" spans="1:38" ht="12.75" customHeight="1" x14ac:dyDescent="0.3">
      <c r="A463" s="61">
        <v>462</v>
      </c>
      <c r="B463" s="61">
        <v>117</v>
      </c>
      <c r="C463" s="62" t="s">
        <v>776</v>
      </c>
      <c r="D463" s="62" t="s">
        <v>68</v>
      </c>
      <c r="E463" s="62" t="s">
        <v>32</v>
      </c>
      <c r="F463" s="62" t="s">
        <v>70</v>
      </c>
      <c r="G463" s="62" t="s">
        <v>34</v>
      </c>
      <c r="H463" s="63">
        <v>0</v>
      </c>
      <c r="I463" s="62"/>
      <c r="J463" s="62">
        <v>1</v>
      </c>
      <c r="K463" s="62" t="s">
        <v>32</v>
      </c>
      <c r="L463" s="62">
        <f t="shared" si="23"/>
        <v>210</v>
      </c>
      <c r="M463" s="62">
        <v>7</v>
      </c>
      <c r="N463" s="62">
        <v>0</v>
      </c>
      <c r="O463" s="62">
        <v>2</v>
      </c>
      <c r="P463" s="62" t="s">
        <v>514</v>
      </c>
      <c r="Q463" s="64">
        <f t="shared" si="24"/>
        <v>20</v>
      </c>
      <c r="R463" s="65">
        <f>0.5</f>
        <v>0.5</v>
      </c>
      <c r="S463" s="66">
        <v>4.1630000000000003</v>
      </c>
      <c r="T463" s="66">
        <v>0.86</v>
      </c>
      <c r="U463" s="66">
        <v>4.5439999999999996</v>
      </c>
      <c r="V463" s="66">
        <v>0.84699999999999998</v>
      </c>
      <c r="W463" s="62">
        <v>12</v>
      </c>
      <c r="X463" s="62">
        <v>0</v>
      </c>
      <c r="Y463" s="62">
        <v>0</v>
      </c>
      <c r="Z463" s="62" t="s">
        <v>36</v>
      </c>
      <c r="AA463" s="62" t="s">
        <v>516</v>
      </c>
      <c r="AB463" s="62" t="s">
        <v>17</v>
      </c>
      <c r="AC463" s="62" t="s">
        <v>17</v>
      </c>
      <c r="AD463" s="62" t="s">
        <v>17</v>
      </c>
      <c r="AF463" s="11" t="s">
        <v>688</v>
      </c>
      <c r="AJ463" s="67"/>
      <c r="AK463" s="67"/>
      <c r="AL463" s="67"/>
    </row>
    <row r="464" spans="1:38" ht="12.75" customHeight="1" x14ac:dyDescent="0.3">
      <c r="A464" s="61">
        <v>463</v>
      </c>
      <c r="B464" s="61">
        <v>117</v>
      </c>
      <c r="C464" s="62" t="s">
        <v>776</v>
      </c>
      <c r="D464" s="62" t="s">
        <v>68</v>
      </c>
      <c r="E464" s="62" t="s">
        <v>69</v>
      </c>
      <c r="F464" s="62" t="s">
        <v>70</v>
      </c>
      <c r="G464" s="62" t="s">
        <v>2</v>
      </c>
      <c r="H464" s="63">
        <v>0</v>
      </c>
      <c r="I464" s="62"/>
      <c r="J464" s="62">
        <v>1</v>
      </c>
      <c r="K464" s="62">
        <v>0</v>
      </c>
      <c r="L464" s="62">
        <f t="shared" si="23"/>
        <v>210</v>
      </c>
      <c r="M464" s="62">
        <v>7</v>
      </c>
      <c r="N464" s="62">
        <v>0</v>
      </c>
      <c r="O464" s="62">
        <v>2</v>
      </c>
      <c r="P464" s="62" t="s">
        <v>514</v>
      </c>
      <c r="Q464" s="64">
        <f t="shared" si="24"/>
        <v>20</v>
      </c>
      <c r="R464" s="65">
        <f>6/(6+8)</f>
        <v>0.42857142857142855</v>
      </c>
      <c r="S464" s="66">
        <v>4.1550000000000002</v>
      </c>
      <c r="T464" s="66">
        <v>1.028</v>
      </c>
      <c r="U464" s="66">
        <v>4.3540000000000001</v>
      </c>
      <c r="V464" s="66">
        <v>0.47299999999999998</v>
      </c>
      <c r="W464" s="62">
        <v>14</v>
      </c>
      <c r="X464" s="62">
        <v>0</v>
      </c>
      <c r="Y464" s="62">
        <v>0</v>
      </c>
      <c r="Z464" s="62" t="s">
        <v>36</v>
      </c>
      <c r="AA464" s="62" t="s">
        <v>516</v>
      </c>
      <c r="AB464" s="62" t="s">
        <v>17</v>
      </c>
      <c r="AC464" s="62" t="s">
        <v>17</v>
      </c>
      <c r="AD464" s="62" t="s">
        <v>17</v>
      </c>
      <c r="AF464" s="11" t="s">
        <v>688</v>
      </c>
      <c r="AJ464" s="67"/>
      <c r="AK464" s="67"/>
      <c r="AL464" s="67"/>
    </row>
    <row r="465" spans="1:38" ht="12.75" customHeight="1" x14ac:dyDescent="0.3">
      <c r="A465" s="61">
        <v>464</v>
      </c>
      <c r="B465" s="61">
        <v>117</v>
      </c>
      <c r="C465" s="62" t="s">
        <v>776</v>
      </c>
      <c r="D465" s="62" t="s">
        <v>68</v>
      </c>
      <c r="E465" s="62" t="s">
        <v>32</v>
      </c>
      <c r="F465" s="62" t="s">
        <v>70</v>
      </c>
      <c r="G465" s="62" t="s">
        <v>34</v>
      </c>
      <c r="H465" s="63">
        <v>0</v>
      </c>
      <c r="I465" s="62"/>
      <c r="J465" s="62">
        <v>1</v>
      </c>
      <c r="K465" s="62" t="s">
        <v>32</v>
      </c>
      <c r="L465" s="62">
        <f t="shared" si="23"/>
        <v>210</v>
      </c>
      <c r="M465" s="62">
        <v>7</v>
      </c>
      <c r="N465" s="62">
        <v>0</v>
      </c>
      <c r="O465" s="62">
        <v>3</v>
      </c>
      <c r="P465" s="62" t="s">
        <v>514</v>
      </c>
      <c r="Q465" s="64">
        <f t="shared" si="24"/>
        <v>20</v>
      </c>
      <c r="R465" s="65">
        <f>0.5</f>
        <v>0.5</v>
      </c>
      <c r="S465" s="66">
        <v>4.1630000000000003</v>
      </c>
      <c r="T465" s="66">
        <v>0.86</v>
      </c>
      <c r="U465" s="66">
        <v>4.6760000000000002</v>
      </c>
      <c r="V465" s="66">
        <v>0.88100000000000001</v>
      </c>
      <c r="W465" s="62">
        <v>12</v>
      </c>
      <c r="X465" s="62">
        <v>0</v>
      </c>
      <c r="Y465" s="62">
        <v>0</v>
      </c>
      <c r="Z465" s="62" t="s">
        <v>36</v>
      </c>
      <c r="AA465" s="62" t="s">
        <v>517</v>
      </c>
      <c r="AB465" s="62" t="s">
        <v>17</v>
      </c>
      <c r="AC465" s="62" t="s">
        <v>17</v>
      </c>
      <c r="AD465" s="62" t="s">
        <v>17</v>
      </c>
      <c r="AF465" s="11" t="s">
        <v>688</v>
      </c>
      <c r="AJ465" s="67"/>
      <c r="AK465" s="67"/>
      <c r="AL465" s="67"/>
    </row>
    <row r="466" spans="1:38" ht="12.75" customHeight="1" x14ac:dyDescent="0.3">
      <c r="A466" s="61">
        <v>465</v>
      </c>
      <c r="B466" s="61">
        <v>117</v>
      </c>
      <c r="C466" s="62" t="s">
        <v>776</v>
      </c>
      <c r="D466" s="62" t="s">
        <v>68</v>
      </c>
      <c r="E466" s="62" t="s">
        <v>69</v>
      </c>
      <c r="F466" s="62" t="s">
        <v>70</v>
      </c>
      <c r="G466" s="62" t="s">
        <v>2</v>
      </c>
      <c r="H466" s="63">
        <v>0</v>
      </c>
      <c r="I466" s="62"/>
      <c r="J466" s="62">
        <v>1</v>
      </c>
      <c r="K466" s="62">
        <v>0</v>
      </c>
      <c r="L466" s="62">
        <f t="shared" si="23"/>
        <v>210</v>
      </c>
      <c r="M466" s="62">
        <v>7</v>
      </c>
      <c r="N466" s="62">
        <v>0</v>
      </c>
      <c r="O466" s="62">
        <v>3</v>
      </c>
      <c r="P466" s="62" t="s">
        <v>514</v>
      </c>
      <c r="Q466" s="64">
        <f t="shared" si="24"/>
        <v>20</v>
      </c>
      <c r="R466" s="65">
        <f>6/(6+8)</f>
        <v>0.42857142857142855</v>
      </c>
      <c r="S466" s="66">
        <v>4.1550000000000002</v>
      </c>
      <c r="T466" s="66">
        <v>1.028</v>
      </c>
      <c r="U466" s="66">
        <v>4.1070000000000002</v>
      </c>
      <c r="V466" s="66">
        <v>0.71</v>
      </c>
      <c r="W466" s="62">
        <v>14</v>
      </c>
      <c r="X466" s="62">
        <v>0</v>
      </c>
      <c r="Y466" s="62">
        <v>0</v>
      </c>
      <c r="Z466" s="62" t="s">
        <v>36</v>
      </c>
      <c r="AA466" s="62" t="s">
        <v>517</v>
      </c>
      <c r="AB466" s="62" t="s">
        <v>17</v>
      </c>
      <c r="AC466" s="62" t="s">
        <v>17</v>
      </c>
      <c r="AD466" s="62" t="s">
        <v>17</v>
      </c>
      <c r="AF466" s="11" t="s">
        <v>688</v>
      </c>
    </row>
    <row r="467" spans="1:38" ht="12.75" customHeight="1" x14ac:dyDescent="0.3">
      <c r="A467" s="61">
        <v>466</v>
      </c>
      <c r="B467" s="61">
        <v>117</v>
      </c>
      <c r="C467" s="62" t="s">
        <v>776</v>
      </c>
      <c r="D467" s="62" t="s">
        <v>68</v>
      </c>
      <c r="E467" s="62" t="s">
        <v>32</v>
      </c>
      <c r="F467" s="62" t="s">
        <v>70</v>
      </c>
      <c r="G467" s="62" t="s">
        <v>34</v>
      </c>
      <c r="H467" s="63">
        <v>0</v>
      </c>
      <c r="I467" s="62"/>
      <c r="J467" s="62">
        <v>1</v>
      </c>
      <c r="K467" s="62" t="s">
        <v>32</v>
      </c>
      <c r="L467" s="62">
        <f t="shared" si="23"/>
        <v>210</v>
      </c>
      <c r="M467" s="62">
        <v>7</v>
      </c>
      <c r="N467" s="62">
        <v>0</v>
      </c>
      <c r="O467" s="62">
        <v>2</v>
      </c>
      <c r="P467" s="62" t="s">
        <v>515</v>
      </c>
      <c r="Q467" s="64">
        <f t="shared" si="24"/>
        <v>20</v>
      </c>
      <c r="R467" s="65">
        <f>0.5</f>
        <v>0.5</v>
      </c>
      <c r="S467" s="66">
        <v>0.93899999999999995</v>
      </c>
      <c r="T467" s="66">
        <v>6.6000000000000003E-2</v>
      </c>
      <c r="U467" s="66">
        <v>0.97199999999999998</v>
      </c>
      <c r="V467" s="66">
        <v>4.4999999999999998E-2</v>
      </c>
      <c r="W467" s="62">
        <v>12</v>
      </c>
      <c r="X467" s="62">
        <v>0</v>
      </c>
      <c r="Y467" s="62">
        <v>0</v>
      </c>
      <c r="Z467" s="62" t="s">
        <v>36</v>
      </c>
      <c r="AA467" s="62" t="s">
        <v>516</v>
      </c>
      <c r="AB467" s="62" t="s">
        <v>17</v>
      </c>
      <c r="AC467" s="62" t="s">
        <v>17</v>
      </c>
      <c r="AD467" s="62" t="s">
        <v>17</v>
      </c>
      <c r="AF467" s="11" t="s">
        <v>688</v>
      </c>
    </row>
    <row r="468" spans="1:38" ht="12.75" customHeight="1" x14ac:dyDescent="0.3">
      <c r="A468" s="61">
        <v>467</v>
      </c>
      <c r="B468" s="61">
        <v>117</v>
      </c>
      <c r="C468" s="62" t="s">
        <v>776</v>
      </c>
      <c r="D468" s="62" t="s">
        <v>68</v>
      </c>
      <c r="E468" s="62" t="s">
        <v>69</v>
      </c>
      <c r="F468" s="62" t="s">
        <v>70</v>
      </c>
      <c r="G468" s="62" t="s">
        <v>2</v>
      </c>
      <c r="H468" s="63">
        <v>0</v>
      </c>
      <c r="I468" s="62"/>
      <c r="J468" s="62">
        <v>1</v>
      </c>
      <c r="K468" s="62">
        <v>0</v>
      </c>
      <c r="L468" s="62">
        <f t="shared" si="23"/>
        <v>210</v>
      </c>
      <c r="M468" s="62">
        <v>7</v>
      </c>
      <c r="N468" s="62">
        <v>0</v>
      </c>
      <c r="O468" s="62">
        <v>2</v>
      </c>
      <c r="P468" s="62" t="s">
        <v>515</v>
      </c>
      <c r="Q468" s="64">
        <f t="shared" si="24"/>
        <v>20</v>
      </c>
      <c r="R468" s="65">
        <f>6/(6+8)</f>
        <v>0.42857142857142855</v>
      </c>
      <c r="S468" s="66">
        <v>0.94299999999999995</v>
      </c>
      <c r="T468" s="66">
        <v>7.2999999999999995E-2</v>
      </c>
      <c r="U468" s="66">
        <v>0.995</v>
      </c>
      <c r="V468" s="66">
        <v>1.7999999999999999E-2</v>
      </c>
      <c r="W468" s="62">
        <v>14</v>
      </c>
      <c r="X468" s="62">
        <v>0</v>
      </c>
      <c r="Y468" s="62">
        <v>0</v>
      </c>
      <c r="Z468" s="62" t="s">
        <v>36</v>
      </c>
      <c r="AA468" s="62" t="s">
        <v>516</v>
      </c>
      <c r="AB468" s="62" t="s">
        <v>17</v>
      </c>
      <c r="AC468" s="62" t="s">
        <v>17</v>
      </c>
      <c r="AD468" s="62" t="s">
        <v>17</v>
      </c>
      <c r="AF468" s="11" t="s">
        <v>688</v>
      </c>
    </row>
    <row r="469" spans="1:38" ht="12.75" customHeight="1" x14ac:dyDescent="0.3">
      <c r="A469" s="61">
        <v>468</v>
      </c>
      <c r="B469" s="61">
        <v>117</v>
      </c>
      <c r="C469" s="62" t="s">
        <v>776</v>
      </c>
      <c r="D469" s="62" t="s">
        <v>68</v>
      </c>
      <c r="E469" s="62" t="s">
        <v>32</v>
      </c>
      <c r="F469" s="62" t="s">
        <v>70</v>
      </c>
      <c r="G469" s="62" t="s">
        <v>34</v>
      </c>
      <c r="H469" s="63">
        <v>0</v>
      </c>
      <c r="I469" s="62"/>
      <c r="J469" s="62">
        <v>1</v>
      </c>
      <c r="K469" s="62" t="s">
        <v>32</v>
      </c>
      <c r="L469" s="62">
        <f t="shared" si="23"/>
        <v>210</v>
      </c>
      <c r="M469" s="62">
        <v>7</v>
      </c>
      <c r="N469" s="62">
        <v>0</v>
      </c>
      <c r="O469" s="62">
        <v>3</v>
      </c>
      <c r="P469" s="62" t="s">
        <v>515</v>
      </c>
      <c r="Q469" s="64">
        <f t="shared" si="24"/>
        <v>20</v>
      </c>
      <c r="R469" s="65">
        <f>0.5</f>
        <v>0.5</v>
      </c>
      <c r="S469" s="66">
        <v>0.93899999999999995</v>
      </c>
      <c r="T469" s="66">
        <v>6.6000000000000003E-2</v>
      </c>
      <c r="U469" s="66">
        <v>0.97199999999999998</v>
      </c>
      <c r="V469" s="66">
        <v>3.4000000000000002E-2</v>
      </c>
      <c r="W469" s="62">
        <v>12</v>
      </c>
      <c r="X469" s="62">
        <v>0</v>
      </c>
      <c r="Y469" s="62">
        <v>0</v>
      </c>
      <c r="Z469" s="62" t="s">
        <v>36</v>
      </c>
      <c r="AA469" s="62" t="s">
        <v>517</v>
      </c>
      <c r="AB469" s="62" t="s">
        <v>17</v>
      </c>
      <c r="AC469" s="62" t="s">
        <v>17</v>
      </c>
      <c r="AD469" s="62" t="s">
        <v>17</v>
      </c>
      <c r="AF469" s="11" t="s">
        <v>688</v>
      </c>
    </row>
    <row r="470" spans="1:38" ht="12.75" customHeight="1" x14ac:dyDescent="0.3">
      <c r="A470" s="61">
        <v>469</v>
      </c>
      <c r="B470" s="61">
        <v>117</v>
      </c>
      <c r="C470" s="62" t="s">
        <v>776</v>
      </c>
      <c r="D470" s="62" t="s">
        <v>68</v>
      </c>
      <c r="E470" s="62" t="s">
        <v>69</v>
      </c>
      <c r="F470" s="62" t="s">
        <v>70</v>
      </c>
      <c r="G470" s="62" t="s">
        <v>2</v>
      </c>
      <c r="H470" s="63">
        <v>0</v>
      </c>
      <c r="I470" s="62"/>
      <c r="J470" s="62">
        <v>1</v>
      </c>
      <c r="K470" s="62">
        <v>0</v>
      </c>
      <c r="L470" s="62">
        <f t="shared" si="23"/>
        <v>210</v>
      </c>
      <c r="M470" s="62">
        <v>7</v>
      </c>
      <c r="N470" s="62">
        <v>0</v>
      </c>
      <c r="O470" s="62">
        <v>3</v>
      </c>
      <c r="P470" s="62" t="s">
        <v>515</v>
      </c>
      <c r="Q470" s="64">
        <f t="shared" si="24"/>
        <v>20</v>
      </c>
      <c r="R470" s="65">
        <f>6/(6+8)</f>
        <v>0.42857142857142855</v>
      </c>
      <c r="S470" s="66">
        <v>0.94299999999999995</v>
      </c>
      <c r="T470" s="66">
        <v>7.2999999999999995E-2</v>
      </c>
      <c r="U470" s="66">
        <v>0.98099999999999998</v>
      </c>
      <c r="V470" s="66">
        <v>3.1E-2</v>
      </c>
      <c r="W470" s="62">
        <v>14</v>
      </c>
      <c r="X470" s="62">
        <v>0</v>
      </c>
      <c r="Y470" s="62">
        <v>0</v>
      </c>
      <c r="Z470" s="62" t="s">
        <v>36</v>
      </c>
      <c r="AA470" s="62" t="s">
        <v>517</v>
      </c>
      <c r="AB470" s="62" t="s">
        <v>17</v>
      </c>
      <c r="AC470" s="62" t="s">
        <v>17</v>
      </c>
      <c r="AD470" s="62" t="s">
        <v>17</v>
      </c>
      <c r="AF470" s="11" t="s">
        <v>688</v>
      </c>
    </row>
    <row r="471" spans="1:38" ht="12.75" customHeight="1" x14ac:dyDescent="0.3">
      <c r="A471" s="61">
        <v>470</v>
      </c>
      <c r="B471" s="61">
        <v>118</v>
      </c>
      <c r="C471" s="62" t="s">
        <v>836</v>
      </c>
      <c r="D471" s="62" t="s">
        <v>518</v>
      </c>
      <c r="E471" s="62" t="s">
        <v>519</v>
      </c>
      <c r="F471" s="62" t="s">
        <v>33</v>
      </c>
      <c r="G471" s="62" t="s">
        <v>2</v>
      </c>
      <c r="H471" s="63">
        <v>0</v>
      </c>
      <c r="I471" s="62"/>
      <c r="J471" s="62" t="s">
        <v>51</v>
      </c>
      <c r="K471" s="62">
        <v>0</v>
      </c>
      <c r="L471" s="62" t="s">
        <v>28</v>
      </c>
      <c r="M471" s="62">
        <v>4</v>
      </c>
      <c r="N471" s="62" t="s">
        <v>28</v>
      </c>
      <c r="O471" s="62" t="s">
        <v>28</v>
      </c>
      <c r="P471" s="62" t="s">
        <v>520</v>
      </c>
      <c r="Q471" s="64">
        <v>6.5</v>
      </c>
      <c r="R471" s="65" t="s">
        <v>28</v>
      </c>
      <c r="S471" s="66">
        <v>67.285700000000006</v>
      </c>
      <c r="T471" s="66">
        <v>8.1658200000000001</v>
      </c>
      <c r="U471" s="66">
        <v>78.457099999999997</v>
      </c>
      <c r="V471" s="66">
        <v>7.1798000000000002</v>
      </c>
      <c r="W471" s="62">
        <v>17</v>
      </c>
      <c r="X471" s="62">
        <v>0</v>
      </c>
      <c r="Y471" s="62">
        <v>0</v>
      </c>
      <c r="Z471" s="62" t="s">
        <v>210</v>
      </c>
      <c r="AA471" s="62" t="s">
        <v>1322</v>
      </c>
      <c r="AB471" s="62" t="s">
        <v>17</v>
      </c>
      <c r="AC471" s="62" t="s">
        <v>17</v>
      </c>
      <c r="AD471" s="62" t="s">
        <v>17</v>
      </c>
      <c r="AF471" s="4" t="s">
        <v>689</v>
      </c>
    </row>
    <row r="472" spans="1:38" ht="12.75" customHeight="1" x14ac:dyDescent="0.3">
      <c r="A472" s="61">
        <v>471</v>
      </c>
      <c r="B472" s="61">
        <v>118</v>
      </c>
      <c r="C472" s="62" t="s">
        <v>836</v>
      </c>
      <c r="D472" s="62" t="s">
        <v>518</v>
      </c>
      <c r="E472" s="62" t="s">
        <v>32</v>
      </c>
      <c r="F472" s="62" t="s">
        <v>33</v>
      </c>
      <c r="G472" s="62" t="s">
        <v>312</v>
      </c>
      <c r="H472" s="63">
        <v>0</v>
      </c>
      <c r="I472" s="62"/>
      <c r="J472" s="62" t="s">
        <v>51</v>
      </c>
      <c r="K472" s="62">
        <v>0</v>
      </c>
      <c r="L472" s="62" t="s">
        <v>28</v>
      </c>
      <c r="M472" s="62">
        <v>4</v>
      </c>
      <c r="N472" s="62" t="s">
        <v>28</v>
      </c>
      <c r="O472" s="62" t="s">
        <v>28</v>
      </c>
      <c r="P472" s="62" t="s">
        <v>520</v>
      </c>
      <c r="Q472" s="64">
        <v>6.5</v>
      </c>
      <c r="R472" s="65" t="s">
        <v>28</v>
      </c>
      <c r="S472" s="66">
        <v>66.428600000000003</v>
      </c>
      <c r="T472" s="66">
        <v>8.6237899999999996</v>
      </c>
      <c r="U472" s="66">
        <v>69.571399999999997</v>
      </c>
      <c r="V472" s="66">
        <v>7.2122700000000002</v>
      </c>
      <c r="W472" s="62">
        <v>18</v>
      </c>
      <c r="X472" s="62">
        <v>0</v>
      </c>
      <c r="Y472" s="62">
        <v>0</v>
      </c>
      <c r="Z472" s="62" t="s">
        <v>230</v>
      </c>
      <c r="AA472" s="62" t="s">
        <v>888</v>
      </c>
      <c r="AB472" s="62" t="s">
        <v>17</v>
      </c>
      <c r="AC472" s="62" t="s">
        <v>17</v>
      </c>
      <c r="AD472" s="62" t="s">
        <v>17</v>
      </c>
      <c r="AF472" s="4" t="s">
        <v>689</v>
      </c>
    </row>
    <row r="473" spans="1:38" ht="12.75" customHeight="1" x14ac:dyDescent="0.3">
      <c r="A473" s="61">
        <v>472</v>
      </c>
      <c r="B473" s="61">
        <v>119</v>
      </c>
      <c r="C473" s="62" t="s">
        <v>708</v>
      </c>
      <c r="D473" s="62" t="s">
        <v>62</v>
      </c>
      <c r="E473" s="62" t="s">
        <v>32</v>
      </c>
      <c r="F473" s="62" t="s">
        <v>710</v>
      </c>
      <c r="G473" s="62" t="s">
        <v>64</v>
      </c>
      <c r="H473" s="63">
        <v>0</v>
      </c>
      <c r="I473" s="62"/>
      <c r="J473" s="62">
        <v>1</v>
      </c>
      <c r="K473" s="62">
        <v>0</v>
      </c>
      <c r="L473" s="62" t="s">
        <v>28</v>
      </c>
      <c r="M473" s="62">
        <v>1</v>
      </c>
      <c r="N473" s="62">
        <v>0</v>
      </c>
      <c r="O473" s="62" t="s">
        <v>28</v>
      </c>
      <c r="P473" s="62" t="s">
        <v>844</v>
      </c>
      <c r="Q473" s="64">
        <v>70.599999999999994</v>
      </c>
      <c r="R473" s="65">
        <f>7/30</f>
        <v>0.23333333333333334</v>
      </c>
      <c r="S473" s="66">
        <v>55.83</v>
      </c>
      <c r="T473" s="66">
        <v>10.51</v>
      </c>
      <c r="U473" s="66">
        <v>75.5</v>
      </c>
      <c r="V473" s="66">
        <v>11.32</v>
      </c>
      <c r="W473" s="62">
        <v>30</v>
      </c>
      <c r="X473" s="62">
        <v>0</v>
      </c>
      <c r="Y473" s="62">
        <v>0</v>
      </c>
      <c r="Z473" s="62" t="s">
        <v>66</v>
      </c>
      <c r="AA473" s="62" t="s">
        <v>1323</v>
      </c>
      <c r="AB473" s="62" t="s">
        <v>17</v>
      </c>
      <c r="AC473" s="62" t="s">
        <v>17</v>
      </c>
      <c r="AD473" s="61" t="s">
        <v>17</v>
      </c>
      <c r="AF473" s="4" t="s">
        <v>709</v>
      </c>
    </row>
    <row r="474" spans="1:38" ht="12.75" customHeight="1" x14ac:dyDescent="0.3">
      <c r="A474" s="61">
        <v>473</v>
      </c>
      <c r="B474" s="61">
        <v>119</v>
      </c>
      <c r="C474" s="62" t="s">
        <v>708</v>
      </c>
      <c r="D474" s="62" t="s">
        <v>62</v>
      </c>
      <c r="E474" s="62" t="s">
        <v>711</v>
      </c>
      <c r="F474" s="62" t="s">
        <v>710</v>
      </c>
      <c r="G474" s="62" t="s">
        <v>2</v>
      </c>
      <c r="H474" s="63">
        <v>0</v>
      </c>
      <c r="I474" s="62"/>
      <c r="J474" s="62">
        <v>1</v>
      </c>
      <c r="K474" s="62">
        <v>0</v>
      </c>
      <c r="L474" s="62" t="s">
        <v>28</v>
      </c>
      <c r="M474" s="62">
        <v>1</v>
      </c>
      <c r="N474" s="62">
        <v>0</v>
      </c>
      <c r="O474" s="62" t="s">
        <v>28</v>
      </c>
      <c r="P474" s="62" t="s">
        <v>844</v>
      </c>
      <c r="Q474" s="64">
        <v>70.87</v>
      </c>
      <c r="R474" s="65">
        <f>8/30</f>
        <v>0.26666666666666666</v>
      </c>
      <c r="S474" s="66">
        <v>55.5</v>
      </c>
      <c r="T474" s="66">
        <v>10.53</v>
      </c>
      <c r="U474" s="66">
        <v>85.33</v>
      </c>
      <c r="V474" s="66">
        <v>9.91</v>
      </c>
      <c r="W474" s="62">
        <v>30</v>
      </c>
      <c r="X474" s="62">
        <v>0</v>
      </c>
      <c r="Y474" s="62">
        <v>0</v>
      </c>
      <c r="Z474" s="62" t="s">
        <v>66</v>
      </c>
      <c r="AA474" s="62" t="s">
        <v>1323</v>
      </c>
      <c r="AB474" s="62" t="s">
        <v>17</v>
      </c>
      <c r="AC474" s="62" t="s">
        <v>17</v>
      </c>
      <c r="AD474" s="61" t="s">
        <v>17</v>
      </c>
      <c r="AF474" s="4" t="s">
        <v>709</v>
      </c>
    </row>
    <row r="475" spans="1:38" ht="12.75" customHeight="1" x14ac:dyDescent="0.3">
      <c r="A475" s="61">
        <v>474</v>
      </c>
      <c r="B475" s="61">
        <v>120</v>
      </c>
      <c r="C475" s="62" t="s">
        <v>780</v>
      </c>
      <c r="D475" s="62" t="s">
        <v>713</v>
      </c>
      <c r="E475" s="62" t="s">
        <v>32</v>
      </c>
      <c r="F475" s="62" t="s">
        <v>33</v>
      </c>
      <c r="G475" s="62" t="s">
        <v>34</v>
      </c>
      <c r="H475" s="63">
        <v>1</v>
      </c>
      <c r="I475" s="62"/>
      <c r="J475" s="62">
        <v>1</v>
      </c>
      <c r="K475" s="62" t="s">
        <v>32</v>
      </c>
      <c r="L475" s="62">
        <v>20</v>
      </c>
      <c r="M475" s="62">
        <v>1</v>
      </c>
      <c r="N475" s="62">
        <v>0</v>
      </c>
      <c r="O475" s="62" t="s">
        <v>32</v>
      </c>
      <c r="P475" s="62" t="s">
        <v>863</v>
      </c>
      <c r="Q475" s="64">
        <v>19.84</v>
      </c>
      <c r="R475" s="65">
        <f t="shared" ref="R475:R482" si="25">(51-34)/51</f>
        <v>0.33333333333333331</v>
      </c>
      <c r="S475" s="66"/>
      <c r="T475" s="66"/>
      <c r="U475" s="66">
        <v>3.3</v>
      </c>
      <c r="V475" s="66">
        <f>(3.476667-U475)*SQRT(W475)</f>
        <v>1.2616547361853807</v>
      </c>
      <c r="W475" s="62">
        <v>51</v>
      </c>
      <c r="X475" s="62">
        <v>0</v>
      </c>
      <c r="Y475" s="62">
        <v>0</v>
      </c>
      <c r="Z475" s="62" t="s">
        <v>221</v>
      </c>
      <c r="AA475" s="62" t="s">
        <v>1346</v>
      </c>
      <c r="AB475" s="62" t="s">
        <v>17</v>
      </c>
      <c r="AC475" s="62" t="s">
        <v>17</v>
      </c>
      <c r="AD475" s="61" t="s">
        <v>17</v>
      </c>
      <c r="AF475" s="4" t="s">
        <v>714</v>
      </c>
    </row>
    <row r="476" spans="1:38" ht="12.75" customHeight="1" x14ac:dyDescent="0.3">
      <c r="A476" s="61">
        <v>475</v>
      </c>
      <c r="B476" s="61">
        <v>120</v>
      </c>
      <c r="C476" s="62" t="s">
        <v>780</v>
      </c>
      <c r="D476" s="62" t="s">
        <v>713</v>
      </c>
      <c r="E476" s="62" t="s">
        <v>26</v>
      </c>
      <c r="F476" s="62" t="s">
        <v>33</v>
      </c>
      <c r="G476" s="62" t="s">
        <v>2</v>
      </c>
      <c r="H476" s="63">
        <v>1</v>
      </c>
      <c r="I476" s="62"/>
      <c r="J476" s="62">
        <v>1</v>
      </c>
      <c r="K476" s="62">
        <v>0</v>
      </c>
      <c r="L476" s="62">
        <v>20</v>
      </c>
      <c r="M476" s="62">
        <v>1</v>
      </c>
      <c r="N476" s="62">
        <v>0</v>
      </c>
      <c r="O476" s="62" t="s">
        <v>32</v>
      </c>
      <c r="P476" s="62" t="s">
        <v>863</v>
      </c>
      <c r="Q476" s="64">
        <v>19.989999999999998</v>
      </c>
      <c r="R476" s="65">
        <f t="shared" si="25"/>
        <v>0.33333333333333331</v>
      </c>
      <c r="S476" s="66"/>
      <c r="T476" s="66"/>
      <c r="U476" s="66">
        <v>3.1</v>
      </c>
      <c r="V476" s="66">
        <f>(3.383793-U476)*SQRT(W476)</f>
        <v>2.0266873980214593</v>
      </c>
      <c r="W476" s="62">
        <v>51</v>
      </c>
      <c r="X476" s="62">
        <v>0</v>
      </c>
      <c r="Y476" s="62">
        <v>0</v>
      </c>
      <c r="Z476" s="62" t="s">
        <v>221</v>
      </c>
      <c r="AA476" s="62" t="s">
        <v>1346</v>
      </c>
      <c r="AB476" s="62" t="s">
        <v>17</v>
      </c>
      <c r="AC476" s="62" t="s">
        <v>17</v>
      </c>
      <c r="AD476" s="61" t="s">
        <v>17</v>
      </c>
      <c r="AF476" s="4" t="s">
        <v>714</v>
      </c>
    </row>
    <row r="477" spans="1:38" ht="12.75" customHeight="1" x14ac:dyDescent="0.3">
      <c r="A477" s="61">
        <v>476</v>
      </c>
      <c r="B477" s="61">
        <v>120</v>
      </c>
      <c r="C477" s="62" t="s">
        <v>780</v>
      </c>
      <c r="D477" s="62" t="s">
        <v>713</v>
      </c>
      <c r="E477" s="62" t="s">
        <v>32</v>
      </c>
      <c r="F477" s="62" t="s">
        <v>33</v>
      </c>
      <c r="G477" s="62" t="s">
        <v>34</v>
      </c>
      <c r="H477" s="63">
        <v>1</v>
      </c>
      <c r="I477" s="62"/>
      <c r="J477" s="62">
        <v>1</v>
      </c>
      <c r="K477" s="62" t="s">
        <v>32</v>
      </c>
      <c r="L477" s="62">
        <v>20</v>
      </c>
      <c r="M477" s="62">
        <v>1</v>
      </c>
      <c r="N477" s="62">
        <v>0</v>
      </c>
      <c r="O477" s="62" t="s">
        <v>32</v>
      </c>
      <c r="P477" s="62" t="s">
        <v>864</v>
      </c>
      <c r="Q477" s="64">
        <v>19.84</v>
      </c>
      <c r="R477" s="65">
        <f t="shared" si="25"/>
        <v>0.33333333333333331</v>
      </c>
      <c r="S477" s="66"/>
      <c r="T477" s="66"/>
      <c r="U477" s="66">
        <v>6.1</v>
      </c>
      <c r="V477" s="66">
        <f>(6.279425-U477)*SQRT(W477)</f>
        <v>1.2813507957913022</v>
      </c>
      <c r="W477" s="62">
        <v>51</v>
      </c>
      <c r="X477" s="62">
        <v>0</v>
      </c>
      <c r="Y477" s="62">
        <v>0</v>
      </c>
      <c r="Z477" s="62" t="s">
        <v>221</v>
      </c>
      <c r="AA477" s="62" t="s">
        <v>1346</v>
      </c>
      <c r="AB477" s="62" t="s">
        <v>17</v>
      </c>
      <c r="AC477" s="62" t="s">
        <v>17</v>
      </c>
      <c r="AD477" s="61" t="s">
        <v>17</v>
      </c>
      <c r="AF477" s="4" t="s">
        <v>714</v>
      </c>
    </row>
    <row r="478" spans="1:38" ht="12.75" customHeight="1" x14ac:dyDescent="0.3">
      <c r="A478" s="61">
        <v>477</v>
      </c>
      <c r="B478" s="61">
        <v>120</v>
      </c>
      <c r="C478" s="62" t="s">
        <v>780</v>
      </c>
      <c r="D478" s="62" t="s">
        <v>713</v>
      </c>
      <c r="E478" s="62" t="s">
        <v>26</v>
      </c>
      <c r="F478" s="62" t="s">
        <v>33</v>
      </c>
      <c r="G478" s="62" t="s">
        <v>2</v>
      </c>
      <c r="H478" s="63">
        <v>1</v>
      </c>
      <c r="I478" s="62"/>
      <c r="J478" s="62">
        <v>1</v>
      </c>
      <c r="K478" s="62">
        <v>0</v>
      </c>
      <c r="L478" s="62">
        <v>20</v>
      </c>
      <c r="M478" s="62">
        <v>1</v>
      </c>
      <c r="N478" s="62">
        <v>0</v>
      </c>
      <c r="O478" s="62" t="s">
        <v>32</v>
      </c>
      <c r="P478" s="62" t="s">
        <v>864</v>
      </c>
      <c r="Q478" s="64">
        <v>19.989999999999998</v>
      </c>
      <c r="R478" s="65">
        <f t="shared" si="25"/>
        <v>0.33333333333333331</v>
      </c>
      <c r="S478" s="66"/>
      <c r="T478" s="66"/>
      <c r="U478" s="66">
        <v>5.5</v>
      </c>
      <c r="V478" s="66">
        <f>(5.716667-U478)*SQRT(W478)</f>
        <v>1.547311873327095</v>
      </c>
      <c r="W478" s="62">
        <v>51</v>
      </c>
      <c r="X478" s="62">
        <v>0</v>
      </c>
      <c r="Y478" s="62">
        <v>0</v>
      </c>
      <c r="Z478" s="62" t="s">
        <v>221</v>
      </c>
      <c r="AA478" s="62" t="s">
        <v>1348</v>
      </c>
      <c r="AB478" s="62" t="s">
        <v>17</v>
      </c>
      <c r="AC478" s="62" t="s">
        <v>17</v>
      </c>
      <c r="AD478" s="61" t="s">
        <v>17</v>
      </c>
      <c r="AF478" s="4" t="s">
        <v>714</v>
      </c>
    </row>
    <row r="479" spans="1:38" ht="12.75" customHeight="1" x14ac:dyDescent="0.3">
      <c r="A479" s="61">
        <v>478</v>
      </c>
      <c r="B479" s="61">
        <v>120</v>
      </c>
      <c r="C479" s="62" t="s">
        <v>780</v>
      </c>
      <c r="D479" s="62" t="s">
        <v>713</v>
      </c>
      <c r="E479" s="62" t="s">
        <v>32</v>
      </c>
      <c r="F479" s="62" t="s">
        <v>33</v>
      </c>
      <c r="G479" s="62" t="s">
        <v>34</v>
      </c>
      <c r="H479" s="63">
        <v>1</v>
      </c>
      <c r="I479" s="62"/>
      <c r="J479" s="62">
        <v>1</v>
      </c>
      <c r="K479" s="62" t="s">
        <v>32</v>
      </c>
      <c r="L479" s="62">
        <v>20</v>
      </c>
      <c r="M479" s="62">
        <v>1</v>
      </c>
      <c r="N479" s="62">
        <v>7</v>
      </c>
      <c r="O479" s="62" t="s">
        <v>32</v>
      </c>
      <c r="P479" s="62" t="s">
        <v>863</v>
      </c>
      <c r="Q479" s="64">
        <v>19.84</v>
      </c>
      <c r="R479" s="65">
        <f t="shared" si="25"/>
        <v>0.33333333333333331</v>
      </c>
      <c r="S479" s="66"/>
      <c r="T479" s="66"/>
      <c r="U479" s="66">
        <v>1.4</v>
      </c>
      <c r="V479" s="66">
        <f>(1.559943-U479)*SQRT(W479)</f>
        <v>1.1196010000000012</v>
      </c>
      <c r="W479" s="62">
        <v>49</v>
      </c>
      <c r="X479" s="62">
        <v>0</v>
      </c>
      <c r="Y479" s="62">
        <v>0</v>
      </c>
      <c r="Z479" s="62" t="s">
        <v>221</v>
      </c>
      <c r="AA479" s="62" t="s">
        <v>1348</v>
      </c>
      <c r="AB479" s="62" t="s">
        <v>17</v>
      </c>
      <c r="AC479" s="62" t="s">
        <v>17</v>
      </c>
      <c r="AD479" s="61" t="s">
        <v>17</v>
      </c>
      <c r="AF479" s="4" t="s">
        <v>714</v>
      </c>
    </row>
    <row r="480" spans="1:38" ht="12.75" customHeight="1" x14ac:dyDescent="0.3">
      <c r="A480" s="61">
        <v>479</v>
      </c>
      <c r="B480" s="61">
        <v>120</v>
      </c>
      <c r="C480" s="62" t="s">
        <v>780</v>
      </c>
      <c r="D480" s="62" t="s">
        <v>713</v>
      </c>
      <c r="E480" s="62" t="s">
        <v>26</v>
      </c>
      <c r="F480" s="62" t="s">
        <v>33</v>
      </c>
      <c r="G480" s="62" t="s">
        <v>2</v>
      </c>
      <c r="H480" s="63">
        <v>1</v>
      </c>
      <c r="I480" s="62"/>
      <c r="J480" s="62">
        <v>1</v>
      </c>
      <c r="K480" s="62">
        <v>0</v>
      </c>
      <c r="L480" s="62">
        <v>20</v>
      </c>
      <c r="M480" s="62">
        <v>1</v>
      </c>
      <c r="N480" s="62">
        <v>7</v>
      </c>
      <c r="O480" s="62" t="s">
        <v>32</v>
      </c>
      <c r="P480" s="62" t="s">
        <v>863</v>
      </c>
      <c r="Q480" s="64">
        <v>19.989999999999998</v>
      </c>
      <c r="R480" s="65">
        <f t="shared" si="25"/>
        <v>0.33333333333333331</v>
      </c>
      <c r="S480" s="66"/>
      <c r="T480" s="66"/>
      <c r="U480" s="66">
        <v>1.7</v>
      </c>
      <c r="V480" s="66">
        <f>(1.968621-U480)*SQRT(W480)</f>
        <v>1.8994373066911159</v>
      </c>
      <c r="W480" s="62">
        <v>50</v>
      </c>
      <c r="X480" s="62">
        <v>0</v>
      </c>
      <c r="Y480" s="62">
        <v>0</v>
      </c>
      <c r="Z480" s="62" t="s">
        <v>221</v>
      </c>
      <c r="AA480" s="62" t="s">
        <v>1348</v>
      </c>
      <c r="AB480" s="62" t="s">
        <v>17</v>
      </c>
      <c r="AC480" s="62" t="s">
        <v>17</v>
      </c>
      <c r="AD480" s="61" t="s">
        <v>17</v>
      </c>
      <c r="AF480" s="4" t="s">
        <v>714</v>
      </c>
    </row>
    <row r="481" spans="1:32" ht="12.75" customHeight="1" x14ac:dyDescent="0.3">
      <c r="A481" s="61">
        <v>480</v>
      </c>
      <c r="B481" s="61">
        <v>120</v>
      </c>
      <c r="C481" s="62" t="s">
        <v>780</v>
      </c>
      <c r="D481" s="62" t="s">
        <v>713</v>
      </c>
      <c r="E481" s="62" t="s">
        <v>32</v>
      </c>
      <c r="F481" s="62" t="s">
        <v>33</v>
      </c>
      <c r="G481" s="62" t="s">
        <v>34</v>
      </c>
      <c r="H481" s="63">
        <v>1</v>
      </c>
      <c r="I481" s="62"/>
      <c r="J481" s="62">
        <v>1</v>
      </c>
      <c r="K481" s="62" t="s">
        <v>32</v>
      </c>
      <c r="L481" s="62">
        <v>20</v>
      </c>
      <c r="M481" s="62">
        <v>1</v>
      </c>
      <c r="N481" s="62">
        <v>7</v>
      </c>
      <c r="O481" s="62" t="s">
        <v>32</v>
      </c>
      <c r="P481" s="62" t="s">
        <v>864</v>
      </c>
      <c r="Q481" s="64">
        <v>19.84</v>
      </c>
      <c r="R481" s="65">
        <f t="shared" si="25"/>
        <v>0.33333333333333331</v>
      </c>
      <c r="S481" s="66"/>
      <c r="T481" s="66"/>
      <c r="U481" s="66">
        <v>5.5</v>
      </c>
      <c r="V481" s="66">
        <f>(5.786552 -U481)*SQRT(W481)</f>
        <v>2.0058640000000025</v>
      </c>
      <c r="W481" s="62">
        <v>49</v>
      </c>
      <c r="X481" s="62">
        <v>0</v>
      </c>
      <c r="Y481" s="62">
        <v>0</v>
      </c>
      <c r="Z481" s="62" t="s">
        <v>221</v>
      </c>
      <c r="AA481" s="62" t="s">
        <v>1348</v>
      </c>
      <c r="AB481" s="62" t="s">
        <v>17</v>
      </c>
      <c r="AC481" s="62" t="s">
        <v>17</v>
      </c>
      <c r="AD481" s="61" t="s">
        <v>17</v>
      </c>
      <c r="AF481" s="4" t="s">
        <v>714</v>
      </c>
    </row>
    <row r="482" spans="1:32" ht="12.75" customHeight="1" x14ac:dyDescent="0.3">
      <c r="A482" s="61">
        <v>481</v>
      </c>
      <c r="B482" s="61">
        <v>120</v>
      </c>
      <c r="C482" s="62" t="s">
        <v>780</v>
      </c>
      <c r="D482" s="62" t="s">
        <v>713</v>
      </c>
      <c r="E482" s="62" t="s">
        <v>26</v>
      </c>
      <c r="F482" s="62" t="s">
        <v>33</v>
      </c>
      <c r="G482" s="62" t="s">
        <v>2</v>
      </c>
      <c r="H482" s="63">
        <v>1</v>
      </c>
      <c r="I482" s="62"/>
      <c r="J482" s="62">
        <v>1</v>
      </c>
      <c r="K482" s="62">
        <v>0</v>
      </c>
      <c r="L482" s="62">
        <v>20</v>
      </c>
      <c r="M482" s="62">
        <v>1</v>
      </c>
      <c r="N482" s="62">
        <v>7</v>
      </c>
      <c r="O482" s="62" t="s">
        <v>32</v>
      </c>
      <c r="P482" s="62" t="s">
        <v>864</v>
      </c>
      <c r="Q482" s="64">
        <v>19.989999999999998</v>
      </c>
      <c r="R482" s="65">
        <f t="shared" si="25"/>
        <v>0.33333333333333331</v>
      </c>
      <c r="S482" s="66"/>
      <c r="T482" s="66"/>
      <c r="U482" s="66">
        <v>5.0999999999999996</v>
      </c>
      <c r="V482" s="66">
        <f>(5.312069-U482)*SQRT(W482)</f>
        <v>1.4995542797945032</v>
      </c>
      <c r="W482" s="62">
        <v>50</v>
      </c>
      <c r="X482" s="62">
        <v>0</v>
      </c>
      <c r="Y482" s="62">
        <v>0</v>
      </c>
      <c r="Z482" s="62" t="s">
        <v>221</v>
      </c>
      <c r="AA482" s="62" t="s">
        <v>1348</v>
      </c>
      <c r="AB482" s="62" t="s">
        <v>17</v>
      </c>
      <c r="AC482" s="62" t="s">
        <v>17</v>
      </c>
      <c r="AD482" s="61" t="s">
        <v>17</v>
      </c>
      <c r="AF482" s="4" t="s">
        <v>714</v>
      </c>
    </row>
    <row r="483" spans="1:32" ht="12.75" customHeight="1" x14ac:dyDescent="0.3">
      <c r="A483" s="61">
        <v>482</v>
      </c>
      <c r="B483" s="61">
        <v>121</v>
      </c>
      <c r="C483" s="62" t="s">
        <v>829</v>
      </c>
      <c r="D483" s="62" t="s">
        <v>62</v>
      </c>
      <c r="E483" s="62" t="s">
        <v>32</v>
      </c>
      <c r="F483" s="62" t="s">
        <v>715</v>
      </c>
      <c r="G483" s="62" t="s">
        <v>34</v>
      </c>
      <c r="H483" s="63">
        <v>0</v>
      </c>
      <c r="I483" s="62"/>
      <c r="J483" s="62" t="s">
        <v>51</v>
      </c>
      <c r="K483" s="62" t="s">
        <v>32</v>
      </c>
      <c r="L483" s="62">
        <f>8*60</f>
        <v>480</v>
      </c>
      <c r="M483" s="62">
        <v>8</v>
      </c>
      <c r="N483" s="62" t="s">
        <v>28</v>
      </c>
      <c r="O483" s="62" t="s">
        <v>32</v>
      </c>
      <c r="P483" s="62" t="s">
        <v>843</v>
      </c>
      <c r="Q483" s="64">
        <v>8</v>
      </c>
      <c r="R483" s="65" t="s">
        <v>28</v>
      </c>
      <c r="S483" s="66"/>
      <c r="T483" s="66"/>
      <c r="U483" s="66">
        <v>66.8</v>
      </c>
      <c r="V483" s="66">
        <v>11.45</v>
      </c>
      <c r="W483" s="62">
        <v>25</v>
      </c>
      <c r="X483" s="62">
        <v>0</v>
      </c>
      <c r="Y483" s="62">
        <v>0</v>
      </c>
      <c r="Z483" s="62" t="s">
        <v>230</v>
      </c>
      <c r="AA483" s="62"/>
      <c r="AB483" s="62" t="s">
        <v>17</v>
      </c>
      <c r="AC483" s="62" t="s">
        <v>17</v>
      </c>
      <c r="AD483" s="61" t="s">
        <v>17</v>
      </c>
      <c r="AF483" s="4" t="s">
        <v>717</v>
      </c>
    </row>
    <row r="484" spans="1:32" ht="12.75" customHeight="1" x14ac:dyDescent="0.3">
      <c r="A484" s="61">
        <v>483</v>
      </c>
      <c r="B484" s="61">
        <v>121</v>
      </c>
      <c r="C484" s="62" t="s">
        <v>829</v>
      </c>
      <c r="D484" s="62" t="s">
        <v>62</v>
      </c>
      <c r="E484" s="62" t="s">
        <v>716</v>
      </c>
      <c r="F484" s="62" t="s">
        <v>715</v>
      </c>
      <c r="G484" s="62" t="s">
        <v>2</v>
      </c>
      <c r="H484" s="63">
        <v>0</v>
      </c>
      <c r="I484" s="62"/>
      <c r="J484" s="62" t="s">
        <v>51</v>
      </c>
      <c r="K484" s="62">
        <v>1</v>
      </c>
      <c r="L484" s="62">
        <f>8*60</f>
        <v>480</v>
      </c>
      <c r="M484" s="62">
        <v>8</v>
      </c>
      <c r="N484" s="62" t="s">
        <v>28</v>
      </c>
      <c r="O484" s="62" t="s">
        <v>32</v>
      </c>
      <c r="P484" s="62" t="s">
        <v>843</v>
      </c>
      <c r="Q484" s="64">
        <v>8</v>
      </c>
      <c r="R484" s="65" t="s">
        <v>28</v>
      </c>
      <c r="S484" s="66"/>
      <c r="T484" s="66"/>
      <c r="U484" s="66">
        <v>86.07</v>
      </c>
      <c r="V484" s="66">
        <v>11.97</v>
      </c>
      <c r="W484" s="62">
        <v>28</v>
      </c>
      <c r="X484" s="62">
        <v>0</v>
      </c>
      <c r="Y484" s="62">
        <v>0</v>
      </c>
      <c r="Z484" s="62" t="s">
        <v>230</v>
      </c>
      <c r="AA484" s="62"/>
      <c r="AB484" s="62" t="s">
        <v>17</v>
      </c>
      <c r="AC484" s="62" t="s">
        <v>17</v>
      </c>
      <c r="AD484" s="61" t="s">
        <v>17</v>
      </c>
      <c r="AF484" s="4" t="s">
        <v>717</v>
      </c>
    </row>
    <row r="485" spans="1:32" ht="12.75" customHeight="1" x14ac:dyDescent="0.3">
      <c r="A485" s="61">
        <v>484</v>
      </c>
      <c r="B485" s="61">
        <v>121</v>
      </c>
      <c r="C485" s="62" t="s">
        <v>829</v>
      </c>
      <c r="D485" s="62" t="s">
        <v>62</v>
      </c>
      <c r="E485" s="62" t="s">
        <v>32</v>
      </c>
      <c r="F485" s="62" t="s">
        <v>715</v>
      </c>
      <c r="G485" s="62" t="s">
        <v>34</v>
      </c>
      <c r="H485" s="63">
        <v>0</v>
      </c>
      <c r="I485" s="62"/>
      <c r="J485" s="62" t="s">
        <v>51</v>
      </c>
      <c r="K485" s="62" t="s">
        <v>32</v>
      </c>
      <c r="L485" s="62">
        <f>8*60</f>
        <v>480</v>
      </c>
      <c r="M485" s="62">
        <v>8</v>
      </c>
      <c r="N485" s="62" t="s">
        <v>28</v>
      </c>
      <c r="O485" s="62" t="s">
        <v>32</v>
      </c>
      <c r="P485" s="62" t="s">
        <v>846</v>
      </c>
      <c r="Q485" s="64">
        <v>8</v>
      </c>
      <c r="R485" s="65" t="s">
        <v>28</v>
      </c>
      <c r="S485" s="66"/>
      <c r="T485" s="66"/>
      <c r="U485" s="66">
        <v>60.4</v>
      </c>
      <c r="V485" s="66">
        <v>10.98</v>
      </c>
      <c r="W485" s="62">
        <v>25</v>
      </c>
      <c r="X485" s="62">
        <v>0</v>
      </c>
      <c r="Y485" s="62">
        <v>0</v>
      </c>
      <c r="Z485" s="62" t="s">
        <v>66</v>
      </c>
      <c r="AA485" s="62"/>
      <c r="AB485" s="62" t="s">
        <v>17</v>
      </c>
      <c r="AC485" s="62" t="s">
        <v>17</v>
      </c>
      <c r="AD485" s="61" t="s">
        <v>17</v>
      </c>
      <c r="AF485" s="4" t="s">
        <v>717</v>
      </c>
    </row>
    <row r="486" spans="1:32" ht="12.75" customHeight="1" x14ac:dyDescent="0.3">
      <c r="A486" s="61">
        <v>485</v>
      </c>
      <c r="B486" s="61">
        <v>121</v>
      </c>
      <c r="C486" s="62" t="s">
        <v>829</v>
      </c>
      <c r="D486" s="62" t="s">
        <v>62</v>
      </c>
      <c r="E486" s="62" t="s">
        <v>716</v>
      </c>
      <c r="F486" s="62" t="s">
        <v>715</v>
      </c>
      <c r="G486" s="62" t="s">
        <v>2</v>
      </c>
      <c r="H486" s="63">
        <v>0</v>
      </c>
      <c r="I486" s="62"/>
      <c r="J486" s="62" t="s">
        <v>51</v>
      </c>
      <c r="K486" s="62">
        <v>1</v>
      </c>
      <c r="L486" s="62">
        <f>8*60</f>
        <v>480</v>
      </c>
      <c r="M486" s="62">
        <v>8</v>
      </c>
      <c r="N486" s="62" t="s">
        <v>28</v>
      </c>
      <c r="O486" s="62" t="s">
        <v>32</v>
      </c>
      <c r="P486" s="62" t="s">
        <v>846</v>
      </c>
      <c r="Q486" s="64">
        <v>8</v>
      </c>
      <c r="R486" s="65" t="s">
        <v>28</v>
      </c>
      <c r="S486" s="66"/>
      <c r="T486" s="66"/>
      <c r="U486" s="66">
        <v>87.14</v>
      </c>
      <c r="V486" s="66">
        <v>10.49</v>
      </c>
      <c r="W486" s="62">
        <v>28</v>
      </c>
      <c r="X486" s="62">
        <v>0</v>
      </c>
      <c r="Y486" s="62">
        <v>0</v>
      </c>
      <c r="Z486" s="62" t="s">
        <v>66</v>
      </c>
      <c r="AA486" s="62"/>
      <c r="AB486" s="62" t="s">
        <v>17</v>
      </c>
      <c r="AC486" s="62" t="s">
        <v>17</v>
      </c>
      <c r="AD486" s="61" t="s">
        <v>17</v>
      </c>
      <c r="AF486" s="4" t="s">
        <v>717</v>
      </c>
    </row>
    <row r="487" spans="1:32" ht="12.75" customHeight="1" x14ac:dyDescent="0.3">
      <c r="A487" s="61">
        <v>486</v>
      </c>
      <c r="B487" s="61">
        <v>122</v>
      </c>
      <c r="C487" s="62" t="s">
        <v>736</v>
      </c>
      <c r="D487" s="62" t="s">
        <v>68</v>
      </c>
      <c r="E487" s="62" t="s">
        <v>32</v>
      </c>
      <c r="F487" s="62" t="s">
        <v>33</v>
      </c>
      <c r="G487" s="62" t="s">
        <v>64</v>
      </c>
      <c r="H487" s="63">
        <v>0</v>
      </c>
      <c r="I487" s="62"/>
      <c r="J487" s="62">
        <v>1</v>
      </c>
      <c r="K487" s="62">
        <v>0</v>
      </c>
      <c r="L487" s="62">
        <v>7</v>
      </c>
      <c r="M487" s="62">
        <v>1</v>
      </c>
      <c r="N487" s="62">
        <v>0</v>
      </c>
      <c r="O487" s="62" t="s">
        <v>32</v>
      </c>
      <c r="P487" s="62" t="s">
        <v>865</v>
      </c>
      <c r="Q487" s="64">
        <v>5.5</v>
      </c>
      <c r="R487" s="65">
        <f>22/41</f>
        <v>0.53658536585365857</v>
      </c>
      <c r="S487" s="66"/>
      <c r="T487" s="66"/>
      <c r="U487" s="66">
        <v>0.72</v>
      </c>
      <c r="V487" s="66">
        <f>(1-0.468)/1.348</f>
        <v>0.39465875370919878</v>
      </c>
      <c r="W487" s="62">
        <v>20</v>
      </c>
      <c r="X487" s="62">
        <v>0</v>
      </c>
      <c r="Y487" s="62">
        <v>0</v>
      </c>
      <c r="Z487" s="62" t="s">
        <v>221</v>
      </c>
      <c r="AA487" s="62" t="s">
        <v>1316</v>
      </c>
      <c r="AB487" s="62" t="s">
        <v>17</v>
      </c>
      <c r="AC487" s="62" t="s">
        <v>17</v>
      </c>
      <c r="AD487" s="61" t="s">
        <v>17</v>
      </c>
      <c r="AF487" s="4" t="s">
        <v>718</v>
      </c>
    </row>
    <row r="488" spans="1:32" ht="12.75" customHeight="1" x14ac:dyDescent="0.3">
      <c r="A488" s="61">
        <v>487</v>
      </c>
      <c r="B488" s="61">
        <v>122</v>
      </c>
      <c r="C488" s="62" t="s">
        <v>736</v>
      </c>
      <c r="D488" s="62" t="s">
        <v>68</v>
      </c>
      <c r="E488" s="62" t="s">
        <v>26</v>
      </c>
      <c r="F488" s="62" t="s">
        <v>33</v>
      </c>
      <c r="G488" s="62" t="s">
        <v>2</v>
      </c>
      <c r="H488" s="63">
        <v>0</v>
      </c>
      <c r="I488" s="62"/>
      <c r="J488" s="62">
        <v>1</v>
      </c>
      <c r="K488" s="62">
        <v>0</v>
      </c>
      <c r="L488" s="62">
        <v>7</v>
      </c>
      <c r="M488" s="62">
        <v>1</v>
      </c>
      <c r="N488" s="62">
        <v>0</v>
      </c>
      <c r="O488" s="62" t="s">
        <v>32</v>
      </c>
      <c r="P488" s="62" t="s">
        <v>865</v>
      </c>
      <c r="Q488" s="64">
        <v>5.5</v>
      </c>
      <c r="R488" s="65">
        <f>22/41</f>
        <v>0.53658536585365857</v>
      </c>
      <c r="S488" s="66"/>
      <c r="T488" s="66"/>
      <c r="U488" s="66">
        <v>0.79800000000000004</v>
      </c>
      <c r="V488" s="66">
        <f>(1-0.383)/1.348</f>
        <v>0.45771513353115723</v>
      </c>
      <c r="W488" s="62">
        <v>21</v>
      </c>
      <c r="X488" s="62">
        <v>0</v>
      </c>
      <c r="Y488" s="62">
        <v>0</v>
      </c>
      <c r="Z488" s="62" t="s">
        <v>221</v>
      </c>
      <c r="AA488" s="62"/>
      <c r="AB488" s="62" t="s">
        <v>17</v>
      </c>
      <c r="AC488" s="62" t="s">
        <v>17</v>
      </c>
      <c r="AD488" s="61" t="s">
        <v>17</v>
      </c>
      <c r="AF488" s="4" t="s">
        <v>718</v>
      </c>
    </row>
    <row r="489" spans="1:32" ht="12.75" customHeight="1" x14ac:dyDescent="0.3">
      <c r="A489" s="61">
        <v>488</v>
      </c>
      <c r="B489" s="61">
        <v>123</v>
      </c>
      <c r="C489" s="62" t="s">
        <v>853</v>
      </c>
      <c r="D489" s="62" t="s">
        <v>62</v>
      </c>
      <c r="E489" s="62" t="s">
        <v>32</v>
      </c>
      <c r="F489" s="62" t="s">
        <v>748</v>
      </c>
      <c r="G489" s="62" t="s">
        <v>34</v>
      </c>
      <c r="H489" s="63">
        <v>0</v>
      </c>
      <c r="I489" s="62"/>
      <c r="J489" s="62" t="s">
        <v>51</v>
      </c>
      <c r="K489" s="62" t="s">
        <v>32</v>
      </c>
      <c r="L489" s="62">
        <v>100</v>
      </c>
      <c r="M489" s="62">
        <v>1</v>
      </c>
      <c r="N489" s="62">
        <v>0</v>
      </c>
      <c r="O489" s="62">
        <v>2</v>
      </c>
      <c r="P489" s="62" t="s">
        <v>841</v>
      </c>
      <c r="Q489" s="64">
        <v>20.56</v>
      </c>
      <c r="R489" s="65" t="s">
        <v>28</v>
      </c>
      <c r="S489" s="66"/>
      <c r="T489" s="66"/>
      <c r="U489" s="66">
        <v>71.040000000000006</v>
      </c>
      <c r="V489" s="66">
        <v>6.53</v>
      </c>
      <c r="W489" s="62">
        <v>50</v>
      </c>
      <c r="X489" s="62">
        <v>0</v>
      </c>
      <c r="Y489" s="62">
        <v>0</v>
      </c>
      <c r="Z489" s="62" t="s">
        <v>230</v>
      </c>
      <c r="AA489" s="62"/>
      <c r="AB489" s="62" t="s">
        <v>17</v>
      </c>
      <c r="AC489" s="62" t="s">
        <v>17</v>
      </c>
      <c r="AD489" s="61" t="s">
        <v>17</v>
      </c>
      <c r="AF489" s="4" t="s">
        <v>749</v>
      </c>
    </row>
    <row r="490" spans="1:32" ht="12.75" customHeight="1" x14ac:dyDescent="0.3">
      <c r="A490" s="61">
        <v>489</v>
      </c>
      <c r="B490" s="61">
        <v>123</v>
      </c>
      <c r="C490" s="62" t="s">
        <v>853</v>
      </c>
      <c r="D490" s="62" t="s">
        <v>62</v>
      </c>
      <c r="E490" s="62" t="s">
        <v>422</v>
      </c>
      <c r="F490" s="62" t="s">
        <v>748</v>
      </c>
      <c r="G490" s="62" t="s">
        <v>2</v>
      </c>
      <c r="H490" s="63">
        <v>0</v>
      </c>
      <c r="I490" s="62"/>
      <c r="J490" s="62" t="s">
        <v>51</v>
      </c>
      <c r="K490" s="62">
        <v>1</v>
      </c>
      <c r="L490" s="62">
        <v>100</v>
      </c>
      <c r="M490" s="62">
        <v>1</v>
      </c>
      <c r="N490" s="62">
        <v>0</v>
      </c>
      <c r="O490" s="62">
        <v>2</v>
      </c>
      <c r="P490" s="62" t="s">
        <v>841</v>
      </c>
      <c r="Q490" s="64">
        <v>20.170000000000002</v>
      </c>
      <c r="R490" s="65" t="s">
        <v>28</v>
      </c>
      <c r="S490" s="66"/>
      <c r="T490" s="66"/>
      <c r="U490" s="66">
        <v>84.11</v>
      </c>
      <c r="V490" s="66">
        <v>7.44</v>
      </c>
      <c r="W490" s="62">
        <v>53</v>
      </c>
      <c r="X490" s="62">
        <v>0</v>
      </c>
      <c r="Y490" s="62">
        <v>0</v>
      </c>
      <c r="Z490" s="62" t="s">
        <v>230</v>
      </c>
      <c r="AA490" s="62"/>
      <c r="AB490" s="62" t="s">
        <v>17</v>
      </c>
      <c r="AC490" s="62" t="s">
        <v>17</v>
      </c>
      <c r="AD490" s="61" t="s">
        <v>17</v>
      </c>
      <c r="AF490" s="4" t="s">
        <v>749</v>
      </c>
    </row>
    <row r="491" spans="1:32" ht="12.75" customHeight="1" x14ac:dyDescent="0.3">
      <c r="A491" s="61">
        <v>490</v>
      </c>
      <c r="B491" s="61">
        <v>124</v>
      </c>
      <c r="C491" s="62" t="s">
        <v>720</v>
      </c>
      <c r="D491" s="62" t="s">
        <v>712</v>
      </c>
      <c r="E491" s="62" t="s">
        <v>32</v>
      </c>
      <c r="F491" s="62" t="s">
        <v>147</v>
      </c>
      <c r="G491" s="62" t="s">
        <v>34</v>
      </c>
      <c r="H491" s="63">
        <v>0</v>
      </c>
      <c r="I491" s="62"/>
      <c r="J491" s="62" t="s">
        <v>51</v>
      </c>
      <c r="K491" s="62" t="s">
        <v>32</v>
      </c>
      <c r="L491" s="62">
        <v>30</v>
      </c>
      <c r="M491" s="62">
        <v>1</v>
      </c>
      <c r="N491" s="65" t="s">
        <v>28</v>
      </c>
      <c r="O491" s="62" t="s">
        <v>28</v>
      </c>
      <c r="P491" s="62" t="s">
        <v>842</v>
      </c>
      <c r="Q491" s="64">
        <v>10</v>
      </c>
      <c r="R491" s="65" t="s">
        <v>28</v>
      </c>
      <c r="S491" s="66">
        <v>1.5</v>
      </c>
      <c r="T491" s="66">
        <v>1</v>
      </c>
      <c r="U491" s="66">
        <v>2</v>
      </c>
      <c r="V491" s="66">
        <v>1.1281521496355325</v>
      </c>
      <c r="W491" s="62">
        <v>12</v>
      </c>
      <c r="X491" s="62">
        <v>0</v>
      </c>
      <c r="Y491" s="62">
        <v>0</v>
      </c>
      <c r="Z491" s="62" t="s">
        <v>210</v>
      </c>
      <c r="AA491" s="62" t="s">
        <v>1317</v>
      </c>
      <c r="AB491" s="62" t="s">
        <v>17</v>
      </c>
      <c r="AC491" s="62" t="s">
        <v>17</v>
      </c>
      <c r="AD491" s="61" t="s">
        <v>17</v>
      </c>
      <c r="AF491" s="4" t="s">
        <v>719</v>
      </c>
    </row>
    <row r="492" spans="1:32" ht="12.75" customHeight="1" x14ac:dyDescent="0.3">
      <c r="A492" s="61">
        <v>491</v>
      </c>
      <c r="B492" s="61">
        <v>124</v>
      </c>
      <c r="C492" s="62" t="s">
        <v>720</v>
      </c>
      <c r="D492" s="62" t="s">
        <v>712</v>
      </c>
      <c r="E492" s="62" t="s">
        <v>26</v>
      </c>
      <c r="F492" s="62" t="s">
        <v>147</v>
      </c>
      <c r="G492" s="62" t="s">
        <v>2</v>
      </c>
      <c r="H492" s="63">
        <v>0</v>
      </c>
      <c r="I492" s="62"/>
      <c r="J492" s="62" t="s">
        <v>51</v>
      </c>
      <c r="K492" s="62">
        <v>1</v>
      </c>
      <c r="L492" s="62">
        <v>30</v>
      </c>
      <c r="M492" s="62">
        <v>1</v>
      </c>
      <c r="N492" s="65" t="s">
        <v>28</v>
      </c>
      <c r="O492" s="62" t="s">
        <v>28</v>
      </c>
      <c r="P492" s="62" t="s">
        <v>842</v>
      </c>
      <c r="Q492" s="64">
        <v>10</v>
      </c>
      <c r="R492" s="65" t="s">
        <v>28</v>
      </c>
      <c r="S492" s="66">
        <v>2.5714285714285716</v>
      </c>
      <c r="T492" s="66">
        <v>0.64620617265886415</v>
      </c>
      <c r="U492" s="66">
        <v>2.5714285714285716</v>
      </c>
      <c r="V492" s="66">
        <v>1.0894095588038444</v>
      </c>
      <c r="W492" s="62">
        <v>14</v>
      </c>
      <c r="X492" s="62">
        <v>0</v>
      </c>
      <c r="Y492" s="62">
        <v>0</v>
      </c>
      <c r="Z492" s="62" t="s">
        <v>210</v>
      </c>
      <c r="AA492" s="62"/>
      <c r="AB492" s="62" t="s">
        <v>17</v>
      </c>
      <c r="AC492" s="62" t="s">
        <v>17</v>
      </c>
      <c r="AD492" s="61" t="s">
        <v>17</v>
      </c>
      <c r="AF492" s="4" t="s">
        <v>719</v>
      </c>
    </row>
    <row r="493" spans="1:32" ht="12.75" customHeight="1" x14ac:dyDescent="0.3">
      <c r="A493" s="61">
        <v>492</v>
      </c>
      <c r="B493" s="61">
        <v>125</v>
      </c>
      <c r="C493" s="62" t="s">
        <v>777</v>
      </c>
      <c r="D493" s="62" t="s">
        <v>62</v>
      </c>
      <c r="E493" s="62" t="s">
        <v>422</v>
      </c>
      <c r="F493" s="62" t="s">
        <v>849</v>
      </c>
      <c r="G493" s="62" t="s">
        <v>2</v>
      </c>
      <c r="H493" s="63">
        <v>0</v>
      </c>
      <c r="I493" s="62"/>
      <c r="J493" s="62" t="s">
        <v>51</v>
      </c>
      <c r="K493" s="62">
        <v>0</v>
      </c>
      <c r="L493" s="62">
        <f>3*2</f>
        <v>6</v>
      </c>
      <c r="M493" s="62">
        <v>3</v>
      </c>
      <c r="N493" s="62">
        <v>14</v>
      </c>
      <c r="O493" s="62">
        <v>2</v>
      </c>
      <c r="P493" s="62" t="s">
        <v>850</v>
      </c>
      <c r="Q493" s="64">
        <v>20.5</v>
      </c>
      <c r="R493" s="65" t="s">
        <v>28</v>
      </c>
      <c r="S493" s="66">
        <v>50.34</v>
      </c>
      <c r="T493" s="66">
        <v>14.35</v>
      </c>
      <c r="U493" s="66">
        <v>74.510000000000005</v>
      </c>
      <c r="V493" s="66">
        <v>10.9</v>
      </c>
      <c r="W493" s="62">
        <v>53</v>
      </c>
      <c r="X493" s="62">
        <v>0</v>
      </c>
      <c r="Y493" s="62">
        <v>0</v>
      </c>
      <c r="Z493" s="62" t="s">
        <v>210</v>
      </c>
      <c r="AA493" s="62" t="s">
        <v>1334</v>
      </c>
      <c r="AB493" s="62" t="s">
        <v>17</v>
      </c>
      <c r="AC493" s="62" t="s">
        <v>17</v>
      </c>
      <c r="AD493" s="61" t="s">
        <v>17</v>
      </c>
      <c r="AF493" s="4" t="s">
        <v>840</v>
      </c>
    </row>
    <row r="494" spans="1:32" ht="12.75" customHeight="1" x14ac:dyDescent="0.3">
      <c r="A494" s="61">
        <v>493</v>
      </c>
      <c r="B494" s="61">
        <v>126</v>
      </c>
      <c r="C494" s="62" t="s">
        <v>847</v>
      </c>
      <c r="D494" s="62" t="s">
        <v>713</v>
      </c>
      <c r="E494" s="62" t="s">
        <v>32</v>
      </c>
      <c r="F494" s="62" t="s">
        <v>33</v>
      </c>
      <c r="G494" s="62" t="s">
        <v>261</v>
      </c>
      <c r="H494" s="63">
        <v>1</v>
      </c>
      <c r="I494" s="62"/>
      <c r="J494" s="62">
        <v>1</v>
      </c>
      <c r="K494" s="62">
        <v>0</v>
      </c>
      <c r="L494" s="62">
        <v>15</v>
      </c>
      <c r="M494" s="62">
        <v>2</v>
      </c>
      <c r="N494" s="62">
        <v>0</v>
      </c>
      <c r="O494" s="62" t="s">
        <v>32</v>
      </c>
      <c r="P494" s="62" t="s">
        <v>863</v>
      </c>
      <c r="Q494" s="64">
        <v>24.15</v>
      </c>
      <c r="R494" s="65">
        <f>16/50</f>
        <v>0.32</v>
      </c>
      <c r="S494" s="66"/>
      <c r="T494" s="66"/>
      <c r="U494" s="66">
        <v>3.12</v>
      </c>
      <c r="V494" s="66">
        <f>(3.379885-U494)*SQRT(W494)</f>
        <v>1.837664458286657</v>
      </c>
      <c r="W494" s="62">
        <v>50</v>
      </c>
      <c r="X494" s="62">
        <v>0</v>
      </c>
      <c r="Y494" s="62">
        <v>0</v>
      </c>
      <c r="Z494" s="62" t="s">
        <v>417</v>
      </c>
      <c r="AA494" s="62" t="s">
        <v>1347</v>
      </c>
      <c r="AB494" s="62" t="s">
        <v>17</v>
      </c>
      <c r="AC494" s="62" t="s">
        <v>17</v>
      </c>
      <c r="AD494" s="61" t="s">
        <v>17</v>
      </c>
      <c r="AF494" s="4" t="s">
        <v>848</v>
      </c>
    </row>
    <row r="495" spans="1:32" ht="12.75" customHeight="1" x14ac:dyDescent="0.3">
      <c r="A495" s="61">
        <v>494</v>
      </c>
      <c r="B495" s="61">
        <v>126</v>
      </c>
      <c r="C495" s="62" t="s">
        <v>847</v>
      </c>
      <c r="D495" s="62" t="s">
        <v>713</v>
      </c>
      <c r="E495" s="62" t="s">
        <v>26</v>
      </c>
      <c r="F495" s="62" t="s">
        <v>33</v>
      </c>
      <c r="G495" s="62" t="s">
        <v>2</v>
      </c>
      <c r="H495" s="63">
        <v>1</v>
      </c>
      <c r="I495" s="62"/>
      <c r="J495" s="62">
        <v>1</v>
      </c>
      <c r="K495" s="62">
        <v>0</v>
      </c>
      <c r="L495" s="62">
        <v>15</v>
      </c>
      <c r="M495" s="62">
        <v>2</v>
      </c>
      <c r="N495" s="62">
        <v>0</v>
      </c>
      <c r="O495" s="62" t="s">
        <v>32</v>
      </c>
      <c r="P495" s="62" t="s">
        <v>863</v>
      </c>
      <c r="Q495" s="64">
        <v>23.49</v>
      </c>
      <c r="R495" s="65">
        <f>17/50</f>
        <v>0.34</v>
      </c>
      <c r="S495" s="66"/>
      <c r="T495" s="66"/>
      <c r="U495" s="66">
        <v>3.22</v>
      </c>
      <c r="V495" s="66">
        <f>(3.52023-U495)*SQRT(W495)</f>
        <v>2.10161</v>
      </c>
      <c r="W495" s="62">
        <v>49</v>
      </c>
      <c r="X495" s="62">
        <v>0</v>
      </c>
      <c r="Y495" s="62">
        <v>0</v>
      </c>
      <c r="Z495" s="62" t="s">
        <v>417</v>
      </c>
      <c r="AA495" s="62" t="s">
        <v>851</v>
      </c>
      <c r="AB495" s="62" t="s">
        <v>17</v>
      </c>
      <c r="AC495" s="62" t="s">
        <v>17</v>
      </c>
      <c r="AD495" s="61" t="s">
        <v>17</v>
      </c>
      <c r="AF495" s="4" t="s">
        <v>848</v>
      </c>
    </row>
    <row r="496" spans="1:32" ht="12.75" customHeight="1" x14ac:dyDescent="0.3">
      <c r="A496" s="61">
        <v>495</v>
      </c>
      <c r="B496" s="61">
        <v>126</v>
      </c>
      <c r="C496" s="62" t="s">
        <v>847</v>
      </c>
      <c r="D496" s="62" t="s">
        <v>713</v>
      </c>
      <c r="E496" s="62" t="s">
        <v>32</v>
      </c>
      <c r="F496" s="62" t="s">
        <v>33</v>
      </c>
      <c r="G496" s="62" t="s">
        <v>261</v>
      </c>
      <c r="H496" s="63">
        <v>1</v>
      </c>
      <c r="I496" s="62"/>
      <c r="J496" s="62">
        <v>1</v>
      </c>
      <c r="K496" s="62">
        <v>0</v>
      </c>
      <c r="L496" s="62">
        <v>15</v>
      </c>
      <c r="M496" s="62">
        <v>2</v>
      </c>
      <c r="N496" s="62">
        <v>0</v>
      </c>
      <c r="O496" s="62" t="s">
        <v>32</v>
      </c>
      <c r="P496" s="62" t="s">
        <v>864</v>
      </c>
      <c r="Q496" s="64">
        <v>24.15</v>
      </c>
      <c r="R496" s="65">
        <f>16/50</f>
        <v>0.32</v>
      </c>
      <c r="S496" s="66"/>
      <c r="T496" s="66"/>
      <c r="U496" s="66">
        <v>6.42</v>
      </c>
      <c r="V496" s="66">
        <f>(6.713908-U496)*SQRT(W496)</f>
        <v>2.0782433984497586</v>
      </c>
      <c r="W496" s="62">
        <v>50</v>
      </c>
      <c r="X496" s="62">
        <v>0</v>
      </c>
      <c r="Y496" s="62">
        <v>0</v>
      </c>
      <c r="Z496" s="62" t="s">
        <v>417</v>
      </c>
      <c r="AA496" s="62"/>
      <c r="AB496" s="62" t="s">
        <v>17</v>
      </c>
      <c r="AC496" s="62" t="s">
        <v>17</v>
      </c>
      <c r="AD496" s="61" t="s">
        <v>17</v>
      </c>
      <c r="AF496" s="4" t="s">
        <v>848</v>
      </c>
    </row>
    <row r="497" spans="1:32" ht="12.75" customHeight="1" x14ac:dyDescent="0.3">
      <c r="A497" s="61">
        <v>496</v>
      </c>
      <c r="B497" s="61">
        <v>126</v>
      </c>
      <c r="C497" s="62" t="s">
        <v>847</v>
      </c>
      <c r="D497" s="62" t="s">
        <v>713</v>
      </c>
      <c r="E497" s="62" t="s">
        <v>26</v>
      </c>
      <c r="F497" s="62" t="s">
        <v>33</v>
      </c>
      <c r="G497" s="62" t="s">
        <v>2</v>
      </c>
      <c r="H497" s="63">
        <v>1</v>
      </c>
      <c r="I497" s="62"/>
      <c r="J497" s="62">
        <v>1</v>
      </c>
      <c r="K497" s="62">
        <v>0</v>
      </c>
      <c r="L497" s="62">
        <v>15</v>
      </c>
      <c r="M497" s="62">
        <v>2</v>
      </c>
      <c r="N497" s="62">
        <v>0</v>
      </c>
      <c r="O497" s="62" t="s">
        <v>32</v>
      </c>
      <c r="P497" s="62" t="s">
        <v>864</v>
      </c>
      <c r="Q497" s="64">
        <v>23.49</v>
      </c>
      <c r="R497" s="65">
        <f>17/50</f>
        <v>0.34</v>
      </c>
      <c r="S497" s="66"/>
      <c r="T497" s="66"/>
      <c r="U497" s="66">
        <v>6.5</v>
      </c>
      <c r="V497" s="66">
        <f>(6.722184-U497)*SQRT(W497)</f>
        <v>1.5552880000000027</v>
      </c>
      <c r="W497" s="62">
        <v>49</v>
      </c>
      <c r="X497" s="62">
        <v>0</v>
      </c>
      <c r="Y497" s="62">
        <v>0</v>
      </c>
      <c r="Z497" s="62" t="s">
        <v>417</v>
      </c>
      <c r="AA497" s="62"/>
      <c r="AB497" s="62" t="s">
        <v>17</v>
      </c>
      <c r="AC497" s="62" t="s">
        <v>17</v>
      </c>
      <c r="AD497" s="61" t="s">
        <v>17</v>
      </c>
      <c r="AF497" s="4" t="s">
        <v>848</v>
      </c>
    </row>
    <row r="498" spans="1:32" ht="12.75" customHeight="1" x14ac:dyDescent="0.3">
      <c r="A498" s="61">
        <v>497</v>
      </c>
      <c r="B498" s="61">
        <v>126</v>
      </c>
      <c r="C498" s="62" t="s">
        <v>847</v>
      </c>
      <c r="D498" s="62" t="s">
        <v>713</v>
      </c>
      <c r="E498" s="62" t="s">
        <v>32</v>
      </c>
      <c r="F498" s="62" t="s">
        <v>33</v>
      </c>
      <c r="G498" s="62" t="s">
        <v>261</v>
      </c>
      <c r="H498" s="63">
        <v>1</v>
      </c>
      <c r="I498" s="62"/>
      <c r="J498" s="62">
        <v>1</v>
      </c>
      <c r="K498" s="62">
        <v>0</v>
      </c>
      <c r="L498" s="62">
        <v>15</v>
      </c>
      <c r="M498" s="62">
        <v>2</v>
      </c>
      <c r="N498" s="62">
        <v>7</v>
      </c>
      <c r="O498" s="62" t="s">
        <v>32</v>
      </c>
      <c r="P498" s="62" t="s">
        <v>863</v>
      </c>
      <c r="Q498" s="64">
        <v>24.15</v>
      </c>
      <c r="R498" s="65">
        <f>16/50</f>
        <v>0.32</v>
      </c>
      <c r="S498" s="66"/>
      <c r="T498" s="66"/>
      <c r="U498" s="66">
        <v>1.34</v>
      </c>
      <c r="V498" s="66">
        <f>(1.603793-U498)*SQRT(W498)</f>
        <v>1.865298191295429</v>
      </c>
      <c r="W498" s="62">
        <v>50</v>
      </c>
      <c r="X498" s="62">
        <v>0</v>
      </c>
      <c r="Y498" s="62">
        <v>0</v>
      </c>
      <c r="Z498" s="62" t="s">
        <v>417</v>
      </c>
      <c r="AA498" s="62"/>
      <c r="AB498" s="62" t="s">
        <v>17</v>
      </c>
      <c r="AC498" s="62" t="s">
        <v>17</v>
      </c>
      <c r="AD498" s="61" t="s">
        <v>17</v>
      </c>
      <c r="AF498" s="4" t="s">
        <v>848</v>
      </c>
    </row>
    <row r="499" spans="1:32" ht="12.75" customHeight="1" x14ac:dyDescent="0.3">
      <c r="A499" s="61">
        <v>498</v>
      </c>
      <c r="B499" s="61">
        <v>126</v>
      </c>
      <c r="C499" s="62" t="s">
        <v>847</v>
      </c>
      <c r="D499" s="62" t="s">
        <v>713</v>
      </c>
      <c r="E499" s="62" t="s">
        <v>26</v>
      </c>
      <c r="F499" s="62" t="s">
        <v>33</v>
      </c>
      <c r="G499" s="62" t="s">
        <v>2</v>
      </c>
      <c r="H499" s="63">
        <v>1</v>
      </c>
      <c r="I499" s="62"/>
      <c r="J499" s="62">
        <v>1</v>
      </c>
      <c r="K499" s="62">
        <v>0</v>
      </c>
      <c r="L499" s="62">
        <v>15</v>
      </c>
      <c r="M499" s="62">
        <v>2</v>
      </c>
      <c r="N499" s="62">
        <v>7</v>
      </c>
      <c r="O499" s="62" t="s">
        <v>32</v>
      </c>
      <c r="P499" s="62" t="s">
        <v>863</v>
      </c>
      <c r="Q499" s="64">
        <v>23.49</v>
      </c>
      <c r="R499" s="65">
        <f>17/50</f>
        <v>0.34</v>
      </c>
      <c r="S499" s="66"/>
      <c r="T499" s="66"/>
      <c r="U499" s="66">
        <v>1.22</v>
      </c>
      <c r="V499" s="66">
        <f>(1.440575-U499)*SQRT(W499)</f>
        <v>1.5440249999999998</v>
      </c>
      <c r="W499" s="62">
        <v>49</v>
      </c>
      <c r="X499" s="62">
        <v>0</v>
      </c>
      <c r="Y499" s="62">
        <v>0</v>
      </c>
      <c r="Z499" s="62" t="s">
        <v>417</v>
      </c>
      <c r="AA499" s="62"/>
      <c r="AB499" s="62" t="s">
        <v>17</v>
      </c>
      <c r="AC499" s="62" t="s">
        <v>17</v>
      </c>
      <c r="AD499" s="61" t="s">
        <v>17</v>
      </c>
      <c r="AF499" s="4" t="s">
        <v>848</v>
      </c>
    </row>
    <row r="500" spans="1:32" ht="12.75" customHeight="1" x14ac:dyDescent="0.3">
      <c r="A500" s="61">
        <v>499</v>
      </c>
      <c r="B500" s="61">
        <v>126</v>
      </c>
      <c r="C500" s="62" t="s">
        <v>847</v>
      </c>
      <c r="D500" s="62" t="s">
        <v>713</v>
      </c>
      <c r="E500" s="62" t="s">
        <v>32</v>
      </c>
      <c r="F500" s="62" t="s">
        <v>33</v>
      </c>
      <c r="G500" s="62" t="s">
        <v>261</v>
      </c>
      <c r="H500" s="63">
        <v>1</v>
      </c>
      <c r="I500" s="62"/>
      <c r="J500" s="62">
        <v>1</v>
      </c>
      <c r="K500" s="62">
        <v>0</v>
      </c>
      <c r="L500" s="62">
        <v>15</v>
      </c>
      <c r="M500" s="62">
        <v>2</v>
      </c>
      <c r="N500" s="62">
        <v>7</v>
      </c>
      <c r="O500" s="62" t="s">
        <v>32</v>
      </c>
      <c r="P500" s="62" t="s">
        <v>864</v>
      </c>
      <c r="Q500" s="64">
        <v>24.15</v>
      </c>
      <c r="R500" s="65">
        <f>16/50</f>
        <v>0.32</v>
      </c>
      <c r="S500" s="66"/>
      <c r="T500" s="66"/>
      <c r="U500" s="66">
        <v>5.58</v>
      </c>
      <c r="V500" s="66">
        <f>(5.828103-U500)*SQRT(W500)</f>
        <v>1.7543531373272567</v>
      </c>
      <c r="W500" s="62">
        <v>50</v>
      </c>
      <c r="X500" s="62">
        <v>0</v>
      </c>
      <c r="Y500" s="62">
        <v>0</v>
      </c>
      <c r="Z500" s="62" t="s">
        <v>417</v>
      </c>
      <c r="AA500" s="62"/>
      <c r="AB500" s="62" t="s">
        <v>17</v>
      </c>
      <c r="AC500" s="62" t="s">
        <v>17</v>
      </c>
      <c r="AD500" s="61" t="s">
        <v>17</v>
      </c>
      <c r="AF500" s="4" t="s">
        <v>848</v>
      </c>
    </row>
    <row r="501" spans="1:32" ht="12.75" customHeight="1" x14ac:dyDescent="0.3">
      <c r="A501" s="61">
        <v>500</v>
      </c>
      <c r="B501" s="61">
        <v>126</v>
      </c>
      <c r="C501" s="62" t="s">
        <v>847</v>
      </c>
      <c r="D501" s="62" t="s">
        <v>713</v>
      </c>
      <c r="E501" s="62" t="s">
        <v>26</v>
      </c>
      <c r="F501" s="62" t="s">
        <v>33</v>
      </c>
      <c r="G501" s="62" t="s">
        <v>2</v>
      </c>
      <c r="H501" s="63">
        <v>1</v>
      </c>
      <c r="I501" s="62"/>
      <c r="J501" s="62">
        <v>1</v>
      </c>
      <c r="K501" s="62">
        <v>0</v>
      </c>
      <c r="L501" s="62">
        <v>15</v>
      </c>
      <c r="M501" s="62">
        <v>2</v>
      </c>
      <c r="N501" s="62">
        <v>7</v>
      </c>
      <c r="O501" s="62" t="s">
        <v>32</v>
      </c>
      <c r="P501" s="62" t="s">
        <v>864</v>
      </c>
      <c r="Q501" s="64">
        <v>23.49</v>
      </c>
      <c r="R501" s="65">
        <f>17/50</f>
        <v>0.34</v>
      </c>
      <c r="S501" s="66"/>
      <c r="T501" s="66"/>
      <c r="U501" s="66">
        <v>5.27</v>
      </c>
      <c r="V501" s="66">
        <f>(5.56931-U501)*SQRT(W501)</f>
        <v>2.0951700000000013</v>
      </c>
      <c r="W501" s="62">
        <v>49</v>
      </c>
      <c r="X501" s="62">
        <v>0</v>
      </c>
      <c r="Y501" s="62">
        <v>0</v>
      </c>
      <c r="Z501" s="62" t="s">
        <v>417</v>
      </c>
      <c r="AA501" s="62"/>
      <c r="AB501" s="62" t="s">
        <v>17</v>
      </c>
      <c r="AC501" s="62" t="s">
        <v>17</v>
      </c>
      <c r="AD501" s="61" t="s">
        <v>17</v>
      </c>
      <c r="AF501" s="4" t="s">
        <v>848</v>
      </c>
    </row>
    <row r="502" spans="1:32" ht="12.75" customHeight="1" x14ac:dyDescent="0.3">
      <c r="A502" s="61">
        <v>501</v>
      </c>
      <c r="B502" s="61">
        <v>127</v>
      </c>
      <c r="C502" s="62" t="s">
        <v>867</v>
      </c>
      <c r="D502" s="62" t="s">
        <v>224</v>
      </c>
      <c r="E502" s="62" t="s">
        <v>26</v>
      </c>
      <c r="F502" s="62" t="s">
        <v>862</v>
      </c>
      <c r="G502" s="62" t="s">
        <v>2</v>
      </c>
      <c r="H502" s="63">
        <v>1</v>
      </c>
      <c r="I502" s="62"/>
      <c r="J502" s="62" t="s">
        <v>51</v>
      </c>
      <c r="K502" s="62">
        <v>0</v>
      </c>
      <c r="L502" s="62">
        <v>22</v>
      </c>
      <c r="M502" s="62">
        <v>1</v>
      </c>
      <c r="N502" s="62">
        <v>0</v>
      </c>
      <c r="O502" s="62">
        <v>1</v>
      </c>
      <c r="P502" s="62" t="s">
        <v>866</v>
      </c>
      <c r="Q502" s="64">
        <v>9</v>
      </c>
      <c r="R502" s="65">
        <f>3/11</f>
        <v>0.27272727272727271</v>
      </c>
      <c r="S502" s="66">
        <v>12.09</v>
      </c>
      <c r="T502" s="66">
        <v>2.81</v>
      </c>
      <c r="U502" s="66">
        <v>13.27</v>
      </c>
      <c r="V502" s="66">
        <v>2.4900000000000002</v>
      </c>
      <c r="W502" s="62">
        <v>11</v>
      </c>
      <c r="X502" s="62">
        <v>0</v>
      </c>
      <c r="Y502" s="62">
        <v>0</v>
      </c>
      <c r="Z502" s="62" t="s">
        <v>868</v>
      </c>
      <c r="AA502" s="62" t="s">
        <v>1498</v>
      </c>
      <c r="AB502" s="62" t="s">
        <v>17</v>
      </c>
      <c r="AC502" s="62" t="s">
        <v>17</v>
      </c>
      <c r="AD502" s="61" t="s">
        <v>17</v>
      </c>
      <c r="AF502" s="4" t="s">
        <v>861</v>
      </c>
    </row>
    <row r="503" spans="1:32" ht="12.75" customHeight="1" x14ac:dyDescent="0.3">
      <c r="A503" s="61">
        <v>502</v>
      </c>
      <c r="B503" s="61">
        <v>128</v>
      </c>
      <c r="C503" s="62" t="s">
        <v>869</v>
      </c>
      <c r="D503" s="62" t="s">
        <v>870</v>
      </c>
      <c r="E503" s="62" t="s">
        <v>871</v>
      </c>
      <c r="F503" s="62" t="s">
        <v>862</v>
      </c>
      <c r="G503" s="62" t="s">
        <v>2</v>
      </c>
      <c r="H503" s="63">
        <v>0</v>
      </c>
      <c r="I503" s="62"/>
      <c r="J503" s="62">
        <v>1</v>
      </c>
      <c r="K503" s="62">
        <v>0</v>
      </c>
      <c r="L503" s="62">
        <v>25</v>
      </c>
      <c r="M503" s="62">
        <v>1</v>
      </c>
      <c r="N503" s="62">
        <v>0</v>
      </c>
      <c r="O503" s="62">
        <v>1</v>
      </c>
      <c r="P503" s="62" t="s">
        <v>873</v>
      </c>
      <c r="Q503" s="64">
        <f>AVERAGE(7,11)</f>
        <v>9</v>
      </c>
      <c r="R503" s="65">
        <f>8/18</f>
        <v>0.44444444444444442</v>
      </c>
      <c r="S503" s="66">
        <v>0.59799999999999998</v>
      </c>
      <c r="T503" s="66">
        <v>0.156</v>
      </c>
      <c r="U503" s="66">
        <v>0.8</v>
      </c>
      <c r="V503" s="66">
        <v>0.14000000000000001</v>
      </c>
      <c r="W503" s="62">
        <v>18</v>
      </c>
      <c r="X503" s="62">
        <v>0</v>
      </c>
      <c r="Y503" s="62">
        <v>0</v>
      </c>
      <c r="Z503" s="62" t="s">
        <v>237</v>
      </c>
      <c r="AA503" s="62" t="s">
        <v>1349</v>
      </c>
      <c r="AB503" s="62" t="s">
        <v>17</v>
      </c>
      <c r="AC503" s="62" t="s">
        <v>17</v>
      </c>
      <c r="AD503" s="61" t="s">
        <v>17</v>
      </c>
      <c r="AF503" s="4" t="s">
        <v>872</v>
      </c>
    </row>
    <row r="504" spans="1:32" ht="12.75" customHeight="1" x14ac:dyDescent="0.3">
      <c r="A504" s="61">
        <v>503</v>
      </c>
      <c r="B504" s="61">
        <v>128</v>
      </c>
      <c r="C504" s="62" t="s">
        <v>869</v>
      </c>
      <c r="D504" s="62" t="s">
        <v>870</v>
      </c>
      <c r="E504" s="62" t="s">
        <v>871</v>
      </c>
      <c r="F504" s="62" t="s">
        <v>885</v>
      </c>
      <c r="G504" s="62" t="s">
        <v>2</v>
      </c>
      <c r="H504" s="63">
        <v>0</v>
      </c>
      <c r="I504" s="62"/>
      <c r="J504" s="62" t="s">
        <v>51</v>
      </c>
      <c r="K504" s="62">
        <v>0</v>
      </c>
      <c r="L504" s="62">
        <v>25</v>
      </c>
      <c r="M504" s="62">
        <v>1</v>
      </c>
      <c r="N504" s="62">
        <v>0</v>
      </c>
      <c r="O504" s="62">
        <v>1</v>
      </c>
      <c r="P504" s="62" t="s">
        <v>873</v>
      </c>
      <c r="Q504" s="64">
        <f>AVERAGE(7,11)</f>
        <v>9</v>
      </c>
      <c r="R504" s="65">
        <f>10/18</f>
        <v>0.55555555555555558</v>
      </c>
      <c r="S504" s="66">
        <v>0.62560000000000004</v>
      </c>
      <c r="T504" s="66">
        <v>0.10868999999999999</v>
      </c>
      <c r="U504" s="66">
        <v>0.72609999999999997</v>
      </c>
      <c r="V504" s="66">
        <v>0.11505</v>
      </c>
      <c r="W504" s="62">
        <v>18</v>
      </c>
      <c r="X504" s="62">
        <v>0</v>
      </c>
      <c r="Y504" s="62">
        <v>0</v>
      </c>
      <c r="Z504" s="62" t="s">
        <v>1198</v>
      </c>
      <c r="AA504" s="62" t="s">
        <v>1354</v>
      </c>
      <c r="AB504" s="62" t="s">
        <v>17</v>
      </c>
      <c r="AC504" s="62" t="s">
        <v>17</v>
      </c>
      <c r="AD504" s="61" t="s">
        <v>17</v>
      </c>
      <c r="AF504" s="4" t="s">
        <v>872</v>
      </c>
    </row>
    <row r="505" spans="1:32" ht="12.75" customHeight="1" x14ac:dyDescent="0.3">
      <c r="A505" s="61">
        <v>504</v>
      </c>
      <c r="B505" s="61">
        <v>129</v>
      </c>
      <c r="C505" s="62" t="s">
        <v>880</v>
      </c>
      <c r="D505" s="62" t="s">
        <v>224</v>
      </c>
      <c r="E505" s="62" t="s">
        <v>26</v>
      </c>
      <c r="F505" s="62" t="s">
        <v>881</v>
      </c>
      <c r="G505" s="62" t="s">
        <v>2</v>
      </c>
      <c r="H505" s="63">
        <v>1</v>
      </c>
      <c r="I505" s="62"/>
      <c r="J505" s="62" t="s">
        <v>51</v>
      </c>
      <c r="K505" s="62">
        <v>1</v>
      </c>
      <c r="L505" s="62">
        <v>120</v>
      </c>
      <c r="M505" s="62">
        <v>1</v>
      </c>
      <c r="N505" s="62">
        <v>0</v>
      </c>
      <c r="O505" s="62" t="s">
        <v>32</v>
      </c>
      <c r="P505" s="62" t="s">
        <v>882</v>
      </c>
      <c r="Q505" s="64">
        <v>19</v>
      </c>
      <c r="R505" s="65">
        <f>10/(58+47)</f>
        <v>9.5238095238095233E-2</v>
      </c>
      <c r="S505" s="66"/>
      <c r="T505" s="66"/>
      <c r="U505" s="66">
        <v>5.76</v>
      </c>
      <c r="V505" s="66">
        <v>1.53</v>
      </c>
      <c r="W505" s="62">
        <v>58</v>
      </c>
      <c r="X505" s="62">
        <v>0</v>
      </c>
      <c r="Y505" s="62">
        <v>0</v>
      </c>
      <c r="Z505" s="62" t="s">
        <v>280</v>
      </c>
      <c r="AA505" s="62" t="s">
        <v>1363</v>
      </c>
      <c r="AB505" s="62" t="s">
        <v>17</v>
      </c>
      <c r="AC505" s="62" t="s">
        <v>17</v>
      </c>
      <c r="AD505" s="61" t="s">
        <v>17</v>
      </c>
      <c r="AF505" s="4" t="s">
        <v>899</v>
      </c>
    </row>
    <row r="506" spans="1:32" ht="12.75" customHeight="1" x14ac:dyDescent="0.3">
      <c r="A506" s="61">
        <v>505</v>
      </c>
      <c r="B506" s="61">
        <v>129</v>
      </c>
      <c r="C506" s="62" t="s">
        <v>879</v>
      </c>
      <c r="D506" s="62" t="s">
        <v>224</v>
      </c>
      <c r="E506" s="62" t="s">
        <v>32</v>
      </c>
      <c r="F506" s="62" t="s">
        <v>881</v>
      </c>
      <c r="G506" s="62" t="s">
        <v>34</v>
      </c>
      <c r="H506" s="63">
        <v>1</v>
      </c>
      <c r="I506" s="62"/>
      <c r="J506" s="62" t="s">
        <v>51</v>
      </c>
      <c r="K506" s="62" t="s">
        <v>32</v>
      </c>
      <c r="L506" s="62">
        <v>120</v>
      </c>
      <c r="M506" s="62">
        <v>1</v>
      </c>
      <c r="N506" s="62">
        <v>0</v>
      </c>
      <c r="O506" s="62" t="s">
        <v>32</v>
      </c>
      <c r="P506" s="62" t="s">
        <v>882</v>
      </c>
      <c r="Q506" s="64">
        <v>19</v>
      </c>
      <c r="R506" s="65">
        <f>10/(58+47)</f>
        <v>9.5238095238095233E-2</v>
      </c>
      <c r="S506" s="66"/>
      <c r="T506" s="66"/>
      <c r="U506" s="66">
        <v>4.96</v>
      </c>
      <c r="V506" s="66">
        <v>1.77</v>
      </c>
      <c r="W506" s="62">
        <v>47</v>
      </c>
      <c r="X506" s="62">
        <v>0</v>
      </c>
      <c r="Y506" s="62">
        <v>0</v>
      </c>
      <c r="Z506" s="62" t="s">
        <v>280</v>
      </c>
      <c r="AA506" s="62"/>
      <c r="AB506" s="62" t="s">
        <v>17</v>
      </c>
      <c r="AC506" s="62" t="s">
        <v>17</v>
      </c>
      <c r="AD506" s="61" t="s">
        <v>17</v>
      </c>
      <c r="AF506" s="4" t="s">
        <v>899</v>
      </c>
    </row>
    <row r="507" spans="1:32" ht="12.75" customHeight="1" x14ac:dyDescent="0.3">
      <c r="A507" s="61">
        <v>506</v>
      </c>
      <c r="B507" s="61">
        <v>130</v>
      </c>
      <c r="C507" s="62" t="s">
        <v>883</v>
      </c>
      <c r="D507" s="62" t="s">
        <v>224</v>
      </c>
      <c r="E507" s="62" t="s">
        <v>26</v>
      </c>
      <c r="F507" s="62" t="s">
        <v>884</v>
      </c>
      <c r="G507" s="62" t="s">
        <v>2</v>
      </c>
      <c r="H507" s="63">
        <v>1</v>
      </c>
      <c r="I507" s="62"/>
      <c r="J507" s="62" t="s">
        <v>51</v>
      </c>
      <c r="K507" s="62">
        <v>0</v>
      </c>
      <c r="L507" s="77">
        <f>377/60</f>
        <v>6.2833333333333332</v>
      </c>
      <c r="M507" s="62">
        <v>1</v>
      </c>
      <c r="N507" s="62">
        <v>0</v>
      </c>
      <c r="O507" s="62">
        <v>1</v>
      </c>
      <c r="P507" s="62" t="s">
        <v>886</v>
      </c>
      <c r="Q507" s="64">
        <v>4</v>
      </c>
      <c r="R507" s="65">
        <f>10/25</f>
        <v>0.4</v>
      </c>
      <c r="S507" s="66">
        <v>9.25</v>
      </c>
      <c r="T507" s="66">
        <v>2.0499999999999998</v>
      </c>
      <c r="U507" s="66">
        <v>14.14</v>
      </c>
      <c r="V507" s="66">
        <v>2.8</v>
      </c>
      <c r="W507" s="62">
        <v>7</v>
      </c>
      <c r="X507" s="62">
        <v>0</v>
      </c>
      <c r="Y507" s="62">
        <v>0</v>
      </c>
      <c r="Z507" s="62" t="s">
        <v>887</v>
      </c>
      <c r="AA507" s="62" t="s">
        <v>1499</v>
      </c>
      <c r="AB507" s="62" t="s">
        <v>17</v>
      </c>
      <c r="AC507" s="62" t="s">
        <v>17</v>
      </c>
      <c r="AD507" s="61" t="s">
        <v>17</v>
      </c>
      <c r="AF507" s="4" t="s">
        <v>900</v>
      </c>
    </row>
    <row r="508" spans="1:32" ht="12.75" customHeight="1" x14ac:dyDescent="0.3">
      <c r="A508" s="61">
        <v>507</v>
      </c>
      <c r="B508" s="61">
        <v>130</v>
      </c>
      <c r="C508" s="62" t="s">
        <v>883</v>
      </c>
      <c r="D508" s="62" t="s">
        <v>224</v>
      </c>
      <c r="E508" s="62" t="s">
        <v>32</v>
      </c>
      <c r="F508" s="62" t="s">
        <v>884</v>
      </c>
      <c r="G508" s="62" t="s">
        <v>34</v>
      </c>
      <c r="H508" s="63">
        <v>1</v>
      </c>
      <c r="I508" s="62"/>
      <c r="J508" s="62" t="s">
        <v>51</v>
      </c>
      <c r="K508" s="62" t="s">
        <v>32</v>
      </c>
      <c r="L508" s="77">
        <f>377/60</f>
        <v>6.2833333333333332</v>
      </c>
      <c r="M508" s="62">
        <v>1</v>
      </c>
      <c r="N508" s="62">
        <v>0</v>
      </c>
      <c r="O508" s="62">
        <v>1</v>
      </c>
      <c r="P508" s="62" t="s">
        <v>886</v>
      </c>
      <c r="Q508" s="64">
        <v>4</v>
      </c>
      <c r="R508" s="65">
        <f>10/25</f>
        <v>0.4</v>
      </c>
      <c r="S508" s="66">
        <v>7.87</v>
      </c>
      <c r="T508" s="66">
        <v>2.97</v>
      </c>
      <c r="U508" s="66">
        <v>12.7</v>
      </c>
      <c r="V508" s="66">
        <v>3.7</v>
      </c>
      <c r="W508" s="62">
        <v>10</v>
      </c>
      <c r="X508" s="62">
        <v>0</v>
      </c>
      <c r="Y508" s="62">
        <v>0</v>
      </c>
      <c r="Z508" s="62" t="s">
        <v>887</v>
      </c>
      <c r="AA508" s="62" t="s">
        <v>1335</v>
      </c>
      <c r="AB508" s="62" t="s">
        <v>17</v>
      </c>
      <c r="AC508" s="62" t="s">
        <v>17</v>
      </c>
      <c r="AD508" s="61" t="s">
        <v>17</v>
      </c>
      <c r="AF508" s="4" t="s">
        <v>900</v>
      </c>
    </row>
    <row r="509" spans="1:32" ht="12.75" customHeight="1" x14ac:dyDescent="0.3">
      <c r="A509" s="61">
        <v>508</v>
      </c>
      <c r="B509" s="61">
        <v>131</v>
      </c>
      <c r="C509" s="78" t="s">
        <v>1239</v>
      </c>
      <c r="D509" s="62" t="s">
        <v>224</v>
      </c>
      <c r="E509" s="62" t="s">
        <v>26</v>
      </c>
      <c r="F509" s="62" t="s">
        <v>862</v>
      </c>
      <c r="G509" s="62" t="s">
        <v>2</v>
      </c>
      <c r="H509" s="63">
        <v>1</v>
      </c>
      <c r="I509" s="62"/>
      <c r="J509" s="62" t="s">
        <v>51</v>
      </c>
      <c r="K509" s="62">
        <v>0</v>
      </c>
      <c r="L509" s="62">
        <v>45</v>
      </c>
      <c r="M509" s="62">
        <v>1</v>
      </c>
      <c r="N509" s="62">
        <v>0</v>
      </c>
      <c r="O509" s="62">
        <v>1</v>
      </c>
      <c r="P509" s="62" t="s">
        <v>892</v>
      </c>
      <c r="Q509" s="64">
        <v>12</v>
      </c>
      <c r="R509" s="65">
        <f>0.5</f>
        <v>0.5</v>
      </c>
      <c r="S509" s="66">
        <v>4</v>
      </c>
      <c r="T509" s="66">
        <v>1.82</v>
      </c>
      <c r="U509" s="66">
        <v>7</v>
      </c>
      <c r="V509" s="66">
        <v>1.75</v>
      </c>
      <c r="W509" s="62">
        <v>10</v>
      </c>
      <c r="X509" s="62">
        <v>0</v>
      </c>
      <c r="Y509" s="62">
        <v>0</v>
      </c>
      <c r="Z509" s="62" t="s">
        <v>891</v>
      </c>
      <c r="AA509" s="62" t="s">
        <v>889</v>
      </c>
      <c r="AB509" s="62" t="s">
        <v>17</v>
      </c>
      <c r="AC509" s="62" t="s">
        <v>17</v>
      </c>
      <c r="AD509" s="61" t="s">
        <v>17</v>
      </c>
      <c r="AF509" s="4" t="s">
        <v>890</v>
      </c>
    </row>
    <row r="510" spans="1:32" ht="12.75" customHeight="1" x14ac:dyDescent="0.3">
      <c r="A510" s="61">
        <v>509</v>
      </c>
      <c r="B510" s="61">
        <v>132</v>
      </c>
      <c r="C510" s="62" t="s">
        <v>893</v>
      </c>
      <c r="D510" s="62" t="s">
        <v>62</v>
      </c>
      <c r="E510" s="62" t="s">
        <v>422</v>
      </c>
      <c r="F510" s="62" t="s">
        <v>894</v>
      </c>
      <c r="G510" s="62" t="s">
        <v>2</v>
      </c>
      <c r="H510" s="63">
        <v>0</v>
      </c>
      <c r="I510" s="62"/>
      <c r="J510" s="62" t="s">
        <v>51</v>
      </c>
      <c r="K510" s="62">
        <v>1</v>
      </c>
      <c r="L510" s="62">
        <f>45*10</f>
        <v>450</v>
      </c>
      <c r="M510" s="62">
        <v>10</v>
      </c>
      <c r="N510" s="62">
        <v>3.5</v>
      </c>
      <c r="O510" s="62" t="s">
        <v>28</v>
      </c>
      <c r="P510" s="62" t="s">
        <v>896</v>
      </c>
      <c r="Q510" s="64">
        <v>13</v>
      </c>
      <c r="R510" s="65" t="s">
        <v>28</v>
      </c>
      <c r="S510" s="66">
        <v>2.9</v>
      </c>
      <c r="T510" s="66">
        <v>0.69</v>
      </c>
      <c r="U510" s="66">
        <v>3.29</v>
      </c>
      <c r="V510" s="66">
        <v>0.7</v>
      </c>
      <c r="W510" s="62">
        <v>51</v>
      </c>
      <c r="X510" s="62">
        <v>0</v>
      </c>
      <c r="Y510" s="62">
        <v>0</v>
      </c>
      <c r="Z510" s="62" t="s">
        <v>210</v>
      </c>
      <c r="AA510" s="62" t="s">
        <v>897</v>
      </c>
      <c r="AB510" s="62" t="s">
        <v>17</v>
      </c>
      <c r="AC510" s="62" t="s">
        <v>17</v>
      </c>
      <c r="AD510" s="61" t="s">
        <v>17</v>
      </c>
      <c r="AF510" s="4" t="s">
        <v>895</v>
      </c>
    </row>
    <row r="511" spans="1:32" ht="12.75" customHeight="1" x14ac:dyDescent="0.3">
      <c r="A511" s="61">
        <v>510</v>
      </c>
      <c r="B511" s="61">
        <v>132</v>
      </c>
      <c r="C511" s="62" t="s">
        <v>893</v>
      </c>
      <c r="D511" s="62" t="s">
        <v>62</v>
      </c>
      <c r="E511" s="62" t="s">
        <v>32</v>
      </c>
      <c r="F511" s="62" t="s">
        <v>894</v>
      </c>
      <c r="G511" s="62" t="s">
        <v>34</v>
      </c>
      <c r="H511" s="63">
        <v>0</v>
      </c>
      <c r="I511" s="62"/>
      <c r="J511" s="62" t="s">
        <v>51</v>
      </c>
      <c r="K511" s="62" t="s">
        <v>32</v>
      </c>
      <c r="L511" s="62">
        <f>45*10</f>
        <v>450</v>
      </c>
      <c r="M511" s="62">
        <v>10</v>
      </c>
      <c r="N511" s="62">
        <v>3.5</v>
      </c>
      <c r="O511" s="62" t="s">
        <v>28</v>
      </c>
      <c r="P511" s="62" t="s">
        <v>896</v>
      </c>
      <c r="Q511" s="64">
        <v>13</v>
      </c>
      <c r="R511" s="65" t="s">
        <v>28</v>
      </c>
      <c r="S511" s="66">
        <v>2.93</v>
      </c>
      <c r="T511" s="66">
        <v>0.77</v>
      </c>
      <c r="U511" s="66">
        <v>2.97</v>
      </c>
      <c r="V511" s="66">
        <v>0.69</v>
      </c>
      <c r="W511" s="62">
        <v>52</v>
      </c>
      <c r="X511" s="62">
        <v>0</v>
      </c>
      <c r="Y511" s="62">
        <v>0</v>
      </c>
      <c r="Z511" s="62" t="s">
        <v>210</v>
      </c>
      <c r="AA511" s="62"/>
      <c r="AB511" s="62" t="s">
        <v>17</v>
      </c>
      <c r="AC511" s="62" t="s">
        <v>17</v>
      </c>
      <c r="AD511" s="61" t="s">
        <v>17</v>
      </c>
      <c r="AF511" s="4" t="s">
        <v>895</v>
      </c>
    </row>
    <row r="512" spans="1:32" ht="12.75" customHeight="1" x14ac:dyDescent="0.3">
      <c r="A512" s="61">
        <v>511</v>
      </c>
      <c r="B512" s="61">
        <v>133</v>
      </c>
      <c r="C512" s="62" t="s">
        <v>928</v>
      </c>
      <c r="D512" s="62" t="s">
        <v>41</v>
      </c>
      <c r="E512" s="62" t="s">
        <v>26</v>
      </c>
      <c r="F512" s="62" t="s">
        <v>1089</v>
      </c>
      <c r="G512" s="62" t="s">
        <v>2</v>
      </c>
      <c r="H512" s="63">
        <v>0</v>
      </c>
      <c r="I512" s="62" t="s">
        <v>1096</v>
      </c>
      <c r="J512" s="62">
        <v>1</v>
      </c>
      <c r="K512" s="62">
        <v>0</v>
      </c>
      <c r="L512" s="62">
        <v>13</v>
      </c>
      <c r="M512" s="62">
        <v>1</v>
      </c>
      <c r="N512" s="62">
        <v>0</v>
      </c>
      <c r="O512" s="62" t="s">
        <v>32</v>
      </c>
      <c r="P512" s="62" t="s">
        <v>1090</v>
      </c>
      <c r="Q512" s="64">
        <v>20.48</v>
      </c>
      <c r="R512" s="65">
        <v>0.5</v>
      </c>
      <c r="S512" s="66"/>
      <c r="T512" s="66"/>
      <c r="U512" s="66">
        <v>0.82099999999999995</v>
      </c>
      <c r="V512" s="66">
        <v>0.108</v>
      </c>
      <c r="W512" s="62">
        <v>10</v>
      </c>
      <c r="X512" s="62">
        <v>0</v>
      </c>
      <c r="Y512" s="62">
        <v>0</v>
      </c>
      <c r="Z512" s="62" t="s">
        <v>66</v>
      </c>
      <c r="AA512" s="62" t="s">
        <v>1645</v>
      </c>
      <c r="AB512" s="62" t="s">
        <v>17</v>
      </c>
      <c r="AC512" s="62" t="s">
        <v>17</v>
      </c>
      <c r="AD512" s="61" t="s">
        <v>17</v>
      </c>
      <c r="AF512" s="11" t="s">
        <v>1088</v>
      </c>
    </row>
    <row r="513" spans="1:32" ht="12.75" customHeight="1" x14ac:dyDescent="0.3">
      <c r="A513" s="61">
        <v>512</v>
      </c>
      <c r="B513" s="61">
        <v>133</v>
      </c>
      <c r="C513" s="62" t="s">
        <v>928</v>
      </c>
      <c r="D513" s="62" t="s">
        <v>41</v>
      </c>
      <c r="E513" s="62" t="s">
        <v>32</v>
      </c>
      <c r="F513" s="62" t="s">
        <v>1089</v>
      </c>
      <c r="G513" s="62" t="s">
        <v>64</v>
      </c>
      <c r="H513" s="63">
        <v>0</v>
      </c>
      <c r="I513" s="62" t="s">
        <v>1098</v>
      </c>
      <c r="J513" s="62">
        <v>1</v>
      </c>
      <c r="K513" s="62" t="s">
        <v>32</v>
      </c>
      <c r="L513" s="62">
        <v>13</v>
      </c>
      <c r="M513" s="62">
        <v>1</v>
      </c>
      <c r="N513" s="62">
        <v>0</v>
      </c>
      <c r="O513" s="62" t="s">
        <v>32</v>
      </c>
      <c r="P513" s="62" t="s">
        <v>1090</v>
      </c>
      <c r="Q513" s="64">
        <v>20.48</v>
      </c>
      <c r="R513" s="65">
        <v>0.5</v>
      </c>
      <c r="S513" s="66"/>
      <c r="T513" s="66"/>
      <c r="U513" s="66">
        <v>0.88600000000000001</v>
      </c>
      <c r="V513" s="66">
        <v>0.10199999999999999</v>
      </c>
      <c r="W513" s="62">
        <v>10</v>
      </c>
      <c r="X513" s="62">
        <v>0</v>
      </c>
      <c r="Y513" s="62">
        <v>0</v>
      </c>
      <c r="Z513" s="62" t="s">
        <v>66</v>
      </c>
      <c r="AA513" s="62"/>
      <c r="AB513" s="62" t="s">
        <v>17</v>
      </c>
      <c r="AC513" s="62" t="s">
        <v>17</v>
      </c>
      <c r="AD513" s="61" t="s">
        <v>17</v>
      </c>
      <c r="AF513" s="11" t="s">
        <v>1088</v>
      </c>
    </row>
    <row r="514" spans="1:32" ht="12.75" customHeight="1" x14ac:dyDescent="0.3">
      <c r="A514" s="61">
        <v>513</v>
      </c>
      <c r="B514" s="61">
        <v>133</v>
      </c>
      <c r="C514" s="62" t="s">
        <v>928</v>
      </c>
      <c r="D514" s="62" t="s">
        <v>41</v>
      </c>
      <c r="E514" s="62" t="s">
        <v>32</v>
      </c>
      <c r="F514" s="62" t="s">
        <v>1089</v>
      </c>
      <c r="G514" s="62" t="s">
        <v>34</v>
      </c>
      <c r="H514" s="63">
        <v>0</v>
      </c>
      <c r="I514" s="62" t="s">
        <v>1097</v>
      </c>
      <c r="J514" s="62">
        <v>1</v>
      </c>
      <c r="K514" s="62" t="s">
        <v>32</v>
      </c>
      <c r="L514" s="62">
        <v>13</v>
      </c>
      <c r="M514" s="62">
        <v>1</v>
      </c>
      <c r="N514" s="62">
        <v>0</v>
      </c>
      <c r="O514" s="62" t="s">
        <v>32</v>
      </c>
      <c r="P514" s="62" t="s">
        <v>1090</v>
      </c>
      <c r="Q514" s="64">
        <v>20.48</v>
      </c>
      <c r="R514" s="65">
        <v>0.5</v>
      </c>
      <c r="S514" s="66"/>
      <c r="T514" s="66"/>
      <c r="U514" s="66">
        <v>0.89300000000000002</v>
      </c>
      <c r="V514" s="66">
        <v>6.9000000000000006E-2</v>
      </c>
      <c r="W514" s="62">
        <v>10</v>
      </c>
      <c r="X514" s="62">
        <v>0</v>
      </c>
      <c r="Y514" s="62">
        <v>0</v>
      </c>
      <c r="Z514" s="62" t="s">
        <v>66</v>
      </c>
      <c r="AA514" s="62"/>
      <c r="AB514" s="62" t="s">
        <v>17</v>
      </c>
      <c r="AC514" s="62" t="s">
        <v>17</v>
      </c>
      <c r="AD514" s="61" t="s">
        <v>17</v>
      </c>
      <c r="AF514" s="11" t="s">
        <v>1088</v>
      </c>
    </row>
    <row r="515" spans="1:32" ht="12.75" customHeight="1" x14ac:dyDescent="0.3">
      <c r="A515" s="61">
        <v>514</v>
      </c>
      <c r="B515" s="61">
        <v>133</v>
      </c>
      <c r="C515" s="62" t="s">
        <v>928</v>
      </c>
      <c r="D515" s="62" t="s">
        <v>41</v>
      </c>
      <c r="E515" s="62" t="s">
        <v>32</v>
      </c>
      <c r="F515" s="62" t="s">
        <v>1089</v>
      </c>
      <c r="G515" s="62" t="s">
        <v>64</v>
      </c>
      <c r="H515" s="63">
        <v>0</v>
      </c>
      <c r="I515" s="62" t="s">
        <v>1099</v>
      </c>
      <c r="J515" s="62">
        <v>1</v>
      </c>
      <c r="K515" s="62" t="s">
        <v>32</v>
      </c>
      <c r="L515" s="62">
        <v>13</v>
      </c>
      <c r="M515" s="62">
        <v>1</v>
      </c>
      <c r="N515" s="62">
        <v>0</v>
      </c>
      <c r="O515" s="62" t="s">
        <v>32</v>
      </c>
      <c r="P515" s="62" t="s">
        <v>1090</v>
      </c>
      <c r="Q515" s="64">
        <v>20.48</v>
      </c>
      <c r="R515" s="65">
        <v>0.5</v>
      </c>
      <c r="S515" s="66"/>
      <c r="T515" s="66"/>
      <c r="U515" s="66">
        <v>0.8</v>
      </c>
      <c r="V515" s="66">
        <v>0.154</v>
      </c>
      <c r="W515" s="62">
        <v>10</v>
      </c>
      <c r="X515" s="62">
        <v>0</v>
      </c>
      <c r="Y515" s="62">
        <v>0</v>
      </c>
      <c r="Z515" s="62" t="s">
        <v>66</v>
      </c>
      <c r="AA515" s="62"/>
      <c r="AB515" s="62" t="s">
        <v>17</v>
      </c>
      <c r="AC515" s="62" t="s">
        <v>17</v>
      </c>
      <c r="AD515" s="61" t="s">
        <v>17</v>
      </c>
      <c r="AF515" s="11" t="s">
        <v>1088</v>
      </c>
    </row>
    <row r="516" spans="1:32" ht="12.75" customHeight="1" x14ac:dyDescent="0.3">
      <c r="A516" s="61">
        <v>515</v>
      </c>
      <c r="B516" s="61">
        <v>134</v>
      </c>
      <c r="C516" s="62" t="s">
        <v>930</v>
      </c>
      <c r="D516" s="62" t="s">
        <v>434</v>
      </c>
      <c r="E516" s="62" t="s">
        <v>451</v>
      </c>
      <c r="F516" s="62" t="s">
        <v>1200</v>
      </c>
      <c r="G516" s="62" t="s">
        <v>2</v>
      </c>
      <c r="H516" s="63">
        <v>0</v>
      </c>
      <c r="I516" s="62"/>
      <c r="J516" s="62">
        <v>1</v>
      </c>
      <c r="K516" s="62">
        <v>0</v>
      </c>
      <c r="L516" s="62">
        <v>30</v>
      </c>
      <c r="M516" s="62">
        <v>1</v>
      </c>
      <c r="N516" s="62">
        <v>0</v>
      </c>
      <c r="O516" s="62">
        <v>1</v>
      </c>
      <c r="P516" s="62" t="s">
        <v>1201</v>
      </c>
      <c r="Q516" s="64">
        <v>24.1</v>
      </c>
      <c r="R516" s="65">
        <v>0.6333333333333333</v>
      </c>
      <c r="S516" s="66">
        <v>1.3333333333333333</v>
      </c>
      <c r="T516" s="66">
        <v>1.2410599844719317</v>
      </c>
      <c r="U516" s="66">
        <v>4.9000000000000004</v>
      </c>
      <c r="V516" s="66">
        <v>1.1846722229638333</v>
      </c>
      <c r="W516" s="62">
        <f>19+11</f>
        <v>30</v>
      </c>
      <c r="X516" s="62">
        <v>0</v>
      </c>
      <c r="Y516" s="62">
        <v>0</v>
      </c>
      <c r="Z516" s="62" t="s">
        <v>1198</v>
      </c>
      <c r="AA516" s="62" t="s">
        <v>1355</v>
      </c>
      <c r="AB516" s="62" t="s">
        <v>17</v>
      </c>
      <c r="AC516" s="62" t="s">
        <v>17</v>
      </c>
      <c r="AD516" s="61" t="s">
        <v>17</v>
      </c>
      <c r="AF516" s="4" t="s">
        <v>1202</v>
      </c>
    </row>
    <row r="517" spans="1:32" ht="12.75" customHeight="1" x14ac:dyDescent="0.3">
      <c r="A517" s="61">
        <v>516</v>
      </c>
      <c r="B517" s="61">
        <v>134</v>
      </c>
      <c r="C517" s="62" t="s">
        <v>930</v>
      </c>
      <c r="D517" s="62" t="s">
        <v>434</v>
      </c>
      <c r="E517" s="62" t="s">
        <v>32</v>
      </c>
      <c r="F517" s="62" t="s">
        <v>1200</v>
      </c>
      <c r="G517" s="62" t="s">
        <v>64</v>
      </c>
      <c r="H517" s="63">
        <v>0</v>
      </c>
      <c r="I517" s="62"/>
      <c r="J517" s="62">
        <v>1</v>
      </c>
      <c r="K517" s="62">
        <v>0</v>
      </c>
      <c r="L517" s="62">
        <v>30</v>
      </c>
      <c r="M517" s="62">
        <v>1</v>
      </c>
      <c r="N517" s="62">
        <v>0</v>
      </c>
      <c r="O517" s="62">
        <v>1</v>
      </c>
      <c r="P517" s="62" t="s">
        <v>1201</v>
      </c>
      <c r="Q517" s="64">
        <v>25.8</v>
      </c>
      <c r="R517" s="65">
        <v>0.6</v>
      </c>
      <c r="S517" s="66">
        <v>1.9333333333333333</v>
      </c>
      <c r="T517" s="66">
        <v>1.7798359733284477</v>
      </c>
      <c r="U517" s="66">
        <v>4.5666666666666664</v>
      </c>
      <c r="V517" s="66">
        <v>1.1043279539543758</v>
      </c>
      <c r="W517" s="62">
        <f>18+12</f>
        <v>30</v>
      </c>
      <c r="X517" s="62">
        <v>0</v>
      </c>
      <c r="Y517" s="62">
        <v>0</v>
      </c>
      <c r="Z517" s="62" t="s">
        <v>1198</v>
      </c>
      <c r="AA517" s="62"/>
      <c r="AB517" s="62" t="s">
        <v>17</v>
      </c>
      <c r="AC517" s="62" t="s">
        <v>17</v>
      </c>
      <c r="AD517" s="61" t="s">
        <v>17</v>
      </c>
      <c r="AF517" s="4" t="s">
        <v>1202</v>
      </c>
    </row>
    <row r="518" spans="1:32" ht="12.75" customHeight="1" x14ac:dyDescent="0.3">
      <c r="A518" s="61">
        <v>517</v>
      </c>
      <c r="B518" s="61">
        <v>135</v>
      </c>
      <c r="C518" s="62" t="s">
        <v>1247</v>
      </c>
      <c r="D518" s="62" t="s">
        <v>25</v>
      </c>
      <c r="E518" s="62" t="s">
        <v>26</v>
      </c>
      <c r="F518" s="62" t="s">
        <v>33</v>
      </c>
      <c r="G518" s="62" t="s">
        <v>2</v>
      </c>
      <c r="H518" s="63">
        <v>1</v>
      </c>
      <c r="I518" s="62" t="s">
        <v>1204</v>
      </c>
      <c r="J518" s="62">
        <v>1</v>
      </c>
      <c r="K518" s="62">
        <v>0</v>
      </c>
      <c r="L518" s="62">
        <v>18</v>
      </c>
      <c r="M518" s="62">
        <v>1</v>
      </c>
      <c r="N518" s="62">
        <v>0</v>
      </c>
      <c r="O518" s="62">
        <v>1</v>
      </c>
      <c r="P518" s="62" t="s">
        <v>1207</v>
      </c>
      <c r="Q518" s="64">
        <f>68.91/12</f>
        <v>5.7424999999999997</v>
      </c>
      <c r="R518" s="65">
        <f>11/(12+11)</f>
        <v>0.47826086956521741</v>
      </c>
      <c r="S518" s="66">
        <v>2.09</v>
      </c>
      <c r="T518" s="66">
        <v>1.1299999999999999</v>
      </c>
      <c r="U518" s="66">
        <v>2.96</v>
      </c>
      <c r="V518" s="66">
        <v>1.07</v>
      </c>
      <c r="W518" s="62">
        <v>23</v>
      </c>
      <c r="X518" s="62">
        <v>0</v>
      </c>
      <c r="Y518" s="62">
        <v>0</v>
      </c>
      <c r="Z518" s="62" t="s">
        <v>1198</v>
      </c>
      <c r="AA518" s="62" t="s">
        <v>1356</v>
      </c>
      <c r="AB518" s="62" t="s">
        <v>17</v>
      </c>
      <c r="AC518" s="62" t="s">
        <v>17</v>
      </c>
      <c r="AD518" s="61" t="s">
        <v>17</v>
      </c>
      <c r="AF518" s="4" t="s">
        <v>1206</v>
      </c>
    </row>
    <row r="519" spans="1:32" ht="12.75" customHeight="1" x14ac:dyDescent="0.3">
      <c r="A519" s="61">
        <v>518</v>
      </c>
      <c r="B519" s="61">
        <v>135</v>
      </c>
      <c r="C519" s="62" t="s">
        <v>1247</v>
      </c>
      <c r="D519" s="62" t="s">
        <v>25</v>
      </c>
      <c r="E519" s="62" t="s">
        <v>26</v>
      </c>
      <c r="F519" s="62" t="s">
        <v>33</v>
      </c>
      <c r="G519" s="62" t="s">
        <v>2</v>
      </c>
      <c r="H519" s="63">
        <v>1</v>
      </c>
      <c r="I519" s="62" t="s">
        <v>1205</v>
      </c>
      <c r="J519" s="62">
        <v>1</v>
      </c>
      <c r="K519" s="62">
        <v>0</v>
      </c>
      <c r="L519" s="62">
        <v>18</v>
      </c>
      <c r="M519" s="62">
        <v>1</v>
      </c>
      <c r="N519" s="62">
        <v>0</v>
      </c>
      <c r="O519" s="62">
        <v>1</v>
      </c>
      <c r="P519" s="62" t="s">
        <v>1207</v>
      </c>
      <c r="Q519" s="64">
        <f>69.15/12</f>
        <v>5.7625000000000002</v>
      </c>
      <c r="R519" s="65">
        <f>15/(15+11)</f>
        <v>0.57692307692307687</v>
      </c>
      <c r="S519" s="66">
        <v>2.19</v>
      </c>
      <c r="T519" s="66">
        <v>1.17</v>
      </c>
      <c r="U519" s="66">
        <v>3.54</v>
      </c>
      <c r="V519" s="66">
        <v>1.33</v>
      </c>
      <c r="W519" s="62">
        <v>26</v>
      </c>
      <c r="X519" s="62">
        <v>0</v>
      </c>
      <c r="Y519" s="62">
        <v>0</v>
      </c>
      <c r="Z519" s="62" t="s">
        <v>1198</v>
      </c>
      <c r="AA519" s="62"/>
      <c r="AB519" s="62" t="s">
        <v>17</v>
      </c>
      <c r="AC519" s="62" t="s">
        <v>17</v>
      </c>
      <c r="AD519" s="61" t="s">
        <v>17</v>
      </c>
      <c r="AF519" s="4" t="s">
        <v>1206</v>
      </c>
    </row>
    <row r="520" spans="1:32" ht="12.75" customHeight="1" x14ac:dyDescent="0.3">
      <c r="A520" s="61">
        <v>519</v>
      </c>
      <c r="B520" s="61">
        <v>135</v>
      </c>
      <c r="C520" s="62" t="s">
        <v>1247</v>
      </c>
      <c r="D520" s="62" t="s">
        <v>25</v>
      </c>
      <c r="E520" s="62" t="s">
        <v>26</v>
      </c>
      <c r="F520" s="62" t="s">
        <v>33</v>
      </c>
      <c r="G520" s="62" t="s">
        <v>2</v>
      </c>
      <c r="H520" s="63">
        <v>1</v>
      </c>
      <c r="I520" s="62" t="s">
        <v>408</v>
      </c>
      <c r="J520" s="62">
        <v>1</v>
      </c>
      <c r="K520" s="62">
        <v>0</v>
      </c>
      <c r="L520" s="62">
        <v>18</v>
      </c>
      <c r="M520" s="62">
        <v>1</v>
      </c>
      <c r="N520" s="62">
        <v>0</v>
      </c>
      <c r="O520" s="62">
        <v>1</v>
      </c>
      <c r="P520" s="62" t="s">
        <v>1207</v>
      </c>
      <c r="Q520" s="64">
        <f>60.44/12</f>
        <v>5.0366666666666662</v>
      </c>
      <c r="R520" s="65">
        <f>8/(8+8)</f>
        <v>0.5</v>
      </c>
      <c r="S520" s="66">
        <v>1.94</v>
      </c>
      <c r="T520" s="66">
        <v>1.1200000000000001</v>
      </c>
      <c r="U520" s="66">
        <v>2.88</v>
      </c>
      <c r="V520" s="66">
        <v>1.56</v>
      </c>
      <c r="W520" s="62">
        <v>16</v>
      </c>
      <c r="X520" s="62">
        <v>0</v>
      </c>
      <c r="Y520" s="62">
        <v>0</v>
      </c>
      <c r="Z520" s="62" t="s">
        <v>1198</v>
      </c>
      <c r="AA520" s="62"/>
      <c r="AB520" s="62" t="s">
        <v>17</v>
      </c>
      <c r="AC520" s="62" t="s">
        <v>17</v>
      </c>
      <c r="AD520" s="61" t="s">
        <v>17</v>
      </c>
      <c r="AF520" s="4" t="s">
        <v>1206</v>
      </c>
    </row>
    <row r="521" spans="1:32" ht="12.75" customHeight="1" x14ac:dyDescent="0.3">
      <c r="A521" s="61">
        <v>520</v>
      </c>
      <c r="B521" s="61">
        <v>135</v>
      </c>
      <c r="C521" s="62" t="s">
        <v>1247</v>
      </c>
      <c r="D521" s="62" t="s">
        <v>25</v>
      </c>
      <c r="E521" s="62" t="s">
        <v>26</v>
      </c>
      <c r="F521" s="62" t="s">
        <v>33</v>
      </c>
      <c r="G521" s="62" t="s">
        <v>2</v>
      </c>
      <c r="H521" s="63">
        <v>1</v>
      </c>
      <c r="I521" s="62" t="s">
        <v>1204</v>
      </c>
      <c r="J521" s="62">
        <v>1</v>
      </c>
      <c r="K521" s="62">
        <v>0</v>
      </c>
      <c r="L521" s="62">
        <v>18</v>
      </c>
      <c r="M521" s="62">
        <v>1</v>
      </c>
      <c r="N521" s="62">
        <v>7</v>
      </c>
      <c r="O521" s="62">
        <v>1</v>
      </c>
      <c r="P521" s="62" t="s">
        <v>1207</v>
      </c>
      <c r="Q521" s="64">
        <f>68.91/12</f>
        <v>5.7424999999999997</v>
      </c>
      <c r="R521" s="65">
        <f>11/(12+11)</f>
        <v>0.47826086956521741</v>
      </c>
      <c r="S521" s="66">
        <v>2.09</v>
      </c>
      <c r="T521" s="66">
        <v>1.1299999999999999</v>
      </c>
      <c r="U521" s="66">
        <v>3.13</v>
      </c>
      <c r="V521" s="66">
        <v>1.36</v>
      </c>
      <c r="W521" s="62">
        <v>23</v>
      </c>
      <c r="X521" s="62">
        <v>0</v>
      </c>
      <c r="Y521" s="62">
        <v>0</v>
      </c>
      <c r="Z521" s="62" t="s">
        <v>1198</v>
      </c>
      <c r="AA521" s="62"/>
      <c r="AB521" s="62" t="s">
        <v>17</v>
      </c>
      <c r="AC521" s="62" t="s">
        <v>17</v>
      </c>
      <c r="AD521" s="61" t="s">
        <v>17</v>
      </c>
      <c r="AF521" s="4" t="s">
        <v>1206</v>
      </c>
    </row>
    <row r="522" spans="1:32" ht="12.75" customHeight="1" x14ac:dyDescent="0.3">
      <c r="A522" s="61">
        <v>521</v>
      </c>
      <c r="B522" s="61">
        <v>135</v>
      </c>
      <c r="C522" s="62" t="s">
        <v>1247</v>
      </c>
      <c r="D522" s="62" t="s">
        <v>25</v>
      </c>
      <c r="E522" s="62" t="s">
        <v>26</v>
      </c>
      <c r="F522" s="62" t="s">
        <v>33</v>
      </c>
      <c r="G522" s="62" t="s">
        <v>2</v>
      </c>
      <c r="H522" s="63">
        <v>1</v>
      </c>
      <c r="I522" s="62" t="s">
        <v>1205</v>
      </c>
      <c r="J522" s="62">
        <v>1</v>
      </c>
      <c r="K522" s="62">
        <v>0</v>
      </c>
      <c r="L522" s="62">
        <v>18</v>
      </c>
      <c r="M522" s="62">
        <v>1</v>
      </c>
      <c r="N522" s="62">
        <v>7</v>
      </c>
      <c r="O522" s="62">
        <v>1</v>
      </c>
      <c r="P522" s="62" t="s">
        <v>1207</v>
      </c>
      <c r="Q522" s="64">
        <f>69.15/12</f>
        <v>5.7625000000000002</v>
      </c>
      <c r="R522" s="65">
        <f>15/(15+11)</f>
        <v>0.57692307692307687</v>
      </c>
      <c r="S522" s="66">
        <v>2.19</v>
      </c>
      <c r="T522" s="66">
        <v>1.17</v>
      </c>
      <c r="U522" s="66">
        <v>3.69</v>
      </c>
      <c r="V522" s="66">
        <v>1.57</v>
      </c>
      <c r="W522" s="62">
        <v>26</v>
      </c>
      <c r="X522" s="62">
        <v>0</v>
      </c>
      <c r="Y522" s="62">
        <v>0</v>
      </c>
      <c r="Z522" s="62" t="s">
        <v>1198</v>
      </c>
      <c r="AA522" s="62"/>
      <c r="AB522" s="62" t="s">
        <v>17</v>
      </c>
      <c r="AC522" s="62" t="s">
        <v>17</v>
      </c>
      <c r="AD522" s="61" t="s">
        <v>17</v>
      </c>
      <c r="AF522" s="4" t="s">
        <v>1206</v>
      </c>
    </row>
    <row r="523" spans="1:32" ht="12.75" customHeight="1" x14ac:dyDescent="0.3">
      <c r="A523" s="61">
        <v>522</v>
      </c>
      <c r="B523" s="61">
        <v>135</v>
      </c>
      <c r="C523" s="62" t="s">
        <v>1247</v>
      </c>
      <c r="D523" s="62" t="s">
        <v>25</v>
      </c>
      <c r="E523" s="62" t="s">
        <v>26</v>
      </c>
      <c r="F523" s="62" t="s">
        <v>33</v>
      </c>
      <c r="G523" s="62" t="s">
        <v>2</v>
      </c>
      <c r="H523" s="63">
        <v>1</v>
      </c>
      <c r="I523" s="62" t="s">
        <v>408</v>
      </c>
      <c r="J523" s="62">
        <v>1</v>
      </c>
      <c r="K523" s="62">
        <v>0</v>
      </c>
      <c r="L523" s="62">
        <v>18</v>
      </c>
      <c r="M523" s="62">
        <v>1</v>
      </c>
      <c r="N523" s="62">
        <v>7</v>
      </c>
      <c r="O523" s="62">
        <v>1</v>
      </c>
      <c r="P523" s="62" t="s">
        <v>1207</v>
      </c>
      <c r="Q523" s="64">
        <f>60.44/12</f>
        <v>5.0366666666666662</v>
      </c>
      <c r="R523" s="65">
        <f>8/(8+8)</f>
        <v>0.5</v>
      </c>
      <c r="S523" s="66">
        <v>1.94</v>
      </c>
      <c r="T523" s="66">
        <v>1.1200000000000001</v>
      </c>
      <c r="U523" s="66">
        <v>2.81</v>
      </c>
      <c r="V523" s="66">
        <v>1.47</v>
      </c>
      <c r="W523" s="62">
        <v>16</v>
      </c>
      <c r="X523" s="62">
        <v>0</v>
      </c>
      <c r="Y523" s="62">
        <v>0</v>
      </c>
      <c r="Z523" s="62" t="s">
        <v>1198</v>
      </c>
      <c r="AA523" s="62"/>
      <c r="AB523" s="62" t="s">
        <v>17</v>
      </c>
      <c r="AC523" s="62" t="s">
        <v>17</v>
      </c>
      <c r="AD523" s="61" t="s">
        <v>17</v>
      </c>
      <c r="AF523" s="4" t="s">
        <v>1206</v>
      </c>
    </row>
    <row r="524" spans="1:32" ht="12.75" customHeight="1" x14ac:dyDescent="0.3">
      <c r="A524" s="61">
        <v>523</v>
      </c>
      <c r="B524" s="61">
        <v>136</v>
      </c>
      <c r="C524" s="62" t="s">
        <v>1215</v>
      </c>
      <c r="D524" s="62" t="s">
        <v>62</v>
      </c>
      <c r="E524" s="62" t="s">
        <v>1216</v>
      </c>
      <c r="F524" s="62" t="s">
        <v>467</v>
      </c>
      <c r="G524" s="62" t="s">
        <v>2</v>
      </c>
      <c r="H524" s="63">
        <v>0</v>
      </c>
      <c r="I524" s="62"/>
      <c r="J524" s="62">
        <v>1</v>
      </c>
      <c r="K524" s="62">
        <v>0</v>
      </c>
      <c r="L524" s="62">
        <f>3*60</f>
        <v>180</v>
      </c>
      <c r="M524" s="62">
        <v>1</v>
      </c>
      <c r="N524" s="62">
        <v>0</v>
      </c>
      <c r="O524" s="62">
        <v>1</v>
      </c>
      <c r="P524" s="62" t="s">
        <v>1218</v>
      </c>
      <c r="Q524" s="64">
        <v>22</v>
      </c>
      <c r="R524" s="65">
        <f>(7+3)/19</f>
        <v>0.52631578947368418</v>
      </c>
      <c r="S524" s="66">
        <v>48.42</v>
      </c>
      <c r="T524" s="66">
        <v>21.31</v>
      </c>
      <c r="U524" s="66">
        <v>52.46</v>
      </c>
      <c r="V524" s="66">
        <v>18.079999999999998</v>
      </c>
      <c r="W524" s="62">
        <v>19</v>
      </c>
      <c r="X524" s="62">
        <v>0</v>
      </c>
      <c r="Y524" s="62">
        <v>0</v>
      </c>
      <c r="Z524" s="62" t="s">
        <v>66</v>
      </c>
      <c r="AA524" s="62"/>
      <c r="AB524" s="62" t="s">
        <v>17</v>
      </c>
      <c r="AC524" s="62" t="s">
        <v>17</v>
      </c>
      <c r="AD524" s="61" t="s">
        <v>17</v>
      </c>
      <c r="AF524" s="4" t="s">
        <v>1217</v>
      </c>
    </row>
    <row r="525" spans="1:32" ht="12.75" customHeight="1" x14ac:dyDescent="0.3">
      <c r="A525" s="61">
        <v>524</v>
      </c>
      <c r="B525" s="61">
        <v>136</v>
      </c>
      <c r="C525" s="62" t="s">
        <v>1215</v>
      </c>
      <c r="D525" s="62" t="s">
        <v>62</v>
      </c>
      <c r="E525" s="62" t="s">
        <v>1216</v>
      </c>
      <c r="F525" s="62" t="s">
        <v>467</v>
      </c>
      <c r="G525" s="62" t="s">
        <v>2</v>
      </c>
      <c r="H525" s="63">
        <v>0</v>
      </c>
      <c r="I525" s="62"/>
      <c r="J525" s="62">
        <v>1</v>
      </c>
      <c r="K525" s="62">
        <v>0</v>
      </c>
      <c r="L525" s="62">
        <f>3*60</f>
        <v>180</v>
      </c>
      <c r="M525" s="62">
        <v>1</v>
      </c>
      <c r="N525" s="62">
        <v>28</v>
      </c>
      <c r="O525" s="62">
        <v>1</v>
      </c>
      <c r="P525" s="62" t="s">
        <v>1218</v>
      </c>
      <c r="Q525" s="64">
        <v>22</v>
      </c>
      <c r="R525" s="65">
        <f>(7+3)/19</f>
        <v>0.52631578947368418</v>
      </c>
      <c r="S525" s="66">
        <v>48.42</v>
      </c>
      <c r="T525" s="66">
        <v>21.31</v>
      </c>
      <c r="U525" s="66">
        <v>58</v>
      </c>
      <c r="V525" s="66">
        <v>15.18</v>
      </c>
      <c r="W525" s="62">
        <v>19</v>
      </c>
      <c r="X525" s="62">
        <v>0</v>
      </c>
      <c r="Y525" s="62">
        <v>0</v>
      </c>
      <c r="Z525" s="62" t="s">
        <v>66</v>
      </c>
      <c r="AA525" s="62"/>
      <c r="AB525" s="62" t="s">
        <v>17</v>
      </c>
      <c r="AC525" s="62" t="s">
        <v>17</v>
      </c>
      <c r="AD525" s="61" t="s">
        <v>17</v>
      </c>
      <c r="AF525" s="4" t="s">
        <v>1217</v>
      </c>
    </row>
    <row r="526" spans="1:32" ht="12.75" customHeight="1" x14ac:dyDescent="0.3">
      <c r="A526" s="61">
        <v>525</v>
      </c>
      <c r="B526" s="61">
        <v>137</v>
      </c>
      <c r="C526" s="62" t="s">
        <v>1248</v>
      </c>
      <c r="D526" s="62" t="s">
        <v>227</v>
      </c>
      <c r="E526" s="62" t="s">
        <v>26</v>
      </c>
      <c r="F526" s="62" t="s">
        <v>228</v>
      </c>
      <c r="G526" s="62" t="s">
        <v>2</v>
      </c>
      <c r="H526" s="63">
        <v>0</v>
      </c>
      <c r="I526" s="62"/>
      <c r="J526" s="62">
        <v>2</v>
      </c>
      <c r="K526" s="62">
        <v>0</v>
      </c>
      <c r="L526" s="62">
        <f>35*5</f>
        <v>175</v>
      </c>
      <c r="M526" s="62">
        <v>5</v>
      </c>
      <c r="N526" s="62">
        <v>0</v>
      </c>
      <c r="O526" s="62">
        <v>1</v>
      </c>
      <c r="P526" s="62" t="s">
        <v>1654</v>
      </c>
      <c r="Q526" s="64">
        <v>9</v>
      </c>
      <c r="R526" s="65">
        <f>28/60</f>
        <v>0.46666666666666667</v>
      </c>
      <c r="S526" s="66">
        <v>13.8</v>
      </c>
      <c r="T526" s="66">
        <v>5.73</v>
      </c>
      <c r="U526" s="66">
        <v>20.6</v>
      </c>
      <c r="V526" s="66">
        <v>9.19</v>
      </c>
      <c r="W526" s="62">
        <v>30</v>
      </c>
      <c r="X526" s="62">
        <v>0</v>
      </c>
      <c r="Y526" s="62">
        <v>0</v>
      </c>
      <c r="Z526" s="62" t="s">
        <v>1198</v>
      </c>
      <c r="AA526" s="62" t="s">
        <v>1650</v>
      </c>
      <c r="AB526" s="62" t="s">
        <v>17</v>
      </c>
      <c r="AC526" s="62" t="s">
        <v>17</v>
      </c>
      <c r="AD526" s="61" t="s">
        <v>17</v>
      </c>
      <c r="AF526" s="4" t="s">
        <v>1246</v>
      </c>
    </row>
    <row r="527" spans="1:32" ht="12.75" customHeight="1" x14ac:dyDescent="0.3">
      <c r="A527" s="61">
        <v>526</v>
      </c>
      <c r="B527" s="61">
        <v>137</v>
      </c>
      <c r="C527" s="62" t="s">
        <v>1248</v>
      </c>
      <c r="D527" s="62" t="s">
        <v>227</v>
      </c>
      <c r="E527" s="62" t="s">
        <v>32</v>
      </c>
      <c r="F527" s="62" t="s">
        <v>228</v>
      </c>
      <c r="G527" s="62" t="s">
        <v>34</v>
      </c>
      <c r="H527" s="63">
        <v>0</v>
      </c>
      <c r="I527" s="62"/>
      <c r="J527" s="62">
        <v>2</v>
      </c>
      <c r="K527" s="62" t="s">
        <v>32</v>
      </c>
      <c r="L527" s="62">
        <f>35*5</f>
        <v>175</v>
      </c>
      <c r="M527" s="62">
        <v>5</v>
      </c>
      <c r="N527" s="62">
        <v>0</v>
      </c>
      <c r="O527" s="62">
        <v>1</v>
      </c>
      <c r="P527" s="62" t="s">
        <v>1654</v>
      </c>
      <c r="Q527" s="64">
        <v>9</v>
      </c>
      <c r="R527" s="65">
        <f>28/60</f>
        <v>0.46666666666666667</v>
      </c>
      <c r="S527" s="66">
        <v>13.4</v>
      </c>
      <c r="T527" s="66">
        <v>5.7</v>
      </c>
      <c r="U527" s="66">
        <v>24</v>
      </c>
      <c r="V527" s="66">
        <v>8.77</v>
      </c>
      <c r="W527" s="62">
        <v>30</v>
      </c>
      <c r="X527" s="62">
        <v>0</v>
      </c>
      <c r="Y527" s="62">
        <v>0</v>
      </c>
      <c r="Z527" s="62" t="s">
        <v>1198</v>
      </c>
      <c r="AA527" s="62"/>
      <c r="AB527" s="62" t="s">
        <v>17</v>
      </c>
      <c r="AC527" s="62" t="s">
        <v>17</v>
      </c>
      <c r="AD527" s="61" t="s">
        <v>17</v>
      </c>
      <c r="AF527" s="4" t="s">
        <v>1246</v>
      </c>
    </row>
    <row r="528" spans="1:32" ht="12.75" customHeight="1" x14ac:dyDescent="0.3">
      <c r="A528" s="61">
        <v>527</v>
      </c>
      <c r="B528" s="61">
        <v>138</v>
      </c>
      <c r="C528" s="62" t="s">
        <v>1270</v>
      </c>
      <c r="D528" s="62" t="s">
        <v>227</v>
      </c>
      <c r="E528" s="62" t="s">
        <v>26</v>
      </c>
      <c r="F528" s="62" t="s">
        <v>228</v>
      </c>
      <c r="G528" s="62" t="s">
        <v>2</v>
      </c>
      <c r="H528" s="63">
        <v>0</v>
      </c>
      <c r="I528" s="62" t="s">
        <v>1249</v>
      </c>
      <c r="J528" s="62">
        <v>2</v>
      </c>
      <c r="K528" s="62">
        <v>0</v>
      </c>
      <c r="L528" s="62">
        <v>35</v>
      </c>
      <c r="M528" s="62">
        <v>1</v>
      </c>
      <c r="N528" s="62">
        <v>0</v>
      </c>
      <c r="O528" s="62">
        <v>1</v>
      </c>
      <c r="P528" s="62" t="s">
        <v>1654</v>
      </c>
      <c r="Q528" s="64">
        <v>7</v>
      </c>
      <c r="R528" s="65">
        <f>32/59</f>
        <v>0.5423728813559322</v>
      </c>
      <c r="S528" s="66">
        <v>6.96</v>
      </c>
      <c r="T528" s="66">
        <v>4.38</v>
      </c>
      <c r="U528" s="66">
        <v>6.04</v>
      </c>
      <c r="V528" s="66">
        <v>4.24</v>
      </c>
      <c r="W528" s="62">
        <v>26</v>
      </c>
      <c r="X528" s="62">
        <v>0</v>
      </c>
      <c r="Y528" s="62">
        <v>0</v>
      </c>
      <c r="Z528" s="62" t="s">
        <v>1198</v>
      </c>
      <c r="AA528" s="62" t="s">
        <v>1651</v>
      </c>
      <c r="AB528" s="62" t="s">
        <v>17</v>
      </c>
      <c r="AC528" s="62" t="s">
        <v>17</v>
      </c>
      <c r="AD528" s="61" t="s">
        <v>17</v>
      </c>
      <c r="AF528" s="4" t="s">
        <v>1251</v>
      </c>
    </row>
    <row r="529" spans="1:32" ht="12.75" customHeight="1" x14ac:dyDescent="0.3">
      <c r="A529" s="61">
        <v>528</v>
      </c>
      <c r="B529" s="61">
        <v>138</v>
      </c>
      <c r="C529" s="62" t="s">
        <v>1270</v>
      </c>
      <c r="D529" s="62" t="s">
        <v>227</v>
      </c>
      <c r="E529" s="62" t="s">
        <v>26</v>
      </c>
      <c r="F529" s="62" t="s">
        <v>228</v>
      </c>
      <c r="G529" s="62" t="s">
        <v>2</v>
      </c>
      <c r="H529" s="63">
        <v>0</v>
      </c>
      <c r="I529" s="62" t="s">
        <v>1250</v>
      </c>
      <c r="J529" s="62">
        <v>2</v>
      </c>
      <c r="K529" s="62">
        <v>0</v>
      </c>
      <c r="L529" s="62">
        <v>35</v>
      </c>
      <c r="M529" s="62">
        <v>1</v>
      </c>
      <c r="N529" s="62">
        <v>0</v>
      </c>
      <c r="O529" s="62">
        <v>1</v>
      </c>
      <c r="P529" s="62" t="s">
        <v>1654</v>
      </c>
      <c r="Q529" s="64">
        <v>7</v>
      </c>
      <c r="R529" s="65">
        <f>32/59</f>
        <v>0.5423728813559322</v>
      </c>
      <c r="S529" s="66">
        <v>5.64</v>
      </c>
      <c r="T529" s="66">
        <v>4.09</v>
      </c>
      <c r="U529" s="66">
        <v>6.07</v>
      </c>
      <c r="V529" s="66">
        <v>3.43</v>
      </c>
      <c r="W529" s="62">
        <v>14</v>
      </c>
      <c r="X529" s="62">
        <v>0</v>
      </c>
      <c r="Y529" s="62">
        <v>0</v>
      </c>
      <c r="Z529" s="62" t="s">
        <v>1198</v>
      </c>
      <c r="AA529" s="62"/>
      <c r="AB529" s="62" t="s">
        <v>17</v>
      </c>
      <c r="AC529" s="62" t="s">
        <v>17</v>
      </c>
      <c r="AD529" s="61" t="s">
        <v>17</v>
      </c>
      <c r="AF529" s="4" t="s">
        <v>1251</v>
      </c>
    </row>
    <row r="530" spans="1:32" ht="12.75" customHeight="1" x14ac:dyDescent="0.3">
      <c r="A530" s="61">
        <v>529</v>
      </c>
      <c r="B530" s="61">
        <v>138</v>
      </c>
      <c r="C530" s="62" t="s">
        <v>1270</v>
      </c>
      <c r="D530" s="62" t="s">
        <v>227</v>
      </c>
      <c r="E530" s="62" t="s">
        <v>32</v>
      </c>
      <c r="F530" s="62" t="s">
        <v>228</v>
      </c>
      <c r="G530" s="62" t="s">
        <v>34</v>
      </c>
      <c r="H530" s="63">
        <v>0</v>
      </c>
      <c r="I530" s="62"/>
      <c r="J530" s="62">
        <v>2</v>
      </c>
      <c r="K530" s="62" t="s">
        <v>32</v>
      </c>
      <c r="L530" s="62">
        <v>35</v>
      </c>
      <c r="M530" s="62">
        <v>1</v>
      </c>
      <c r="N530" s="62">
        <v>0</v>
      </c>
      <c r="O530" s="62">
        <v>1</v>
      </c>
      <c r="P530" s="62" t="s">
        <v>1654</v>
      </c>
      <c r="Q530" s="64">
        <v>7</v>
      </c>
      <c r="R530" s="65">
        <f>32/59</f>
        <v>0.5423728813559322</v>
      </c>
      <c r="S530" s="66">
        <v>4.68</v>
      </c>
      <c r="T530" s="66">
        <v>2.75</v>
      </c>
      <c r="U530" s="66">
        <v>6.58</v>
      </c>
      <c r="V530" s="66">
        <v>3.52</v>
      </c>
      <c r="W530" s="62">
        <v>19</v>
      </c>
      <c r="X530" s="62">
        <v>0</v>
      </c>
      <c r="Y530" s="62">
        <v>0</v>
      </c>
      <c r="Z530" s="62" t="s">
        <v>1198</v>
      </c>
      <c r="AA530" s="62"/>
      <c r="AB530" s="62" t="s">
        <v>17</v>
      </c>
      <c r="AC530" s="62" t="s">
        <v>17</v>
      </c>
      <c r="AD530" s="61" t="s">
        <v>17</v>
      </c>
      <c r="AF530" s="4" t="s">
        <v>1251</v>
      </c>
    </row>
    <row r="531" spans="1:32" ht="12.75" customHeight="1" x14ac:dyDescent="0.3">
      <c r="A531" s="61">
        <v>530</v>
      </c>
      <c r="B531" s="61">
        <v>139</v>
      </c>
      <c r="C531" s="62" t="s">
        <v>1271</v>
      </c>
      <c r="D531" s="62" t="s">
        <v>227</v>
      </c>
      <c r="E531" s="62" t="s">
        <v>26</v>
      </c>
      <c r="F531" s="62" t="s">
        <v>228</v>
      </c>
      <c r="G531" s="62" t="s">
        <v>2</v>
      </c>
      <c r="H531" s="63">
        <v>0</v>
      </c>
      <c r="I531" s="62"/>
      <c r="J531" s="62">
        <v>2</v>
      </c>
      <c r="K531" s="62">
        <v>0</v>
      </c>
      <c r="L531" s="62">
        <f>35*5</f>
        <v>175</v>
      </c>
      <c r="M531" s="62">
        <v>5</v>
      </c>
      <c r="N531" s="62">
        <v>0</v>
      </c>
      <c r="O531" s="62">
        <v>1</v>
      </c>
      <c r="P531" s="62" t="s">
        <v>1654</v>
      </c>
      <c r="Q531" s="64">
        <f>AVERAGE(7,10)</f>
        <v>8.5</v>
      </c>
      <c r="R531" s="65">
        <f>32/(32+37)</f>
        <v>0.46376811594202899</v>
      </c>
      <c r="S531" s="66">
        <v>14.5</v>
      </c>
      <c r="T531" s="66">
        <v>4.76</v>
      </c>
      <c r="U531" s="66">
        <v>23.8</v>
      </c>
      <c r="V531" s="66">
        <v>6.24</v>
      </c>
      <c r="W531" s="62">
        <v>39</v>
      </c>
      <c r="X531" s="62">
        <v>0</v>
      </c>
      <c r="Y531" s="62">
        <v>0</v>
      </c>
      <c r="Z531" s="62" t="s">
        <v>1198</v>
      </c>
      <c r="AA531" s="62" t="s">
        <v>1652</v>
      </c>
      <c r="AB531" s="62" t="s">
        <v>17</v>
      </c>
      <c r="AC531" s="62" t="s">
        <v>17</v>
      </c>
      <c r="AD531" s="61" t="s">
        <v>17</v>
      </c>
      <c r="AF531" s="4" t="s">
        <v>1267</v>
      </c>
    </row>
    <row r="532" spans="1:32" ht="12.75" customHeight="1" x14ac:dyDescent="0.3">
      <c r="A532" s="61">
        <v>531</v>
      </c>
      <c r="B532" s="61">
        <v>139</v>
      </c>
      <c r="C532" s="62" t="s">
        <v>1271</v>
      </c>
      <c r="D532" s="62" t="s">
        <v>227</v>
      </c>
      <c r="E532" s="62" t="s">
        <v>32</v>
      </c>
      <c r="F532" s="62" t="s">
        <v>228</v>
      </c>
      <c r="G532" s="62" t="s">
        <v>34</v>
      </c>
      <c r="H532" s="63">
        <v>0</v>
      </c>
      <c r="I532" s="62"/>
      <c r="J532" s="62">
        <v>2</v>
      </c>
      <c r="K532" s="62" t="s">
        <v>32</v>
      </c>
      <c r="L532" s="62">
        <f>35*5</f>
        <v>175</v>
      </c>
      <c r="M532" s="62">
        <v>5</v>
      </c>
      <c r="N532" s="62">
        <v>0</v>
      </c>
      <c r="O532" s="62">
        <v>1</v>
      </c>
      <c r="P532" s="62" t="s">
        <v>1654</v>
      </c>
      <c r="Q532" s="64">
        <f>AVERAGE(7,10)</f>
        <v>8.5</v>
      </c>
      <c r="R532" s="65">
        <f>32/(32+37)</f>
        <v>0.46376811594202899</v>
      </c>
      <c r="S532" s="66">
        <v>14.5</v>
      </c>
      <c r="T532" s="66">
        <v>5.21</v>
      </c>
      <c r="U532" s="66">
        <v>26.2</v>
      </c>
      <c r="V532" s="66">
        <v>8.64</v>
      </c>
      <c r="W532" s="62">
        <v>30</v>
      </c>
      <c r="X532" s="62">
        <v>0</v>
      </c>
      <c r="Y532" s="62">
        <v>0</v>
      </c>
      <c r="Z532" s="62" t="s">
        <v>1198</v>
      </c>
      <c r="AA532" s="62"/>
      <c r="AB532" s="62" t="s">
        <v>17</v>
      </c>
      <c r="AC532" s="62" t="s">
        <v>17</v>
      </c>
      <c r="AD532" s="61" t="s">
        <v>17</v>
      </c>
      <c r="AF532" s="4" t="s">
        <v>1267</v>
      </c>
    </row>
    <row r="533" spans="1:32" ht="12.75" customHeight="1" x14ac:dyDescent="0.3">
      <c r="A533" s="61">
        <v>532</v>
      </c>
      <c r="B533" s="61">
        <v>140</v>
      </c>
      <c r="C533" s="62" t="s">
        <v>1272</v>
      </c>
      <c r="D533" s="62" t="s">
        <v>25</v>
      </c>
      <c r="E533" s="62" t="s">
        <v>26</v>
      </c>
      <c r="F533" s="62" t="s">
        <v>33</v>
      </c>
      <c r="G533" s="62" t="s">
        <v>2</v>
      </c>
      <c r="H533" s="63">
        <v>1</v>
      </c>
      <c r="I533" s="62" t="s">
        <v>1253</v>
      </c>
      <c r="J533" s="62">
        <v>1</v>
      </c>
      <c r="K533" s="62">
        <v>0</v>
      </c>
      <c r="L533" s="62">
        <v>20</v>
      </c>
      <c r="M533" s="62">
        <v>1</v>
      </c>
      <c r="N533" s="62">
        <v>0</v>
      </c>
      <c r="O533" s="62">
        <v>1</v>
      </c>
      <c r="P533" s="62" t="s">
        <v>1256</v>
      </c>
      <c r="Q533" s="64">
        <f>5+9/12</f>
        <v>5.75</v>
      </c>
      <c r="R533" s="65">
        <f>28/(28+27)</f>
        <v>0.50909090909090904</v>
      </c>
      <c r="S533" s="66"/>
      <c r="T533" s="66"/>
      <c r="U533" s="66">
        <v>0.8</v>
      </c>
      <c r="V533" s="66">
        <v>1.44</v>
      </c>
      <c r="W533" s="62">
        <v>25</v>
      </c>
      <c r="X533" s="62">
        <v>0</v>
      </c>
      <c r="Y533" s="62">
        <v>0</v>
      </c>
      <c r="Z533" s="62" t="s">
        <v>1257</v>
      </c>
      <c r="AA533" s="62" t="s">
        <v>1255</v>
      </c>
      <c r="AB533" s="62" t="s">
        <v>17</v>
      </c>
      <c r="AC533" s="62" t="s">
        <v>17</v>
      </c>
      <c r="AD533" s="61" t="s">
        <v>17</v>
      </c>
      <c r="AF533" s="4" t="s">
        <v>1252</v>
      </c>
    </row>
    <row r="534" spans="1:32" ht="12.75" customHeight="1" x14ac:dyDescent="0.3">
      <c r="A534" s="61">
        <v>533</v>
      </c>
      <c r="B534" s="61">
        <v>140</v>
      </c>
      <c r="C534" s="62" t="s">
        <v>1272</v>
      </c>
      <c r="D534" s="62" t="s">
        <v>25</v>
      </c>
      <c r="E534" s="62" t="s">
        <v>26</v>
      </c>
      <c r="F534" s="62" t="s">
        <v>33</v>
      </c>
      <c r="G534" s="62" t="s">
        <v>2</v>
      </c>
      <c r="H534" s="63">
        <v>1</v>
      </c>
      <c r="I534" s="62" t="s">
        <v>1254</v>
      </c>
      <c r="J534" s="62">
        <v>1</v>
      </c>
      <c r="K534" s="62">
        <v>0</v>
      </c>
      <c r="L534" s="62">
        <v>20</v>
      </c>
      <c r="M534" s="62">
        <v>1</v>
      </c>
      <c r="N534" s="62">
        <v>0</v>
      </c>
      <c r="O534" s="62">
        <v>1</v>
      </c>
      <c r="P534" s="62" t="s">
        <v>1256</v>
      </c>
      <c r="Q534" s="64">
        <f>5+9/12</f>
        <v>5.75</v>
      </c>
      <c r="R534" s="65">
        <f>28/(28+27)</f>
        <v>0.50909090909090904</v>
      </c>
      <c r="S534" s="66"/>
      <c r="T534" s="66"/>
      <c r="U534" s="66">
        <v>1.3</v>
      </c>
      <c r="V534" s="66">
        <v>1.26</v>
      </c>
      <c r="W534" s="62">
        <v>30</v>
      </c>
      <c r="X534" s="62">
        <v>0</v>
      </c>
      <c r="Y534" s="62">
        <v>0</v>
      </c>
      <c r="Z534" s="62" t="s">
        <v>1257</v>
      </c>
      <c r="AA534" s="62"/>
      <c r="AB534" s="62" t="s">
        <v>17</v>
      </c>
      <c r="AC534" s="62" t="s">
        <v>17</v>
      </c>
      <c r="AD534" s="61" t="s">
        <v>17</v>
      </c>
      <c r="AF534" s="4" t="s">
        <v>1252</v>
      </c>
    </row>
    <row r="535" spans="1:32" ht="12.75" customHeight="1" x14ac:dyDescent="0.3">
      <c r="A535" s="61">
        <v>534</v>
      </c>
      <c r="B535" s="61">
        <v>140</v>
      </c>
      <c r="C535" s="62" t="s">
        <v>1272</v>
      </c>
      <c r="D535" s="62" t="s">
        <v>25</v>
      </c>
      <c r="E535" s="62" t="s">
        <v>26</v>
      </c>
      <c r="F535" s="62" t="s">
        <v>33</v>
      </c>
      <c r="G535" s="62" t="s">
        <v>2</v>
      </c>
      <c r="H535" s="63">
        <v>1</v>
      </c>
      <c r="I535" s="62" t="s">
        <v>1253</v>
      </c>
      <c r="J535" s="62">
        <v>1</v>
      </c>
      <c r="K535" s="62">
        <v>0</v>
      </c>
      <c r="L535" s="62">
        <v>20</v>
      </c>
      <c r="M535" s="62">
        <v>1</v>
      </c>
      <c r="N535" s="62">
        <v>7</v>
      </c>
      <c r="O535" s="62">
        <v>1</v>
      </c>
      <c r="P535" s="62" t="s">
        <v>1256</v>
      </c>
      <c r="Q535" s="64">
        <f>5+9/12</f>
        <v>5.75</v>
      </c>
      <c r="R535" s="65">
        <f>28/(28+27)</f>
        <v>0.50909090909090904</v>
      </c>
      <c r="S535" s="66"/>
      <c r="T535" s="66"/>
      <c r="U535" s="66">
        <v>0.96</v>
      </c>
      <c r="V535" s="66">
        <v>1.54</v>
      </c>
      <c r="W535" s="62">
        <v>25</v>
      </c>
      <c r="X535" s="62">
        <v>0</v>
      </c>
      <c r="Y535" s="62">
        <v>0</v>
      </c>
      <c r="Z535" s="62" t="s">
        <v>1257</v>
      </c>
      <c r="AA535" s="62"/>
      <c r="AB535" s="62" t="s">
        <v>17</v>
      </c>
      <c r="AC535" s="62" t="s">
        <v>17</v>
      </c>
      <c r="AD535" s="61" t="s">
        <v>17</v>
      </c>
      <c r="AF535" s="4" t="s">
        <v>1252</v>
      </c>
    </row>
    <row r="536" spans="1:32" ht="12.75" customHeight="1" x14ac:dyDescent="0.3">
      <c r="A536" s="61">
        <v>535</v>
      </c>
      <c r="B536" s="61">
        <v>140</v>
      </c>
      <c r="C536" s="62" t="s">
        <v>1272</v>
      </c>
      <c r="D536" s="62" t="s">
        <v>25</v>
      </c>
      <c r="E536" s="62" t="s">
        <v>26</v>
      </c>
      <c r="F536" s="62" t="s">
        <v>33</v>
      </c>
      <c r="G536" s="62" t="s">
        <v>2</v>
      </c>
      <c r="H536" s="63">
        <v>1</v>
      </c>
      <c r="I536" s="62" t="s">
        <v>1254</v>
      </c>
      <c r="J536" s="62">
        <v>1</v>
      </c>
      <c r="K536" s="62">
        <v>0</v>
      </c>
      <c r="L536" s="62">
        <v>20</v>
      </c>
      <c r="M536" s="62">
        <v>1</v>
      </c>
      <c r="N536" s="62">
        <v>7</v>
      </c>
      <c r="O536" s="62">
        <v>1</v>
      </c>
      <c r="P536" s="62" t="s">
        <v>1256</v>
      </c>
      <c r="Q536" s="64">
        <f>5+9/12</f>
        <v>5.75</v>
      </c>
      <c r="R536" s="65">
        <f>28/(28+27)</f>
        <v>0.50909090909090904</v>
      </c>
      <c r="S536" s="66"/>
      <c r="T536" s="66"/>
      <c r="U536" s="66">
        <v>1.45</v>
      </c>
      <c r="V536" s="66">
        <v>1.33</v>
      </c>
      <c r="W536" s="62">
        <v>30</v>
      </c>
      <c r="X536" s="62">
        <v>0</v>
      </c>
      <c r="Y536" s="62">
        <v>0</v>
      </c>
      <c r="Z536" s="62" t="s">
        <v>1257</v>
      </c>
      <c r="AA536" s="62"/>
      <c r="AB536" s="62" t="s">
        <v>17</v>
      </c>
      <c r="AC536" s="62" t="s">
        <v>17</v>
      </c>
      <c r="AD536" s="61" t="s">
        <v>17</v>
      </c>
      <c r="AF536" s="4" t="s">
        <v>1252</v>
      </c>
    </row>
    <row r="537" spans="1:32" ht="12.75" customHeight="1" x14ac:dyDescent="0.3">
      <c r="A537" s="61">
        <v>536</v>
      </c>
      <c r="B537" s="61">
        <v>141</v>
      </c>
      <c r="C537" s="62" t="s">
        <v>1258</v>
      </c>
      <c r="D537" s="62" t="s">
        <v>68</v>
      </c>
      <c r="E537" s="62" t="s">
        <v>334</v>
      </c>
      <c r="F537" s="62" t="s">
        <v>33</v>
      </c>
      <c r="G537" s="62" t="s">
        <v>2</v>
      </c>
      <c r="H537" s="63">
        <v>0</v>
      </c>
      <c r="I537" s="62"/>
      <c r="J537" s="62">
        <v>1</v>
      </c>
      <c r="K537" s="62">
        <v>0</v>
      </c>
      <c r="L537" s="62">
        <f>18*45</f>
        <v>810</v>
      </c>
      <c r="M537" s="62">
        <v>18</v>
      </c>
      <c r="N537" s="62">
        <v>7</v>
      </c>
      <c r="O537" s="62">
        <v>1</v>
      </c>
      <c r="P537" s="62" t="s">
        <v>1638</v>
      </c>
      <c r="Q537" s="64">
        <v>20</v>
      </c>
      <c r="R537" s="65">
        <f>8/10</f>
        <v>0.8</v>
      </c>
      <c r="S537" s="66">
        <v>38.5</v>
      </c>
      <c r="T537" s="66">
        <f>58.78-S537</f>
        <v>20.28</v>
      </c>
      <c r="U537" s="66">
        <v>123.7</v>
      </c>
      <c r="V537" s="66">
        <f>157.25-U537</f>
        <v>33.549999999999997</v>
      </c>
      <c r="W537" s="62">
        <v>10</v>
      </c>
      <c r="X537" s="62">
        <v>0</v>
      </c>
      <c r="Y537" s="62">
        <v>0</v>
      </c>
      <c r="Z537" s="62" t="s">
        <v>1266</v>
      </c>
      <c r="AA537" s="62" t="s">
        <v>1639</v>
      </c>
      <c r="AB537" s="62" t="s">
        <v>17</v>
      </c>
      <c r="AC537" s="62" t="s">
        <v>17</v>
      </c>
      <c r="AD537" s="61" t="s">
        <v>17</v>
      </c>
      <c r="AF537" s="4" t="s">
        <v>1259</v>
      </c>
    </row>
    <row r="538" spans="1:32" ht="12.75" customHeight="1" x14ac:dyDescent="0.3">
      <c r="A538" s="61">
        <v>537</v>
      </c>
      <c r="B538" s="61">
        <v>141</v>
      </c>
      <c r="C538" s="62" t="s">
        <v>1258</v>
      </c>
      <c r="D538" s="62" t="s">
        <v>68</v>
      </c>
      <c r="E538" s="62" t="s">
        <v>32</v>
      </c>
      <c r="F538" s="62" t="s">
        <v>33</v>
      </c>
      <c r="G538" s="62" t="s">
        <v>64</v>
      </c>
      <c r="H538" s="63">
        <v>0</v>
      </c>
      <c r="I538" s="62"/>
      <c r="J538" s="62">
        <v>1</v>
      </c>
      <c r="K538" s="62">
        <v>0</v>
      </c>
      <c r="L538" s="62">
        <f>18*45</f>
        <v>810</v>
      </c>
      <c r="M538" s="62">
        <v>18</v>
      </c>
      <c r="N538" s="62">
        <v>7</v>
      </c>
      <c r="O538" s="62">
        <v>1</v>
      </c>
      <c r="P538" s="62" t="s">
        <v>1638</v>
      </c>
      <c r="Q538" s="64">
        <v>19</v>
      </c>
      <c r="R538" s="65">
        <f>8/10</f>
        <v>0.8</v>
      </c>
      <c r="S538" s="66">
        <v>38.5</v>
      </c>
      <c r="T538" s="66">
        <f>58.99-S538</f>
        <v>20.490000000000002</v>
      </c>
      <c r="U538" s="66">
        <v>109.2</v>
      </c>
      <c r="V538" s="66">
        <f>158.75-U538</f>
        <v>49.55</v>
      </c>
      <c r="W538" s="62">
        <v>10</v>
      </c>
      <c r="X538" s="62">
        <v>0</v>
      </c>
      <c r="Y538" s="62">
        <v>0</v>
      </c>
      <c r="Z538" s="62" t="s">
        <v>1266</v>
      </c>
      <c r="AA538" s="62"/>
      <c r="AB538" s="62" t="s">
        <v>17</v>
      </c>
      <c r="AC538" s="62" t="s">
        <v>17</v>
      </c>
      <c r="AD538" s="61" t="s">
        <v>17</v>
      </c>
      <c r="AF538" s="4" t="s">
        <v>1259</v>
      </c>
    </row>
    <row r="539" spans="1:32" ht="12.75" customHeight="1" x14ac:dyDescent="0.3">
      <c r="A539" s="61">
        <v>538</v>
      </c>
      <c r="B539" s="61">
        <v>142</v>
      </c>
      <c r="C539" s="62" t="s">
        <v>1260</v>
      </c>
      <c r="D539" s="62" t="s">
        <v>68</v>
      </c>
      <c r="E539" s="62" t="s">
        <v>334</v>
      </c>
      <c r="F539" s="62" t="s">
        <v>1262</v>
      </c>
      <c r="G539" s="62" t="s">
        <v>2</v>
      </c>
      <c r="H539" s="63">
        <v>0</v>
      </c>
      <c r="I539" s="62" t="s">
        <v>1265</v>
      </c>
      <c r="J539" s="62">
        <v>1</v>
      </c>
      <c r="K539" s="62">
        <v>0</v>
      </c>
      <c r="L539" s="62">
        <f>1.5*5*40</f>
        <v>300</v>
      </c>
      <c r="M539" s="62">
        <v>1.5</v>
      </c>
      <c r="N539" s="62">
        <v>2.5</v>
      </c>
      <c r="O539" s="62">
        <v>1</v>
      </c>
      <c r="P539" s="62" t="s">
        <v>1268</v>
      </c>
      <c r="Q539" s="64">
        <v>20</v>
      </c>
      <c r="R539" s="70">
        <f>9/9</f>
        <v>1</v>
      </c>
      <c r="S539" s="66">
        <f>AVERAGE(12,27,12,14,23,15,11,19,18)</f>
        <v>16.777777777777779</v>
      </c>
      <c r="T539" s="66">
        <f>STDEV(12,27,12,14,23,15,11,19,18)</f>
        <v>5.4721517197940024</v>
      </c>
      <c r="U539" s="66">
        <f>AVERAGEA(32,94,56,25,94,48,40,43,72)</f>
        <v>56</v>
      </c>
      <c r="V539" s="66">
        <f>STDEV(32,94,56,25,94,48,40,43,72)</f>
        <v>25.421447637772321</v>
      </c>
      <c r="W539" s="62">
        <v>9</v>
      </c>
      <c r="X539" s="62">
        <v>0</v>
      </c>
      <c r="Y539" s="62">
        <v>0</v>
      </c>
      <c r="Z539" s="62" t="s">
        <v>36</v>
      </c>
      <c r="AA539" s="62" t="s">
        <v>1642</v>
      </c>
      <c r="AB539" s="62" t="s">
        <v>17</v>
      </c>
      <c r="AC539" s="62" t="s">
        <v>17</v>
      </c>
      <c r="AD539" s="61" t="s">
        <v>17</v>
      </c>
      <c r="AF539" s="4" t="s">
        <v>1261</v>
      </c>
    </row>
    <row r="540" spans="1:32" ht="12.75" customHeight="1" x14ac:dyDescent="0.3">
      <c r="A540" s="61">
        <v>539</v>
      </c>
      <c r="B540" s="61">
        <v>142</v>
      </c>
      <c r="C540" s="62" t="s">
        <v>1260</v>
      </c>
      <c r="D540" s="62" t="s">
        <v>68</v>
      </c>
      <c r="E540" s="62" t="s">
        <v>334</v>
      </c>
      <c r="F540" s="62" t="s">
        <v>1262</v>
      </c>
      <c r="G540" s="62" t="s">
        <v>2</v>
      </c>
      <c r="H540" s="63">
        <v>0</v>
      </c>
      <c r="I540" s="62" t="s">
        <v>1263</v>
      </c>
      <c r="J540" s="62">
        <v>1</v>
      </c>
      <c r="K540" s="62">
        <v>0</v>
      </c>
      <c r="L540" s="62">
        <f>1.5*5*40</f>
        <v>300</v>
      </c>
      <c r="M540" s="62">
        <v>1.5</v>
      </c>
      <c r="N540" s="62">
        <v>2.5</v>
      </c>
      <c r="O540" s="62">
        <v>1</v>
      </c>
      <c r="P540" s="62" t="s">
        <v>1268</v>
      </c>
      <c r="Q540" s="64">
        <v>20</v>
      </c>
      <c r="R540" s="70">
        <f>8/9</f>
        <v>0.88888888888888884</v>
      </c>
      <c r="S540" s="66">
        <f>AVERAGE(13,5,14,25,18,20,13,24,17)</f>
        <v>16.555555555555557</v>
      </c>
      <c r="T540" s="66">
        <f>STDEV(13,5,14,25,18,20,13,24,17)</f>
        <v>6.1869037310901946</v>
      </c>
      <c r="U540" s="66">
        <f>AVERAGE(36,40,22,47,47,32,18,47,38)</f>
        <v>36.333333333333336</v>
      </c>
      <c r="V540" s="66">
        <f>STDEV(36,40,22,47,47,32,18,47,38)</f>
        <v>10.712142642814275</v>
      </c>
      <c r="W540" s="62">
        <v>9</v>
      </c>
      <c r="X540" s="62">
        <v>0</v>
      </c>
      <c r="Y540" s="62">
        <v>0</v>
      </c>
      <c r="Z540" s="62" t="s">
        <v>36</v>
      </c>
      <c r="AA540" s="62"/>
      <c r="AB540" s="62" t="s">
        <v>17</v>
      </c>
      <c r="AC540" s="62" t="s">
        <v>17</v>
      </c>
      <c r="AD540" s="61" t="s">
        <v>17</v>
      </c>
      <c r="AF540" s="4" t="s">
        <v>1261</v>
      </c>
    </row>
    <row r="541" spans="1:32" ht="12.75" customHeight="1" x14ac:dyDescent="0.3">
      <c r="A541" s="61">
        <v>540</v>
      </c>
      <c r="B541" s="61">
        <v>142</v>
      </c>
      <c r="C541" s="62" t="s">
        <v>1260</v>
      </c>
      <c r="D541" s="62" t="s">
        <v>68</v>
      </c>
      <c r="E541" s="62" t="s">
        <v>334</v>
      </c>
      <c r="F541" s="62" t="s">
        <v>1262</v>
      </c>
      <c r="G541" s="62" t="s">
        <v>2</v>
      </c>
      <c r="H541" s="63">
        <v>0</v>
      </c>
      <c r="I541" s="62" t="s">
        <v>1264</v>
      </c>
      <c r="J541" s="62">
        <v>1</v>
      </c>
      <c r="K541" s="62">
        <v>0</v>
      </c>
      <c r="L541" s="62">
        <f>1.5*5*40</f>
        <v>300</v>
      </c>
      <c r="M541" s="62">
        <v>1.5</v>
      </c>
      <c r="N541" s="62">
        <v>2.5</v>
      </c>
      <c r="O541" s="62">
        <v>1</v>
      </c>
      <c r="P541" s="62" t="s">
        <v>1268</v>
      </c>
      <c r="Q541" s="64">
        <v>20</v>
      </c>
      <c r="R541" s="70">
        <f>9/10</f>
        <v>0.9</v>
      </c>
      <c r="S541" s="66">
        <f>AVERAGE(12,17,31,5,30,30,23,15,22,6)</f>
        <v>19.100000000000001</v>
      </c>
      <c r="T541" s="66">
        <f>STDEV(12,17,31,5,30,30,23,15,22,6)</f>
        <v>9.689054534771584</v>
      </c>
      <c r="U541" s="66">
        <f>AVERAGE(34,37,79,31,52,94,46,78,32,82)</f>
        <v>56.5</v>
      </c>
      <c r="V541" s="66">
        <f>STDEV(34,37,79,31,52,94,46,78,32,82)</f>
        <v>24.249856815155745</v>
      </c>
      <c r="W541" s="62">
        <v>10</v>
      </c>
      <c r="X541" s="62">
        <v>0</v>
      </c>
      <c r="Y541" s="62">
        <v>0</v>
      </c>
      <c r="Z541" s="62" t="s">
        <v>36</v>
      </c>
      <c r="AA541" s="62"/>
      <c r="AB541" s="62" t="s">
        <v>17</v>
      </c>
      <c r="AC541" s="62" t="s">
        <v>17</v>
      </c>
      <c r="AD541" s="61" t="s">
        <v>17</v>
      </c>
      <c r="AF541" s="4" t="s">
        <v>1261</v>
      </c>
    </row>
    <row r="542" spans="1:32" ht="12.75" customHeight="1" x14ac:dyDescent="0.3">
      <c r="A542" s="61">
        <v>541</v>
      </c>
      <c r="B542" s="9">
        <v>143</v>
      </c>
      <c r="C542" s="10" t="s">
        <v>1582</v>
      </c>
      <c r="D542" s="10" t="s">
        <v>1095</v>
      </c>
      <c r="E542" s="10" t="s">
        <v>26</v>
      </c>
      <c r="F542" s="10" t="s">
        <v>1606</v>
      </c>
      <c r="G542" s="10" t="s">
        <v>2</v>
      </c>
      <c r="H542" s="63">
        <v>1</v>
      </c>
      <c r="I542" s="10"/>
      <c r="J542" s="10">
        <v>1</v>
      </c>
      <c r="K542" s="10">
        <v>0</v>
      </c>
      <c r="L542" s="10">
        <v>40</v>
      </c>
      <c r="M542" s="10">
        <v>1</v>
      </c>
      <c r="N542" s="10"/>
      <c r="O542" s="10" t="s">
        <v>32</v>
      </c>
      <c r="P542" s="10" t="s">
        <v>1584</v>
      </c>
      <c r="Q542" s="79">
        <v>20.69</v>
      </c>
      <c r="R542" s="80">
        <f>2/55</f>
        <v>3.6363636363636362E-2</v>
      </c>
      <c r="S542" s="81"/>
      <c r="T542" s="81"/>
      <c r="U542" s="81">
        <v>2.23</v>
      </c>
      <c r="V542" s="81">
        <v>0.84</v>
      </c>
      <c r="W542" s="10">
        <v>37</v>
      </c>
      <c r="X542" s="10">
        <v>1</v>
      </c>
      <c r="Y542" s="10">
        <v>0</v>
      </c>
      <c r="Z542" s="10" t="s">
        <v>868</v>
      </c>
      <c r="AA542" s="10" t="s">
        <v>1585</v>
      </c>
      <c r="AB542" s="10" t="s">
        <v>17</v>
      </c>
      <c r="AC542" s="10" t="s">
        <v>17</v>
      </c>
      <c r="AD542" s="9" t="s">
        <v>17</v>
      </c>
      <c r="AF542" s="4" t="s">
        <v>1583</v>
      </c>
    </row>
    <row r="543" spans="1:32" ht="12.75" customHeight="1" x14ac:dyDescent="0.3">
      <c r="A543" s="61">
        <v>542</v>
      </c>
      <c r="B543" s="9">
        <v>143</v>
      </c>
      <c r="C543" s="10" t="s">
        <v>1582</v>
      </c>
      <c r="D543" s="10" t="s">
        <v>1095</v>
      </c>
      <c r="E543" s="10" t="s">
        <v>32</v>
      </c>
      <c r="F543" s="10" t="s">
        <v>1606</v>
      </c>
      <c r="G543" s="10" t="s">
        <v>60</v>
      </c>
      <c r="H543" s="63">
        <v>1</v>
      </c>
      <c r="I543" s="10"/>
      <c r="J543" s="10" t="s">
        <v>32</v>
      </c>
      <c r="K543" s="10" t="s">
        <v>32</v>
      </c>
      <c r="L543" s="10" t="s">
        <v>32</v>
      </c>
      <c r="M543" s="10" t="s">
        <v>32</v>
      </c>
      <c r="N543" s="10" t="s">
        <v>32</v>
      </c>
      <c r="O543" s="10" t="s">
        <v>32</v>
      </c>
      <c r="P543" s="10" t="s">
        <v>1584</v>
      </c>
      <c r="Q543" s="79">
        <v>20.69</v>
      </c>
      <c r="R543" s="80">
        <f>2/55</f>
        <v>3.6363636363636362E-2</v>
      </c>
      <c r="S543" s="81"/>
      <c r="T543" s="81"/>
      <c r="U543" s="81">
        <v>2.89</v>
      </c>
      <c r="V543" s="81">
        <v>1.1499999999999999</v>
      </c>
      <c r="W543" s="10">
        <v>112</v>
      </c>
      <c r="X543" s="10">
        <v>1</v>
      </c>
      <c r="Y543" s="10">
        <v>0</v>
      </c>
      <c r="Z543" s="10" t="s">
        <v>868</v>
      </c>
      <c r="AA543" s="10"/>
      <c r="AB543" s="10" t="s">
        <v>17</v>
      </c>
      <c r="AC543" s="10" t="s">
        <v>17</v>
      </c>
      <c r="AD543" s="9" t="s">
        <v>17</v>
      </c>
      <c r="AF543" s="4" t="s">
        <v>1583</v>
      </c>
    </row>
    <row r="544" spans="1:32" ht="12.75" customHeight="1" x14ac:dyDescent="0.3">
      <c r="A544" s="61">
        <v>543</v>
      </c>
      <c r="B544" s="9">
        <v>144</v>
      </c>
      <c r="C544" s="10" t="s">
        <v>1586</v>
      </c>
      <c r="D544" s="10" t="s">
        <v>62</v>
      </c>
      <c r="E544" s="10" t="s">
        <v>422</v>
      </c>
      <c r="F544" s="10" t="s">
        <v>1588</v>
      </c>
      <c r="G544" s="10" t="s">
        <v>2</v>
      </c>
      <c r="H544" s="63">
        <v>0</v>
      </c>
      <c r="I544" s="10"/>
      <c r="J544" s="10" t="s">
        <v>51</v>
      </c>
      <c r="K544" s="10">
        <v>1</v>
      </c>
      <c r="L544" s="10" t="s">
        <v>28</v>
      </c>
      <c r="M544" s="10" t="s">
        <v>28</v>
      </c>
      <c r="N544" s="10">
        <v>14</v>
      </c>
      <c r="O544" s="10" t="s">
        <v>32</v>
      </c>
      <c r="P544" s="10" t="s">
        <v>1589</v>
      </c>
      <c r="Q544" s="79">
        <v>11</v>
      </c>
      <c r="R544" s="80">
        <f>16/(12+16)</f>
        <v>0.5714285714285714</v>
      </c>
      <c r="S544" s="81"/>
      <c r="T544" s="81"/>
      <c r="U544" s="81">
        <v>34.93</v>
      </c>
      <c r="V544" s="82">
        <v>15.8</v>
      </c>
      <c r="W544" s="10">
        <v>28</v>
      </c>
      <c r="X544" s="10">
        <v>0</v>
      </c>
      <c r="Y544" s="10">
        <v>0</v>
      </c>
      <c r="Z544" s="10" t="s">
        <v>36</v>
      </c>
      <c r="AA544" s="62" t="s">
        <v>1626</v>
      </c>
      <c r="AB544" s="10" t="s">
        <v>17</v>
      </c>
      <c r="AC544" s="10" t="s">
        <v>17</v>
      </c>
      <c r="AD544" s="9" t="s">
        <v>17</v>
      </c>
      <c r="AF544" s="4" t="s">
        <v>1587</v>
      </c>
    </row>
    <row r="545" spans="1:32" ht="12.75" customHeight="1" x14ac:dyDescent="0.3">
      <c r="A545" s="61">
        <v>544</v>
      </c>
      <c r="B545" s="9">
        <v>144</v>
      </c>
      <c r="C545" s="10" t="s">
        <v>1586</v>
      </c>
      <c r="D545" s="10" t="s">
        <v>62</v>
      </c>
      <c r="E545" s="10" t="s">
        <v>422</v>
      </c>
      <c r="F545" s="10" t="s">
        <v>1588</v>
      </c>
      <c r="G545" s="10" t="s">
        <v>2</v>
      </c>
      <c r="H545" s="63">
        <v>0</v>
      </c>
      <c r="I545" s="10"/>
      <c r="J545" s="10" t="s">
        <v>51</v>
      </c>
      <c r="K545" s="10">
        <v>1</v>
      </c>
      <c r="L545" s="10" t="s">
        <v>28</v>
      </c>
      <c r="M545" s="10" t="s">
        <v>28</v>
      </c>
      <c r="N545" s="10">
        <v>14</v>
      </c>
      <c r="O545" s="10" t="s">
        <v>32</v>
      </c>
      <c r="P545" s="10" t="s">
        <v>1590</v>
      </c>
      <c r="Q545" s="79">
        <v>11</v>
      </c>
      <c r="R545" s="80">
        <f>16/(12+16)</f>
        <v>0.5714285714285714</v>
      </c>
      <c r="S545" s="81"/>
      <c r="T545" s="81"/>
      <c r="U545" s="81">
        <v>33.32</v>
      </c>
      <c r="V545" s="82">
        <v>16.2</v>
      </c>
      <c r="W545" s="10">
        <v>28</v>
      </c>
      <c r="X545" s="10">
        <v>0</v>
      </c>
      <c r="Y545" s="10">
        <v>0</v>
      </c>
      <c r="Z545" s="10" t="s">
        <v>36</v>
      </c>
      <c r="AA545" s="10" t="s">
        <v>1594</v>
      </c>
      <c r="AB545" s="10" t="s">
        <v>17</v>
      </c>
      <c r="AC545" s="10" t="s">
        <v>17</v>
      </c>
      <c r="AD545" s="9" t="s">
        <v>17</v>
      </c>
      <c r="AF545" s="4" t="s">
        <v>1587</v>
      </c>
    </row>
    <row r="546" spans="1:32" ht="12.75" customHeight="1" x14ac:dyDescent="0.3">
      <c r="A546" s="61">
        <v>545</v>
      </c>
      <c r="B546" s="9">
        <v>144</v>
      </c>
      <c r="C546" s="10" t="s">
        <v>1586</v>
      </c>
      <c r="D546" s="10" t="s">
        <v>62</v>
      </c>
      <c r="E546" s="10" t="s">
        <v>422</v>
      </c>
      <c r="F546" s="10" t="s">
        <v>1588</v>
      </c>
      <c r="G546" s="10" t="s">
        <v>2</v>
      </c>
      <c r="H546" s="63">
        <v>0</v>
      </c>
      <c r="I546" s="10"/>
      <c r="J546" s="10" t="s">
        <v>51</v>
      </c>
      <c r="K546" s="10">
        <v>1</v>
      </c>
      <c r="L546" s="10" t="s">
        <v>28</v>
      </c>
      <c r="M546" s="10" t="s">
        <v>28</v>
      </c>
      <c r="N546" s="10">
        <v>14</v>
      </c>
      <c r="O546" s="10" t="s">
        <v>32</v>
      </c>
      <c r="P546" s="10" t="s">
        <v>1591</v>
      </c>
      <c r="Q546" s="79">
        <v>11</v>
      </c>
      <c r="R546" s="80">
        <f>16/(12+16)</f>
        <v>0.5714285714285714</v>
      </c>
      <c r="S546" s="81"/>
      <c r="T546" s="81"/>
      <c r="U546" s="81">
        <v>37.21</v>
      </c>
      <c r="V546" s="82">
        <v>15.2</v>
      </c>
      <c r="W546" s="10">
        <v>28</v>
      </c>
      <c r="X546" s="10">
        <v>0</v>
      </c>
      <c r="Y546" s="10">
        <v>0</v>
      </c>
      <c r="Z546" s="10" t="s">
        <v>36</v>
      </c>
      <c r="AB546" s="10" t="s">
        <v>17</v>
      </c>
      <c r="AC546" s="10" t="s">
        <v>17</v>
      </c>
      <c r="AD546" s="9" t="s">
        <v>17</v>
      </c>
      <c r="AF546" s="4" t="s">
        <v>1587</v>
      </c>
    </row>
    <row r="547" spans="1:32" ht="12.75" customHeight="1" x14ac:dyDescent="0.3">
      <c r="A547" s="61">
        <v>546</v>
      </c>
      <c r="B547" s="9">
        <v>144</v>
      </c>
      <c r="C547" s="10" t="s">
        <v>1586</v>
      </c>
      <c r="D547" s="10" t="s">
        <v>62</v>
      </c>
      <c r="E547" s="10" t="s">
        <v>422</v>
      </c>
      <c r="F547" s="10" t="s">
        <v>1588</v>
      </c>
      <c r="G547" s="10" t="s">
        <v>2</v>
      </c>
      <c r="H547" s="63">
        <v>0</v>
      </c>
      <c r="I547" s="10"/>
      <c r="J547" s="10" t="s">
        <v>51</v>
      </c>
      <c r="K547" s="10">
        <v>1</v>
      </c>
      <c r="L547" s="10" t="s">
        <v>28</v>
      </c>
      <c r="M547" s="10" t="s">
        <v>28</v>
      </c>
      <c r="N547" s="10">
        <v>14</v>
      </c>
      <c r="O547" s="10" t="s">
        <v>32</v>
      </c>
      <c r="P547" s="10" t="s">
        <v>1592</v>
      </c>
      <c r="Q547" s="79">
        <v>11</v>
      </c>
      <c r="R547" s="80">
        <f>16/(12+16)</f>
        <v>0.5714285714285714</v>
      </c>
      <c r="S547" s="81"/>
      <c r="T547" s="81"/>
      <c r="U547" s="81">
        <v>37.43</v>
      </c>
      <c r="V547" s="82">
        <v>15.2</v>
      </c>
      <c r="W547" s="10">
        <v>28</v>
      </c>
      <c r="X547" s="10">
        <v>0</v>
      </c>
      <c r="Y547" s="10">
        <v>0</v>
      </c>
      <c r="Z547" s="10" t="s">
        <v>36</v>
      </c>
      <c r="AA547" s="10"/>
      <c r="AB547" s="10" t="s">
        <v>17</v>
      </c>
      <c r="AC547" s="10" t="s">
        <v>17</v>
      </c>
      <c r="AD547" s="9" t="s">
        <v>17</v>
      </c>
      <c r="AF547" s="4" t="s">
        <v>1587</v>
      </c>
    </row>
    <row r="548" spans="1:32" ht="12.75" customHeight="1" x14ac:dyDescent="0.3">
      <c r="A548" s="61">
        <v>547</v>
      </c>
      <c r="B548" s="9">
        <v>144</v>
      </c>
      <c r="C548" s="10" t="s">
        <v>1586</v>
      </c>
      <c r="D548" s="10" t="s">
        <v>62</v>
      </c>
      <c r="E548" s="10" t="s">
        <v>422</v>
      </c>
      <c r="F548" s="10" t="s">
        <v>1588</v>
      </c>
      <c r="G548" s="10" t="s">
        <v>2</v>
      </c>
      <c r="H548" s="63">
        <v>0</v>
      </c>
      <c r="I548" s="10"/>
      <c r="J548" s="10" t="s">
        <v>51</v>
      </c>
      <c r="K548" s="10">
        <v>1</v>
      </c>
      <c r="L548" s="10" t="s">
        <v>28</v>
      </c>
      <c r="M548" s="10" t="s">
        <v>28</v>
      </c>
      <c r="N548" s="10">
        <v>14</v>
      </c>
      <c r="O548" s="10" t="s">
        <v>32</v>
      </c>
      <c r="P548" s="10" t="s">
        <v>1593</v>
      </c>
      <c r="Q548" s="79">
        <v>11</v>
      </c>
      <c r="R548" s="80">
        <f>16/(12+16)</f>
        <v>0.5714285714285714</v>
      </c>
      <c r="S548" s="81"/>
      <c r="T548" s="81"/>
      <c r="U548" s="81">
        <v>37.96</v>
      </c>
      <c r="V548" s="82">
        <v>20.3</v>
      </c>
      <c r="W548" s="10">
        <v>28</v>
      </c>
      <c r="X548" s="10">
        <v>0</v>
      </c>
      <c r="Y548" s="10">
        <v>0</v>
      </c>
      <c r="Z548" s="10" t="s">
        <v>36</v>
      </c>
      <c r="AA548" s="10"/>
      <c r="AB548" s="10" t="s">
        <v>17</v>
      </c>
      <c r="AC548" s="10" t="s">
        <v>17</v>
      </c>
      <c r="AD548" s="9" t="s">
        <v>17</v>
      </c>
      <c r="AF548" s="4" t="s">
        <v>1587</v>
      </c>
    </row>
    <row r="549" spans="1:32" ht="12.75" customHeight="1" x14ac:dyDescent="0.3">
      <c r="A549" s="61">
        <v>548</v>
      </c>
      <c r="B549" s="9">
        <v>144</v>
      </c>
      <c r="C549" s="10" t="s">
        <v>1586</v>
      </c>
      <c r="D549" s="10" t="s">
        <v>62</v>
      </c>
      <c r="E549" s="10" t="s">
        <v>32</v>
      </c>
      <c r="F549" s="10" t="s">
        <v>1588</v>
      </c>
      <c r="G549" s="10" t="s">
        <v>64</v>
      </c>
      <c r="H549" s="63">
        <v>0</v>
      </c>
      <c r="I549" s="10"/>
      <c r="J549" s="10" t="s">
        <v>51</v>
      </c>
      <c r="K549" s="10">
        <v>1</v>
      </c>
      <c r="L549" s="10" t="s">
        <v>28</v>
      </c>
      <c r="M549" s="10" t="s">
        <v>28</v>
      </c>
      <c r="N549" s="10">
        <v>14</v>
      </c>
      <c r="O549" s="10" t="s">
        <v>32</v>
      </c>
      <c r="P549" s="10" t="s">
        <v>1589</v>
      </c>
      <c r="Q549" s="79">
        <v>11</v>
      </c>
      <c r="R549" s="80">
        <f>16/(16+14)</f>
        <v>0.53333333333333333</v>
      </c>
      <c r="S549" s="81"/>
      <c r="T549" s="81"/>
      <c r="U549" s="81">
        <v>24.43</v>
      </c>
      <c r="V549" s="82">
        <v>15.8</v>
      </c>
      <c r="W549" s="10">
        <v>30</v>
      </c>
      <c r="X549" s="10">
        <v>0</v>
      </c>
      <c r="Y549" s="10">
        <v>0</v>
      </c>
      <c r="Z549" s="10" t="s">
        <v>36</v>
      </c>
      <c r="AA549" s="10"/>
      <c r="AB549" s="10" t="s">
        <v>17</v>
      </c>
      <c r="AC549" s="10" t="s">
        <v>17</v>
      </c>
      <c r="AD549" s="9" t="s">
        <v>17</v>
      </c>
      <c r="AF549" s="4" t="s">
        <v>1587</v>
      </c>
    </row>
    <row r="550" spans="1:32" ht="12.75" customHeight="1" x14ac:dyDescent="0.3">
      <c r="A550" s="61">
        <v>549</v>
      </c>
      <c r="B550" s="9">
        <v>144</v>
      </c>
      <c r="C550" s="10" t="s">
        <v>1586</v>
      </c>
      <c r="D550" s="10" t="s">
        <v>62</v>
      </c>
      <c r="E550" s="10" t="s">
        <v>32</v>
      </c>
      <c r="F550" s="10" t="s">
        <v>1588</v>
      </c>
      <c r="G550" s="10" t="s">
        <v>64</v>
      </c>
      <c r="H550" s="63">
        <v>0</v>
      </c>
      <c r="I550" s="10"/>
      <c r="J550" s="10" t="s">
        <v>51</v>
      </c>
      <c r="K550" s="10">
        <v>1</v>
      </c>
      <c r="L550" s="10" t="s">
        <v>28</v>
      </c>
      <c r="M550" s="10" t="s">
        <v>28</v>
      </c>
      <c r="N550" s="10">
        <v>14</v>
      </c>
      <c r="O550" s="10" t="s">
        <v>32</v>
      </c>
      <c r="P550" s="10" t="s">
        <v>1590</v>
      </c>
      <c r="Q550" s="79">
        <v>11</v>
      </c>
      <c r="R550" s="80">
        <f>16/(16+14)</f>
        <v>0.53333333333333333</v>
      </c>
      <c r="S550" s="81"/>
      <c r="T550" s="81"/>
      <c r="U550" s="81">
        <v>25.93</v>
      </c>
      <c r="V550" s="82">
        <v>16.2</v>
      </c>
      <c r="W550" s="10">
        <v>30</v>
      </c>
      <c r="X550" s="10">
        <v>0</v>
      </c>
      <c r="Y550" s="10">
        <v>0</v>
      </c>
      <c r="Z550" s="10" t="s">
        <v>36</v>
      </c>
      <c r="AA550" s="10"/>
      <c r="AB550" s="10" t="s">
        <v>17</v>
      </c>
      <c r="AC550" s="10" t="s">
        <v>17</v>
      </c>
      <c r="AD550" s="9" t="s">
        <v>17</v>
      </c>
      <c r="AF550" s="4" t="s">
        <v>1587</v>
      </c>
    </row>
    <row r="551" spans="1:32" ht="12.75" customHeight="1" x14ac:dyDescent="0.3">
      <c r="A551" s="61">
        <v>550</v>
      </c>
      <c r="B551" s="9">
        <v>144</v>
      </c>
      <c r="C551" s="10" t="s">
        <v>1586</v>
      </c>
      <c r="D551" s="10" t="s">
        <v>62</v>
      </c>
      <c r="E551" s="10" t="s">
        <v>32</v>
      </c>
      <c r="F551" s="10" t="s">
        <v>1588</v>
      </c>
      <c r="G551" s="10" t="s">
        <v>64</v>
      </c>
      <c r="H551" s="63">
        <v>0</v>
      </c>
      <c r="I551" s="10"/>
      <c r="J551" s="10" t="s">
        <v>51</v>
      </c>
      <c r="K551" s="10">
        <v>1</v>
      </c>
      <c r="L551" s="10" t="s">
        <v>28</v>
      </c>
      <c r="M551" s="10" t="s">
        <v>28</v>
      </c>
      <c r="N551" s="10">
        <v>14</v>
      </c>
      <c r="O551" s="10" t="s">
        <v>32</v>
      </c>
      <c r="P551" s="10" t="s">
        <v>1591</v>
      </c>
      <c r="Q551" s="79">
        <v>11</v>
      </c>
      <c r="R551" s="80">
        <f>16/(16+14)</f>
        <v>0.53333333333333333</v>
      </c>
      <c r="S551" s="81"/>
      <c r="T551" s="81"/>
      <c r="U551" s="81">
        <v>22.3</v>
      </c>
      <c r="V551" s="82">
        <v>15.2</v>
      </c>
      <c r="W551" s="10">
        <v>30</v>
      </c>
      <c r="X551" s="10">
        <v>0</v>
      </c>
      <c r="Y551" s="10">
        <v>0</v>
      </c>
      <c r="Z551" s="10" t="s">
        <v>36</v>
      </c>
      <c r="AA551" s="10"/>
      <c r="AB551" s="10" t="s">
        <v>17</v>
      </c>
      <c r="AC551" s="10" t="s">
        <v>17</v>
      </c>
      <c r="AD551" s="9" t="s">
        <v>17</v>
      </c>
      <c r="AF551" s="4" t="s">
        <v>1587</v>
      </c>
    </row>
    <row r="552" spans="1:32" ht="12.75" customHeight="1" x14ac:dyDescent="0.3">
      <c r="A552" s="61">
        <v>551</v>
      </c>
      <c r="B552" s="9">
        <v>144</v>
      </c>
      <c r="C552" s="10" t="s">
        <v>1586</v>
      </c>
      <c r="D552" s="10" t="s">
        <v>62</v>
      </c>
      <c r="E552" s="10" t="s">
        <v>32</v>
      </c>
      <c r="F552" s="10" t="s">
        <v>1588</v>
      </c>
      <c r="G552" s="10" t="s">
        <v>64</v>
      </c>
      <c r="H552" s="63">
        <v>0</v>
      </c>
      <c r="I552" s="10"/>
      <c r="J552" s="10" t="s">
        <v>51</v>
      </c>
      <c r="K552" s="10">
        <v>1</v>
      </c>
      <c r="L552" s="10" t="s">
        <v>28</v>
      </c>
      <c r="M552" s="10" t="s">
        <v>28</v>
      </c>
      <c r="N552" s="10">
        <v>14</v>
      </c>
      <c r="O552" s="10" t="s">
        <v>32</v>
      </c>
      <c r="P552" s="10" t="s">
        <v>1592</v>
      </c>
      <c r="Q552" s="79">
        <v>11</v>
      </c>
      <c r="R552" s="80">
        <f>16/(16+14)</f>
        <v>0.53333333333333333</v>
      </c>
      <c r="S552" s="81"/>
      <c r="T552" s="81"/>
      <c r="U552" s="81">
        <v>22.1</v>
      </c>
      <c r="V552" s="82">
        <v>15.2</v>
      </c>
      <c r="W552" s="10">
        <v>30</v>
      </c>
      <c r="X552" s="10">
        <v>0</v>
      </c>
      <c r="Y552" s="10">
        <v>0</v>
      </c>
      <c r="Z552" s="10" t="s">
        <v>36</v>
      </c>
      <c r="AA552" s="10"/>
      <c r="AB552" s="10" t="s">
        <v>17</v>
      </c>
      <c r="AC552" s="10" t="s">
        <v>17</v>
      </c>
      <c r="AD552" s="9" t="s">
        <v>17</v>
      </c>
      <c r="AF552" s="4" t="s">
        <v>1587</v>
      </c>
    </row>
    <row r="553" spans="1:32" ht="12.75" customHeight="1" x14ac:dyDescent="0.3">
      <c r="A553" s="61">
        <v>552</v>
      </c>
      <c r="B553" s="9">
        <v>144</v>
      </c>
      <c r="C553" s="10" t="s">
        <v>1586</v>
      </c>
      <c r="D553" s="10" t="s">
        <v>62</v>
      </c>
      <c r="E553" s="10" t="s">
        <v>32</v>
      </c>
      <c r="F553" s="10" t="s">
        <v>1588</v>
      </c>
      <c r="G553" s="10" t="s">
        <v>64</v>
      </c>
      <c r="H553" s="63">
        <v>0</v>
      </c>
      <c r="I553" s="10"/>
      <c r="J553" s="10" t="s">
        <v>51</v>
      </c>
      <c r="K553" s="10">
        <v>1</v>
      </c>
      <c r="L553" s="10" t="s">
        <v>28</v>
      </c>
      <c r="M553" s="10" t="s">
        <v>28</v>
      </c>
      <c r="N553" s="10">
        <v>14</v>
      </c>
      <c r="O553" s="10" t="s">
        <v>32</v>
      </c>
      <c r="P553" s="10" t="s">
        <v>1593</v>
      </c>
      <c r="Q553" s="79">
        <v>11</v>
      </c>
      <c r="R553" s="80">
        <f>16/(16+14)</f>
        <v>0.53333333333333333</v>
      </c>
      <c r="S553" s="81"/>
      <c r="T553" s="81"/>
      <c r="U553" s="81">
        <v>24.4</v>
      </c>
      <c r="V553" s="82">
        <v>20.3</v>
      </c>
      <c r="W553" s="10">
        <v>30</v>
      </c>
      <c r="X553" s="10">
        <v>0</v>
      </c>
      <c r="Y553" s="10">
        <v>0</v>
      </c>
      <c r="Z553" s="10" t="s">
        <v>36</v>
      </c>
      <c r="AA553" s="10"/>
      <c r="AB553" s="10" t="s">
        <v>17</v>
      </c>
      <c r="AC553" s="10" t="s">
        <v>17</v>
      </c>
      <c r="AD553" s="9" t="s">
        <v>17</v>
      </c>
      <c r="AF553" s="4" t="s">
        <v>1587</v>
      </c>
    </row>
    <row r="554" spans="1:32" ht="12.75" customHeight="1" x14ac:dyDescent="0.3">
      <c r="A554" s="9">
        <v>553</v>
      </c>
      <c r="B554" s="9">
        <v>145</v>
      </c>
      <c r="C554" s="10" t="s">
        <v>1596</v>
      </c>
      <c r="D554" s="10" t="s">
        <v>41</v>
      </c>
      <c r="E554" s="10" t="s">
        <v>308</v>
      </c>
      <c r="F554" s="10" t="s">
        <v>1597</v>
      </c>
      <c r="G554" s="10" t="s">
        <v>2</v>
      </c>
      <c r="H554" s="63">
        <v>0</v>
      </c>
      <c r="I554" s="10"/>
      <c r="J554" s="10">
        <v>1</v>
      </c>
      <c r="K554" s="10">
        <v>0</v>
      </c>
      <c r="L554" s="10">
        <v>45</v>
      </c>
      <c r="M554" s="10">
        <v>1</v>
      </c>
      <c r="N554" s="10">
        <v>0</v>
      </c>
      <c r="O554" s="10">
        <v>2</v>
      </c>
      <c r="P554" s="10" t="s">
        <v>1600</v>
      </c>
      <c r="Q554" s="79">
        <v>10</v>
      </c>
      <c r="R554" s="80">
        <f>19/(19+18)</f>
        <v>0.51351351351351349</v>
      </c>
      <c r="S554" s="81">
        <v>38.799999999999997</v>
      </c>
      <c r="T554" s="81">
        <v>24.1</v>
      </c>
      <c r="U554" s="81">
        <v>57</v>
      </c>
      <c r="V554" s="81">
        <v>25.6</v>
      </c>
      <c r="W554" s="10">
        <v>10</v>
      </c>
      <c r="X554" s="10">
        <v>0</v>
      </c>
      <c r="Y554" s="10">
        <v>0</v>
      </c>
      <c r="Z554" s="10" t="s">
        <v>105</v>
      </c>
      <c r="AA554" s="10"/>
      <c r="AB554" s="10" t="s">
        <v>17</v>
      </c>
      <c r="AC554" s="10" t="s">
        <v>17</v>
      </c>
      <c r="AD554" s="9" t="s">
        <v>17</v>
      </c>
      <c r="AF554" s="4" t="s">
        <v>1595</v>
      </c>
    </row>
    <row r="555" spans="1:32" ht="12.75" customHeight="1" x14ac:dyDescent="0.3">
      <c r="A555" s="9">
        <v>554</v>
      </c>
      <c r="B555" s="9">
        <v>145</v>
      </c>
      <c r="C555" s="10" t="s">
        <v>1596</v>
      </c>
      <c r="D555" s="10" t="s">
        <v>41</v>
      </c>
      <c r="E555" s="10" t="s">
        <v>32</v>
      </c>
      <c r="F555" s="10" t="s">
        <v>1597</v>
      </c>
      <c r="G555" s="10" t="s">
        <v>64</v>
      </c>
      <c r="H555" s="63">
        <v>0</v>
      </c>
      <c r="I555" s="10" t="s">
        <v>1598</v>
      </c>
      <c r="J555" s="10">
        <v>1</v>
      </c>
      <c r="K555" s="10">
        <v>0</v>
      </c>
      <c r="L555" s="10">
        <v>45</v>
      </c>
      <c r="M555" s="10">
        <v>1</v>
      </c>
      <c r="N555" s="10">
        <v>0</v>
      </c>
      <c r="O555" s="10">
        <v>2</v>
      </c>
      <c r="P555" s="10" t="s">
        <v>1600</v>
      </c>
      <c r="Q555" s="79">
        <v>10</v>
      </c>
      <c r="R555" s="80">
        <f>19/(19+18)</f>
        <v>0.51351351351351349</v>
      </c>
      <c r="S555" s="81">
        <v>45.8</v>
      </c>
      <c r="T555" s="81">
        <v>32</v>
      </c>
      <c r="U555" s="81">
        <v>58.7</v>
      </c>
      <c r="V555" s="81">
        <v>30.1</v>
      </c>
      <c r="W555" s="10">
        <v>12</v>
      </c>
      <c r="X555" s="10">
        <v>0</v>
      </c>
      <c r="Y555" s="10">
        <v>0</v>
      </c>
      <c r="Z555" s="10" t="s">
        <v>105</v>
      </c>
      <c r="AA555" s="10"/>
      <c r="AB555" s="10" t="s">
        <v>17</v>
      </c>
      <c r="AC555" s="10" t="s">
        <v>17</v>
      </c>
      <c r="AD555" s="9" t="s">
        <v>17</v>
      </c>
      <c r="AF555" s="4" t="s">
        <v>1595</v>
      </c>
    </row>
    <row r="556" spans="1:32" ht="12.75" customHeight="1" x14ac:dyDescent="0.3">
      <c r="A556" s="9">
        <v>555</v>
      </c>
      <c r="B556" s="9">
        <v>145</v>
      </c>
      <c r="C556" s="10" t="s">
        <v>1596</v>
      </c>
      <c r="D556" s="10" t="s">
        <v>41</v>
      </c>
      <c r="E556" s="10" t="s">
        <v>32</v>
      </c>
      <c r="F556" s="10" t="s">
        <v>1597</v>
      </c>
      <c r="G556" s="10" t="s">
        <v>64</v>
      </c>
      <c r="H556" s="63">
        <v>0</v>
      </c>
      <c r="I556" s="10" t="s">
        <v>1599</v>
      </c>
      <c r="J556" s="10">
        <v>1</v>
      </c>
      <c r="K556" s="10">
        <v>0</v>
      </c>
      <c r="L556" s="10">
        <v>45</v>
      </c>
      <c r="M556" s="10">
        <v>1</v>
      </c>
      <c r="N556" s="10">
        <v>0</v>
      </c>
      <c r="O556" s="10">
        <v>2</v>
      </c>
      <c r="P556" s="10" t="s">
        <v>1600</v>
      </c>
      <c r="Q556" s="79">
        <v>10</v>
      </c>
      <c r="R556" s="80">
        <f>19/(19+18)</f>
        <v>0.51351351351351349</v>
      </c>
      <c r="S556" s="81">
        <v>40.299999999999997</v>
      </c>
      <c r="T556" s="81">
        <v>23</v>
      </c>
      <c r="U556" s="81">
        <v>55.9</v>
      </c>
      <c r="V556" s="81">
        <v>17.2</v>
      </c>
      <c r="W556" s="10">
        <v>13</v>
      </c>
      <c r="X556" s="10">
        <v>0</v>
      </c>
      <c r="Y556" s="10">
        <v>0</v>
      </c>
      <c r="Z556" s="10" t="s">
        <v>105</v>
      </c>
      <c r="AA556" s="10"/>
      <c r="AB556" s="10" t="s">
        <v>17</v>
      </c>
      <c r="AC556" s="10" t="s">
        <v>17</v>
      </c>
      <c r="AD556" s="9" t="s">
        <v>17</v>
      </c>
      <c r="AF556" s="4" t="s">
        <v>1595</v>
      </c>
    </row>
    <row r="557" spans="1:32" ht="12.75" customHeight="1" x14ac:dyDescent="0.3">
      <c r="A557" s="9">
        <v>556</v>
      </c>
      <c r="B557" s="9">
        <v>146</v>
      </c>
      <c r="C557" s="10" t="s">
        <v>1604</v>
      </c>
      <c r="D557" s="10" t="s">
        <v>68</v>
      </c>
      <c r="E557" s="10" t="s">
        <v>308</v>
      </c>
      <c r="F557" s="10" t="s">
        <v>1605</v>
      </c>
      <c r="G557" s="10" t="s">
        <v>2</v>
      </c>
      <c r="H557" s="63">
        <v>0</v>
      </c>
      <c r="I557" s="10" t="s">
        <v>1608</v>
      </c>
      <c r="J557" s="10">
        <v>1</v>
      </c>
      <c r="K557" s="10">
        <v>0</v>
      </c>
      <c r="L557" s="10">
        <f>60*5</f>
        <v>300</v>
      </c>
      <c r="M557" s="10">
        <v>5</v>
      </c>
      <c r="N557" s="10">
        <v>3</v>
      </c>
      <c r="O557" s="10">
        <v>1</v>
      </c>
      <c r="P557" s="10" t="s">
        <v>1609</v>
      </c>
      <c r="Q557" s="79">
        <v>20.5</v>
      </c>
      <c r="R557" s="80">
        <f>2/10</f>
        <v>0.2</v>
      </c>
      <c r="S557" s="81">
        <v>22.8</v>
      </c>
      <c r="T557" s="81">
        <f>28.1931-S557</f>
        <v>5.3931000000000004</v>
      </c>
      <c r="U557" s="81">
        <v>47.7</v>
      </c>
      <c r="V557" s="81">
        <f>51.13563-U557</f>
        <v>3.4356299999999962</v>
      </c>
      <c r="W557" s="10">
        <v>10</v>
      </c>
      <c r="X557" s="10">
        <v>0</v>
      </c>
      <c r="Y557" s="10">
        <v>0</v>
      </c>
      <c r="Z557" s="10" t="s">
        <v>341</v>
      </c>
      <c r="AA557" s="10" t="s">
        <v>1614</v>
      </c>
      <c r="AB557" s="10" t="s">
        <v>17</v>
      </c>
      <c r="AC557" s="10" t="s">
        <v>17</v>
      </c>
      <c r="AD557" s="9" t="s">
        <v>17</v>
      </c>
      <c r="AF557" s="4" t="s">
        <v>1603</v>
      </c>
    </row>
    <row r="558" spans="1:32" ht="12.75" customHeight="1" x14ac:dyDescent="0.3">
      <c r="A558" s="9">
        <v>557</v>
      </c>
      <c r="B558" s="9">
        <v>146</v>
      </c>
      <c r="C558" s="10" t="s">
        <v>1604</v>
      </c>
      <c r="D558" s="10" t="s">
        <v>68</v>
      </c>
      <c r="E558" s="10" t="s">
        <v>308</v>
      </c>
      <c r="F558" s="10" t="s">
        <v>1605</v>
      </c>
      <c r="G558" s="10" t="s">
        <v>2</v>
      </c>
      <c r="H558" s="63">
        <v>0</v>
      </c>
      <c r="I558" s="10" t="s">
        <v>1607</v>
      </c>
      <c r="J558" s="10">
        <v>1</v>
      </c>
      <c r="K558" s="10">
        <v>0</v>
      </c>
      <c r="L558" s="10">
        <f>60*5</f>
        <v>300</v>
      </c>
      <c r="M558" s="10">
        <v>5</v>
      </c>
      <c r="N558" s="10">
        <v>3</v>
      </c>
      <c r="O558" s="10">
        <v>1</v>
      </c>
      <c r="P558" s="10" t="s">
        <v>1609</v>
      </c>
      <c r="Q558" s="79">
        <v>20.5</v>
      </c>
      <c r="R558" s="80">
        <f>4/10</f>
        <v>0.4</v>
      </c>
      <c r="S558" s="81">
        <v>22.8</v>
      </c>
      <c r="T558" s="81">
        <f>29.24138-S558</f>
        <v>6.4413799999999988</v>
      </c>
      <c r="U558" s="81">
        <v>46.8</v>
      </c>
      <c r="V558" s="81">
        <f>49.42528-U558</f>
        <v>2.6252800000000036</v>
      </c>
      <c r="W558" s="10">
        <v>10</v>
      </c>
      <c r="X558" s="10">
        <v>0</v>
      </c>
      <c r="Y558" s="10">
        <v>0</v>
      </c>
      <c r="Z558" s="10" t="s">
        <v>341</v>
      </c>
      <c r="AA558" s="10"/>
      <c r="AB558" s="10" t="s">
        <v>17</v>
      </c>
      <c r="AC558" s="10" t="s">
        <v>17</v>
      </c>
      <c r="AD558" s="9" t="s">
        <v>17</v>
      </c>
      <c r="AF558" s="4" t="s">
        <v>1603</v>
      </c>
    </row>
    <row r="559" spans="1:32" ht="12.75" customHeight="1" x14ac:dyDescent="0.3">
      <c r="A559" s="9">
        <v>558</v>
      </c>
      <c r="B559" s="9">
        <v>147</v>
      </c>
      <c r="C559" s="10" t="s">
        <v>1611</v>
      </c>
      <c r="D559" s="10" t="s">
        <v>68</v>
      </c>
      <c r="E559" s="10" t="s">
        <v>308</v>
      </c>
      <c r="F559" s="10" t="s">
        <v>1605</v>
      </c>
      <c r="G559" s="10" t="s">
        <v>2</v>
      </c>
      <c r="H559" s="63">
        <v>0</v>
      </c>
      <c r="I559" s="10" t="s">
        <v>1613</v>
      </c>
      <c r="J559" s="10">
        <v>1</v>
      </c>
      <c r="K559" s="10">
        <v>0</v>
      </c>
      <c r="L559" s="10">
        <f>60*5</f>
        <v>300</v>
      </c>
      <c r="M559" s="10">
        <v>5</v>
      </c>
      <c r="N559" s="10">
        <v>3.5</v>
      </c>
      <c r="O559" s="10">
        <v>1</v>
      </c>
      <c r="P559" s="10" t="s">
        <v>1609</v>
      </c>
      <c r="Q559" s="79">
        <v>20</v>
      </c>
      <c r="R559" s="80">
        <f>4/10</f>
        <v>0.4</v>
      </c>
      <c r="S559" s="81">
        <v>22.4</v>
      </c>
      <c r="T559" s="81">
        <f>27.58621-S559</f>
        <v>5.1862100000000027</v>
      </c>
      <c r="U559" s="81">
        <v>46.4</v>
      </c>
      <c r="V559" s="81">
        <f>49.7931-U559</f>
        <v>3.393100000000004</v>
      </c>
      <c r="W559" s="10">
        <v>10</v>
      </c>
      <c r="X559" s="10">
        <v>0</v>
      </c>
      <c r="Y559" s="10">
        <v>0</v>
      </c>
      <c r="Z559" s="10" t="s">
        <v>337</v>
      </c>
      <c r="AA559" s="10" t="s">
        <v>1620</v>
      </c>
      <c r="AB559" s="10" t="s">
        <v>17</v>
      </c>
      <c r="AC559" s="10" t="s">
        <v>17</v>
      </c>
      <c r="AD559" s="9" t="s">
        <v>17</v>
      </c>
      <c r="AF559" s="4" t="s">
        <v>1610</v>
      </c>
    </row>
    <row r="560" spans="1:32" ht="12.75" customHeight="1" x14ac:dyDescent="0.3">
      <c r="A560" s="9">
        <v>559</v>
      </c>
      <c r="B560" s="9">
        <v>147</v>
      </c>
      <c r="C560" s="10" t="s">
        <v>1611</v>
      </c>
      <c r="D560" s="10" t="s">
        <v>68</v>
      </c>
      <c r="E560" s="10" t="s">
        <v>308</v>
      </c>
      <c r="F560" s="10" t="s">
        <v>1605</v>
      </c>
      <c r="G560" s="10" t="s">
        <v>2</v>
      </c>
      <c r="H560" s="63">
        <v>0</v>
      </c>
      <c r="I560" s="10" t="s">
        <v>1612</v>
      </c>
      <c r="J560" s="10">
        <v>1</v>
      </c>
      <c r="K560" s="10">
        <v>0</v>
      </c>
      <c r="L560" s="10">
        <f>60*5</f>
        <v>300</v>
      </c>
      <c r="M560" s="10">
        <v>5</v>
      </c>
      <c r="N560" s="10">
        <v>3.5</v>
      </c>
      <c r="O560" s="10">
        <v>1</v>
      </c>
      <c r="P560" s="10" t="s">
        <v>1609</v>
      </c>
      <c r="Q560" s="79">
        <v>20</v>
      </c>
      <c r="R560" s="80">
        <f>4/10</f>
        <v>0.4</v>
      </c>
      <c r="S560" s="81">
        <v>25.8</v>
      </c>
      <c r="T560" s="81">
        <f>31.29655-S560</f>
        <v>5.4965499999999992</v>
      </c>
      <c r="U560" s="81">
        <v>48.1</v>
      </c>
      <c r="V560" s="81">
        <f>50.41379-U560</f>
        <v>2.3137899999999973</v>
      </c>
      <c r="W560" s="10">
        <v>10</v>
      </c>
      <c r="X560" s="10">
        <v>0</v>
      </c>
      <c r="Y560" s="10">
        <v>0</v>
      </c>
      <c r="Z560" s="10" t="s">
        <v>337</v>
      </c>
      <c r="AA560" s="10"/>
      <c r="AB560" s="10" t="s">
        <v>17</v>
      </c>
      <c r="AC560" s="10" t="s">
        <v>17</v>
      </c>
      <c r="AD560" s="9" t="s">
        <v>17</v>
      </c>
      <c r="AF560" s="4" t="s">
        <v>1610</v>
      </c>
    </row>
    <row r="563" spans="3:32" ht="12.75" customHeight="1" x14ac:dyDescent="0.3">
      <c r="C563" s="10"/>
      <c r="D563" s="10"/>
      <c r="E563" s="10"/>
      <c r="F563" s="10"/>
      <c r="G563" s="10"/>
      <c r="H563" s="10"/>
      <c r="I563" s="10"/>
      <c r="J563" s="10"/>
      <c r="K563" s="10"/>
      <c r="L563" s="10"/>
      <c r="M563" s="10"/>
      <c r="N563" s="10"/>
      <c r="O563" s="10"/>
      <c r="P563" s="10"/>
      <c r="Q563" s="79"/>
      <c r="R563" s="80"/>
      <c r="S563" s="81"/>
      <c r="T563" s="81"/>
      <c r="U563" s="81"/>
      <c r="V563" s="81"/>
      <c r="W563" s="10"/>
      <c r="X563" s="10"/>
      <c r="Y563" s="10"/>
      <c r="Z563" s="10"/>
      <c r="AA563" s="10"/>
      <c r="AB563" s="10"/>
      <c r="AC563" s="10"/>
      <c r="AF563" s="11"/>
    </row>
    <row r="564" spans="3:32" ht="12.75" customHeight="1" x14ac:dyDescent="0.3">
      <c r="C564" s="10"/>
      <c r="D564" s="10"/>
      <c r="E564" s="10"/>
      <c r="F564" s="10"/>
      <c r="G564" s="10"/>
      <c r="H564" s="10"/>
      <c r="I564" s="10"/>
      <c r="J564" s="10"/>
      <c r="K564" s="10"/>
      <c r="L564" s="10"/>
      <c r="M564" s="10"/>
      <c r="N564" s="10"/>
      <c r="O564" s="10"/>
      <c r="P564" s="10"/>
      <c r="Q564" s="79"/>
      <c r="R564" s="80"/>
      <c r="S564" s="81"/>
      <c r="T564" s="81"/>
      <c r="U564" s="81"/>
      <c r="V564" s="81"/>
      <c r="W564" s="10"/>
      <c r="X564" s="10"/>
      <c r="Y564" s="10"/>
      <c r="Z564" s="10"/>
      <c r="AA564" s="10"/>
      <c r="AB564" s="10"/>
      <c r="AC564" s="10"/>
      <c r="AF564" s="11"/>
    </row>
    <row r="565" spans="3:32" ht="12.75" customHeight="1" x14ac:dyDescent="0.3">
      <c r="C565" s="10"/>
      <c r="D565" s="10"/>
      <c r="E565" s="10"/>
      <c r="F565" s="10"/>
      <c r="G565" s="10"/>
      <c r="H565" s="10"/>
      <c r="I565" s="10"/>
      <c r="J565" s="10"/>
      <c r="K565" s="10"/>
      <c r="L565" s="10"/>
      <c r="M565" s="10"/>
      <c r="N565" s="10"/>
      <c r="O565" s="10"/>
      <c r="P565" s="10"/>
      <c r="Q565" s="79"/>
      <c r="R565" s="80"/>
      <c r="S565" s="81"/>
      <c r="T565" s="81"/>
      <c r="U565" s="81"/>
      <c r="V565" s="81"/>
      <c r="W565" s="10"/>
      <c r="X565" s="10"/>
      <c r="Y565" s="10"/>
      <c r="Z565" s="10"/>
      <c r="AA565" s="10"/>
      <c r="AB565" s="10"/>
      <c r="AC565" s="10"/>
      <c r="AF565" s="11"/>
    </row>
    <row r="566" spans="3:32" ht="12.75" customHeight="1" x14ac:dyDescent="0.3">
      <c r="C566" s="10"/>
      <c r="D566" s="10"/>
      <c r="E566" s="10"/>
      <c r="F566" s="10"/>
      <c r="G566" s="10"/>
      <c r="H566" s="10"/>
      <c r="I566" s="10"/>
      <c r="J566" s="10"/>
      <c r="K566" s="10"/>
      <c r="L566" s="10"/>
      <c r="M566" s="10"/>
      <c r="N566" s="10"/>
      <c r="O566" s="10"/>
      <c r="P566" s="10"/>
      <c r="Q566" s="79"/>
      <c r="R566" s="80"/>
      <c r="S566" s="81"/>
      <c r="T566" s="81"/>
      <c r="U566" s="81"/>
      <c r="V566" s="81"/>
      <c r="W566" s="10"/>
      <c r="X566" s="10"/>
      <c r="Y566" s="10"/>
      <c r="Z566" s="10"/>
      <c r="AA566" s="10"/>
      <c r="AB566" s="10"/>
      <c r="AC566" s="10"/>
      <c r="AF566" s="11"/>
    </row>
    <row r="567" spans="3:32" ht="12.75" customHeight="1" x14ac:dyDescent="0.3">
      <c r="C567" s="10"/>
      <c r="D567" s="10"/>
      <c r="E567" s="10"/>
      <c r="F567" s="10"/>
      <c r="G567" s="10"/>
      <c r="H567" s="10"/>
      <c r="I567" s="10"/>
      <c r="J567" s="10"/>
      <c r="K567" s="10"/>
      <c r="L567" s="10"/>
      <c r="M567" s="10"/>
      <c r="N567" s="10"/>
      <c r="O567" s="10"/>
      <c r="P567" s="10"/>
      <c r="Q567" s="79"/>
      <c r="R567" s="80"/>
      <c r="S567" s="81"/>
      <c r="T567" s="81"/>
      <c r="U567" s="81"/>
      <c r="V567" s="81"/>
      <c r="W567" s="10"/>
      <c r="X567" s="10"/>
      <c r="Y567" s="10"/>
      <c r="Z567" s="10"/>
      <c r="AA567" s="10"/>
      <c r="AB567" s="10"/>
      <c r="AC567" s="10"/>
      <c r="AF567" s="11"/>
    </row>
    <row r="568" spans="3:32" ht="12.75" customHeight="1" x14ac:dyDescent="0.3">
      <c r="C568" s="10"/>
      <c r="D568" s="10"/>
      <c r="E568" s="10"/>
      <c r="F568" s="10"/>
      <c r="G568" s="10"/>
      <c r="H568" s="10"/>
      <c r="I568" s="10"/>
      <c r="J568" s="10"/>
      <c r="K568" s="10"/>
      <c r="L568" s="10"/>
      <c r="M568" s="10"/>
      <c r="N568" s="10"/>
      <c r="O568" s="10"/>
      <c r="P568" s="10"/>
      <c r="Q568" s="79"/>
      <c r="R568" s="80"/>
      <c r="S568" s="81"/>
      <c r="T568" s="81"/>
      <c r="U568" s="81"/>
      <c r="V568" s="81"/>
      <c r="W568" s="10"/>
      <c r="X568" s="10"/>
      <c r="Y568" s="10"/>
      <c r="Z568" s="10"/>
      <c r="AA568" s="10"/>
      <c r="AB568" s="10"/>
      <c r="AC568" s="10"/>
      <c r="AF568" s="11"/>
    </row>
    <row r="569" spans="3:32" ht="12.75" customHeight="1" x14ac:dyDescent="0.3">
      <c r="C569" s="10"/>
      <c r="D569" s="10"/>
      <c r="E569" s="10"/>
      <c r="F569" s="10"/>
      <c r="G569" s="10"/>
      <c r="H569" s="10"/>
      <c r="I569" s="10"/>
      <c r="J569" s="10"/>
      <c r="K569" s="10"/>
      <c r="L569" s="10"/>
      <c r="M569" s="10"/>
      <c r="N569" s="10"/>
      <c r="O569" s="10"/>
      <c r="P569" s="10"/>
      <c r="Q569" s="79"/>
      <c r="R569" s="80"/>
      <c r="S569" s="81"/>
      <c r="T569" s="81"/>
      <c r="U569" s="81"/>
      <c r="V569" s="81"/>
      <c r="W569" s="10"/>
      <c r="X569" s="10"/>
      <c r="Y569" s="10"/>
      <c r="Z569" s="10"/>
      <c r="AA569" s="10"/>
      <c r="AB569" s="10"/>
      <c r="AC569" s="10"/>
      <c r="AF569" s="11"/>
    </row>
    <row r="570" spans="3:32" ht="12.75" customHeight="1" x14ac:dyDescent="0.3">
      <c r="C570" s="10"/>
      <c r="D570" s="10"/>
      <c r="E570" s="10"/>
      <c r="F570" s="10"/>
      <c r="G570" s="10"/>
      <c r="H570" s="10"/>
      <c r="I570" s="10"/>
      <c r="J570" s="10"/>
      <c r="K570" s="10"/>
      <c r="L570" s="10"/>
      <c r="M570" s="10"/>
      <c r="N570" s="10"/>
      <c r="O570" s="10"/>
      <c r="P570" s="10"/>
      <c r="Q570" s="79"/>
      <c r="R570" s="80"/>
      <c r="S570" s="81"/>
      <c r="T570" s="81"/>
      <c r="U570" s="81"/>
      <c r="V570" s="81"/>
      <c r="W570" s="10"/>
      <c r="X570" s="10"/>
      <c r="Y570" s="10"/>
      <c r="Z570" s="10"/>
      <c r="AA570" s="10"/>
      <c r="AB570" s="10"/>
      <c r="AC570" s="10"/>
      <c r="AF570" s="11"/>
    </row>
    <row r="571" spans="3:32" ht="12.75" customHeight="1" x14ac:dyDescent="0.3">
      <c r="C571" s="10"/>
      <c r="D571" s="10"/>
      <c r="E571" s="10"/>
      <c r="F571" s="10"/>
      <c r="G571" s="10"/>
      <c r="H571" s="10"/>
      <c r="I571" s="10"/>
      <c r="J571" s="10"/>
      <c r="K571" s="10"/>
      <c r="L571" s="10"/>
      <c r="M571" s="10"/>
      <c r="N571" s="10"/>
      <c r="O571" s="10"/>
      <c r="P571" s="10"/>
      <c r="Q571" s="79"/>
      <c r="R571" s="80"/>
      <c r="S571" s="81"/>
      <c r="T571" s="81"/>
      <c r="U571" s="81"/>
      <c r="V571" s="81"/>
      <c r="W571" s="10"/>
      <c r="X571" s="10"/>
      <c r="Y571" s="10"/>
      <c r="Z571" s="10"/>
      <c r="AA571" s="10"/>
      <c r="AB571" s="10"/>
      <c r="AC571" s="10"/>
      <c r="AF571" s="11"/>
    </row>
    <row r="572" spans="3:32" ht="12.75" customHeight="1" x14ac:dyDescent="0.3">
      <c r="C572" s="10"/>
      <c r="D572" s="10"/>
      <c r="E572" s="10"/>
      <c r="F572" s="10"/>
      <c r="G572" s="10"/>
      <c r="H572" s="10"/>
      <c r="I572" s="10"/>
      <c r="J572" s="10"/>
      <c r="K572" s="10"/>
      <c r="L572" s="10"/>
      <c r="M572" s="10"/>
      <c r="N572" s="10"/>
      <c r="O572" s="10"/>
      <c r="P572" s="10"/>
      <c r="Q572" s="79"/>
      <c r="R572" s="80"/>
      <c r="S572" s="81"/>
      <c r="T572" s="81"/>
      <c r="U572" s="81"/>
      <c r="V572" s="81"/>
      <c r="W572" s="10"/>
      <c r="X572" s="10"/>
      <c r="Y572" s="10"/>
      <c r="Z572" s="10"/>
      <c r="AA572" s="10"/>
      <c r="AB572" s="10"/>
      <c r="AC572" s="10"/>
      <c r="AF572" s="11"/>
    </row>
    <row r="573" spans="3:32" ht="12.75" customHeight="1" x14ac:dyDescent="0.3">
      <c r="C573" s="10"/>
      <c r="D573" s="10"/>
      <c r="E573" s="10"/>
      <c r="F573" s="10"/>
      <c r="G573" s="10"/>
      <c r="H573" s="10"/>
      <c r="I573" s="10"/>
      <c r="J573" s="10"/>
      <c r="K573" s="10"/>
      <c r="L573" s="10"/>
      <c r="M573" s="10"/>
      <c r="N573" s="10"/>
      <c r="O573" s="10"/>
      <c r="P573" s="10"/>
      <c r="Q573" s="79"/>
      <c r="R573" s="80"/>
      <c r="S573" s="81"/>
      <c r="T573" s="81"/>
      <c r="U573" s="81"/>
      <c r="V573" s="81"/>
      <c r="W573" s="10"/>
      <c r="X573" s="10"/>
      <c r="Y573" s="10"/>
      <c r="Z573" s="10"/>
      <c r="AA573" s="10"/>
      <c r="AB573" s="10"/>
      <c r="AC573" s="10"/>
      <c r="AF573" s="11"/>
    </row>
    <row r="574" spans="3:32" ht="12.75" customHeight="1" x14ac:dyDescent="0.3">
      <c r="C574" s="10"/>
      <c r="D574" s="10"/>
      <c r="E574" s="10"/>
      <c r="F574" s="10"/>
      <c r="G574" s="10"/>
      <c r="H574" s="10"/>
      <c r="I574" s="10"/>
      <c r="J574" s="10"/>
      <c r="K574" s="10"/>
      <c r="L574" s="10"/>
      <c r="M574" s="10"/>
      <c r="N574" s="10"/>
      <c r="O574" s="10"/>
      <c r="P574" s="10"/>
      <c r="Q574" s="79"/>
      <c r="R574" s="80"/>
      <c r="S574" s="81"/>
      <c r="T574" s="81"/>
      <c r="U574" s="81"/>
      <c r="V574" s="81"/>
      <c r="W574" s="10"/>
      <c r="X574" s="10"/>
      <c r="Y574" s="10"/>
      <c r="Z574" s="10"/>
      <c r="AA574" s="10"/>
      <c r="AB574" s="10"/>
      <c r="AC574" s="10"/>
      <c r="AF574" s="11"/>
    </row>
    <row r="575" spans="3:32" ht="12.75" customHeight="1" x14ac:dyDescent="0.3">
      <c r="C575" s="10"/>
      <c r="D575" s="10"/>
      <c r="E575" s="10"/>
      <c r="F575" s="10"/>
      <c r="G575" s="10"/>
      <c r="H575" s="10"/>
      <c r="I575" s="10"/>
      <c r="J575" s="10"/>
      <c r="K575" s="10"/>
      <c r="L575" s="10"/>
      <c r="M575" s="10"/>
      <c r="N575" s="10"/>
      <c r="O575" s="10"/>
      <c r="P575" s="10"/>
      <c r="Q575" s="79"/>
      <c r="R575" s="80"/>
      <c r="S575" s="81"/>
      <c r="T575" s="81"/>
      <c r="U575" s="81"/>
      <c r="V575" s="81"/>
      <c r="W575" s="10"/>
      <c r="X575" s="10"/>
      <c r="Y575" s="10"/>
      <c r="Z575" s="10"/>
      <c r="AA575" s="10"/>
      <c r="AB575" s="10"/>
      <c r="AC575" s="10"/>
      <c r="AF575" s="11"/>
    </row>
    <row r="576" spans="3:32" ht="12.75" customHeight="1" x14ac:dyDescent="0.3">
      <c r="C576" s="10"/>
      <c r="D576" s="10"/>
      <c r="E576" s="10"/>
      <c r="F576" s="10"/>
      <c r="G576" s="10"/>
      <c r="H576" s="10"/>
      <c r="I576" s="10"/>
      <c r="J576" s="10"/>
      <c r="K576" s="10"/>
      <c r="L576" s="10"/>
      <c r="M576" s="10"/>
      <c r="N576" s="10"/>
      <c r="O576" s="10"/>
      <c r="P576" s="10"/>
      <c r="Q576" s="79"/>
      <c r="R576" s="80"/>
      <c r="S576" s="81"/>
      <c r="T576" s="81"/>
      <c r="U576" s="81"/>
      <c r="V576" s="81"/>
      <c r="W576" s="10"/>
      <c r="X576" s="10"/>
      <c r="Y576" s="10"/>
      <c r="Z576" s="10"/>
      <c r="AA576" s="10"/>
      <c r="AB576" s="10"/>
      <c r="AC576" s="10"/>
      <c r="AF576" s="11"/>
    </row>
    <row r="577" spans="3:32" ht="12.75" customHeight="1" x14ac:dyDescent="0.3">
      <c r="C577" s="10"/>
      <c r="D577" s="10"/>
      <c r="E577" s="10"/>
      <c r="F577" s="10"/>
      <c r="G577" s="10"/>
      <c r="H577" s="10"/>
      <c r="I577" s="10"/>
      <c r="J577" s="10"/>
      <c r="K577" s="10"/>
      <c r="L577" s="10"/>
      <c r="M577" s="10"/>
      <c r="N577" s="10"/>
      <c r="O577" s="10"/>
      <c r="P577" s="10"/>
      <c r="Q577" s="79"/>
      <c r="R577" s="80"/>
      <c r="S577" s="81"/>
      <c r="T577" s="81"/>
      <c r="U577" s="81"/>
      <c r="V577" s="81"/>
      <c r="W577" s="10"/>
      <c r="X577" s="10"/>
      <c r="Y577" s="10"/>
      <c r="Z577" s="10"/>
      <c r="AA577" s="10"/>
      <c r="AB577" s="10"/>
      <c r="AC577" s="10"/>
      <c r="AF577" s="11"/>
    </row>
    <row r="578" spans="3:32" ht="12.75" customHeight="1" x14ac:dyDescent="0.3">
      <c r="C578" s="10"/>
      <c r="D578" s="10"/>
      <c r="E578" s="10"/>
      <c r="F578" s="10"/>
      <c r="G578" s="10"/>
      <c r="H578" s="10"/>
      <c r="I578" s="10"/>
      <c r="J578" s="10"/>
      <c r="K578" s="10"/>
      <c r="L578" s="10"/>
      <c r="M578" s="10"/>
      <c r="N578" s="10"/>
      <c r="O578" s="10"/>
      <c r="P578" s="10"/>
      <c r="Q578" s="79"/>
      <c r="R578" s="80"/>
      <c r="S578" s="81"/>
      <c r="T578" s="81"/>
      <c r="U578" s="81"/>
      <c r="V578" s="81"/>
      <c r="W578" s="10"/>
      <c r="X578" s="10"/>
      <c r="Y578" s="10"/>
      <c r="Z578" s="10"/>
      <c r="AA578" s="10"/>
      <c r="AB578" s="10"/>
      <c r="AC578" s="10"/>
      <c r="AF578" s="11"/>
    </row>
    <row r="579" spans="3:32" ht="12.75" customHeight="1" x14ac:dyDescent="0.3">
      <c r="C579" s="10"/>
      <c r="D579" s="10"/>
      <c r="E579" s="10"/>
      <c r="F579" s="10"/>
      <c r="G579" s="10"/>
      <c r="H579" s="10"/>
      <c r="I579" s="10"/>
      <c r="J579" s="10"/>
      <c r="K579" s="10"/>
      <c r="L579" s="10"/>
      <c r="M579" s="10"/>
      <c r="N579" s="10"/>
      <c r="O579" s="10"/>
      <c r="P579" s="10"/>
      <c r="Q579" s="79"/>
      <c r="R579" s="80"/>
      <c r="S579" s="81"/>
      <c r="T579" s="81"/>
      <c r="U579" s="81"/>
      <c r="V579" s="81"/>
      <c r="W579" s="10"/>
      <c r="X579" s="10"/>
      <c r="Y579" s="10"/>
      <c r="Z579" s="10"/>
      <c r="AA579" s="10"/>
      <c r="AB579" s="10"/>
      <c r="AC579" s="10"/>
      <c r="AF579" s="11"/>
    </row>
    <row r="580" spans="3:32" ht="12.75" customHeight="1" x14ac:dyDescent="0.3">
      <c r="C580" s="10"/>
      <c r="D580" s="10"/>
      <c r="E580" s="10"/>
      <c r="F580" s="10"/>
      <c r="G580" s="10"/>
      <c r="H580" s="10"/>
      <c r="I580" s="10"/>
      <c r="J580" s="10"/>
      <c r="K580" s="10"/>
      <c r="L580" s="10"/>
      <c r="M580" s="10"/>
      <c r="N580" s="10"/>
      <c r="O580" s="10"/>
      <c r="P580" s="10"/>
      <c r="Q580" s="79"/>
      <c r="R580" s="80"/>
      <c r="S580" s="81"/>
      <c r="T580" s="81"/>
      <c r="U580" s="81"/>
      <c r="V580" s="81"/>
      <c r="W580" s="10"/>
      <c r="X580" s="10"/>
      <c r="Y580" s="10"/>
      <c r="Z580" s="10"/>
      <c r="AA580" s="10"/>
      <c r="AB580" s="10"/>
      <c r="AC580" s="10"/>
      <c r="AF580" s="11"/>
    </row>
    <row r="581" spans="3:32" ht="12.75" customHeight="1" x14ac:dyDescent="0.3">
      <c r="C581" s="10"/>
      <c r="D581" s="10"/>
      <c r="E581" s="10"/>
      <c r="F581" s="10"/>
      <c r="G581" s="10"/>
      <c r="H581" s="10"/>
      <c r="I581" s="10"/>
      <c r="J581" s="10"/>
      <c r="K581" s="10"/>
      <c r="L581" s="10"/>
      <c r="M581" s="10"/>
      <c r="N581" s="10"/>
      <c r="O581" s="10"/>
      <c r="P581" s="10"/>
      <c r="Q581" s="79"/>
      <c r="R581" s="80"/>
      <c r="S581" s="81"/>
      <c r="T581" s="81"/>
      <c r="U581" s="81"/>
      <c r="V581" s="81"/>
      <c r="W581" s="10"/>
      <c r="X581" s="10"/>
      <c r="Y581" s="10"/>
      <c r="Z581" s="10"/>
      <c r="AA581" s="10"/>
      <c r="AB581" s="10"/>
      <c r="AC581" s="10"/>
      <c r="AF581" s="11"/>
    </row>
    <row r="582" spans="3:32" ht="12.75" customHeight="1" x14ac:dyDescent="0.3">
      <c r="C582" s="10"/>
      <c r="D582" s="10"/>
      <c r="E582" s="10"/>
      <c r="F582" s="10"/>
      <c r="G582" s="10"/>
      <c r="H582" s="10"/>
      <c r="I582" s="10"/>
      <c r="J582" s="10"/>
      <c r="K582" s="10"/>
      <c r="L582" s="10"/>
      <c r="M582" s="10"/>
      <c r="N582" s="10"/>
      <c r="O582" s="10"/>
      <c r="P582" s="10"/>
      <c r="Q582" s="79"/>
      <c r="R582" s="80"/>
      <c r="S582" s="81"/>
      <c r="T582" s="81"/>
      <c r="U582" s="81"/>
      <c r="V582" s="81"/>
      <c r="W582" s="10"/>
      <c r="X582" s="10"/>
      <c r="Y582" s="10"/>
      <c r="Z582" s="10"/>
      <c r="AA582" s="10"/>
      <c r="AB582" s="10"/>
      <c r="AC582" s="10"/>
      <c r="AF582" s="11"/>
    </row>
    <row r="583" spans="3:32" ht="12.75" customHeight="1" x14ac:dyDescent="0.3">
      <c r="C583" s="10"/>
      <c r="D583" s="10"/>
      <c r="E583" s="10"/>
      <c r="F583" s="10"/>
      <c r="G583" s="10"/>
      <c r="H583" s="10"/>
      <c r="I583" s="10"/>
      <c r="J583" s="10"/>
      <c r="K583" s="10"/>
      <c r="L583" s="10"/>
      <c r="M583" s="10"/>
      <c r="N583" s="10"/>
      <c r="O583" s="10"/>
      <c r="P583" s="10"/>
      <c r="Q583" s="79"/>
      <c r="R583" s="80"/>
      <c r="S583" s="81"/>
      <c r="T583" s="81"/>
      <c r="U583" s="81"/>
      <c r="V583" s="81"/>
      <c r="W583" s="10"/>
      <c r="X583" s="10"/>
      <c r="Y583" s="10"/>
      <c r="Z583" s="10"/>
      <c r="AA583" s="10"/>
      <c r="AB583" s="10"/>
      <c r="AC583" s="10"/>
      <c r="AF583" s="11"/>
    </row>
    <row r="584" spans="3:32" ht="12.75" customHeight="1" x14ac:dyDescent="0.3">
      <c r="C584" s="10"/>
      <c r="D584" s="10"/>
      <c r="E584" s="10"/>
      <c r="F584" s="10"/>
      <c r="G584" s="10"/>
      <c r="H584" s="10"/>
      <c r="I584" s="10"/>
      <c r="J584" s="10"/>
      <c r="K584" s="10"/>
      <c r="L584" s="10"/>
      <c r="M584" s="10"/>
      <c r="N584" s="10"/>
      <c r="O584" s="10"/>
      <c r="P584" s="10"/>
      <c r="Q584" s="79"/>
      <c r="R584" s="80"/>
      <c r="S584" s="81"/>
      <c r="T584" s="81"/>
      <c r="U584" s="81"/>
      <c r="V584" s="81"/>
      <c r="W584" s="10"/>
      <c r="X584" s="10"/>
      <c r="Y584" s="10"/>
      <c r="Z584" s="10"/>
      <c r="AA584" s="10"/>
      <c r="AB584" s="10"/>
      <c r="AC584" s="10"/>
      <c r="AF584" s="11"/>
    </row>
    <row r="585" spans="3:32" ht="12.75" customHeight="1" x14ac:dyDescent="0.3">
      <c r="C585" s="10"/>
      <c r="D585" s="10"/>
      <c r="E585" s="10"/>
      <c r="F585" s="10"/>
      <c r="G585" s="10"/>
      <c r="H585" s="10"/>
      <c r="I585" s="10"/>
      <c r="J585" s="10"/>
      <c r="K585" s="10"/>
      <c r="L585" s="10"/>
      <c r="M585" s="10"/>
      <c r="N585" s="10"/>
      <c r="O585" s="10"/>
      <c r="P585" s="10"/>
      <c r="Q585" s="79"/>
      <c r="R585" s="80"/>
      <c r="S585" s="81"/>
      <c r="T585" s="81"/>
      <c r="U585" s="81"/>
      <c r="V585" s="81"/>
      <c r="W585" s="10"/>
      <c r="X585" s="10"/>
      <c r="Y585" s="10"/>
      <c r="Z585" s="10"/>
      <c r="AA585" s="10"/>
      <c r="AB585" s="10"/>
      <c r="AC585" s="10"/>
      <c r="AF585" s="11"/>
    </row>
    <row r="586" spans="3:32" ht="12.75" customHeight="1" x14ac:dyDescent="0.3">
      <c r="C586" s="10"/>
      <c r="D586" s="10"/>
      <c r="E586" s="10"/>
      <c r="F586" s="10"/>
      <c r="G586" s="10"/>
      <c r="H586" s="10"/>
      <c r="I586" s="10"/>
      <c r="J586" s="10"/>
      <c r="K586" s="10"/>
      <c r="L586" s="10"/>
      <c r="M586" s="10"/>
      <c r="N586" s="10"/>
      <c r="O586" s="10"/>
      <c r="P586" s="10"/>
      <c r="Q586" s="79"/>
      <c r="R586" s="80"/>
      <c r="S586" s="81"/>
      <c r="T586" s="81"/>
      <c r="U586" s="81"/>
      <c r="V586" s="81"/>
      <c r="W586" s="10"/>
      <c r="X586" s="10"/>
      <c r="Y586" s="10"/>
      <c r="Z586" s="10"/>
      <c r="AA586" s="10"/>
      <c r="AB586" s="10"/>
      <c r="AC586" s="10"/>
      <c r="AF586" s="11"/>
    </row>
    <row r="587" spans="3:32" ht="12.75" customHeight="1" x14ac:dyDescent="0.3">
      <c r="C587" s="10"/>
      <c r="D587" s="10"/>
      <c r="E587" s="10"/>
      <c r="F587" s="10"/>
      <c r="G587" s="10"/>
      <c r="H587" s="10"/>
      <c r="I587" s="10"/>
      <c r="J587" s="10"/>
      <c r="K587" s="10"/>
      <c r="L587" s="10"/>
      <c r="M587" s="10"/>
      <c r="N587" s="10"/>
      <c r="O587" s="10"/>
      <c r="P587" s="10"/>
      <c r="Q587" s="79"/>
      <c r="R587" s="80"/>
      <c r="S587" s="81"/>
      <c r="T587" s="81"/>
      <c r="U587" s="81"/>
      <c r="V587" s="81"/>
      <c r="W587" s="10"/>
      <c r="X587" s="10"/>
      <c r="Y587" s="10"/>
      <c r="Z587" s="10"/>
      <c r="AA587" s="10"/>
      <c r="AB587" s="10"/>
      <c r="AC587" s="10"/>
      <c r="AF587" s="11"/>
    </row>
    <row r="588" spans="3:32" ht="12.75" customHeight="1" x14ac:dyDescent="0.3">
      <c r="C588" s="10"/>
      <c r="D588" s="10"/>
      <c r="E588" s="10"/>
      <c r="F588" s="10"/>
      <c r="G588" s="10"/>
      <c r="H588" s="10"/>
      <c r="I588" s="10"/>
      <c r="J588" s="10"/>
      <c r="K588" s="10"/>
      <c r="L588" s="10"/>
      <c r="M588" s="10"/>
      <c r="N588" s="10"/>
      <c r="O588" s="10"/>
      <c r="P588" s="10"/>
      <c r="Q588" s="79"/>
      <c r="R588" s="80"/>
      <c r="S588" s="81"/>
      <c r="T588" s="81"/>
      <c r="U588" s="81"/>
      <c r="V588" s="81"/>
      <c r="W588" s="10"/>
      <c r="X588" s="10"/>
      <c r="Y588" s="10"/>
      <c r="Z588" s="10"/>
      <c r="AA588" s="10"/>
      <c r="AB588" s="10"/>
      <c r="AC588" s="10"/>
      <c r="AF588" s="11"/>
    </row>
    <row r="589" spans="3:32" ht="12.75" customHeight="1" x14ac:dyDescent="0.3">
      <c r="C589" s="10"/>
      <c r="D589" s="10"/>
      <c r="E589" s="10"/>
      <c r="F589" s="10"/>
      <c r="G589" s="10"/>
      <c r="H589" s="10"/>
      <c r="I589" s="10"/>
      <c r="J589" s="10"/>
      <c r="K589" s="10"/>
      <c r="L589" s="10"/>
      <c r="M589" s="10"/>
      <c r="N589" s="10"/>
      <c r="O589" s="10"/>
      <c r="P589" s="10"/>
      <c r="Q589" s="79"/>
      <c r="R589" s="80"/>
      <c r="S589" s="81"/>
      <c r="T589" s="81"/>
      <c r="U589" s="81"/>
      <c r="V589" s="81"/>
      <c r="W589" s="10"/>
      <c r="X589" s="10"/>
      <c r="Y589" s="10"/>
      <c r="Z589" s="10"/>
      <c r="AA589" s="10"/>
      <c r="AB589" s="10"/>
      <c r="AC589" s="10"/>
      <c r="AF589" s="11"/>
    </row>
    <row r="590" spans="3:32" ht="12.75" customHeight="1" x14ac:dyDescent="0.3">
      <c r="C590" s="10"/>
      <c r="D590" s="10"/>
      <c r="E590" s="10"/>
      <c r="F590" s="10"/>
      <c r="G590" s="10"/>
      <c r="H590" s="10"/>
      <c r="I590" s="10"/>
      <c r="J590" s="10"/>
      <c r="K590" s="10"/>
      <c r="L590" s="10"/>
      <c r="M590" s="10"/>
      <c r="N590" s="10"/>
      <c r="O590" s="10"/>
      <c r="P590" s="10"/>
      <c r="Q590" s="79"/>
      <c r="R590" s="80"/>
      <c r="S590" s="81"/>
      <c r="T590" s="81"/>
      <c r="U590" s="81"/>
      <c r="V590" s="81"/>
      <c r="W590" s="10"/>
      <c r="X590" s="10"/>
      <c r="Y590" s="10"/>
      <c r="Z590" s="10"/>
      <c r="AA590" s="10"/>
      <c r="AB590" s="10"/>
      <c r="AC590" s="10"/>
      <c r="AF590" s="11"/>
    </row>
    <row r="591" spans="3:32" ht="12.75" customHeight="1" x14ac:dyDescent="0.3">
      <c r="C591" s="10"/>
      <c r="D591" s="10"/>
      <c r="E591" s="10"/>
      <c r="F591" s="10"/>
      <c r="G591" s="10"/>
      <c r="H591" s="10"/>
      <c r="I591" s="10"/>
      <c r="J591" s="10"/>
      <c r="K591" s="10"/>
      <c r="L591" s="10"/>
      <c r="M591" s="10"/>
      <c r="N591" s="10"/>
      <c r="O591" s="10"/>
      <c r="P591" s="10"/>
      <c r="Q591" s="79"/>
      <c r="R591" s="80"/>
      <c r="S591" s="81"/>
      <c r="T591" s="81"/>
      <c r="U591" s="81"/>
      <c r="V591" s="81"/>
      <c r="W591" s="10"/>
      <c r="X591" s="10"/>
      <c r="Y591" s="10"/>
      <c r="Z591" s="10"/>
      <c r="AA591" s="10"/>
      <c r="AB591" s="10"/>
      <c r="AC591" s="10"/>
      <c r="AF591" s="11"/>
    </row>
    <row r="592" spans="3:32" ht="12.75" customHeight="1" x14ac:dyDescent="0.3">
      <c r="C592" s="10"/>
      <c r="D592" s="10"/>
      <c r="E592" s="10"/>
      <c r="F592" s="10"/>
      <c r="G592" s="10"/>
      <c r="H592" s="10"/>
      <c r="I592" s="10"/>
      <c r="J592" s="10"/>
      <c r="K592" s="10"/>
      <c r="L592" s="10"/>
      <c r="M592" s="10"/>
      <c r="N592" s="10"/>
      <c r="O592" s="10"/>
      <c r="P592" s="10"/>
      <c r="Q592" s="79"/>
      <c r="R592" s="80"/>
      <c r="S592" s="81"/>
      <c r="T592" s="81"/>
      <c r="U592" s="81"/>
      <c r="V592" s="81"/>
      <c r="W592" s="10"/>
      <c r="X592" s="10"/>
      <c r="Y592" s="10"/>
      <c r="Z592" s="10"/>
      <c r="AA592" s="10"/>
      <c r="AB592" s="10"/>
      <c r="AC592" s="10"/>
      <c r="AF592" s="11"/>
    </row>
    <row r="593" spans="3:32" ht="12.75" customHeight="1" x14ac:dyDescent="0.3">
      <c r="C593" s="10"/>
      <c r="D593" s="10"/>
      <c r="E593" s="10"/>
      <c r="F593" s="10"/>
      <c r="G593" s="10"/>
      <c r="H593" s="10"/>
      <c r="I593" s="10"/>
      <c r="J593" s="10"/>
      <c r="K593" s="10"/>
      <c r="L593" s="10"/>
      <c r="M593" s="10"/>
      <c r="N593" s="10"/>
      <c r="O593" s="10"/>
      <c r="P593" s="10"/>
      <c r="Q593" s="79"/>
      <c r="R593" s="80"/>
      <c r="S593" s="81"/>
      <c r="T593" s="81"/>
      <c r="U593" s="81"/>
      <c r="V593" s="81"/>
      <c r="W593" s="10"/>
      <c r="X593" s="10"/>
      <c r="Y593" s="10"/>
      <c r="Z593" s="10"/>
      <c r="AA593" s="10"/>
      <c r="AB593" s="10"/>
      <c r="AC593" s="10"/>
      <c r="AF593" s="11"/>
    </row>
    <row r="594" spans="3:32" ht="12.75" customHeight="1" x14ac:dyDescent="0.3">
      <c r="C594" s="10"/>
      <c r="D594" s="10"/>
      <c r="E594" s="10"/>
      <c r="F594" s="10"/>
      <c r="G594" s="10"/>
      <c r="H594" s="10"/>
      <c r="I594" s="10"/>
      <c r="J594" s="10"/>
      <c r="K594" s="10"/>
      <c r="L594" s="10"/>
      <c r="M594" s="10"/>
      <c r="N594" s="10"/>
      <c r="O594" s="10"/>
      <c r="P594" s="10"/>
      <c r="Q594" s="79"/>
      <c r="R594" s="80"/>
      <c r="S594" s="81"/>
      <c r="T594" s="81"/>
      <c r="U594" s="81"/>
      <c r="V594" s="81"/>
      <c r="W594" s="10"/>
      <c r="X594" s="10"/>
      <c r="Y594" s="10"/>
      <c r="Z594" s="10"/>
      <c r="AA594" s="10"/>
      <c r="AB594" s="10"/>
      <c r="AC594" s="10"/>
      <c r="AF594" s="11"/>
    </row>
    <row r="595" spans="3:32" ht="12.75" customHeight="1" x14ac:dyDescent="0.3">
      <c r="C595" s="10"/>
      <c r="D595" s="10"/>
      <c r="E595" s="10"/>
      <c r="F595" s="10"/>
      <c r="G595" s="10"/>
      <c r="H595" s="10"/>
      <c r="I595" s="10"/>
      <c r="J595" s="10"/>
      <c r="K595" s="10"/>
      <c r="L595" s="10"/>
      <c r="M595" s="10"/>
      <c r="N595" s="10"/>
      <c r="O595" s="10"/>
      <c r="P595" s="10"/>
      <c r="Q595" s="79"/>
      <c r="R595" s="80"/>
      <c r="S595" s="81"/>
      <c r="T595" s="81"/>
      <c r="U595" s="81"/>
      <c r="V595" s="81"/>
      <c r="W595" s="10"/>
      <c r="X595" s="10"/>
      <c r="Y595" s="10"/>
      <c r="Z595" s="10"/>
      <c r="AA595" s="10"/>
      <c r="AB595" s="10"/>
      <c r="AC595" s="10"/>
      <c r="AF595" s="11"/>
    </row>
    <row r="596" spans="3:32" ht="12.75" customHeight="1" x14ac:dyDescent="0.3">
      <c r="C596" s="10"/>
      <c r="D596" s="10"/>
      <c r="E596" s="10"/>
      <c r="F596" s="10"/>
      <c r="G596" s="10"/>
      <c r="H596" s="10"/>
      <c r="I596" s="10"/>
      <c r="J596" s="10"/>
      <c r="K596" s="10"/>
      <c r="L596" s="10"/>
      <c r="M596" s="10"/>
      <c r="N596" s="10"/>
      <c r="O596" s="10"/>
      <c r="P596" s="10"/>
      <c r="Q596" s="79"/>
      <c r="R596" s="80"/>
      <c r="S596" s="81"/>
      <c r="T596" s="81"/>
      <c r="U596" s="81"/>
      <c r="V596" s="81"/>
      <c r="W596" s="10"/>
      <c r="X596" s="10"/>
      <c r="Y596" s="10"/>
      <c r="Z596" s="10"/>
      <c r="AA596" s="10"/>
      <c r="AB596" s="10"/>
      <c r="AC596" s="10"/>
      <c r="AF596" s="11"/>
    </row>
    <row r="597" spans="3:32" ht="12.75" customHeight="1" x14ac:dyDescent="0.3">
      <c r="C597" s="10"/>
      <c r="D597" s="10"/>
      <c r="E597" s="10"/>
      <c r="F597" s="10"/>
      <c r="G597" s="10"/>
      <c r="H597" s="10"/>
      <c r="I597" s="10"/>
      <c r="J597" s="10"/>
      <c r="K597" s="10"/>
      <c r="L597" s="10"/>
      <c r="M597" s="10"/>
      <c r="N597" s="10"/>
      <c r="O597" s="10"/>
      <c r="P597" s="10"/>
      <c r="Q597" s="79"/>
      <c r="R597" s="80"/>
      <c r="S597" s="81"/>
      <c r="T597" s="81"/>
      <c r="U597" s="81"/>
      <c r="V597" s="81"/>
      <c r="W597" s="10"/>
      <c r="X597" s="10"/>
      <c r="Y597" s="10"/>
      <c r="Z597" s="10"/>
      <c r="AA597" s="10"/>
      <c r="AB597" s="10"/>
      <c r="AC597" s="10"/>
      <c r="AF597" s="11"/>
    </row>
    <row r="598" spans="3:32" ht="12.75" customHeight="1" x14ac:dyDescent="0.3">
      <c r="C598" s="10"/>
      <c r="D598" s="10"/>
      <c r="E598" s="10"/>
      <c r="F598" s="10"/>
      <c r="G598" s="10"/>
      <c r="H598" s="10"/>
      <c r="I598" s="10"/>
      <c r="J598" s="10"/>
      <c r="K598" s="10"/>
      <c r="L598" s="10"/>
      <c r="M598" s="10"/>
      <c r="N598" s="10"/>
      <c r="O598" s="10"/>
      <c r="P598" s="10"/>
      <c r="Q598" s="79"/>
      <c r="R598" s="80"/>
      <c r="S598" s="81"/>
      <c r="T598" s="81"/>
      <c r="U598" s="81"/>
      <c r="V598" s="81"/>
      <c r="W598" s="10"/>
      <c r="X598" s="10"/>
      <c r="Y598" s="10"/>
      <c r="Z598" s="10"/>
      <c r="AA598" s="10"/>
      <c r="AB598" s="10"/>
      <c r="AC598" s="10"/>
      <c r="AF598" s="11"/>
    </row>
    <row r="599" spans="3:32" ht="12.75" customHeight="1" x14ac:dyDescent="0.3">
      <c r="C599" s="10"/>
      <c r="D599" s="10"/>
      <c r="E599" s="10"/>
      <c r="F599" s="10"/>
      <c r="G599" s="10"/>
      <c r="H599" s="10"/>
      <c r="I599" s="10"/>
      <c r="J599" s="10"/>
      <c r="K599" s="10"/>
      <c r="L599" s="10"/>
      <c r="M599" s="10"/>
      <c r="N599" s="10"/>
      <c r="O599" s="10"/>
      <c r="P599" s="10"/>
      <c r="Q599" s="79"/>
      <c r="R599" s="80"/>
      <c r="S599" s="81"/>
      <c r="T599" s="81"/>
      <c r="U599" s="81"/>
      <c r="V599" s="81"/>
      <c r="W599" s="10"/>
      <c r="X599" s="10"/>
      <c r="Y599" s="10"/>
      <c r="Z599" s="10"/>
      <c r="AA599" s="10"/>
      <c r="AB599" s="10"/>
      <c r="AC599" s="10"/>
      <c r="AF599" s="11"/>
    </row>
    <row r="600" spans="3:32" ht="12.75" customHeight="1" x14ac:dyDescent="0.3">
      <c r="C600" s="10"/>
      <c r="D600" s="10"/>
      <c r="E600" s="10"/>
      <c r="F600" s="10"/>
      <c r="G600" s="10"/>
      <c r="H600" s="10"/>
      <c r="I600" s="10"/>
      <c r="J600" s="10"/>
      <c r="K600" s="10"/>
      <c r="L600" s="10"/>
      <c r="M600" s="10"/>
      <c r="N600" s="10"/>
      <c r="O600" s="10"/>
      <c r="P600" s="10"/>
      <c r="Q600" s="79"/>
      <c r="R600" s="80"/>
      <c r="S600" s="81"/>
      <c r="T600" s="81"/>
      <c r="U600" s="81"/>
      <c r="V600" s="81"/>
      <c r="W600" s="10"/>
      <c r="X600" s="10"/>
      <c r="Y600" s="10"/>
      <c r="Z600" s="10"/>
      <c r="AA600" s="10"/>
      <c r="AB600" s="10"/>
      <c r="AC600" s="10"/>
      <c r="AF600" s="11"/>
    </row>
    <row r="601" spans="3:32" ht="12.75" customHeight="1" x14ac:dyDescent="0.3">
      <c r="C601" s="10"/>
      <c r="D601" s="10"/>
      <c r="E601" s="10"/>
      <c r="F601" s="10"/>
      <c r="G601" s="10"/>
      <c r="H601" s="10"/>
      <c r="I601" s="10"/>
      <c r="J601" s="10"/>
      <c r="K601" s="10"/>
      <c r="L601" s="10"/>
      <c r="M601" s="10"/>
      <c r="N601" s="10"/>
      <c r="O601" s="10"/>
      <c r="P601" s="10"/>
      <c r="Q601" s="79"/>
      <c r="R601" s="80"/>
      <c r="S601" s="81"/>
      <c r="T601" s="81"/>
      <c r="U601" s="81"/>
      <c r="V601" s="81"/>
      <c r="W601" s="10"/>
      <c r="X601" s="10"/>
      <c r="Y601" s="10"/>
      <c r="Z601" s="10"/>
      <c r="AA601" s="10"/>
      <c r="AB601" s="10"/>
      <c r="AC601" s="10"/>
      <c r="AF601" s="11"/>
    </row>
    <row r="602" spans="3:32" ht="12.75" customHeight="1" x14ac:dyDescent="0.3">
      <c r="C602" s="10"/>
      <c r="D602" s="10"/>
      <c r="E602" s="10"/>
      <c r="F602" s="10"/>
      <c r="G602" s="10"/>
      <c r="H602" s="10"/>
      <c r="I602" s="10"/>
      <c r="J602" s="10"/>
      <c r="K602" s="10"/>
      <c r="L602" s="10"/>
      <c r="M602" s="10"/>
      <c r="N602" s="10"/>
      <c r="O602" s="10"/>
      <c r="P602" s="10"/>
      <c r="Q602" s="79"/>
      <c r="R602" s="80"/>
      <c r="S602" s="81"/>
      <c r="T602" s="81"/>
      <c r="U602" s="81"/>
      <c r="V602" s="81"/>
      <c r="W602" s="10"/>
      <c r="X602" s="10"/>
      <c r="Y602" s="10"/>
      <c r="Z602" s="10"/>
      <c r="AA602" s="10"/>
      <c r="AB602" s="10"/>
      <c r="AC602" s="10"/>
      <c r="AF602" s="11"/>
    </row>
    <row r="603" spans="3:32" ht="12.75" customHeight="1" x14ac:dyDescent="0.3">
      <c r="C603" s="10"/>
      <c r="D603" s="10"/>
      <c r="E603" s="10"/>
      <c r="F603" s="10"/>
      <c r="G603" s="10"/>
      <c r="H603" s="10"/>
      <c r="I603" s="10"/>
      <c r="J603" s="10"/>
      <c r="K603" s="10"/>
      <c r="L603" s="10"/>
      <c r="M603" s="10"/>
      <c r="N603" s="10"/>
      <c r="O603" s="10"/>
      <c r="P603" s="10"/>
      <c r="Q603" s="79"/>
      <c r="R603" s="80"/>
      <c r="S603" s="81"/>
      <c r="T603" s="81"/>
      <c r="U603" s="81"/>
      <c r="V603" s="81"/>
      <c r="W603" s="10"/>
      <c r="X603" s="10"/>
      <c r="Y603" s="10"/>
      <c r="Z603" s="10"/>
      <c r="AA603" s="10"/>
      <c r="AB603" s="10"/>
      <c r="AC603" s="10"/>
      <c r="AF603" s="11"/>
    </row>
    <row r="604" spans="3:32" ht="12.75" customHeight="1" x14ac:dyDescent="0.3">
      <c r="C604" s="10"/>
      <c r="D604" s="10"/>
      <c r="E604" s="10"/>
      <c r="F604" s="10"/>
      <c r="G604" s="10"/>
      <c r="H604" s="10"/>
      <c r="I604" s="10"/>
      <c r="J604" s="10"/>
      <c r="K604" s="10"/>
      <c r="L604" s="10"/>
      <c r="M604" s="10"/>
      <c r="N604" s="10"/>
      <c r="O604" s="10"/>
      <c r="P604" s="10"/>
      <c r="Q604" s="79"/>
      <c r="R604" s="80"/>
      <c r="S604" s="81"/>
      <c r="T604" s="81"/>
      <c r="U604" s="81"/>
      <c r="V604" s="81"/>
      <c r="W604" s="10"/>
      <c r="X604" s="10"/>
      <c r="Y604" s="10"/>
      <c r="Z604" s="10"/>
      <c r="AA604" s="10"/>
      <c r="AB604" s="10"/>
      <c r="AC604" s="10"/>
      <c r="AF604" s="11"/>
    </row>
    <row r="605" spans="3:32" ht="12.75" customHeight="1" x14ac:dyDescent="0.3">
      <c r="C605" s="10"/>
      <c r="D605" s="10"/>
      <c r="E605" s="10"/>
      <c r="F605" s="10"/>
      <c r="G605" s="10"/>
      <c r="H605" s="10"/>
      <c r="I605" s="10"/>
      <c r="J605" s="10"/>
      <c r="K605" s="10"/>
      <c r="L605" s="10"/>
      <c r="M605" s="10"/>
      <c r="N605" s="10"/>
      <c r="O605" s="10"/>
      <c r="P605" s="10"/>
      <c r="Q605" s="79"/>
      <c r="R605" s="80"/>
      <c r="S605" s="81"/>
      <c r="T605" s="81"/>
      <c r="U605" s="81"/>
      <c r="V605" s="81"/>
      <c r="W605" s="10"/>
      <c r="X605" s="10"/>
      <c r="Y605" s="10"/>
      <c r="Z605" s="10"/>
      <c r="AA605" s="10"/>
      <c r="AB605" s="10"/>
      <c r="AC605" s="10"/>
      <c r="AF605" s="11"/>
    </row>
    <row r="606" spans="3:32" ht="12.75" customHeight="1" x14ac:dyDescent="0.3">
      <c r="C606" s="10"/>
      <c r="D606" s="10"/>
      <c r="E606" s="10"/>
      <c r="F606" s="10"/>
      <c r="G606" s="10"/>
      <c r="H606" s="10"/>
      <c r="I606" s="10"/>
      <c r="J606" s="10"/>
      <c r="K606" s="10"/>
      <c r="L606" s="10"/>
      <c r="M606" s="10"/>
      <c r="N606" s="10"/>
      <c r="O606" s="10"/>
      <c r="P606" s="10"/>
      <c r="Q606" s="79"/>
      <c r="R606" s="80"/>
      <c r="S606" s="81"/>
      <c r="T606" s="81"/>
      <c r="U606" s="81"/>
      <c r="V606" s="81"/>
      <c r="W606" s="10"/>
      <c r="X606" s="10"/>
      <c r="Y606" s="10"/>
      <c r="Z606" s="10"/>
      <c r="AA606" s="10"/>
      <c r="AB606" s="10"/>
      <c r="AC606" s="10"/>
      <c r="AF606" s="11"/>
    </row>
    <row r="607" spans="3:32" ht="12.75" customHeight="1" x14ac:dyDescent="0.3">
      <c r="C607" s="10"/>
      <c r="D607" s="10"/>
      <c r="E607" s="10"/>
      <c r="F607" s="10"/>
      <c r="G607" s="10"/>
      <c r="H607" s="10"/>
      <c r="I607" s="10"/>
      <c r="J607" s="10"/>
      <c r="K607" s="10"/>
      <c r="L607" s="10"/>
      <c r="M607" s="10"/>
      <c r="N607" s="10"/>
      <c r="O607" s="10"/>
      <c r="P607" s="10"/>
      <c r="Q607" s="79"/>
      <c r="R607" s="80"/>
      <c r="S607" s="81"/>
      <c r="T607" s="81"/>
      <c r="U607" s="81"/>
      <c r="V607" s="81"/>
      <c r="W607" s="10"/>
      <c r="X607" s="10"/>
      <c r="Y607" s="10"/>
      <c r="Z607" s="10"/>
      <c r="AA607" s="10"/>
      <c r="AB607" s="10"/>
      <c r="AC607" s="10"/>
      <c r="AF607" s="11"/>
    </row>
    <row r="608" spans="3:32" ht="12.75" customHeight="1" x14ac:dyDescent="0.3">
      <c r="C608" s="10"/>
      <c r="D608" s="10"/>
      <c r="E608" s="10"/>
      <c r="F608" s="10"/>
      <c r="G608" s="10"/>
      <c r="H608" s="10"/>
      <c r="I608" s="10"/>
      <c r="J608" s="10"/>
      <c r="K608" s="10"/>
      <c r="L608" s="10"/>
      <c r="M608" s="10"/>
      <c r="N608" s="10"/>
      <c r="O608" s="10"/>
      <c r="P608" s="10"/>
      <c r="Q608" s="79"/>
      <c r="R608" s="80"/>
      <c r="S608" s="81"/>
      <c r="T608" s="81"/>
      <c r="U608" s="81"/>
      <c r="V608" s="81"/>
      <c r="W608" s="10"/>
      <c r="X608" s="10"/>
      <c r="Y608" s="10"/>
      <c r="Z608" s="10"/>
      <c r="AA608" s="10"/>
      <c r="AB608" s="10"/>
      <c r="AC608" s="10"/>
      <c r="AF608" s="11"/>
    </row>
    <row r="609" spans="3:32" ht="12.75" customHeight="1" x14ac:dyDescent="0.3">
      <c r="C609" s="10"/>
      <c r="D609" s="10"/>
      <c r="E609" s="10"/>
      <c r="F609" s="10"/>
      <c r="G609" s="10"/>
      <c r="H609" s="10"/>
      <c r="I609" s="10"/>
      <c r="J609" s="10"/>
      <c r="K609" s="10"/>
      <c r="L609" s="10"/>
      <c r="M609" s="10"/>
      <c r="N609" s="10"/>
      <c r="O609" s="10"/>
      <c r="P609" s="10"/>
      <c r="Q609" s="79"/>
      <c r="R609" s="80"/>
      <c r="S609" s="81"/>
      <c r="T609" s="81"/>
      <c r="U609" s="81"/>
      <c r="V609" s="81"/>
      <c r="W609" s="10"/>
      <c r="X609" s="10"/>
      <c r="Y609" s="10"/>
      <c r="Z609" s="10"/>
      <c r="AA609" s="10"/>
      <c r="AB609" s="10"/>
      <c r="AC609" s="10"/>
      <c r="AF609" s="11"/>
    </row>
    <row r="610" spans="3:32" ht="12.75" customHeight="1" x14ac:dyDescent="0.3">
      <c r="C610" s="10"/>
      <c r="D610" s="10"/>
      <c r="E610" s="10"/>
      <c r="F610" s="10"/>
      <c r="G610" s="10"/>
      <c r="H610" s="10"/>
      <c r="I610" s="10"/>
      <c r="J610" s="10"/>
      <c r="K610" s="10"/>
      <c r="L610" s="10"/>
      <c r="M610" s="10"/>
      <c r="N610" s="10"/>
      <c r="O610" s="10"/>
      <c r="P610" s="10"/>
      <c r="Q610" s="79"/>
      <c r="R610" s="80"/>
      <c r="S610" s="81"/>
      <c r="T610" s="81"/>
      <c r="U610" s="81"/>
      <c r="V610" s="81"/>
      <c r="W610" s="10"/>
      <c r="X610" s="10"/>
      <c r="Y610" s="10"/>
      <c r="Z610" s="10"/>
      <c r="AA610" s="10"/>
      <c r="AB610" s="10"/>
      <c r="AC610" s="10"/>
      <c r="AF610" s="11"/>
    </row>
    <row r="611" spans="3:32" ht="12.75" customHeight="1" x14ac:dyDescent="0.3">
      <c r="C611" s="10"/>
      <c r="D611" s="10"/>
      <c r="E611" s="10"/>
      <c r="F611" s="10"/>
      <c r="G611" s="10"/>
      <c r="H611" s="10"/>
      <c r="I611" s="10"/>
      <c r="J611" s="10"/>
      <c r="K611" s="10"/>
      <c r="L611" s="10"/>
      <c r="M611" s="10"/>
      <c r="N611" s="10"/>
      <c r="O611" s="10"/>
      <c r="P611" s="10"/>
      <c r="Q611" s="79"/>
      <c r="R611" s="80"/>
      <c r="S611" s="81"/>
      <c r="T611" s="81"/>
      <c r="U611" s="81"/>
      <c r="V611" s="81"/>
      <c r="W611" s="10"/>
      <c r="X611" s="10"/>
      <c r="Y611" s="10"/>
      <c r="Z611" s="10"/>
      <c r="AA611" s="10"/>
      <c r="AB611" s="10"/>
      <c r="AC611" s="10"/>
      <c r="AF611" s="11"/>
    </row>
    <row r="612" spans="3:32" ht="12.75" customHeight="1" x14ac:dyDescent="0.3">
      <c r="C612" s="10"/>
      <c r="D612" s="10"/>
      <c r="E612" s="10"/>
      <c r="F612" s="10"/>
      <c r="G612" s="10"/>
      <c r="H612" s="10"/>
      <c r="I612" s="10"/>
      <c r="J612" s="10"/>
      <c r="K612" s="10"/>
      <c r="L612" s="10"/>
      <c r="M612" s="10"/>
      <c r="N612" s="10"/>
      <c r="O612" s="10"/>
      <c r="P612" s="10"/>
      <c r="Q612" s="79"/>
      <c r="R612" s="80"/>
      <c r="S612" s="81"/>
      <c r="T612" s="81"/>
      <c r="U612" s="81"/>
      <c r="V612" s="81"/>
      <c r="W612" s="10"/>
      <c r="X612" s="10"/>
      <c r="Y612" s="10"/>
      <c r="Z612" s="10"/>
      <c r="AA612" s="10"/>
      <c r="AB612" s="10"/>
      <c r="AC612" s="10"/>
      <c r="AF612" s="11"/>
    </row>
    <row r="613" spans="3:32" ht="12.75" customHeight="1" x14ac:dyDescent="0.3">
      <c r="C613" s="10"/>
      <c r="D613" s="10"/>
      <c r="E613" s="10"/>
      <c r="F613" s="10"/>
      <c r="G613" s="10"/>
      <c r="H613" s="10"/>
      <c r="I613" s="10"/>
      <c r="J613" s="10"/>
      <c r="K613" s="10"/>
      <c r="L613" s="10"/>
      <c r="M613" s="10"/>
      <c r="N613" s="10"/>
      <c r="O613" s="10"/>
      <c r="P613" s="10"/>
      <c r="Q613" s="79"/>
      <c r="R613" s="80"/>
      <c r="S613" s="81"/>
      <c r="T613" s="81"/>
      <c r="U613" s="81"/>
      <c r="V613" s="81"/>
      <c r="W613" s="10"/>
      <c r="X613" s="10"/>
      <c r="Y613" s="10"/>
      <c r="Z613" s="10"/>
      <c r="AA613" s="10"/>
      <c r="AB613" s="10"/>
      <c r="AC613" s="10"/>
      <c r="AF613" s="11"/>
    </row>
    <row r="614" spans="3:32" ht="12.75" customHeight="1" x14ac:dyDescent="0.3">
      <c r="C614" s="10"/>
      <c r="D614" s="10"/>
      <c r="E614" s="10"/>
      <c r="F614" s="10"/>
      <c r="G614" s="10"/>
      <c r="H614" s="10"/>
      <c r="I614" s="10"/>
      <c r="J614" s="10"/>
      <c r="K614" s="10"/>
      <c r="L614" s="10"/>
      <c r="M614" s="10"/>
      <c r="N614" s="10"/>
      <c r="O614" s="10"/>
      <c r="P614" s="10"/>
      <c r="Q614" s="79"/>
      <c r="R614" s="80"/>
      <c r="S614" s="81"/>
      <c r="T614" s="81"/>
      <c r="U614" s="81"/>
      <c r="V614" s="81"/>
      <c r="W614" s="10"/>
      <c r="X614" s="10"/>
      <c r="Y614" s="10"/>
      <c r="Z614" s="10"/>
      <c r="AA614" s="10"/>
      <c r="AB614" s="10"/>
      <c r="AC614" s="10"/>
      <c r="AF614" s="11"/>
    </row>
    <row r="615" spans="3:32" ht="12.75" customHeight="1" x14ac:dyDescent="0.3">
      <c r="C615" s="10"/>
      <c r="D615" s="10"/>
      <c r="E615" s="10"/>
      <c r="F615" s="10"/>
      <c r="G615" s="10"/>
      <c r="H615" s="10"/>
      <c r="I615" s="10"/>
      <c r="J615" s="10"/>
      <c r="K615" s="10"/>
      <c r="L615" s="10"/>
      <c r="M615" s="10"/>
      <c r="N615" s="10"/>
      <c r="O615" s="10"/>
      <c r="P615" s="10"/>
      <c r="Q615" s="79"/>
      <c r="R615" s="80"/>
      <c r="S615" s="81"/>
      <c r="T615" s="81"/>
      <c r="U615" s="81"/>
      <c r="V615" s="81"/>
      <c r="W615" s="10"/>
      <c r="X615" s="10"/>
      <c r="Y615" s="10"/>
      <c r="Z615" s="10"/>
      <c r="AA615" s="10"/>
      <c r="AB615" s="10"/>
      <c r="AC615" s="10"/>
      <c r="AF615" s="11"/>
    </row>
    <row r="616" spans="3:32" ht="12.75" customHeight="1" x14ac:dyDescent="0.3">
      <c r="C616" s="10"/>
      <c r="D616" s="10"/>
      <c r="E616" s="10"/>
      <c r="F616" s="10"/>
      <c r="G616" s="10"/>
      <c r="H616" s="10"/>
      <c r="I616" s="10"/>
      <c r="J616" s="10"/>
      <c r="K616" s="10"/>
      <c r="L616" s="10"/>
      <c r="M616" s="10"/>
      <c r="N616" s="10"/>
      <c r="O616" s="10"/>
      <c r="P616" s="10"/>
      <c r="Q616" s="79"/>
      <c r="R616" s="80"/>
      <c r="S616" s="81"/>
      <c r="T616" s="81"/>
      <c r="U616" s="81"/>
      <c r="V616" s="81"/>
      <c r="W616" s="10"/>
      <c r="X616" s="10"/>
      <c r="Y616" s="10"/>
      <c r="Z616" s="10"/>
      <c r="AA616" s="10"/>
      <c r="AB616" s="10"/>
      <c r="AC616" s="10"/>
      <c r="AF616" s="11"/>
    </row>
    <row r="617" spans="3:32" ht="12.75" customHeight="1" x14ac:dyDescent="0.3">
      <c r="C617" s="10"/>
      <c r="D617" s="10"/>
      <c r="E617" s="10"/>
      <c r="F617" s="10"/>
      <c r="G617" s="10"/>
      <c r="H617" s="10"/>
      <c r="I617" s="10"/>
      <c r="J617" s="10"/>
      <c r="K617" s="10"/>
      <c r="L617" s="10"/>
      <c r="M617" s="10"/>
      <c r="N617" s="10"/>
      <c r="O617" s="10"/>
      <c r="P617" s="10"/>
      <c r="Q617" s="79"/>
      <c r="R617" s="80"/>
      <c r="S617" s="81"/>
      <c r="T617" s="81"/>
      <c r="U617" s="81"/>
      <c r="V617" s="81"/>
      <c r="W617" s="10"/>
      <c r="X617" s="10"/>
      <c r="Y617" s="10"/>
      <c r="Z617" s="10"/>
      <c r="AA617" s="10"/>
      <c r="AB617" s="10"/>
      <c r="AC617" s="10"/>
      <c r="AF617" s="11"/>
    </row>
    <row r="618" spans="3:32" ht="12.75" customHeight="1" x14ac:dyDescent="0.3">
      <c r="C618" s="10"/>
      <c r="D618" s="10"/>
      <c r="E618" s="10"/>
      <c r="F618" s="10"/>
      <c r="G618" s="10"/>
      <c r="H618" s="10"/>
      <c r="I618" s="10"/>
      <c r="J618" s="10"/>
      <c r="K618" s="10"/>
      <c r="L618" s="10"/>
      <c r="M618" s="10"/>
      <c r="N618" s="10"/>
      <c r="O618" s="10"/>
      <c r="P618" s="10"/>
      <c r="Q618" s="79"/>
      <c r="R618" s="80"/>
      <c r="S618" s="81"/>
      <c r="T618" s="81"/>
      <c r="U618" s="81"/>
      <c r="V618" s="81"/>
      <c r="W618" s="10"/>
      <c r="X618" s="10"/>
      <c r="Y618" s="10"/>
      <c r="Z618" s="10"/>
      <c r="AA618" s="10"/>
      <c r="AB618" s="10"/>
      <c r="AC618" s="10"/>
      <c r="AF618" s="11"/>
    </row>
    <row r="619" spans="3:32" ht="12.75" customHeight="1" x14ac:dyDescent="0.3">
      <c r="C619" s="10"/>
      <c r="D619" s="10"/>
      <c r="E619" s="10"/>
      <c r="F619" s="10"/>
      <c r="G619" s="10"/>
      <c r="H619" s="10"/>
      <c r="I619" s="10"/>
      <c r="J619" s="10"/>
      <c r="K619" s="10"/>
      <c r="L619" s="10"/>
      <c r="M619" s="10"/>
      <c r="N619" s="10"/>
      <c r="O619" s="10"/>
      <c r="P619" s="10"/>
      <c r="Q619" s="79"/>
      <c r="R619" s="80"/>
      <c r="S619" s="81"/>
      <c r="T619" s="81"/>
      <c r="U619" s="81"/>
      <c r="V619" s="81"/>
      <c r="W619" s="10"/>
      <c r="X619" s="10"/>
      <c r="Y619" s="10"/>
      <c r="Z619" s="10"/>
      <c r="AA619" s="10"/>
      <c r="AB619" s="10"/>
      <c r="AC619" s="10"/>
      <c r="AF619" s="11"/>
    </row>
    <row r="620" spans="3:32" ht="12.75" customHeight="1" x14ac:dyDescent="0.3">
      <c r="C620" s="10"/>
      <c r="D620" s="10"/>
      <c r="E620" s="10"/>
      <c r="F620" s="10"/>
      <c r="G620" s="10"/>
      <c r="H620" s="10"/>
      <c r="I620" s="10"/>
      <c r="J620" s="10"/>
      <c r="K620" s="10"/>
      <c r="L620" s="10"/>
      <c r="M620" s="10"/>
      <c r="N620" s="10"/>
      <c r="O620" s="10"/>
      <c r="P620" s="10"/>
      <c r="Q620" s="79"/>
      <c r="R620" s="80"/>
      <c r="S620" s="81"/>
      <c r="T620" s="81"/>
      <c r="U620" s="81"/>
      <c r="V620" s="81"/>
      <c r="W620" s="10"/>
      <c r="X620" s="10"/>
      <c r="Y620" s="10"/>
      <c r="Z620" s="10"/>
      <c r="AA620" s="10"/>
      <c r="AB620" s="10"/>
      <c r="AC620" s="10"/>
      <c r="AF620" s="11"/>
    </row>
    <row r="621" spans="3:32" ht="12.75" customHeight="1" x14ac:dyDescent="0.3">
      <c r="C621" s="10"/>
      <c r="D621" s="10"/>
      <c r="E621" s="10"/>
      <c r="F621" s="10"/>
      <c r="G621" s="10"/>
      <c r="H621" s="10"/>
      <c r="I621" s="10"/>
      <c r="J621" s="10"/>
      <c r="K621" s="10"/>
      <c r="L621" s="10"/>
      <c r="M621" s="10"/>
      <c r="N621" s="10"/>
      <c r="O621" s="10"/>
      <c r="P621" s="10"/>
      <c r="Q621" s="79"/>
      <c r="R621" s="80"/>
      <c r="S621" s="81"/>
      <c r="T621" s="81"/>
      <c r="U621" s="81"/>
      <c r="V621" s="81"/>
      <c r="W621" s="10"/>
      <c r="X621" s="10"/>
      <c r="Y621" s="10"/>
      <c r="Z621" s="10"/>
      <c r="AA621" s="10"/>
      <c r="AB621" s="10"/>
      <c r="AC621" s="10"/>
      <c r="AF621" s="11"/>
    </row>
    <row r="622" spans="3:32" ht="12.75" customHeight="1" x14ac:dyDescent="0.3">
      <c r="C622" s="10"/>
      <c r="D622" s="10"/>
      <c r="E622" s="10"/>
      <c r="F622" s="10"/>
      <c r="G622" s="10"/>
      <c r="H622" s="10"/>
      <c r="I622" s="10"/>
      <c r="J622" s="10"/>
      <c r="K622" s="10"/>
      <c r="L622" s="10"/>
      <c r="M622" s="10"/>
      <c r="N622" s="10"/>
      <c r="O622" s="10"/>
      <c r="P622" s="10"/>
      <c r="Q622" s="79"/>
      <c r="R622" s="80"/>
      <c r="S622" s="81"/>
      <c r="T622" s="81"/>
      <c r="U622" s="81"/>
      <c r="V622" s="81"/>
      <c r="W622" s="10"/>
      <c r="X622" s="10"/>
      <c r="Y622" s="10"/>
      <c r="Z622" s="10"/>
      <c r="AA622" s="10"/>
      <c r="AB622" s="10"/>
      <c r="AC622" s="10"/>
      <c r="AF622" s="11"/>
    </row>
    <row r="623" spans="3:32" ht="12.75" customHeight="1" x14ac:dyDescent="0.3">
      <c r="C623" s="10"/>
      <c r="D623" s="10"/>
      <c r="E623" s="10"/>
      <c r="F623" s="10"/>
      <c r="G623" s="10"/>
      <c r="H623" s="10"/>
      <c r="I623" s="10"/>
      <c r="J623" s="10"/>
      <c r="K623" s="10"/>
      <c r="L623" s="10"/>
      <c r="M623" s="10"/>
      <c r="N623" s="10"/>
      <c r="O623" s="10"/>
      <c r="P623" s="10"/>
      <c r="Q623" s="79"/>
      <c r="R623" s="80"/>
      <c r="S623" s="81"/>
      <c r="T623" s="81"/>
      <c r="U623" s="81"/>
      <c r="V623" s="81"/>
      <c r="W623" s="10"/>
      <c r="X623" s="10"/>
      <c r="Y623" s="10"/>
      <c r="Z623" s="10"/>
      <c r="AA623" s="10"/>
      <c r="AB623" s="10"/>
      <c r="AC623" s="10"/>
      <c r="AF623" s="11"/>
    </row>
    <row r="624" spans="3:32" ht="12.75" customHeight="1" x14ac:dyDescent="0.3">
      <c r="C624" s="10"/>
      <c r="D624" s="10"/>
      <c r="E624" s="10"/>
      <c r="F624" s="10"/>
      <c r="G624" s="10"/>
      <c r="H624" s="10"/>
      <c r="I624" s="10"/>
      <c r="J624" s="10"/>
      <c r="K624" s="10"/>
      <c r="L624" s="10"/>
      <c r="M624" s="10"/>
      <c r="N624" s="10"/>
      <c r="O624" s="10"/>
      <c r="P624" s="10"/>
      <c r="Q624" s="79"/>
      <c r="R624" s="80"/>
      <c r="S624" s="81"/>
      <c r="T624" s="81"/>
      <c r="U624" s="81"/>
      <c r="V624" s="81"/>
      <c r="W624" s="10"/>
      <c r="X624" s="10"/>
      <c r="Y624" s="10"/>
      <c r="Z624" s="10"/>
      <c r="AA624" s="10"/>
      <c r="AB624" s="10"/>
      <c r="AC624" s="10"/>
      <c r="AF624" s="11"/>
    </row>
    <row r="625" spans="3:32" ht="12.75" customHeight="1" x14ac:dyDescent="0.3">
      <c r="C625" s="10"/>
      <c r="D625" s="10"/>
      <c r="E625" s="10"/>
      <c r="F625" s="10"/>
      <c r="G625" s="10"/>
      <c r="H625" s="10"/>
      <c r="I625" s="10"/>
      <c r="J625" s="10"/>
      <c r="K625" s="10"/>
      <c r="L625" s="10"/>
      <c r="M625" s="10"/>
      <c r="N625" s="10"/>
      <c r="O625" s="10"/>
      <c r="P625" s="10"/>
      <c r="Q625" s="79"/>
      <c r="R625" s="80"/>
      <c r="S625" s="81"/>
      <c r="T625" s="81"/>
      <c r="U625" s="81"/>
      <c r="V625" s="81"/>
      <c r="W625" s="10"/>
      <c r="X625" s="10"/>
      <c r="Y625" s="10"/>
      <c r="Z625" s="10"/>
      <c r="AA625" s="10"/>
      <c r="AB625" s="10"/>
      <c r="AC625" s="10"/>
      <c r="AF625" s="11"/>
    </row>
    <row r="626" spans="3:32" ht="12.75" customHeight="1" x14ac:dyDescent="0.3">
      <c r="C626" s="10"/>
      <c r="D626" s="10"/>
      <c r="E626" s="10"/>
      <c r="F626" s="10"/>
      <c r="G626" s="10"/>
      <c r="H626" s="10"/>
      <c r="I626" s="10"/>
      <c r="J626" s="10"/>
      <c r="K626" s="10"/>
      <c r="L626" s="10"/>
      <c r="M626" s="10"/>
      <c r="N626" s="10"/>
      <c r="O626" s="10"/>
      <c r="P626" s="10"/>
      <c r="Q626" s="79"/>
      <c r="R626" s="80"/>
      <c r="S626" s="81"/>
      <c r="T626" s="81"/>
      <c r="U626" s="81"/>
      <c r="V626" s="81"/>
      <c r="W626" s="10"/>
      <c r="X626" s="10"/>
      <c r="Y626" s="10"/>
      <c r="Z626" s="10"/>
      <c r="AA626" s="10"/>
      <c r="AB626" s="10"/>
      <c r="AC626" s="10"/>
      <c r="AF626" s="11"/>
    </row>
    <row r="627" spans="3:32" ht="12.75" customHeight="1" x14ac:dyDescent="0.3">
      <c r="C627" s="10"/>
      <c r="D627" s="10"/>
      <c r="E627" s="10"/>
      <c r="F627" s="10"/>
      <c r="G627" s="10"/>
      <c r="H627" s="10"/>
      <c r="I627" s="10"/>
      <c r="J627" s="10"/>
      <c r="K627" s="10"/>
      <c r="L627" s="10"/>
      <c r="M627" s="10"/>
      <c r="N627" s="10"/>
      <c r="O627" s="10"/>
      <c r="P627" s="10"/>
      <c r="Q627" s="79"/>
      <c r="R627" s="80"/>
      <c r="S627" s="81"/>
      <c r="T627" s="81"/>
      <c r="U627" s="81"/>
      <c r="V627" s="81"/>
      <c r="W627" s="10"/>
      <c r="X627" s="10"/>
      <c r="Y627" s="10"/>
      <c r="Z627" s="10"/>
      <c r="AA627" s="10"/>
      <c r="AB627" s="10"/>
      <c r="AC627" s="10"/>
      <c r="AF627" s="11"/>
    </row>
    <row r="628" spans="3:32" ht="12.75" customHeight="1" x14ac:dyDescent="0.3">
      <c r="C628" s="10"/>
      <c r="D628" s="10"/>
      <c r="E628" s="10"/>
      <c r="F628" s="10"/>
      <c r="G628" s="10"/>
      <c r="H628" s="10"/>
      <c r="I628" s="10"/>
      <c r="J628" s="10"/>
      <c r="K628" s="10"/>
      <c r="L628" s="10"/>
      <c r="M628" s="10"/>
      <c r="N628" s="10"/>
      <c r="O628" s="10"/>
      <c r="P628" s="10"/>
      <c r="Q628" s="79"/>
      <c r="R628" s="80"/>
      <c r="S628" s="81"/>
      <c r="T628" s="81"/>
      <c r="U628" s="81"/>
      <c r="V628" s="81"/>
      <c r="W628" s="10"/>
      <c r="X628" s="10"/>
      <c r="Y628" s="10"/>
      <c r="Z628" s="10"/>
      <c r="AA628" s="10"/>
      <c r="AB628" s="10"/>
      <c r="AC628" s="10"/>
      <c r="AF628" s="11"/>
    </row>
    <row r="629" spans="3:32" ht="12.75" customHeight="1" x14ac:dyDescent="0.3">
      <c r="C629" s="10"/>
      <c r="D629" s="10"/>
      <c r="E629" s="10"/>
      <c r="F629" s="10"/>
      <c r="G629" s="10"/>
      <c r="H629" s="10"/>
      <c r="I629" s="10"/>
      <c r="J629" s="10"/>
      <c r="K629" s="10"/>
      <c r="L629" s="10"/>
      <c r="M629" s="10"/>
      <c r="N629" s="10"/>
      <c r="O629" s="10"/>
      <c r="P629" s="10"/>
      <c r="Q629" s="79"/>
      <c r="R629" s="80"/>
      <c r="S629" s="81"/>
      <c r="T629" s="81"/>
      <c r="U629" s="81"/>
      <c r="V629" s="81"/>
      <c r="W629" s="10"/>
      <c r="X629" s="10"/>
      <c r="Y629" s="10"/>
      <c r="Z629" s="10"/>
      <c r="AA629" s="10"/>
      <c r="AB629" s="10"/>
      <c r="AC629" s="10"/>
      <c r="AF629" s="11"/>
    </row>
    <row r="630" spans="3:32" ht="12.75" customHeight="1" x14ac:dyDescent="0.3">
      <c r="C630" s="10"/>
      <c r="D630" s="10"/>
      <c r="E630" s="10"/>
      <c r="F630" s="10"/>
      <c r="G630" s="10"/>
      <c r="H630" s="10"/>
      <c r="I630" s="10"/>
      <c r="J630" s="10"/>
      <c r="K630" s="10"/>
      <c r="L630" s="10"/>
      <c r="M630" s="10"/>
      <c r="N630" s="10"/>
      <c r="O630" s="10"/>
      <c r="P630" s="10"/>
      <c r="Q630" s="79"/>
      <c r="R630" s="80"/>
      <c r="S630" s="81"/>
      <c r="T630" s="81"/>
      <c r="U630" s="81"/>
      <c r="V630" s="81"/>
      <c r="W630" s="10"/>
      <c r="X630" s="10"/>
      <c r="Y630" s="10"/>
      <c r="Z630" s="10"/>
      <c r="AA630" s="10"/>
      <c r="AB630" s="10"/>
      <c r="AC630" s="10"/>
      <c r="AF630" s="11"/>
    </row>
    <row r="631" spans="3:32" ht="12.75" customHeight="1" x14ac:dyDescent="0.3">
      <c r="C631" s="10"/>
      <c r="D631" s="10"/>
      <c r="E631" s="10"/>
      <c r="F631" s="10"/>
      <c r="G631" s="10"/>
      <c r="H631" s="10"/>
      <c r="I631" s="10"/>
      <c r="J631" s="10"/>
      <c r="K631" s="10"/>
      <c r="L631" s="10"/>
      <c r="M631" s="10"/>
      <c r="N631" s="10"/>
      <c r="O631" s="10"/>
      <c r="P631" s="10"/>
      <c r="Q631" s="79"/>
      <c r="R631" s="80"/>
      <c r="S631" s="81"/>
      <c r="T631" s="81"/>
      <c r="U631" s="81"/>
      <c r="V631" s="81"/>
      <c r="W631" s="10"/>
      <c r="X631" s="10"/>
      <c r="Y631" s="10"/>
      <c r="Z631" s="10"/>
      <c r="AA631" s="10"/>
      <c r="AB631" s="10"/>
      <c r="AC631" s="10"/>
      <c r="AF631" s="11"/>
    </row>
    <row r="632" spans="3:32" ht="12.75" customHeight="1" x14ac:dyDescent="0.3">
      <c r="C632" s="10"/>
      <c r="D632" s="10"/>
      <c r="E632" s="10"/>
      <c r="F632" s="10"/>
      <c r="G632" s="10"/>
      <c r="H632" s="10"/>
      <c r="I632" s="10"/>
      <c r="J632" s="10"/>
      <c r="K632" s="10"/>
      <c r="L632" s="10"/>
      <c r="M632" s="10"/>
      <c r="N632" s="10"/>
      <c r="O632" s="10"/>
      <c r="P632" s="10"/>
      <c r="Q632" s="79"/>
      <c r="R632" s="80"/>
      <c r="S632" s="81"/>
      <c r="T632" s="81"/>
      <c r="U632" s="81"/>
      <c r="V632" s="81"/>
      <c r="W632" s="10"/>
      <c r="X632" s="10"/>
      <c r="Y632" s="10"/>
      <c r="Z632" s="10"/>
      <c r="AA632" s="10"/>
      <c r="AB632" s="10"/>
      <c r="AC632" s="10"/>
      <c r="AF632" s="11"/>
    </row>
    <row r="633" spans="3:32" ht="12.75" customHeight="1" x14ac:dyDescent="0.3">
      <c r="C633" s="10"/>
      <c r="D633" s="10"/>
      <c r="E633" s="10"/>
      <c r="F633" s="10"/>
      <c r="G633" s="10"/>
      <c r="H633" s="10"/>
      <c r="I633" s="10"/>
      <c r="J633" s="10"/>
      <c r="K633" s="10"/>
      <c r="L633" s="10"/>
      <c r="M633" s="10"/>
      <c r="N633" s="10"/>
      <c r="O633" s="10"/>
      <c r="P633" s="10"/>
      <c r="Q633" s="79"/>
      <c r="R633" s="80"/>
      <c r="S633" s="81"/>
      <c r="T633" s="81"/>
      <c r="U633" s="81"/>
      <c r="V633" s="81"/>
      <c r="W633" s="10"/>
      <c r="X633" s="10"/>
      <c r="Y633" s="10"/>
      <c r="Z633" s="10"/>
      <c r="AA633" s="10"/>
      <c r="AB633" s="10"/>
      <c r="AC633" s="10"/>
      <c r="AF633" s="11"/>
    </row>
    <row r="634" spans="3:32" ht="12.75" customHeight="1" x14ac:dyDescent="0.3">
      <c r="C634" s="10"/>
      <c r="D634" s="10"/>
      <c r="E634" s="10"/>
      <c r="F634" s="10"/>
      <c r="G634" s="10"/>
      <c r="H634" s="10"/>
      <c r="I634" s="10"/>
      <c r="J634" s="10"/>
      <c r="K634" s="10"/>
      <c r="L634" s="10"/>
      <c r="M634" s="10"/>
      <c r="N634" s="10"/>
      <c r="O634" s="10"/>
      <c r="P634" s="10"/>
      <c r="Q634" s="79"/>
      <c r="R634" s="80"/>
      <c r="S634" s="81"/>
      <c r="T634" s="81"/>
      <c r="U634" s="81"/>
      <c r="V634" s="81"/>
      <c r="W634" s="10"/>
      <c r="X634" s="10"/>
      <c r="Y634" s="10"/>
      <c r="Z634" s="10"/>
      <c r="AA634" s="10"/>
      <c r="AB634" s="10"/>
      <c r="AC634" s="10"/>
      <c r="AF634" s="11"/>
    </row>
    <row r="635" spans="3:32" ht="12.75" customHeight="1" x14ac:dyDescent="0.3">
      <c r="C635" s="10"/>
      <c r="D635" s="10"/>
      <c r="E635" s="10"/>
      <c r="F635" s="10"/>
      <c r="G635" s="10"/>
      <c r="H635" s="10"/>
      <c r="I635" s="10"/>
      <c r="J635" s="10"/>
      <c r="K635" s="10"/>
      <c r="L635" s="10"/>
      <c r="M635" s="10"/>
      <c r="N635" s="10"/>
      <c r="O635" s="10"/>
      <c r="P635" s="10"/>
      <c r="Q635" s="79"/>
      <c r="R635" s="80"/>
      <c r="S635" s="81"/>
      <c r="T635" s="81"/>
      <c r="U635" s="81"/>
      <c r="V635" s="81"/>
      <c r="W635" s="10"/>
      <c r="X635" s="10"/>
      <c r="Y635" s="10"/>
      <c r="Z635" s="10"/>
      <c r="AA635" s="10"/>
      <c r="AB635" s="10"/>
      <c r="AC635" s="10"/>
      <c r="AF635" s="11"/>
    </row>
    <row r="636" spans="3:32" ht="12.75" customHeight="1" x14ac:dyDescent="0.3">
      <c r="C636" s="10"/>
      <c r="D636" s="10"/>
      <c r="E636" s="10"/>
      <c r="F636" s="10"/>
      <c r="G636" s="10"/>
      <c r="H636" s="10"/>
      <c r="I636" s="10"/>
      <c r="J636" s="10"/>
      <c r="K636" s="10"/>
      <c r="L636" s="10"/>
      <c r="M636" s="10"/>
      <c r="N636" s="10"/>
      <c r="O636" s="10"/>
      <c r="P636" s="10"/>
      <c r="Q636" s="79"/>
      <c r="R636" s="80"/>
      <c r="S636" s="81"/>
      <c r="T636" s="81"/>
      <c r="U636" s="81"/>
      <c r="V636" s="81"/>
      <c r="W636" s="10"/>
      <c r="X636" s="10"/>
      <c r="Y636" s="10"/>
      <c r="Z636" s="10"/>
      <c r="AA636" s="10"/>
      <c r="AB636" s="10"/>
      <c r="AC636" s="10"/>
      <c r="AF636" s="11"/>
    </row>
    <row r="637" spans="3:32" ht="12.75" customHeight="1" x14ac:dyDescent="0.3">
      <c r="C637" s="10"/>
      <c r="D637" s="10"/>
      <c r="E637" s="10"/>
      <c r="F637" s="10"/>
      <c r="G637" s="10"/>
      <c r="H637" s="10"/>
      <c r="I637" s="10"/>
      <c r="J637" s="10"/>
      <c r="K637" s="10"/>
      <c r="L637" s="10"/>
      <c r="M637" s="10"/>
      <c r="N637" s="10"/>
      <c r="O637" s="10"/>
      <c r="P637" s="10"/>
      <c r="Q637" s="79"/>
      <c r="R637" s="80"/>
      <c r="S637" s="81"/>
      <c r="T637" s="81"/>
      <c r="U637" s="81"/>
      <c r="V637" s="81"/>
      <c r="W637" s="10"/>
      <c r="X637" s="10"/>
      <c r="Y637" s="10"/>
      <c r="Z637" s="10"/>
      <c r="AA637" s="10"/>
      <c r="AB637" s="10"/>
      <c r="AC637" s="10"/>
      <c r="AF637" s="11"/>
    </row>
    <row r="638" spans="3:32" ht="12.75" customHeight="1" x14ac:dyDescent="0.3">
      <c r="C638" s="10"/>
      <c r="D638" s="10"/>
      <c r="E638" s="10"/>
      <c r="F638" s="10"/>
      <c r="G638" s="10"/>
      <c r="H638" s="10"/>
      <c r="I638" s="10"/>
      <c r="J638" s="10"/>
      <c r="K638" s="10"/>
      <c r="L638" s="10"/>
      <c r="M638" s="10"/>
      <c r="N638" s="10"/>
      <c r="O638" s="10"/>
      <c r="P638" s="10"/>
      <c r="Q638" s="79"/>
      <c r="R638" s="80"/>
      <c r="S638" s="81"/>
      <c r="T638" s="81"/>
      <c r="U638" s="81"/>
      <c r="V638" s="81"/>
      <c r="W638" s="10"/>
      <c r="X638" s="10"/>
      <c r="Y638" s="10"/>
      <c r="Z638" s="10"/>
      <c r="AA638" s="10"/>
      <c r="AB638" s="10"/>
      <c r="AC638" s="10"/>
      <c r="AF638" s="11"/>
    </row>
    <row r="639" spans="3:32" ht="12.75" customHeight="1" x14ac:dyDescent="0.3">
      <c r="C639" s="10"/>
      <c r="D639" s="10"/>
      <c r="E639" s="10"/>
      <c r="F639" s="10"/>
      <c r="G639" s="10"/>
      <c r="H639" s="10"/>
      <c r="I639" s="10"/>
      <c r="J639" s="10"/>
      <c r="K639" s="10"/>
      <c r="L639" s="10"/>
      <c r="M639" s="10"/>
      <c r="N639" s="10"/>
      <c r="O639" s="10"/>
      <c r="P639" s="10"/>
      <c r="Q639" s="79"/>
      <c r="R639" s="80"/>
      <c r="S639" s="81"/>
      <c r="T639" s="81"/>
      <c r="U639" s="81"/>
      <c r="V639" s="81"/>
      <c r="W639" s="10"/>
      <c r="X639" s="10"/>
      <c r="Y639" s="10"/>
      <c r="Z639" s="10"/>
      <c r="AA639" s="10"/>
      <c r="AB639" s="10"/>
      <c r="AC639" s="10"/>
      <c r="AF639" s="11"/>
    </row>
    <row r="640" spans="3:32" ht="12.75" customHeight="1" x14ac:dyDescent="0.3">
      <c r="C640" s="10"/>
      <c r="D640" s="10"/>
      <c r="E640" s="10"/>
      <c r="F640" s="10"/>
      <c r="G640" s="10"/>
      <c r="H640" s="10"/>
      <c r="I640" s="10"/>
      <c r="J640" s="10"/>
      <c r="K640" s="10"/>
      <c r="L640" s="10"/>
      <c r="M640" s="10"/>
      <c r="N640" s="10"/>
      <c r="O640" s="10"/>
      <c r="P640" s="10"/>
      <c r="Q640" s="79"/>
      <c r="R640" s="80"/>
      <c r="S640" s="81"/>
      <c r="T640" s="81"/>
      <c r="U640" s="81"/>
      <c r="V640" s="81"/>
      <c r="W640" s="10"/>
      <c r="X640" s="10"/>
      <c r="Y640" s="10"/>
      <c r="Z640" s="10"/>
      <c r="AA640" s="10"/>
      <c r="AB640" s="10"/>
      <c r="AC640" s="10"/>
      <c r="AF640" s="11"/>
    </row>
    <row r="641" spans="3:32" ht="12.75" customHeight="1" x14ac:dyDescent="0.3">
      <c r="C641" s="10"/>
      <c r="D641" s="10"/>
      <c r="E641" s="10"/>
      <c r="F641" s="10"/>
      <c r="G641" s="10"/>
      <c r="H641" s="10"/>
      <c r="I641" s="10"/>
      <c r="J641" s="10"/>
      <c r="K641" s="10"/>
      <c r="L641" s="10"/>
      <c r="M641" s="10"/>
      <c r="N641" s="10"/>
      <c r="O641" s="10"/>
      <c r="P641" s="10"/>
      <c r="Q641" s="79"/>
      <c r="R641" s="80"/>
      <c r="S641" s="81"/>
      <c r="T641" s="81"/>
      <c r="U641" s="81"/>
      <c r="V641" s="81"/>
      <c r="W641" s="10"/>
      <c r="X641" s="10"/>
      <c r="Y641" s="10"/>
      <c r="Z641" s="10"/>
      <c r="AA641" s="10"/>
      <c r="AB641" s="10"/>
      <c r="AC641" s="10"/>
      <c r="AF641" s="11"/>
    </row>
    <row r="642" spans="3:32" ht="12.75" customHeight="1" x14ac:dyDescent="0.3">
      <c r="C642" s="10"/>
      <c r="D642" s="10"/>
      <c r="E642" s="10"/>
      <c r="F642" s="10"/>
      <c r="G642" s="10"/>
      <c r="H642" s="10"/>
      <c r="I642" s="10"/>
      <c r="J642" s="10"/>
      <c r="K642" s="10"/>
      <c r="L642" s="10"/>
      <c r="M642" s="10"/>
      <c r="N642" s="10"/>
      <c r="O642" s="10"/>
      <c r="P642" s="10"/>
      <c r="Q642" s="79"/>
      <c r="R642" s="80"/>
      <c r="S642" s="81"/>
      <c r="T642" s="81"/>
      <c r="U642" s="81"/>
      <c r="V642" s="81"/>
      <c r="W642" s="10"/>
      <c r="X642" s="10"/>
      <c r="Y642" s="10"/>
      <c r="Z642" s="10"/>
      <c r="AA642" s="10"/>
      <c r="AB642" s="10"/>
      <c r="AC642" s="10"/>
      <c r="AF642" s="11"/>
    </row>
    <row r="643" spans="3:32" ht="12.75" customHeight="1" x14ac:dyDescent="0.3">
      <c r="C643" s="10"/>
      <c r="D643" s="10"/>
      <c r="E643" s="10"/>
      <c r="F643" s="10"/>
      <c r="G643" s="10"/>
      <c r="H643" s="10"/>
      <c r="I643" s="10"/>
      <c r="J643" s="10"/>
      <c r="K643" s="10"/>
      <c r="L643" s="10"/>
      <c r="M643" s="10"/>
      <c r="N643" s="10"/>
      <c r="O643" s="10"/>
      <c r="P643" s="10"/>
      <c r="Q643" s="79"/>
      <c r="R643" s="80"/>
      <c r="S643" s="81"/>
      <c r="T643" s="81"/>
      <c r="U643" s="81"/>
      <c r="V643" s="81"/>
      <c r="W643" s="10"/>
      <c r="X643" s="10"/>
      <c r="Y643" s="10"/>
      <c r="Z643" s="10"/>
      <c r="AA643" s="10"/>
      <c r="AB643" s="10"/>
      <c r="AC643" s="10"/>
      <c r="AF643" s="11"/>
    </row>
    <row r="644" spans="3:32" ht="12.75" customHeight="1" x14ac:dyDescent="0.3">
      <c r="C644" s="10"/>
      <c r="D644" s="10"/>
      <c r="E644" s="10"/>
      <c r="F644" s="10"/>
      <c r="G644" s="10"/>
      <c r="H644" s="10"/>
      <c r="I644" s="10"/>
      <c r="J644" s="10"/>
      <c r="K644" s="10"/>
      <c r="L644" s="10"/>
      <c r="M644" s="10"/>
      <c r="N644" s="10"/>
      <c r="O644" s="10"/>
      <c r="P644" s="10"/>
      <c r="Q644" s="79"/>
      <c r="R644" s="80"/>
      <c r="S644" s="81"/>
      <c r="T644" s="81"/>
      <c r="U644" s="81"/>
      <c r="V644" s="81"/>
      <c r="W644" s="10"/>
      <c r="X644" s="10"/>
      <c r="Y644" s="10"/>
      <c r="Z644" s="10"/>
      <c r="AA644" s="10"/>
      <c r="AB644" s="10"/>
      <c r="AC644" s="10"/>
      <c r="AF644" s="11"/>
    </row>
    <row r="645" spans="3:32" ht="12.75" customHeight="1" x14ac:dyDescent="0.3">
      <c r="C645" s="10"/>
      <c r="D645" s="10"/>
      <c r="E645" s="10"/>
      <c r="F645" s="10"/>
      <c r="G645" s="10"/>
      <c r="H645" s="10"/>
      <c r="I645" s="10"/>
      <c r="J645" s="10"/>
      <c r="K645" s="10"/>
      <c r="L645" s="10"/>
      <c r="M645" s="10"/>
      <c r="N645" s="10"/>
      <c r="O645" s="10"/>
      <c r="P645" s="10"/>
      <c r="Q645" s="79"/>
      <c r="R645" s="80"/>
      <c r="S645" s="81"/>
      <c r="T645" s="81"/>
      <c r="U645" s="81"/>
      <c r="V645" s="81"/>
      <c r="W645" s="10"/>
      <c r="X645" s="10"/>
      <c r="Y645" s="10"/>
      <c r="Z645" s="10"/>
      <c r="AA645" s="10"/>
      <c r="AB645" s="10"/>
      <c r="AC645" s="10"/>
      <c r="AF645" s="11"/>
    </row>
    <row r="646" spans="3:32" ht="12.75" customHeight="1" x14ac:dyDescent="0.3">
      <c r="C646" s="10"/>
      <c r="D646" s="10"/>
      <c r="E646" s="10"/>
      <c r="F646" s="10"/>
      <c r="G646" s="10"/>
      <c r="H646" s="10"/>
      <c r="I646" s="10"/>
      <c r="J646" s="10"/>
      <c r="K646" s="10"/>
      <c r="L646" s="10"/>
      <c r="M646" s="10"/>
      <c r="N646" s="10"/>
      <c r="O646" s="10"/>
      <c r="P646" s="10"/>
      <c r="Q646" s="79"/>
      <c r="R646" s="80"/>
      <c r="S646" s="81"/>
      <c r="T646" s="81"/>
      <c r="U646" s="81"/>
      <c r="V646" s="81"/>
      <c r="W646" s="10"/>
      <c r="X646" s="10"/>
      <c r="Y646" s="10"/>
      <c r="Z646" s="10"/>
      <c r="AA646" s="10"/>
      <c r="AB646" s="10"/>
      <c r="AC646" s="10"/>
      <c r="AF646" s="11"/>
    </row>
    <row r="647" spans="3:32" ht="12.75" customHeight="1" x14ac:dyDescent="0.3">
      <c r="C647" s="10"/>
      <c r="D647" s="10"/>
      <c r="E647" s="10"/>
      <c r="F647" s="10"/>
      <c r="G647" s="10"/>
      <c r="H647" s="10"/>
      <c r="I647" s="10"/>
      <c r="J647" s="10"/>
      <c r="K647" s="10"/>
      <c r="L647" s="10"/>
      <c r="M647" s="10"/>
      <c r="N647" s="10"/>
      <c r="O647" s="10"/>
      <c r="P647" s="10"/>
      <c r="Q647" s="79"/>
      <c r="R647" s="80"/>
      <c r="S647" s="81"/>
      <c r="T647" s="81"/>
      <c r="U647" s="81"/>
      <c r="V647" s="81"/>
      <c r="W647" s="10"/>
      <c r="X647" s="10"/>
      <c r="Y647" s="10"/>
      <c r="Z647" s="10"/>
      <c r="AA647" s="10"/>
      <c r="AB647" s="10"/>
      <c r="AC647" s="10"/>
      <c r="AF647" s="11"/>
    </row>
    <row r="648" spans="3:32" ht="12.75" customHeight="1" x14ac:dyDescent="0.3">
      <c r="C648" s="10"/>
      <c r="D648" s="10"/>
      <c r="E648" s="10"/>
      <c r="F648" s="10"/>
      <c r="G648" s="10"/>
      <c r="H648" s="10"/>
      <c r="I648" s="10"/>
      <c r="J648" s="10"/>
      <c r="K648" s="10"/>
      <c r="L648" s="10"/>
      <c r="M648" s="10"/>
      <c r="N648" s="10"/>
      <c r="O648" s="10"/>
      <c r="P648" s="10"/>
      <c r="Q648" s="79"/>
      <c r="R648" s="80"/>
      <c r="S648" s="81"/>
      <c r="T648" s="81"/>
      <c r="U648" s="81"/>
      <c r="V648" s="81"/>
      <c r="W648" s="10"/>
      <c r="X648" s="10"/>
      <c r="Y648" s="10"/>
      <c r="Z648" s="10"/>
      <c r="AA648" s="10"/>
      <c r="AB648" s="10"/>
      <c r="AC648" s="10"/>
      <c r="AF648" s="11"/>
    </row>
    <row r="649" spans="3:32" ht="12.75" customHeight="1" x14ac:dyDescent="0.3">
      <c r="C649" s="10"/>
      <c r="D649" s="10"/>
      <c r="E649" s="10"/>
      <c r="F649" s="10"/>
      <c r="G649" s="10"/>
      <c r="H649" s="10"/>
      <c r="I649" s="10"/>
      <c r="J649" s="10"/>
      <c r="K649" s="10"/>
      <c r="L649" s="10"/>
      <c r="M649" s="10"/>
      <c r="N649" s="10"/>
      <c r="O649" s="10"/>
      <c r="P649" s="10"/>
      <c r="Q649" s="79"/>
      <c r="R649" s="80"/>
      <c r="S649" s="81"/>
      <c r="T649" s="81"/>
      <c r="U649" s="81"/>
      <c r="V649" s="81"/>
      <c r="W649" s="10"/>
      <c r="X649" s="10"/>
      <c r="Y649" s="10"/>
      <c r="Z649" s="10"/>
      <c r="AA649" s="10"/>
      <c r="AB649" s="10"/>
      <c r="AC649" s="10"/>
      <c r="AF649" s="11"/>
    </row>
    <row r="650" spans="3:32" ht="12.75" customHeight="1" x14ac:dyDescent="0.3">
      <c r="C650" s="10"/>
      <c r="D650" s="10"/>
      <c r="E650" s="10"/>
      <c r="F650" s="10"/>
      <c r="G650" s="10"/>
      <c r="H650" s="10"/>
      <c r="I650" s="10"/>
      <c r="J650" s="10"/>
      <c r="K650" s="10"/>
      <c r="L650" s="10"/>
      <c r="M650" s="10"/>
      <c r="N650" s="10"/>
      <c r="O650" s="10"/>
      <c r="P650" s="10"/>
      <c r="Q650" s="79"/>
      <c r="R650" s="80"/>
      <c r="S650" s="81"/>
      <c r="T650" s="81"/>
      <c r="U650" s="81"/>
      <c r="V650" s="81"/>
      <c r="W650" s="10"/>
      <c r="X650" s="10"/>
      <c r="Y650" s="10"/>
      <c r="Z650" s="10"/>
      <c r="AA650" s="10"/>
      <c r="AB650" s="10"/>
      <c r="AC650" s="10"/>
      <c r="AF650" s="11"/>
    </row>
    <row r="651" spans="3:32" ht="12.75" customHeight="1" x14ac:dyDescent="0.3">
      <c r="C651" s="10"/>
      <c r="D651" s="10"/>
      <c r="E651" s="10"/>
      <c r="F651" s="10"/>
      <c r="G651" s="10"/>
      <c r="H651" s="10"/>
      <c r="I651" s="10"/>
      <c r="J651" s="10"/>
      <c r="K651" s="10"/>
      <c r="L651" s="10"/>
      <c r="M651" s="10"/>
      <c r="N651" s="10"/>
      <c r="O651" s="10"/>
      <c r="P651" s="10"/>
      <c r="Q651" s="79"/>
      <c r="R651" s="80"/>
      <c r="S651" s="81"/>
      <c r="T651" s="81"/>
      <c r="U651" s="81"/>
      <c r="V651" s="81"/>
      <c r="W651" s="10"/>
      <c r="X651" s="10"/>
      <c r="Y651" s="10"/>
      <c r="Z651" s="10"/>
      <c r="AA651" s="10"/>
      <c r="AB651" s="10"/>
      <c r="AC651" s="10"/>
      <c r="AF651" s="11"/>
    </row>
    <row r="652" spans="3:32" ht="12.75" customHeight="1" x14ac:dyDescent="0.3">
      <c r="C652" s="10"/>
      <c r="D652" s="10"/>
      <c r="E652" s="10"/>
      <c r="F652" s="10"/>
      <c r="G652" s="10"/>
      <c r="H652" s="10"/>
      <c r="I652" s="10"/>
      <c r="J652" s="10"/>
      <c r="K652" s="10"/>
      <c r="L652" s="10"/>
      <c r="M652" s="10"/>
      <c r="N652" s="10"/>
      <c r="O652" s="10"/>
      <c r="P652" s="10"/>
      <c r="Q652" s="79"/>
      <c r="R652" s="80"/>
      <c r="S652" s="81"/>
      <c r="T652" s="81"/>
      <c r="U652" s="81"/>
      <c r="V652" s="81"/>
      <c r="W652" s="10"/>
      <c r="X652" s="10"/>
      <c r="Y652" s="10"/>
      <c r="Z652" s="10"/>
      <c r="AA652" s="10"/>
      <c r="AB652" s="10"/>
      <c r="AC652" s="10"/>
      <c r="AF652" s="11"/>
    </row>
    <row r="653" spans="3:32" ht="12.75" customHeight="1" x14ac:dyDescent="0.3">
      <c r="C653" s="10"/>
      <c r="D653" s="10"/>
      <c r="E653" s="10"/>
      <c r="F653" s="10"/>
      <c r="G653" s="10"/>
      <c r="H653" s="10"/>
      <c r="I653" s="10"/>
      <c r="J653" s="10"/>
      <c r="K653" s="10"/>
      <c r="L653" s="10"/>
      <c r="M653" s="10"/>
      <c r="N653" s="10"/>
      <c r="O653" s="10"/>
      <c r="P653" s="10"/>
      <c r="Q653" s="79"/>
      <c r="R653" s="80"/>
      <c r="S653" s="81"/>
      <c r="T653" s="81"/>
      <c r="U653" s="81"/>
      <c r="V653" s="81"/>
      <c r="W653" s="10"/>
      <c r="X653" s="10"/>
      <c r="Y653" s="10"/>
      <c r="Z653" s="10"/>
      <c r="AA653" s="10"/>
      <c r="AB653" s="10"/>
      <c r="AC653" s="10"/>
      <c r="AF653" s="11"/>
    </row>
    <row r="654" spans="3:32" ht="12.75" customHeight="1" x14ac:dyDescent="0.3">
      <c r="C654" s="10"/>
      <c r="D654" s="10"/>
      <c r="E654" s="10"/>
      <c r="F654" s="10"/>
      <c r="G654" s="10"/>
      <c r="H654" s="10"/>
      <c r="I654" s="10"/>
      <c r="J654" s="10"/>
      <c r="K654" s="10"/>
      <c r="L654" s="10"/>
      <c r="M654" s="10"/>
      <c r="N654" s="10"/>
      <c r="O654" s="10"/>
      <c r="P654" s="10"/>
      <c r="Q654" s="79"/>
      <c r="R654" s="80"/>
      <c r="S654" s="81"/>
      <c r="T654" s="81"/>
      <c r="U654" s="81"/>
      <c r="V654" s="81"/>
      <c r="W654" s="10"/>
      <c r="X654" s="10"/>
      <c r="Y654" s="10"/>
      <c r="Z654" s="10"/>
      <c r="AA654" s="10"/>
      <c r="AB654" s="10"/>
      <c r="AC654" s="10"/>
      <c r="AF654" s="11"/>
    </row>
    <row r="655" spans="3:32" ht="12.75" customHeight="1" x14ac:dyDescent="0.3">
      <c r="C655" s="10"/>
      <c r="D655" s="10"/>
      <c r="E655" s="10"/>
      <c r="F655" s="10"/>
      <c r="G655" s="10"/>
      <c r="H655" s="10"/>
      <c r="I655" s="10"/>
      <c r="J655" s="10"/>
      <c r="K655" s="10"/>
      <c r="L655" s="10"/>
      <c r="M655" s="10"/>
      <c r="N655" s="10"/>
      <c r="O655" s="10"/>
      <c r="P655" s="10"/>
      <c r="Q655" s="79"/>
      <c r="R655" s="80"/>
      <c r="S655" s="81"/>
      <c r="T655" s="81"/>
      <c r="U655" s="81"/>
      <c r="V655" s="81"/>
      <c r="W655" s="10"/>
      <c r="X655" s="10"/>
      <c r="Y655" s="10"/>
      <c r="Z655" s="10"/>
      <c r="AA655" s="10"/>
      <c r="AB655" s="10"/>
      <c r="AC655" s="10"/>
      <c r="AF655" s="11"/>
    </row>
    <row r="656" spans="3:32" ht="12.75" customHeight="1" x14ac:dyDescent="0.3">
      <c r="C656" s="10"/>
      <c r="D656" s="10"/>
      <c r="E656" s="10"/>
      <c r="F656" s="10"/>
      <c r="G656" s="10"/>
      <c r="H656" s="10"/>
      <c r="I656" s="10"/>
      <c r="J656" s="10"/>
      <c r="K656" s="10"/>
      <c r="L656" s="10"/>
      <c r="M656" s="10"/>
      <c r="N656" s="10"/>
      <c r="O656" s="10"/>
      <c r="P656" s="10"/>
      <c r="Q656" s="79"/>
      <c r="R656" s="80"/>
      <c r="S656" s="81"/>
      <c r="T656" s="81"/>
      <c r="U656" s="81"/>
      <c r="V656" s="81"/>
      <c r="W656" s="10"/>
      <c r="X656" s="10"/>
      <c r="Y656" s="10"/>
      <c r="Z656" s="10"/>
      <c r="AA656" s="10"/>
      <c r="AB656" s="10"/>
      <c r="AC656" s="10"/>
      <c r="AF656" s="11"/>
    </row>
    <row r="657" spans="3:32" ht="12.75" customHeight="1" x14ac:dyDescent="0.3">
      <c r="C657" s="10"/>
      <c r="D657" s="10"/>
      <c r="E657" s="10"/>
      <c r="F657" s="10"/>
      <c r="G657" s="10"/>
      <c r="H657" s="10"/>
      <c r="I657" s="10"/>
      <c r="J657" s="10"/>
      <c r="K657" s="10"/>
      <c r="L657" s="10"/>
      <c r="M657" s="10"/>
      <c r="N657" s="10"/>
      <c r="O657" s="10"/>
      <c r="P657" s="10"/>
      <c r="Q657" s="79"/>
      <c r="R657" s="80"/>
      <c r="S657" s="81"/>
      <c r="T657" s="81"/>
      <c r="U657" s="81"/>
      <c r="V657" s="81"/>
      <c r="W657" s="10"/>
      <c r="X657" s="10"/>
      <c r="Y657" s="10"/>
      <c r="Z657" s="10"/>
      <c r="AA657" s="10"/>
      <c r="AB657" s="10"/>
      <c r="AC657" s="10"/>
      <c r="AF657" s="11"/>
    </row>
    <row r="658" spans="3:32" ht="12.75" customHeight="1" x14ac:dyDescent="0.3">
      <c r="C658" s="10"/>
      <c r="D658" s="10"/>
      <c r="E658" s="10"/>
      <c r="F658" s="10"/>
      <c r="G658" s="10"/>
      <c r="H658" s="10"/>
      <c r="I658" s="10"/>
      <c r="J658" s="10"/>
      <c r="K658" s="10"/>
      <c r="L658" s="10"/>
      <c r="M658" s="10"/>
      <c r="N658" s="10"/>
      <c r="O658" s="10"/>
      <c r="P658" s="10"/>
      <c r="Q658" s="79"/>
      <c r="R658" s="80"/>
      <c r="S658" s="81"/>
      <c r="T658" s="81"/>
      <c r="U658" s="81"/>
      <c r="V658" s="81"/>
      <c r="W658" s="10"/>
      <c r="X658" s="10"/>
      <c r="Y658" s="10"/>
      <c r="Z658" s="10"/>
      <c r="AA658" s="10"/>
      <c r="AB658" s="10"/>
      <c r="AC658" s="10"/>
      <c r="AF658" s="11"/>
    </row>
    <row r="659" spans="3:32" ht="12.75" customHeight="1" x14ac:dyDescent="0.3">
      <c r="C659" s="10"/>
      <c r="D659" s="10"/>
      <c r="E659" s="10"/>
      <c r="F659" s="10"/>
      <c r="G659" s="10"/>
      <c r="H659" s="10"/>
      <c r="I659" s="10"/>
      <c r="J659" s="10"/>
      <c r="K659" s="10"/>
      <c r="L659" s="10"/>
      <c r="M659" s="10"/>
      <c r="N659" s="10"/>
      <c r="O659" s="10"/>
      <c r="P659" s="10"/>
      <c r="Q659" s="79"/>
      <c r="R659" s="80"/>
      <c r="S659" s="81"/>
      <c r="T659" s="81"/>
      <c r="U659" s="81"/>
      <c r="V659" s="81"/>
      <c r="W659" s="10"/>
      <c r="X659" s="10"/>
      <c r="Y659" s="10"/>
      <c r="Z659" s="10"/>
      <c r="AA659" s="10"/>
      <c r="AB659" s="10"/>
      <c r="AC659" s="10"/>
      <c r="AF659" s="11"/>
    </row>
    <row r="660" spans="3:32" ht="12.75" customHeight="1" x14ac:dyDescent="0.3">
      <c r="C660" s="10"/>
      <c r="D660" s="10"/>
      <c r="E660" s="10"/>
      <c r="F660" s="10"/>
      <c r="G660" s="10"/>
      <c r="H660" s="10"/>
      <c r="I660" s="10"/>
      <c r="J660" s="10"/>
      <c r="K660" s="10"/>
      <c r="L660" s="10"/>
      <c r="M660" s="10"/>
      <c r="N660" s="10"/>
      <c r="O660" s="10"/>
      <c r="P660" s="10"/>
      <c r="Q660" s="79"/>
      <c r="R660" s="80"/>
      <c r="S660" s="81"/>
      <c r="T660" s="81"/>
      <c r="U660" s="81"/>
      <c r="V660" s="81"/>
      <c r="W660" s="10"/>
      <c r="X660" s="10"/>
      <c r="Y660" s="10"/>
      <c r="Z660" s="10"/>
      <c r="AA660" s="10"/>
      <c r="AB660" s="10"/>
      <c r="AC660" s="10"/>
      <c r="AF660" s="11"/>
    </row>
    <row r="661" spans="3:32" ht="12.75" customHeight="1" x14ac:dyDescent="0.3">
      <c r="C661" s="10"/>
      <c r="D661" s="10"/>
      <c r="E661" s="10"/>
      <c r="F661" s="10"/>
      <c r="G661" s="10"/>
      <c r="H661" s="10"/>
      <c r="I661" s="10"/>
      <c r="J661" s="10"/>
      <c r="K661" s="10"/>
      <c r="L661" s="10"/>
      <c r="M661" s="10"/>
      <c r="N661" s="10"/>
      <c r="O661" s="10"/>
      <c r="P661" s="10"/>
      <c r="Q661" s="79"/>
      <c r="R661" s="80"/>
      <c r="S661" s="81"/>
      <c r="T661" s="81"/>
      <c r="U661" s="81"/>
      <c r="V661" s="81"/>
      <c r="W661" s="10"/>
      <c r="X661" s="10"/>
      <c r="Y661" s="10"/>
      <c r="Z661" s="10"/>
      <c r="AA661" s="10"/>
      <c r="AB661" s="10"/>
      <c r="AC661" s="10"/>
      <c r="AF661" s="11"/>
    </row>
    <row r="662" spans="3:32" ht="12.75" customHeight="1" x14ac:dyDescent="0.3">
      <c r="C662" s="10"/>
      <c r="D662" s="10"/>
      <c r="E662" s="10"/>
      <c r="F662" s="10"/>
      <c r="G662" s="10"/>
      <c r="H662" s="10"/>
      <c r="I662" s="10"/>
      <c r="J662" s="10"/>
      <c r="K662" s="10"/>
      <c r="L662" s="10"/>
      <c r="M662" s="10"/>
      <c r="N662" s="10"/>
      <c r="O662" s="10"/>
      <c r="P662" s="10"/>
      <c r="Q662" s="79"/>
      <c r="R662" s="80"/>
      <c r="S662" s="81"/>
      <c r="T662" s="81"/>
      <c r="U662" s="81"/>
      <c r="V662" s="81"/>
      <c r="W662" s="10"/>
      <c r="X662" s="10"/>
      <c r="Y662" s="10"/>
      <c r="Z662" s="10"/>
      <c r="AA662" s="10"/>
      <c r="AB662" s="10"/>
      <c r="AC662" s="10"/>
      <c r="AF662" s="11"/>
    </row>
    <row r="663" spans="3:32" ht="12.75" customHeight="1" x14ac:dyDescent="0.3">
      <c r="C663" s="10"/>
      <c r="D663" s="10"/>
      <c r="E663" s="10"/>
      <c r="F663" s="10"/>
      <c r="G663" s="10"/>
      <c r="H663" s="10"/>
      <c r="I663" s="10"/>
      <c r="J663" s="10"/>
      <c r="K663" s="10"/>
      <c r="L663" s="10"/>
      <c r="M663" s="10"/>
      <c r="N663" s="10"/>
      <c r="O663" s="10"/>
      <c r="P663" s="10"/>
      <c r="Q663" s="79"/>
      <c r="R663" s="80"/>
      <c r="S663" s="81"/>
      <c r="T663" s="81"/>
      <c r="U663" s="81"/>
      <c r="V663" s="81"/>
      <c r="W663" s="10"/>
      <c r="X663" s="10"/>
      <c r="Y663" s="10"/>
      <c r="Z663" s="10"/>
      <c r="AA663" s="10"/>
      <c r="AB663" s="10"/>
      <c r="AC663" s="10"/>
      <c r="AF663" s="11"/>
    </row>
    <row r="664" spans="3:32" ht="12.75" customHeight="1" x14ac:dyDescent="0.3">
      <c r="C664" s="10"/>
      <c r="D664" s="10"/>
      <c r="E664" s="10"/>
      <c r="F664" s="10"/>
      <c r="G664" s="10"/>
      <c r="H664" s="10"/>
      <c r="I664" s="10"/>
      <c r="J664" s="10"/>
      <c r="K664" s="10"/>
      <c r="L664" s="10"/>
      <c r="M664" s="10"/>
      <c r="N664" s="10"/>
      <c r="O664" s="10"/>
      <c r="P664" s="10"/>
      <c r="Q664" s="79"/>
      <c r="R664" s="80"/>
      <c r="S664" s="81"/>
      <c r="T664" s="81"/>
      <c r="U664" s="81"/>
      <c r="V664" s="81"/>
      <c r="W664" s="10"/>
      <c r="X664" s="10"/>
      <c r="Y664" s="10"/>
      <c r="Z664" s="10"/>
      <c r="AA664" s="10"/>
      <c r="AB664" s="10"/>
      <c r="AC664" s="10"/>
      <c r="AF664" s="11"/>
    </row>
    <row r="665" spans="3:32" ht="12.75" customHeight="1" x14ac:dyDescent="0.3">
      <c r="C665" s="10"/>
      <c r="D665" s="10"/>
      <c r="E665" s="10"/>
      <c r="F665" s="10"/>
      <c r="G665" s="10"/>
      <c r="H665" s="10"/>
      <c r="I665" s="10"/>
      <c r="J665" s="10"/>
      <c r="K665" s="10"/>
      <c r="L665" s="10"/>
      <c r="M665" s="10"/>
      <c r="N665" s="10"/>
      <c r="O665" s="10"/>
      <c r="P665" s="10"/>
      <c r="Q665" s="79"/>
      <c r="R665" s="80"/>
      <c r="S665" s="81"/>
      <c r="T665" s="81"/>
      <c r="U665" s="81"/>
      <c r="V665" s="81"/>
      <c r="W665" s="10"/>
      <c r="X665" s="10"/>
      <c r="Y665" s="10"/>
      <c r="Z665" s="10"/>
      <c r="AA665" s="10"/>
      <c r="AB665" s="10"/>
      <c r="AC665" s="10"/>
      <c r="AF665" s="11"/>
    </row>
    <row r="666" spans="3:32" ht="12.75" customHeight="1" x14ac:dyDescent="0.3">
      <c r="C666" s="10"/>
      <c r="D666" s="10"/>
      <c r="E666" s="10"/>
      <c r="F666" s="10"/>
      <c r="G666" s="10"/>
      <c r="H666" s="10"/>
      <c r="I666" s="10"/>
      <c r="J666" s="10"/>
      <c r="K666" s="10"/>
      <c r="L666" s="10"/>
      <c r="M666" s="10"/>
      <c r="N666" s="10"/>
      <c r="O666" s="10"/>
      <c r="P666" s="10"/>
      <c r="Q666" s="79"/>
      <c r="R666" s="80"/>
      <c r="S666" s="81"/>
      <c r="T666" s="81"/>
      <c r="U666" s="81"/>
      <c r="V666" s="81"/>
      <c r="W666" s="10"/>
      <c r="X666" s="10"/>
      <c r="Y666" s="10"/>
      <c r="Z666" s="10"/>
      <c r="AA666" s="10"/>
      <c r="AB666" s="10"/>
      <c r="AC666" s="10"/>
      <c r="AF666" s="11"/>
    </row>
    <row r="667" spans="3:32" ht="12.75" customHeight="1" x14ac:dyDescent="0.3">
      <c r="C667" s="10"/>
      <c r="D667" s="10"/>
      <c r="E667" s="10"/>
      <c r="F667" s="10"/>
      <c r="G667" s="10"/>
      <c r="H667" s="10"/>
      <c r="I667" s="10"/>
      <c r="J667" s="10"/>
      <c r="K667" s="10"/>
      <c r="L667" s="10"/>
      <c r="M667" s="10"/>
      <c r="N667" s="10"/>
      <c r="O667" s="10"/>
      <c r="P667" s="10"/>
      <c r="Q667" s="79"/>
      <c r="R667" s="80"/>
      <c r="S667" s="81"/>
      <c r="T667" s="81"/>
      <c r="U667" s="81"/>
      <c r="V667" s="81"/>
      <c r="W667" s="10"/>
      <c r="X667" s="10"/>
      <c r="Y667" s="10"/>
      <c r="Z667" s="10"/>
      <c r="AA667" s="10"/>
      <c r="AB667" s="10"/>
      <c r="AC667" s="10"/>
      <c r="AF667" s="11"/>
    </row>
    <row r="668" spans="3:32" ht="12.75" customHeight="1" x14ac:dyDescent="0.3">
      <c r="C668" s="10"/>
      <c r="D668" s="10"/>
      <c r="E668" s="10"/>
      <c r="F668" s="10"/>
      <c r="G668" s="10"/>
      <c r="H668" s="10"/>
      <c r="I668" s="10"/>
      <c r="J668" s="10"/>
      <c r="K668" s="10"/>
      <c r="L668" s="10"/>
      <c r="M668" s="10"/>
      <c r="N668" s="10"/>
      <c r="O668" s="10"/>
      <c r="P668" s="10"/>
      <c r="Q668" s="79"/>
      <c r="R668" s="80"/>
      <c r="S668" s="81"/>
      <c r="T668" s="81"/>
      <c r="U668" s="81"/>
      <c r="V668" s="81"/>
      <c r="W668" s="10"/>
      <c r="X668" s="10"/>
      <c r="Y668" s="10"/>
      <c r="Z668" s="10"/>
      <c r="AA668" s="10"/>
      <c r="AB668" s="10"/>
      <c r="AC668" s="10"/>
      <c r="AF668" s="11"/>
    </row>
    <row r="669" spans="3:32" ht="12.75" customHeight="1" x14ac:dyDescent="0.3">
      <c r="C669" s="10"/>
      <c r="D669" s="10"/>
      <c r="E669" s="10"/>
      <c r="F669" s="10"/>
      <c r="G669" s="10"/>
      <c r="H669" s="10"/>
      <c r="I669" s="10"/>
      <c r="J669" s="10"/>
      <c r="K669" s="10"/>
      <c r="L669" s="10"/>
      <c r="M669" s="10"/>
      <c r="N669" s="10"/>
      <c r="O669" s="10"/>
      <c r="P669" s="10"/>
      <c r="Q669" s="79"/>
      <c r="R669" s="80"/>
      <c r="S669" s="81"/>
      <c r="T669" s="81"/>
      <c r="U669" s="81"/>
      <c r="V669" s="81"/>
      <c r="W669" s="10"/>
      <c r="X669" s="10"/>
      <c r="Y669" s="10"/>
      <c r="Z669" s="10"/>
      <c r="AA669" s="10"/>
      <c r="AB669" s="10"/>
      <c r="AC669" s="10"/>
      <c r="AF669" s="11"/>
    </row>
    <row r="670" spans="3:32" ht="12.75" customHeight="1" x14ac:dyDescent="0.3">
      <c r="C670" s="10"/>
      <c r="D670" s="10"/>
      <c r="E670" s="10"/>
      <c r="F670" s="10"/>
      <c r="G670" s="10"/>
      <c r="H670" s="10"/>
      <c r="I670" s="10"/>
      <c r="J670" s="10"/>
      <c r="K670" s="10"/>
      <c r="L670" s="10"/>
      <c r="M670" s="10"/>
      <c r="N670" s="10"/>
      <c r="O670" s="10"/>
      <c r="P670" s="10"/>
      <c r="Q670" s="79"/>
      <c r="R670" s="80"/>
      <c r="S670" s="81"/>
      <c r="T670" s="81"/>
      <c r="U670" s="81"/>
      <c r="V670" s="81"/>
      <c r="W670" s="10"/>
      <c r="X670" s="10"/>
      <c r="Y670" s="10"/>
      <c r="Z670" s="10"/>
      <c r="AA670" s="10"/>
      <c r="AB670" s="10"/>
      <c r="AC670" s="10"/>
      <c r="AF670" s="11"/>
    </row>
    <row r="671" spans="3:32" ht="12.75" customHeight="1" x14ac:dyDescent="0.3">
      <c r="C671" s="10"/>
      <c r="D671" s="10"/>
      <c r="E671" s="10"/>
      <c r="F671" s="10"/>
      <c r="G671" s="10"/>
      <c r="H671" s="10"/>
      <c r="I671" s="10"/>
      <c r="J671" s="10"/>
      <c r="K671" s="10"/>
      <c r="L671" s="10"/>
      <c r="M671" s="10"/>
      <c r="N671" s="10"/>
      <c r="O671" s="10"/>
      <c r="P671" s="10"/>
      <c r="Q671" s="79"/>
      <c r="R671" s="80"/>
      <c r="S671" s="81"/>
      <c r="T671" s="81"/>
      <c r="U671" s="81"/>
      <c r="V671" s="81"/>
      <c r="W671" s="10"/>
      <c r="X671" s="10"/>
      <c r="Y671" s="10"/>
      <c r="Z671" s="10"/>
      <c r="AA671" s="10"/>
      <c r="AB671" s="10"/>
      <c r="AC671" s="10"/>
      <c r="AF671" s="11"/>
    </row>
    <row r="672" spans="3:32" ht="12.75" customHeight="1" x14ac:dyDescent="0.3">
      <c r="C672" s="10"/>
      <c r="D672" s="10"/>
      <c r="E672" s="10"/>
      <c r="F672" s="10"/>
      <c r="G672" s="10"/>
      <c r="H672" s="10"/>
      <c r="I672" s="10"/>
      <c r="J672" s="10"/>
      <c r="K672" s="10"/>
      <c r="L672" s="10"/>
      <c r="M672" s="10"/>
      <c r="N672" s="10"/>
      <c r="O672" s="10"/>
      <c r="P672" s="10"/>
      <c r="Q672" s="79"/>
      <c r="R672" s="80"/>
      <c r="S672" s="81"/>
      <c r="T672" s="81"/>
      <c r="U672" s="81"/>
      <c r="V672" s="81"/>
      <c r="W672" s="10"/>
      <c r="X672" s="10"/>
      <c r="Y672" s="10"/>
      <c r="Z672" s="10"/>
      <c r="AA672" s="10"/>
      <c r="AB672" s="10"/>
      <c r="AC672" s="10"/>
      <c r="AF672" s="11"/>
    </row>
    <row r="673" spans="3:32" ht="12.75" customHeight="1" x14ac:dyDescent="0.3">
      <c r="C673" s="10"/>
      <c r="D673" s="10"/>
      <c r="E673" s="10"/>
      <c r="F673" s="10"/>
      <c r="G673" s="10"/>
      <c r="H673" s="10"/>
      <c r="I673" s="10"/>
      <c r="J673" s="10"/>
      <c r="K673" s="10"/>
      <c r="L673" s="10"/>
      <c r="M673" s="10"/>
      <c r="N673" s="10"/>
      <c r="O673" s="10"/>
      <c r="P673" s="10"/>
      <c r="Q673" s="79"/>
      <c r="R673" s="80"/>
      <c r="S673" s="81"/>
      <c r="T673" s="81"/>
      <c r="U673" s="81"/>
      <c r="V673" s="81"/>
      <c r="W673" s="10"/>
      <c r="X673" s="10"/>
      <c r="Y673" s="10"/>
      <c r="Z673" s="10"/>
      <c r="AA673" s="10"/>
      <c r="AB673" s="10"/>
      <c r="AC673" s="10"/>
      <c r="AF673" s="11"/>
    </row>
    <row r="674" spans="3:32" ht="12.75" customHeight="1" x14ac:dyDescent="0.3">
      <c r="C674" s="10"/>
      <c r="D674" s="10"/>
      <c r="E674" s="10"/>
      <c r="F674" s="10"/>
      <c r="G674" s="10"/>
      <c r="H674" s="10"/>
      <c r="I674" s="10"/>
      <c r="J674" s="10"/>
      <c r="K674" s="10"/>
      <c r="L674" s="10"/>
      <c r="M674" s="10"/>
      <c r="N674" s="10"/>
      <c r="O674" s="10"/>
      <c r="P674" s="10"/>
      <c r="Q674" s="79"/>
      <c r="R674" s="80"/>
      <c r="S674" s="81"/>
      <c r="T674" s="81"/>
      <c r="U674" s="81"/>
      <c r="V674" s="81"/>
      <c r="W674" s="10"/>
      <c r="X674" s="10"/>
      <c r="Y674" s="10"/>
      <c r="Z674" s="10"/>
      <c r="AA674" s="10"/>
      <c r="AB674" s="10"/>
      <c r="AC674" s="10"/>
      <c r="AF674" s="11"/>
    </row>
    <row r="675" spans="3:32" ht="12.75" customHeight="1" x14ac:dyDescent="0.3">
      <c r="C675" s="10"/>
      <c r="D675" s="10"/>
      <c r="E675" s="10"/>
      <c r="F675" s="10"/>
      <c r="G675" s="10"/>
      <c r="H675" s="10"/>
      <c r="I675" s="10"/>
      <c r="J675" s="10"/>
      <c r="K675" s="10"/>
      <c r="L675" s="10"/>
      <c r="M675" s="10"/>
      <c r="N675" s="10"/>
      <c r="O675" s="10"/>
      <c r="P675" s="10"/>
      <c r="Q675" s="79"/>
      <c r="R675" s="80"/>
      <c r="S675" s="81"/>
      <c r="T675" s="81"/>
      <c r="U675" s="81"/>
      <c r="V675" s="81"/>
      <c r="W675" s="10"/>
      <c r="X675" s="10"/>
      <c r="Y675" s="10"/>
      <c r="Z675" s="10"/>
      <c r="AA675" s="10"/>
      <c r="AB675" s="10"/>
      <c r="AC675" s="10"/>
      <c r="AF675" s="11"/>
    </row>
    <row r="676" spans="3:32" ht="12.75" customHeight="1" x14ac:dyDescent="0.3">
      <c r="C676" s="10"/>
      <c r="D676" s="10"/>
      <c r="E676" s="10"/>
      <c r="F676" s="10"/>
      <c r="G676" s="10"/>
      <c r="H676" s="10"/>
      <c r="I676" s="10"/>
      <c r="J676" s="10"/>
      <c r="K676" s="10"/>
      <c r="L676" s="10"/>
      <c r="M676" s="10"/>
      <c r="N676" s="10"/>
      <c r="O676" s="10"/>
      <c r="P676" s="10"/>
      <c r="Q676" s="79"/>
      <c r="R676" s="80"/>
      <c r="S676" s="81"/>
      <c r="T676" s="81"/>
      <c r="U676" s="81"/>
      <c r="V676" s="81"/>
      <c r="W676" s="10"/>
      <c r="X676" s="10"/>
      <c r="Y676" s="10"/>
      <c r="Z676" s="10"/>
      <c r="AA676" s="10"/>
      <c r="AB676" s="10"/>
      <c r="AC676" s="10"/>
      <c r="AF676" s="11"/>
    </row>
    <row r="677" spans="3:32" ht="12.75" customHeight="1" x14ac:dyDescent="0.3">
      <c r="C677" s="10"/>
      <c r="D677" s="10"/>
      <c r="E677" s="10"/>
      <c r="F677" s="10"/>
      <c r="G677" s="10"/>
      <c r="H677" s="10"/>
      <c r="I677" s="10"/>
      <c r="J677" s="10"/>
      <c r="K677" s="10"/>
      <c r="L677" s="10"/>
      <c r="M677" s="10"/>
      <c r="N677" s="10"/>
      <c r="O677" s="10"/>
      <c r="P677" s="10"/>
      <c r="Q677" s="79"/>
      <c r="R677" s="80"/>
      <c r="S677" s="81"/>
      <c r="T677" s="81"/>
      <c r="U677" s="81"/>
      <c r="V677" s="81"/>
      <c r="W677" s="10"/>
      <c r="X677" s="10"/>
      <c r="Y677" s="10"/>
      <c r="Z677" s="10"/>
      <c r="AA677" s="10"/>
      <c r="AB677" s="10"/>
      <c r="AC677" s="10"/>
      <c r="AF677" s="11"/>
    </row>
    <row r="678" spans="3:32" ht="12.75" customHeight="1" x14ac:dyDescent="0.3">
      <c r="C678" s="10"/>
      <c r="D678" s="10"/>
      <c r="E678" s="10"/>
      <c r="F678" s="10"/>
      <c r="G678" s="10"/>
      <c r="H678" s="10"/>
      <c r="I678" s="10"/>
      <c r="J678" s="10"/>
      <c r="K678" s="10"/>
      <c r="L678" s="10"/>
      <c r="M678" s="10"/>
      <c r="N678" s="10"/>
      <c r="O678" s="10"/>
      <c r="P678" s="10"/>
      <c r="Q678" s="79"/>
      <c r="R678" s="80"/>
      <c r="S678" s="81"/>
      <c r="T678" s="81"/>
      <c r="U678" s="81"/>
      <c r="V678" s="81"/>
      <c r="W678" s="10"/>
      <c r="X678" s="10"/>
      <c r="Y678" s="10"/>
      <c r="Z678" s="10"/>
      <c r="AA678" s="10"/>
      <c r="AB678" s="10"/>
      <c r="AC678" s="10"/>
      <c r="AF678" s="11"/>
    </row>
    <row r="679" spans="3:32" ht="12.75" customHeight="1" x14ac:dyDescent="0.3">
      <c r="C679" s="10"/>
      <c r="D679" s="10"/>
      <c r="E679" s="10"/>
      <c r="F679" s="10"/>
      <c r="G679" s="10"/>
      <c r="H679" s="10"/>
      <c r="I679" s="10"/>
      <c r="J679" s="10"/>
      <c r="K679" s="10"/>
      <c r="L679" s="10"/>
      <c r="M679" s="10"/>
      <c r="N679" s="10"/>
      <c r="O679" s="10"/>
      <c r="P679" s="10"/>
      <c r="Q679" s="79"/>
      <c r="R679" s="80"/>
      <c r="S679" s="81"/>
      <c r="T679" s="81"/>
      <c r="U679" s="81"/>
      <c r="V679" s="81"/>
      <c r="W679" s="10"/>
      <c r="X679" s="10"/>
      <c r="Y679" s="10"/>
      <c r="Z679" s="10"/>
      <c r="AA679" s="10"/>
      <c r="AB679" s="10"/>
      <c r="AC679" s="10"/>
      <c r="AF679" s="11"/>
    </row>
    <row r="680" spans="3:32" ht="12.75" customHeight="1" x14ac:dyDescent="0.3">
      <c r="C680" s="10"/>
      <c r="D680" s="10"/>
      <c r="E680" s="10"/>
      <c r="F680" s="10"/>
      <c r="G680" s="10"/>
      <c r="H680" s="10"/>
      <c r="I680" s="10"/>
      <c r="J680" s="10"/>
      <c r="K680" s="10"/>
      <c r="L680" s="10"/>
      <c r="M680" s="10"/>
      <c r="N680" s="10"/>
      <c r="O680" s="10"/>
      <c r="P680" s="10"/>
      <c r="Q680" s="79"/>
      <c r="R680" s="80"/>
      <c r="S680" s="81"/>
      <c r="T680" s="81"/>
      <c r="U680" s="81"/>
      <c r="V680" s="81"/>
      <c r="W680" s="10"/>
      <c r="X680" s="10"/>
      <c r="Y680" s="10"/>
      <c r="Z680" s="10"/>
      <c r="AA680" s="10"/>
      <c r="AB680" s="10"/>
      <c r="AC680" s="10"/>
      <c r="AF680" s="11"/>
    </row>
    <row r="681" spans="3:32" ht="12.75" customHeight="1" x14ac:dyDescent="0.3">
      <c r="C681" s="10"/>
      <c r="D681" s="10"/>
      <c r="E681" s="10"/>
      <c r="F681" s="10"/>
      <c r="G681" s="10"/>
      <c r="H681" s="10"/>
      <c r="I681" s="10"/>
      <c r="J681" s="10"/>
      <c r="K681" s="10"/>
      <c r="L681" s="10"/>
      <c r="M681" s="10"/>
      <c r="N681" s="10"/>
      <c r="O681" s="10"/>
      <c r="P681" s="10"/>
      <c r="Q681" s="79"/>
      <c r="R681" s="80"/>
      <c r="S681" s="81"/>
      <c r="T681" s="81"/>
      <c r="U681" s="81"/>
      <c r="V681" s="81"/>
      <c r="W681" s="10"/>
      <c r="X681" s="10"/>
      <c r="Y681" s="10"/>
      <c r="Z681" s="10"/>
      <c r="AA681" s="10"/>
      <c r="AB681" s="10"/>
      <c r="AC681" s="10"/>
      <c r="AF681" s="11"/>
    </row>
    <row r="682" spans="3:32" ht="12.75" customHeight="1" x14ac:dyDescent="0.3">
      <c r="C682" s="10"/>
      <c r="D682" s="10"/>
      <c r="E682" s="10"/>
      <c r="F682" s="10"/>
      <c r="G682" s="10"/>
      <c r="H682" s="10"/>
      <c r="I682" s="10"/>
      <c r="J682" s="10"/>
      <c r="K682" s="10"/>
      <c r="L682" s="10"/>
      <c r="M682" s="10"/>
      <c r="N682" s="10"/>
      <c r="O682" s="10"/>
      <c r="P682" s="10"/>
      <c r="Q682" s="79"/>
      <c r="R682" s="80"/>
      <c r="S682" s="81"/>
      <c r="T682" s="81"/>
      <c r="U682" s="81"/>
      <c r="V682" s="81"/>
      <c r="W682" s="10"/>
      <c r="X682" s="10"/>
      <c r="Y682" s="10"/>
      <c r="Z682" s="10"/>
      <c r="AA682" s="10"/>
      <c r="AB682" s="10"/>
      <c r="AC682" s="10"/>
      <c r="AF682" s="11"/>
    </row>
    <row r="683" spans="3:32" ht="12.75" customHeight="1" x14ac:dyDescent="0.3">
      <c r="C683" s="10"/>
      <c r="D683" s="10"/>
      <c r="E683" s="10"/>
      <c r="F683" s="10"/>
      <c r="G683" s="10"/>
      <c r="H683" s="10"/>
      <c r="I683" s="10"/>
      <c r="J683" s="10"/>
      <c r="K683" s="10"/>
      <c r="L683" s="10"/>
      <c r="M683" s="10"/>
      <c r="N683" s="10"/>
      <c r="O683" s="10"/>
      <c r="P683" s="10"/>
      <c r="Q683" s="79"/>
      <c r="R683" s="80"/>
      <c r="S683" s="81"/>
      <c r="T683" s="81"/>
      <c r="U683" s="81"/>
      <c r="V683" s="81"/>
      <c r="W683" s="10"/>
      <c r="X683" s="10"/>
      <c r="Y683" s="10"/>
      <c r="Z683" s="10"/>
      <c r="AA683" s="10"/>
      <c r="AB683" s="10"/>
      <c r="AC683" s="10"/>
      <c r="AF683" s="11"/>
    </row>
    <row r="684" spans="3:32" ht="12.75" customHeight="1" x14ac:dyDescent="0.3">
      <c r="C684" s="10"/>
      <c r="D684" s="10"/>
      <c r="E684" s="10"/>
      <c r="F684" s="10"/>
      <c r="G684" s="10"/>
      <c r="H684" s="10"/>
      <c r="I684" s="10"/>
      <c r="J684" s="10"/>
      <c r="K684" s="10"/>
      <c r="L684" s="10"/>
      <c r="M684" s="10"/>
      <c r="N684" s="10"/>
      <c r="O684" s="10"/>
      <c r="P684" s="10"/>
      <c r="Q684" s="79"/>
      <c r="R684" s="80"/>
      <c r="S684" s="81"/>
      <c r="T684" s="81"/>
      <c r="U684" s="81"/>
      <c r="V684" s="81"/>
      <c r="W684" s="10"/>
      <c r="X684" s="10"/>
      <c r="Y684" s="10"/>
      <c r="Z684" s="10"/>
      <c r="AA684" s="10"/>
      <c r="AB684" s="10"/>
      <c r="AC684" s="10"/>
      <c r="AF684" s="11"/>
    </row>
    <row r="685" spans="3:32" ht="12.75" customHeight="1" x14ac:dyDescent="0.3">
      <c r="C685" s="10"/>
      <c r="D685" s="10"/>
      <c r="E685" s="10"/>
      <c r="F685" s="10"/>
      <c r="G685" s="10"/>
      <c r="H685" s="10"/>
      <c r="I685" s="10"/>
      <c r="J685" s="10"/>
      <c r="K685" s="10"/>
      <c r="L685" s="10"/>
      <c r="M685" s="10"/>
      <c r="N685" s="10"/>
      <c r="O685" s="10"/>
      <c r="P685" s="10"/>
      <c r="Q685" s="79"/>
      <c r="R685" s="80"/>
      <c r="S685" s="81"/>
      <c r="T685" s="81"/>
      <c r="U685" s="81"/>
      <c r="V685" s="81"/>
      <c r="W685" s="10"/>
      <c r="X685" s="10"/>
      <c r="Y685" s="10"/>
      <c r="Z685" s="10"/>
      <c r="AA685" s="10"/>
      <c r="AB685" s="10"/>
      <c r="AC685" s="10"/>
      <c r="AF685" s="11"/>
    </row>
    <row r="686" spans="3:32" ht="12.75" customHeight="1" x14ac:dyDescent="0.3">
      <c r="C686" s="10"/>
      <c r="D686" s="10"/>
      <c r="E686" s="10"/>
      <c r="F686" s="10"/>
      <c r="G686" s="10"/>
      <c r="H686" s="10"/>
      <c r="I686" s="10"/>
      <c r="J686" s="10"/>
      <c r="K686" s="10"/>
      <c r="L686" s="10"/>
      <c r="M686" s="10"/>
      <c r="N686" s="10"/>
      <c r="O686" s="10"/>
      <c r="P686" s="10"/>
      <c r="Q686" s="79"/>
      <c r="R686" s="80"/>
      <c r="S686" s="81"/>
      <c r="T686" s="81"/>
      <c r="U686" s="81"/>
      <c r="V686" s="81"/>
      <c r="W686" s="10"/>
      <c r="X686" s="10"/>
      <c r="Y686" s="10"/>
      <c r="Z686" s="10"/>
      <c r="AA686" s="10"/>
      <c r="AB686" s="10"/>
      <c r="AC686" s="10"/>
      <c r="AF686" s="11"/>
    </row>
    <row r="687" spans="3:32" ht="12.75" customHeight="1" x14ac:dyDescent="0.3">
      <c r="C687" s="10"/>
      <c r="D687" s="10"/>
      <c r="E687" s="10"/>
      <c r="F687" s="10"/>
      <c r="G687" s="10"/>
      <c r="H687" s="10"/>
      <c r="I687" s="10"/>
      <c r="J687" s="10"/>
      <c r="K687" s="10"/>
      <c r="L687" s="10"/>
      <c r="M687" s="10"/>
      <c r="N687" s="10"/>
      <c r="O687" s="10"/>
      <c r="P687" s="10"/>
      <c r="Q687" s="79"/>
      <c r="R687" s="80"/>
      <c r="S687" s="81"/>
      <c r="T687" s="81"/>
      <c r="U687" s="81"/>
      <c r="V687" s="81"/>
      <c r="W687" s="10"/>
      <c r="X687" s="10"/>
      <c r="Y687" s="10"/>
      <c r="Z687" s="10"/>
      <c r="AA687" s="10"/>
      <c r="AB687" s="10"/>
      <c r="AC687" s="10"/>
      <c r="AF687" s="11"/>
    </row>
    <row r="688" spans="3:32" ht="12.75" customHeight="1" x14ac:dyDescent="0.3">
      <c r="C688" s="10"/>
      <c r="D688" s="10"/>
      <c r="E688" s="10"/>
      <c r="F688" s="10"/>
      <c r="G688" s="10"/>
      <c r="H688" s="10"/>
      <c r="I688" s="10"/>
      <c r="J688" s="10"/>
      <c r="K688" s="10"/>
      <c r="L688" s="10"/>
      <c r="M688" s="10"/>
      <c r="N688" s="10"/>
      <c r="O688" s="10"/>
      <c r="P688" s="10"/>
      <c r="Q688" s="79"/>
      <c r="R688" s="80"/>
      <c r="S688" s="81"/>
      <c r="T688" s="81"/>
      <c r="U688" s="81"/>
      <c r="V688" s="81"/>
      <c r="W688" s="10"/>
      <c r="X688" s="10"/>
      <c r="Y688" s="10"/>
      <c r="Z688" s="10"/>
      <c r="AA688" s="10"/>
      <c r="AB688" s="10"/>
      <c r="AC688" s="10"/>
      <c r="AF688" s="11"/>
    </row>
    <row r="689" spans="3:32" ht="12.75" customHeight="1" x14ac:dyDescent="0.3">
      <c r="C689" s="10"/>
      <c r="D689" s="10"/>
      <c r="E689" s="10"/>
      <c r="F689" s="10"/>
      <c r="G689" s="10"/>
      <c r="H689" s="10"/>
      <c r="I689" s="10"/>
      <c r="J689" s="10"/>
      <c r="K689" s="10"/>
      <c r="L689" s="10"/>
      <c r="M689" s="10"/>
      <c r="N689" s="10"/>
      <c r="O689" s="10"/>
      <c r="P689" s="10"/>
      <c r="Q689" s="79"/>
      <c r="R689" s="80"/>
      <c r="S689" s="81"/>
      <c r="T689" s="81"/>
      <c r="U689" s="81"/>
      <c r="V689" s="81"/>
      <c r="W689" s="10"/>
      <c r="X689" s="10"/>
      <c r="Y689" s="10"/>
      <c r="Z689" s="10"/>
      <c r="AA689" s="10"/>
      <c r="AB689" s="10"/>
      <c r="AC689" s="10"/>
      <c r="AF689" s="11"/>
    </row>
    <row r="690" spans="3:32" ht="12.75" customHeight="1" x14ac:dyDescent="0.3">
      <c r="C690" s="10"/>
      <c r="D690" s="10"/>
      <c r="E690" s="10"/>
      <c r="F690" s="10"/>
      <c r="G690" s="10"/>
      <c r="H690" s="10"/>
      <c r="I690" s="10"/>
      <c r="J690" s="10"/>
      <c r="K690" s="10"/>
      <c r="L690" s="10"/>
      <c r="M690" s="10"/>
      <c r="N690" s="10"/>
      <c r="O690" s="10"/>
      <c r="P690" s="10"/>
      <c r="Q690" s="79"/>
      <c r="R690" s="80"/>
      <c r="S690" s="81"/>
      <c r="T690" s="81"/>
      <c r="U690" s="81"/>
      <c r="V690" s="81"/>
      <c r="W690" s="10"/>
      <c r="X690" s="10"/>
      <c r="Y690" s="10"/>
      <c r="Z690" s="10"/>
      <c r="AA690" s="10"/>
      <c r="AB690" s="10"/>
      <c r="AC690" s="10"/>
      <c r="AF690" s="11"/>
    </row>
    <row r="691" spans="3:32" ht="12.75" customHeight="1" x14ac:dyDescent="0.3">
      <c r="C691" s="10"/>
      <c r="D691" s="10"/>
      <c r="E691" s="10"/>
      <c r="F691" s="10"/>
      <c r="G691" s="10"/>
      <c r="H691" s="10"/>
      <c r="I691" s="10"/>
      <c r="J691" s="10"/>
      <c r="K691" s="10"/>
      <c r="L691" s="10"/>
      <c r="M691" s="10"/>
      <c r="N691" s="10"/>
      <c r="O691" s="10"/>
      <c r="P691" s="10"/>
      <c r="Q691" s="79"/>
      <c r="R691" s="80"/>
      <c r="S691" s="81"/>
      <c r="T691" s="81"/>
      <c r="U691" s="81"/>
      <c r="V691" s="81"/>
      <c r="W691" s="10"/>
      <c r="X691" s="10"/>
      <c r="Y691" s="10"/>
      <c r="Z691" s="10"/>
      <c r="AA691" s="10"/>
      <c r="AB691" s="10"/>
      <c r="AC691" s="10"/>
      <c r="AF691" s="11"/>
    </row>
    <row r="692" spans="3:32" ht="12.75" customHeight="1" x14ac:dyDescent="0.3">
      <c r="C692" s="10"/>
      <c r="D692" s="10"/>
      <c r="E692" s="10"/>
      <c r="F692" s="10"/>
      <c r="G692" s="10"/>
      <c r="H692" s="10"/>
      <c r="I692" s="10"/>
      <c r="J692" s="10"/>
      <c r="K692" s="10"/>
      <c r="L692" s="10"/>
      <c r="M692" s="10"/>
      <c r="N692" s="10"/>
      <c r="O692" s="10"/>
      <c r="P692" s="10"/>
      <c r="Q692" s="79"/>
      <c r="R692" s="80"/>
      <c r="S692" s="81"/>
      <c r="T692" s="81"/>
      <c r="U692" s="81"/>
      <c r="V692" s="81"/>
      <c r="W692" s="10"/>
      <c r="X692" s="10"/>
      <c r="Y692" s="10"/>
      <c r="Z692" s="10"/>
      <c r="AA692" s="10"/>
      <c r="AB692" s="10"/>
      <c r="AC692" s="10"/>
      <c r="AF692" s="11"/>
    </row>
    <row r="693" spans="3:32" ht="12.75" customHeight="1" x14ac:dyDescent="0.3">
      <c r="C693" s="10"/>
      <c r="D693" s="10"/>
      <c r="E693" s="10"/>
      <c r="F693" s="10"/>
      <c r="G693" s="10"/>
      <c r="H693" s="10"/>
      <c r="I693" s="10"/>
      <c r="J693" s="10"/>
      <c r="K693" s="10"/>
      <c r="L693" s="10"/>
      <c r="M693" s="10"/>
      <c r="N693" s="10"/>
      <c r="O693" s="10"/>
      <c r="P693" s="10"/>
      <c r="Q693" s="79"/>
      <c r="R693" s="80"/>
      <c r="S693" s="81"/>
      <c r="T693" s="81"/>
      <c r="U693" s="81"/>
      <c r="V693" s="81"/>
      <c r="W693" s="10"/>
      <c r="X693" s="10"/>
      <c r="Y693" s="10"/>
      <c r="Z693" s="10"/>
      <c r="AA693" s="10"/>
      <c r="AB693" s="10"/>
      <c r="AC693" s="10"/>
      <c r="AF693" s="11"/>
    </row>
    <row r="694" spans="3:32" ht="12.75" customHeight="1" x14ac:dyDescent="0.3">
      <c r="C694" s="10"/>
      <c r="D694" s="10"/>
      <c r="E694" s="10"/>
      <c r="F694" s="10"/>
      <c r="G694" s="10"/>
      <c r="H694" s="10"/>
      <c r="I694" s="10"/>
      <c r="J694" s="10"/>
      <c r="K694" s="10"/>
      <c r="L694" s="10"/>
      <c r="M694" s="10"/>
      <c r="N694" s="10"/>
      <c r="O694" s="10"/>
      <c r="P694" s="10"/>
      <c r="Q694" s="79"/>
      <c r="R694" s="80"/>
      <c r="S694" s="81"/>
      <c r="T694" s="81"/>
      <c r="U694" s="81"/>
      <c r="V694" s="81"/>
      <c r="W694" s="10"/>
      <c r="X694" s="10"/>
      <c r="Y694" s="10"/>
      <c r="Z694" s="10"/>
      <c r="AA694" s="10"/>
      <c r="AB694" s="10"/>
      <c r="AC694" s="10"/>
      <c r="AF694" s="11"/>
    </row>
    <row r="695" spans="3:32" ht="12.75" customHeight="1" x14ac:dyDescent="0.3">
      <c r="C695" s="10"/>
      <c r="D695" s="10"/>
      <c r="E695" s="10"/>
      <c r="F695" s="10"/>
      <c r="G695" s="10"/>
      <c r="H695" s="10"/>
      <c r="I695" s="10"/>
      <c r="J695" s="10"/>
      <c r="K695" s="10"/>
      <c r="L695" s="10"/>
      <c r="M695" s="10"/>
      <c r="N695" s="10"/>
      <c r="O695" s="10"/>
      <c r="P695" s="10"/>
      <c r="Q695" s="79"/>
      <c r="R695" s="80"/>
      <c r="S695" s="81"/>
      <c r="T695" s="81"/>
      <c r="U695" s="81"/>
      <c r="V695" s="81"/>
      <c r="W695" s="10"/>
      <c r="X695" s="10"/>
      <c r="Y695" s="10"/>
      <c r="Z695" s="10"/>
      <c r="AA695" s="10"/>
      <c r="AB695" s="10"/>
      <c r="AC695" s="10"/>
      <c r="AF695" s="11"/>
    </row>
    <row r="696" spans="3:32" ht="12.75" customHeight="1" x14ac:dyDescent="0.3">
      <c r="C696" s="10"/>
      <c r="D696" s="10"/>
      <c r="E696" s="10"/>
      <c r="F696" s="10"/>
      <c r="G696" s="10"/>
      <c r="H696" s="10"/>
      <c r="I696" s="10"/>
      <c r="J696" s="10"/>
      <c r="K696" s="10"/>
      <c r="L696" s="10"/>
      <c r="M696" s="10"/>
      <c r="N696" s="10"/>
      <c r="O696" s="10"/>
      <c r="P696" s="10"/>
      <c r="Q696" s="79"/>
      <c r="R696" s="80"/>
      <c r="S696" s="81"/>
      <c r="T696" s="81"/>
      <c r="U696" s="81"/>
      <c r="V696" s="81"/>
      <c r="W696" s="10"/>
      <c r="X696" s="10"/>
      <c r="Y696" s="10"/>
      <c r="Z696" s="10"/>
      <c r="AA696" s="10"/>
      <c r="AB696" s="10"/>
      <c r="AC696" s="10"/>
      <c r="AF696" s="11"/>
    </row>
    <row r="697" spans="3:32" ht="12.75" customHeight="1" x14ac:dyDescent="0.3">
      <c r="C697" s="10"/>
      <c r="D697" s="10"/>
      <c r="E697" s="10"/>
      <c r="F697" s="10"/>
      <c r="G697" s="10"/>
      <c r="H697" s="10"/>
      <c r="I697" s="10"/>
      <c r="J697" s="10"/>
      <c r="K697" s="10"/>
      <c r="L697" s="10"/>
      <c r="M697" s="10"/>
      <c r="N697" s="10"/>
      <c r="O697" s="10"/>
      <c r="P697" s="10"/>
      <c r="Q697" s="79"/>
      <c r="R697" s="80"/>
      <c r="S697" s="81"/>
      <c r="T697" s="81"/>
      <c r="U697" s="81"/>
      <c r="V697" s="81"/>
      <c r="W697" s="10"/>
      <c r="X697" s="10"/>
      <c r="Y697" s="10"/>
      <c r="Z697" s="10"/>
      <c r="AA697" s="10"/>
      <c r="AB697" s="10"/>
      <c r="AC697" s="10"/>
      <c r="AF697" s="11"/>
    </row>
    <row r="698" spans="3:32" ht="12.75" customHeight="1" x14ac:dyDescent="0.3">
      <c r="C698" s="10"/>
      <c r="D698" s="10"/>
      <c r="E698" s="10"/>
      <c r="F698" s="10"/>
      <c r="G698" s="10"/>
      <c r="H698" s="10"/>
      <c r="I698" s="10"/>
      <c r="J698" s="10"/>
      <c r="K698" s="10"/>
      <c r="L698" s="10"/>
      <c r="M698" s="10"/>
      <c r="N698" s="10"/>
      <c r="O698" s="10"/>
      <c r="P698" s="10"/>
      <c r="Q698" s="79"/>
      <c r="R698" s="80"/>
      <c r="S698" s="81"/>
      <c r="T698" s="81"/>
      <c r="U698" s="81"/>
      <c r="V698" s="81"/>
      <c r="W698" s="10"/>
      <c r="X698" s="10"/>
      <c r="Y698" s="10"/>
      <c r="Z698" s="10"/>
      <c r="AA698" s="10"/>
      <c r="AB698" s="10"/>
      <c r="AC698" s="10"/>
      <c r="AF698" s="11"/>
    </row>
    <row r="699" spans="3:32" ht="12.75" customHeight="1" x14ac:dyDescent="0.3">
      <c r="C699" s="10"/>
      <c r="D699" s="10"/>
      <c r="E699" s="10"/>
      <c r="F699" s="10"/>
      <c r="G699" s="10"/>
      <c r="H699" s="10"/>
      <c r="I699" s="10"/>
      <c r="J699" s="10"/>
      <c r="K699" s="10"/>
      <c r="L699" s="10"/>
      <c r="M699" s="10"/>
      <c r="N699" s="10"/>
      <c r="O699" s="10"/>
      <c r="P699" s="10"/>
      <c r="Q699" s="79"/>
      <c r="R699" s="80"/>
      <c r="S699" s="81"/>
      <c r="T699" s="81"/>
      <c r="U699" s="81"/>
      <c r="V699" s="81"/>
      <c r="W699" s="10"/>
      <c r="X699" s="10"/>
      <c r="Y699" s="10"/>
      <c r="Z699" s="10"/>
      <c r="AA699" s="10"/>
      <c r="AB699" s="10"/>
      <c r="AC699" s="10"/>
      <c r="AF699" s="11"/>
    </row>
    <row r="700" spans="3:32" ht="12.75" customHeight="1" x14ac:dyDescent="0.3">
      <c r="C700" s="10"/>
      <c r="D700" s="10"/>
      <c r="E700" s="10"/>
      <c r="F700" s="10"/>
      <c r="G700" s="10"/>
      <c r="H700" s="10"/>
      <c r="I700" s="10"/>
      <c r="J700" s="10"/>
      <c r="K700" s="10"/>
      <c r="L700" s="10"/>
      <c r="M700" s="10"/>
      <c r="N700" s="10"/>
      <c r="O700" s="10"/>
      <c r="P700" s="10"/>
      <c r="Q700" s="79"/>
      <c r="R700" s="80"/>
      <c r="S700" s="81"/>
      <c r="T700" s="81"/>
      <c r="U700" s="81"/>
      <c r="V700" s="81"/>
      <c r="W700" s="10"/>
      <c r="X700" s="10"/>
      <c r="Y700" s="10"/>
      <c r="Z700" s="10"/>
      <c r="AA700" s="10"/>
      <c r="AB700" s="10"/>
      <c r="AC700" s="10"/>
      <c r="AF700" s="11"/>
    </row>
    <row r="701" spans="3:32" ht="12.75" customHeight="1" x14ac:dyDescent="0.3">
      <c r="C701" s="10"/>
      <c r="D701" s="10"/>
      <c r="E701" s="10"/>
      <c r="F701" s="10"/>
      <c r="G701" s="10"/>
      <c r="H701" s="10"/>
      <c r="I701" s="10"/>
      <c r="J701" s="10"/>
      <c r="K701" s="10"/>
      <c r="L701" s="10"/>
      <c r="M701" s="10"/>
      <c r="N701" s="10"/>
      <c r="O701" s="10"/>
      <c r="P701" s="10"/>
      <c r="Q701" s="79"/>
      <c r="R701" s="80"/>
      <c r="S701" s="81"/>
      <c r="T701" s="81"/>
      <c r="U701" s="81"/>
      <c r="V701" s="81"/>
      <c r="W701" s="10"/>
      <c r="X701" s="10"/>
      <c r="Y701" s="10"/>
      <c r="Z701" s="10"/>
      <c r="AA701" s="10"/>
      <c r="AB701" s="10"/>
      <c r="AC701" s="10"/>
      <c r="AF701" s="11"/>
    </row>
    <row r="702" spans="3:32" ht="12.75" customHeight="1" x14ac:dyDescent="0.3">
      <c r="C702" s="10"/>
      <c r="D702" s="10"/>
      <c r="E702" s="10"/>
      <c r="F702" s="10"/>
      <c r="G702" s="10"/>
      <c r="H702" s="10"/>
      <c r="I702" s="10"/>
      <c r="J702" s="10"/>
      <c r="K702" s="10"/>
      <c r="L702" s="10"/>
      <c r="M702" s="10"/>
      <c r="N702" s="10"/>
      <c r="O702" s="10"/>
      <c r="P702" s="10"/>
      <c r="Q702" s="79"/>
      <c r="R702" s="80"/>
      <c r="S702" s="81"/>
      <c r="T702" s="81"/>
      <c r="U702" s="81"/>
      <c r="V702" s="81"/>
      <c r="W702" s="10"/>
      <c r="X702" s="10"/>
      <c r="Y702" s="10"/>
      <c r="Z702" s="10"/>
      <c r="AA702" s="10"/>
      <c r="AB702" s="10"/>
      <c r="AC702" s="10"/>
      <c r="AF702" s="11"/>
    </row>
    <row r="703" spans="3:32" ht="12.75" customHeight="1" x14ac:dyDescent="0.3">
      <c r="C703" s="10"/>
      <c r="D703" s="10"/>
      <c r="E703" s="10"/>
      <c r="F703" s="10"/>
      <c r="G703" s="10"/>
      <c r="H703" s="10"/>
      <c r="I703" s="10"/>
      <c r="J703" s="10"/>
      <c r="K703" s="10"/>
      <c r="L703" s="10"/>
      <c r="M703" s="10"/>
      <c r="N703" s="10"/>
      <c r="O703" s="10"/>
      <c r="P703" s="10"/>
      <c r="Q703" s="79"/>
      <c r="R703" s="80"/>
      <c r="S703" s="81"/>
      <c r="T703" s="81"/>
      <c r="U703" s="81"/>
      <c r="V703" s="81"/>
      <c r="W703" s="10"/>
      <c r="X703" s="10"/>
      <c r="Y703" s="10"/>
      <c r="Z703" s="10"/>
      <c r="AA703" s="10"/>
      <c r="AB703" s="10"/>
      <c r="AC703" s="10"/>
      <c r="AF703" s="11"/>
    </row>
    <row r="704" spans="3:32" ht="12.75" customHeight="1" x14ac:dyDescent="0.3">
      <c r="C704" s="10"/>
      <c r="D704" s="10"/>
      <c r="E704" s="10"/>
      <c r="F704" s="10"/>
      <c r="G704" s="10"/>
      <c r="H704" s="10"/>
      <c r="I704" s="10"/>
      <c r="J704" s="10"/>
      <c r="K704" s="10"/>
      <c r="L704" s="10"/>
      <c r="M704" s="10"/>
      <c r="N704" s="10"/>
      <c r="O704" s="10"/>
      <c r="P704" s="10"/>
      <c r="Q704" s="79"/>
      <c r="R704" s="80"/>
      <c r="S704" s="81"/>
      <c r="T704" s="81"/>
      <c r="U704" s="81"/>
      <c r="V704" s="81"/>
      <c r="W704" s="10"/>
      <c r="X704" s="10"/>
      <c r="Y704" s="10"/>
      <c r="Z704" s="10"/>
      <c r="AA704" s="10"/>
      <c r="AB704" s="10"/>
      <c r="AC704" s="10"/>
      <c r="AF704" s="11"/>
    </row>
    <row r="705" spans="3:32" ht="12.75" customHeight="1" x14ac:dyDescent="0.3">
      <c r="C705" s="10"/>
      <c r="D705" s="10"/>
      <c r="E705" s="10"/>
      <c r="F705" s="10"/>
      <c r="G705" s="10"/>
      <c r="H705" s="10"/>
      <c r="I705" s="10"/>
      <c r="J705" s="10"/>
      <c r="K705" s="10"/>
      <c r="L705" s="10"/>
      <c r="M705" s="10"/>
      <c r="N705" s="10"/>
      <c r="O705" s="10"/>
      <c r="P705" s="10"/>
      <c r="Q705" s="79"/>
      <c r="R705" s="80"/>
      <c r="S705" s="81"/>
      <c r="T705" s="81"/>
      <c r="U705" s="81"/>
      <c r="V705" s="81"/>
      <c r="W705" s="10"/>
      <c r="X705" s="10"/>
      <c r="Y705" s="10"/>
      <c r="Z705" s="10"/>
      <c r="AA705" s="10"/>
      <c r="AB705" s="10"/>
      <c r="AC705" s="10"/>
      <c r="AF705" s="11"/>
    </row>
    <row r="706" spans="3:32" ht="12.75" customHeight="1" x14ac:dyDescent="0.3">
      <c r="C706" s="10"/>
      <c r="D706" s="10"/>
      <c r="E706" s="10"/>
      <c r="F706" s="10"/>
      <c r="G706" s="10"/>
      <c r="H706" s="10"/>
      <c r="I706" s="10"/>
      <c r="J706" s="10"/>
      <c r="K706" s="10"/>
      <c r="L706" s="10"/>
      <c r="M706" s="10"/>
      <c r="N706" s="10"/>
      <c r="O706" s="10"/>
      <c r="P706" s="10"/>
      <c r="Q706" s="79"/>
      <c r="R706" s="80"/>
      <c r="S706" s="81"/>
      <c r="T706" s="81"/>
      <c r="U706" s="81"/>
      <c r="V706" s="81"/>
      <c r="W706" s="10"/>
      <c r="X706" s="10"/>
      <c r="Y706" s="10"/>
      <c r="Z706" s="10"/>
      <c r="AA706" s="10"/>
      <c r="AB706" s="10"/>
      <c r="AC706" s="10"/>
      <c r="AF706" s="11"/>
    </row>
    <row r="707" spans="3:32" ht="12.75" customHeight="1" x14ac:dyDescent="0.3">
      <c r="C707" s="10"/>
      <c r="D707" s="10"/>
      <c r="E707" s="10"/>
      <c r="F707" s="10"/>
      <c r="G707" s="10"/>
      <c r="H707" s="10"/>
      <c r="I707" s="10"/>
      <c r="J707" s="10"/>
      <c r="K707" s="10"/>
      <c r="L707" s="10"/>
      <c r="M707" s="10"/>
      <c r="N707" s="10"/>
      <c r="O707" s="10"/>
      <c r="P707" s="10"/>
      <c r="Q707" s="79"/>
      <c r="R707" s="80"/>
      <c r="S707" s="81"/>
      <c r="T707" s="81"/>
      <c r="U707" s="81"/>
      <c r="V707" s="81"/>
      <c r="W707" s="10"/>
      <c r="X707" s="10"/>
      <c r="Y707" s="10"/>
      <c r="Z707" s="10"/>
      <c r="AA707" s="10"/>
      <c r="AB707" s="10"/>
      <c r="AC707" s="10"/>
      <c r="AF707" s="11"/>
    </row>
    <row r="708" spans="3:32" ht="12.75" customHeight="1" x14ac:dyDescent="0.3">
      <c r="C708" s="10"/>
      <c r="D708" s="10"/>
      <c r="E708" s="10"/>
      <c r="F708" s="10"/>
      <c r="G708" s="10"/>
      <c r="H708" s="10"/>
      <c r="I708" s="10"/>
      <c r="J708" s="10"/>
      <c r="K708" s="10"/>
      <c r="L708" s="10"/>
      <c r="M708" s="10"/>
      <c r="N708" s="10"/>
      <c r="O708" s="10"/>
      <c r="P708" s="10"/>
      <c r="Q708" s="79"/>
      <c r="R708" s="80"/>
      <c r="S708" s="81"/>
      <c r="T708" s="81"/>
      <c r="U708" s="81"/>
      <c r="V708" s="81"/>
      <c r="W708" s="10"/>
      <c r="X708" s="10"/>
      <c r="Y708" s="10"/>
      <c r="Z708" s="10"/>
      <c r="AA708" s="10"/>
      <c r="AB708" s="10"/>
      <c r="AC708" s="10"/>
      <c r="AF708" s="11"/>
    </row>
    <row r="709" spans="3:32" ht="12.75" customHeight="1" x14ac:dyDescent="0.3">
      <c r="C709" s="10"/>
      <c r="D709" s="10"/>
      <c r="E709" s="10"/>
      <c r="F709" s="10"/>
      <c r="G709" s="10"/>
      <c r="H709" s="10"/>
      <c r="I709" s="10"/>
      <c r="J709" s="10"/>
      <c r="K709" s="10"/>
      <c r="L709" s="10"/>
      <c r="M709" s="10"/>
      <c r="N709" s="10"/>
      <c r="O709" s="10"/>
      <c r="P709" s="10"/>
      <c r="Q709" s="79"/>
      <c r="R709" s="80"/>
      <c r="S709" s="81"/>
      <c r="T709" s="81"/>
      <c r="U709" s="81"/>
      <c r="V709" s="81"/>
      <c r="W709" s="10"/>
      <c r="X709" s="10"/>
      <c r="Y709" s="10"/>
      <c r="Z709" s="10"/>
      <c r="AA709" s="10"/>
      <c r="AB709" s="10"/>
      <c r="AC709" s="10"/>
      <c r="AF709" s="11"/>
    </row>
    <row r="710" spans="3:32" ht="12.75" customHeight="1" x14ac:dyDescent="0.3">
      <c r="C710" s="10"/>
      <c r="D710" s="10"/>
      <c r="E710" s="10"/>
      <c r="F710" s="10"/>
      <c r="G710" s="10"/>
      <c r="H710" s="10"/>
      <c r="I710" s="10"/>
      <c r="J710" s="10"/>
      <c r="K710" s="10"/>
      <c r="L710" s="10"/>
      <c r="M710" s="10"/>
      <c r="N710" s="10"/>
      <c r="O710" s="10"/>
      <c r="P710" s="10"/>
      <c r="Q710" s="79"/>
      <c r="R710" s="80"/>
      <c r="S710" s="81"/>
      <c r="T710" s="81"/>
      <c r="U710" s="81"/>
      <c r="V710" s="81"/>
      <c r="W710" s="10"/>
      <c r="X710" s="10"/>
      <c r="Y710" s="10"/>
      <c r="Z710" s="10"/>
      <c r="AA710" s="10"/>
      <c r="AB710" s="10"/>
      <c r="AC710" s="10"/>
      <c r="AF710" s="11"/>
    </row>
    <row r="711" spans="3:32" ht="12.75" customHeight="1" x14ac:dyDescent="0.3">
      <c r="C711" s="10"/>
      <c r="D711" s="10"/>
      <c r="E711" s="10"/>
      <c r="F711" s="10"/>
      <c r="G711" s="10"/>
      <c r="H711" s="10"/>
      <c r="I711" s="10"/>
      <c r="J711" s="10"/>
      <c r="K711" s="10"/>
      <c r="L711" s="10"/>
      <c r="M711" s="10"/>
      <c r="N711" s="10"/>
      <c r="O711" s="10"/>
      <c r="P711" s="10"/>
      <c r="Q711" s="79"/>
      <c r="R711" s="80"/>
      <c r="S711" s="81"/>
      <c r="T711" s="81"/>
      <c r="U711" s="81"/>
      <c r="V711" s="81"/>
      <c r="W711" s="10"/>
      <c r="X711" s="10"/>
      <c r="Y711" s="10"/>
      <c r="Z711" s="10"/>
      <c r="AA711" s="10"/>
      <c r="AB711" s="10"/>
      <c r="AC711" s="10"/>
      <c r="AF711" s="11"/>
    </row>
    <row r="712" spans="3:32" ht="12.75" customHeight="1" x14ac:dyDescent="0.3">
      <c r="C712" s="10"/>
      <c r="D712" s="10"/>
      <c r="E712" s="10"/>
      <c r="F712" s="10"/>
      <c r="G712" s="10"/>
      <c r="H712" s="10"/>
      <c r="I712" s="10"/>
      <c r="J712" s="10"/>
      <c r="K712" s="10"/>
      <c r="L712" s="10"/>
      <c r="M712" s="10"/>
      <c r="N712" s="10"/>
      <c r="O712" s="10"/>
      <c r="P712" s="10"/>
      <c r="Q712" s="79"/>
      <c r="R712" s="80"/>
      <c r="S712" s="81"/>
      <c r="T712" s="81"/>
      <c r="U712" s="81"/>
      <c r="V712" s="81"/>
      <c r="W712" s="10"/>
      <c r="X712" s="10"/>
      <c r="Y712" s="10"/>
      <c r="Z712" s="10"/>
      <c r="AA712" s="10"/>
      <c r="AB712" s="10"/>
      <c r="AC712" s="10"/>
      <c r="AF712" s="11"/>
    </row>
    <row r="713" spans="3:32" ht="12.75" customHeight="1" x14ac:dyDescent="0.3">
      <c r="C713" s="10"/>
      <c r="D713" s="10"/>
      <c r="E713" s="10"/>
      <c r="F713" s="10"/>
      <c r="G713" s="10"/>
      <c r="H713" s="10"/>
      <c r="I713" s="10"/>
      <c r="J713" s="10"/>
      <c r="K713" s="10"/>
      <c r="L713" s="10"/>
      <c r="M713" s="10"/>
      <c r="N713" s="10"/>
      <c r="O713" s="10"/>
      <c r="P713" s="10"/>
      <c r="Q713" s="79"/>
      <c r="R713" s="80"/>
      <c r="S713" s="81"/>
      <c r="T713" s="81"/>
      <c r="U713" s="81"/>
      <c r="V713" s="81"/>
      <c r="W713" s="10"/>
      <c r="X713" s="10"/>
      <c r="Y713" s="10"/>
      <c r="Z713" s="10"/>
      <c r="AA713" s="10"/>
      <c r="AB713" s="10"/>
      <c r="AC713" s="10"/>
      <c r="AF713" s="11"/>
    </row>
    <row r="714" spans="3:32" ht="12.75" customHeight="1" x14ac:dyDescent="0.3">
      <c r="C714" s="10"/>
      <c r="D714" s="10"/>
      <c r="E714" s="10"/>
      <c r="F714" s="10"/>
      <c r="G714" s="10"/>
      <c r="H714" s="10"/>
      <c r="I714" s="10"/>
      <c r="J714" s="10"/>
      <c r="K714" s="10"/>
      <c r="L714" s="10"/>
      <c r="M714" s="10"/>
      <c r="N714" s="10"/>
      <c r="O714" s="10"/>
      <c r="P714" s="10"/>
      <c r="Q714" s="79"/>
      <c r="R714" s="80"/>
      <c r="S714" s="81"/>
      <c r="T714" s="81"/>
      <c r="U714" s="81"/>
      <c r="V714" s="81"/>
      <c r="W714" s="10"/>
      <c r="X714" s="10"/>
      <c r="Y714" s="10"/>
      <c r="Z714" s="10"/>
      <c r="AA714" s="10"/>
      <c r="AB714" s="10"/>
      <c r="AC714" s="10"/>
      <c r="AF714" s="11"/>
    </row>
    <row r="715" spans="3:32" ht="12.75" customHeight="1" x14ac:dyDescent="0.3">
      <c r="C715" s="10"/>
      <c r="D715" s="10"/>
      <c r="E715" s="10"/>
      <c r="F715" s="10"/>
      <c r="G715" s="10"/>
      <c r="H715" s="10"/>
      <c r="I715" s="10"/>
      <c r="J715" s="10"/>
      <c r="K715" s="10"/>
      <c r="L715" s="10"/>
      <c r="M715" s="10"/>
      <c r="N715" s="10"/>
      <c r="O715" s="10"/>
      <c r="P715" s="10"/>
      <c r="Q715" s="79"/>
      <c r="R715" s="80"/>
      <c r="S715" s="81"/>
      <c r="T715" s="81"/>
      <c r="U715" s="81"/>
      <c r="V715" s="81"/>
      <c r="W715" s="10"/>
      <c r="X715" s="10"/>
      <c r="Y715" s="10"/>
      <c r="Z715" s="10"/>
      <c r="AA715" s="10"/>
      <c r="AB715" s="10"/>
      <c r="AC715" s="10"/>
      <c r="AF715" s="11"/>
    </row>
    <row r="716" spans="3:32" ht="12.75" customHeight="1" x14ac:dyDescent="0.3">
      <c r="C716" s="10"/>
      <c r="D716" s="10"/>
      <c r="E716" s="10"/>
      <c r="F716" s="10"/>
      <c r="G716" s="10"/>
      <c r="H716" s="10"/>
      <c r="I716" s="10"/>
      <c r="J716" s="10"/>
      <c r="K716" s="10"/>
      <c r="L716" s="10"/>
      <c r="M716" s="10"/>
      <c r="N716" s="10"/>
      <c r="O716" s="10"/>
      <c r="P716" s="10"/>
      <c r="Q716" s="79"/>
      <c r="R716" s="80"/>
      <c r="S716" s="81"/>
      <c r="T716" s="81"/>
      <c r="U716" s="81"/>
      <c r="V716" s="81"/>
      <c r="W716" s="10"/>
      <c r="X716" s="10"/>
      <c r="Y716" s="10"/>
      <c r="Z716" s="10"/>
      <c r="AA716" s="10"/>
      <c r="AB716" s="10"/>
      <c r="AC716" s="10"/>
      <c r="AF716" s="11"/>
    </row>
    <row r="717" spans="3:32" ht="12.75" customHeight="1" x14ac:dyDescent="0.3">
      <c r="C717" s="10"/>
      <c r="D717" s="10"/>
      <c r="E717" s="10"/>
      <c r="F717" s="10"/>
      <c r="G717" s="10"/>
      <c r="H717" s="10"/>
      <c r="I717" s="10"/>
      <c r="J717" s="10"/>
      <c r="K717" s="10"/>
      <c r="L717" s="10"/>
      <c r="M717" s="10"/>
      <c r="N717" s="10"/>
      <c r="O717" s="10"/>
      <c r="P717" s="10"/>
      <c r="Q717" s="79"/>
      <c r="R717" s="80"/>
      <c r="S717" s="81"/>
      <c r="T717" s="81"/>
      <c r="U717" s="81"/>
      <c r="V717" s="81"/>
      <c r="W717" s="10"/>
      <c r="X717" s="10"/>
      <c r="Y717" s="10"/>
      <c r="Z717" s="10"/>
      <c r="AA717" s="10"/>
      <c r="AB717" s="10"/>
      <c r="AC717" s="10"/>
      <c r="AF717" s="11"/>
    </row>
    <row r="718" spans="3:32" ht="12.75" customHeight="1" x14ac:dyDescent="0.3">
      <c r="C718" s="10"/>
      <c r="D718" s="10"/>
      <c r="E718" s="10"/>
      <c r="F718" s="10"/>
      <c r="G718" s="10"/>
      <c r="H718" s="10"/>
      <c r="I718" s="10"/>
      <c r="J718" s="10"/>
      <c r="K718" s="10"/>
      <c r="L718" s="10"/>
      <c r="M718" s="10"/>
      <c r="N718" s="10"/>
      <c r="O718" s="10"/>
      <c r="P718" s="10"/>
      <c r="Q718" s="79"/>
      <c r="R718" s="80"/>
      <c r="S718" s="81"/>
      <c r="T718" s="81"/>
      <c r="U718" s="81"/>
      <c r="V718" s="81"/>
      <c r="W718" s="10"/>
      <c r="X718" s="10"/>
      <c r="Y718" s="10"/>
      <c r="Z718" s="10"/>
      <c r="AA718" s="10"/>
      <c r="AB718" s="10"/>
      <c r="AC718" s="10"/>
      <c r="AF718" s="11"/>
    </row>
    <row r="719" spans="3:32" ht="12.75" customHeight="1" x14ac:dyDescent="0.3">
      <c r="C719" s="10"/>
      <c r="D719" s="10"/>
      <c r="E719" s="10"/>
      <c r="F719" s="10"/>
      <c r="G719" s="10"/>
      <c r="H719" s="10"/>
      <c r="I719" s="10"/>
      <c r="J719" s="10"/>
      <c r="K719" s="10"/>
      <c r="L719" s="10"/>
      <c r="M719" s="10"/>
      <c r="N719" s="10"/>
      <c r="O719" s="10"/>
      <c r="P719" s="10"/>
      <c r="Q719" s="79"/>
      <c r="R719" s="80"/>
      <c r="S719" s="81"/>
      <c r="T719" s="81"/>
      <c r="U719" s="81"/>
      <c r="V719" s="81"/>
      <c r="W719" s="10"/>
      <c r="X719" s="10"/>
      <c r="Y719" s="10"/>
      <c r="Z719" s="10"/>
      <c r="AA719" s="10"/>
      <c r="AB719" s="10"/>
      <c r="AC719" s="10"/>
      <c r="AF719" s="11"/>
    </row>
    <row r="720" spans="3:32" ht="12.75" customHeight="1" x14ac:dyDescent="0.3">
      <c r="C720" s="10"/>
      <c r="D720" s="10"/>
      <c r="E720" s="10"/>
      <c r="F720" s="10"/>
      <c r="G720" s="10"/>
      <c r="H720" s="10"/>
      <c r="I720" s="10"/>
      <c r="J720" s="10"/>
      <c r="K720" s="10"/>
      <c r="L720" s="10"/>
      <c r="M720" s="10"/>
      <c r="N720" s="10"/>
      <c r="O720" s="10"/>
      <c r="P720" s="10"/>
      <c r="Q720" s="79"/>
      <c r="R720" s="80"/>
      <c r="S720" s="81"/>
      <c r="T720" s="81"/>
      <c r="U720" s="81"/>
      <c r="V720" s="81"/>
      <c r="W720" s="10"/>
      <c r="X720" s="10"/>
      <c r="Y720" s="10"/>
      <c r="Z720" s="10"/>
      <c r="AA720" s="10"/>
      <c r="AB720" s="10"/>
      <c r="AC720" s="10"/>
      <c r="AF720" s="11"/>
    </row>
    <row r="721" spans="3:32" ht="12.75" customHeight="1" x14ac:dyDescent="0.3">
      <c r="C721" s="10"/>
      <c r="D721" s="10"/>
      <c r="E721" s="10"/>
      <c r="F721" s="10"/>
      <c r="G721" s="10"/>
      <c r="H721" s="10"/>
      <c r="I721" s="10"/>
      <c r="J721" s="10"/>
      <c r="K721" s="10"/>
      <c r="L721" s="10"/>
      <c r="M721" s="10"/>
      <c r="N721" s="10"/>
      <c r="O721" s="10"/>
      <c r="P721" s="10"/>
      <c r="Q721" s="79"/>
      <c r="R721" s="80"/>
      <c r="S721" s="81"/>
      <c r="T721" s="81"/>
      <c r="U721" s="81"/>
      <c r="V721" s="81"/>
      <c r="W721" s="10"/>
      <c r="X721" s="10"/>
      <c r="Y721" s="10"/>
      <c r="Z721" s="10"/>
      <c r="AA721" s="10"/>
      <c r="AB721" s="10"/>
      <c r="AC721" s="10"/>
      <c r="AF721" s="11"/>
    </row>
    <row r="722" spans="3:32" ht="12.75" customHeight="1" x14ac:dyDescent="0.3">
      <c r="C722" s="10"/>
      <c r="D722" s="10"/>
      <c r="E722" s="10"/>
      <c r="F722" s="10"/>
      <c r="G722" s="10"/>
      <c r="H722" s="10"/>
      <c r="I722" s="10"/>
      <c r="J722" s="10"/>
      <c r="K722" s="10"/>
      <c r="L722" s="10"/>
      <c r="M722" s="10"/>
      <c r="N722" s="10"/>
      <c r="O722" s="10"/>
      <c r="P722" s="10"/>
      <c r="Q722" s="79"/>
      <c r="R722" s="80"/>
      <c r="S722" s="81"/>
      <c r="T722" s="81"/>
      <c r="U722" s="81"/>
      <c r="V722" s="81"/>
      <c r="W722" s="10"/>
      <c r="X722" s="10"/>
      <c r="Y722" s="10"/>
      <c r="Z722" s="10"/>
      <c r="AA722" s="10"/>
      <c r="AB722" s="10"/>
      <c r="AC722" s="10"/>
      <c r="AF722" s="11"/>
    </row>
    <row r="723" spans="3:32" ht="12.75" customHeight="1" x14ac:dyDescent="0.3">
      <c r="C723" s="10"/>
      <c r="D723" s="10"/>
      <c r="E723" s="10"/>
      <c r="F723" s="10"/>
      <c r="G723" s="10"/>
      <c r="H723" s="10"/>
      <c r="I723" s="10"/>
      <c r="J723" s="10"/>
      <c r="K723" s="10"/>
      <c r="L723" s="10"/>
      <c r="M723" s="10"/>
      <c r="N723" s="10"/>
      <c r="O723" s="10"/>
      <c r="P723" s="10"/>
      <c r="Q723" s="79"/>
      <c r="R723" s="80"/>
      <c r="S723" s="81"/>
      <c r="T723" s="81"/>
      <c r="U723" s="81"/>
      <c r="V723" s="81"/>
      <c r="W723" s="10"/>
      <c r="X723" s="10"/>
      <c r="Y723" s="10"/>
      <c r="Z723" s="10"/>
      <c r="AA723" s="10"/>
      <c r="AB723" s="10"/>
      <c r="AC723" s="10"/>
      <c r="AF723" s="11"/>
    </row>
    <row r="724" spans="3:32" ht="12.75" customHeight="1" x14ac:dyDescent="0.3">
      <c r="C724" s="10"/>
      <c r="D724" s="10"/>
      <c r="E724" s="10"/>
      <c r="F724" s="10"/>
      <c r="G724" s="10"/>
      <c r="H724" s="10"/>
      <c r="I724" s="10"/>
      <c r="J724" s="10"/>
      <c r="K724" s="10"/>
      <c r="L724" s="10"/>
      <c r="M724" s="10"/>
      <c r="N724" s="10"/>
      <c r="O724" s="10"/>
      <c r="P724" s="10"/>
      <c r="Q724" s="79"/>
      <c r="R724" s="80"/>
      <c r="S724" s="81"/>
      <c r="T724" s="81"/>
      <c r="U724" s="81"/>
      <c r="V724" s="81"/>
      <c r="W724" s="10"/>
      <c r="X724" s="10"/>
      <c r="Y724" s="10"/>
      <c r="Z724" s="10"/>
      <c r="AA724" s="10"/>
      <c r="AB724" s="10"/>
      <c r="AC724" s="10"/>
      <c r="AF724" s="11"/>
    </row>
    <row r="725" spans="3:32" ht="12.75" customHeight="1" x14ac:dyDescent="0.3">
      <c r="C725" s="10"/>
      <c r="D725" s="10"/>
      <c r="E725" s="10"/>
      <c r="F725" s="10"/>
      <c r="G725" s="10"/>
      <c r="H725" s="10"/>
      <c r="I725" s="10"/>
      <c r="J725" s="10"/>
      <c r="K725" s="10"/>
      <c r="L725" s="10"/>
      <c r="M725" s="10"/>
      <c r="N725" s="10"/>
      <c r="O725" s="10"/>
      <c r="P725" s="10"/>
      <c r="Q725" s="79"/>
      <c r="R725" s="80"/>
      <c r="S725" s="81"/>
      <c r="T725" s="81"/>
      <c r="U725" s="81"/>
      <c r="V725" s="81"/>
      <c r="W725" s="10"/>
      <c r="X725" s="10"/>
      <c r="Y725" s="10"/>
      <c r="Z725" s="10"/>
      <c r="AA725" s="10"/>
      <c r="AB725" s="10"/>
      <c r="AC725" s="10"/>
      <c r="AF725" s="11"/>
    </row>
    <row r="726" spans="3:32" ht="12.75" customHeight="1" x14ac:dyDescent="0.3">
      <c r="C726" s="10"/>
      <c r="D726" s="10"/>
      <c r="E726" s="10"/>
      <c r="F726" s="10"/>
      <c r="G726" s="10"/>
      <c r="H726" s="10"/>
      <c r="I726" s="10"/>
      <c r="J726" s="10"/>
      <c r="K726" s="10"/>
      <c r="L726" s="10"/>
      <c r="M726" s="10"/>
      <c r="N726" s="10"/>
      <c r="O726" s="10"/>
      <c r="P726" s="10"/>
      <c r="Q726" s="79"/>
      <c r="R726" s="80"/>
      <c r="S726" s="81"/>
      <c r="T726" s="81"/>
      <c r="U726" s="81"/>
      <c r="V726" s="81"/>
      <c r="W726" s="10"/>
      <c r="X726" s="10"/>
      <c r="Y726" s="10"/>
      <c r="Z726" s="10"/>
      <c r="AA726" s="10"/>
      <c r="AB726" s="10"/>
      <c r="AC726" s="10"/>
      <c r="AF726" s="11"/>
    </row>
    <row r="727" spans="3:32" ht="12.75" customHeight="1" x14ac:dyDescent="0.3">
      <c r="C727" s="10"/>
      <c r="D727" s="10"/>
      <c r="E727" s="10"/>
      <c r="F727" s="10"/>
      <c r="G727" s="10"/>
      <c r="H727" s="10"/>
      <c r="I727" s="10"/>
      <c r="J727" s="10"/>
      <c r="K727" s="10"/>
      <c r="L727" s="10"/>
      <c r="M727" s="10"/>
      <c r="N727" s="10"/>
      <c r="O727" s="10"/>
      <c r="P727" s="10"/>
      <c r="Q727" s="79"/>
      <c r="R727" s="80"/>
      <c r="S727" s="81"/>
      <c r="T727" s="81"/>
      <c r="U727" s="81"/>
      <c r="V727" s="81"/>
      <c r="W727" s="10"/>
      <c r="X727" s="10"/>
      <c r="Y727" s="10"/>
      <c r="Z727" s="10"/>
      <c r="AA727" s="10"/>
      <c r="AB727" s="10"/>
      <c r="AC727" s="10"/>
      <c r="AF727" s="11"/>
    </row>
    <row r="728" spans="3:32" ht="12.75" customHeight="1" x14ac:dyDescent="0.3">
      <c r="C728" s="10"/>
      <c r="D728" s="10"/>
      <c r="E728" s="10"/>
      <c r="F728" s="10"/>
      <c r="G728" s="10"/>
      <c r="H728" s="10"/>
      <c r="I728" s="10"/>
      <c r="J728" s="10"/>
      <c r="K728" s="10"/>
      <c r="L728" s="10"/>
      <c r="M728" s="10"/>
      <c r="N728" s="10"/>
      <c r="O728" s="10"/>
      <c r="P728" s="10"/>
      <c r="Q728" s="79"/>
      <c r="R728" s="80"/>
      <c r="S728" s="81"/>
      <c r="T728" s="81"/>
      <c r="U728" s="81"/>
      <c r="V728" s="81"/>
      <c r="W728" s="10"/>
      <c r="X728" s="10"/>
      <c r="Y728" s="10"/>
      <c r="Z728" s="10"/>
      <c r="AA728" s="10"/>
      <c r="AB728" s="10"/>
      <c r="AC728" s="10"/>
      <c r="AF728" s="11"/>
    </row>
    <row r="729" spans="3:32" ht="12.75" customHeight="1" x14ac:dyDescent="0.3">
      <c r="C729" s="10"/>
      <c r="D729" s="10"/>
      <c r="E729" s="10"/>
      <c r="F729" s="10"/>
      <c r="G729" s="10"/>
      <c r="H729" s="10"/>
      <c r="I729" s="10"/>
      <c r="J729" s="10"/>
      <c r="K729" s="10"/>
      <c r="L729" s="10"/>
      <c r="M729" s="10"/>
      <c r="N729" s="10"/>
      <c r="O729" s="10"/>
      <c r="P729" s="10"/>
      <c r="Q729" s="79"/>
      <c r="R729" s="80"/>
      <c r="S729" s="81"/>
      <c r="T729" s="81"/>
      <c r="U729" s="81"/>
      <c r="V729" s="81"/>
      <c r="W729" s="10"/>
      <c r="X729" s="10"/>
      <c r="Y729" s="10"/>
      <c r="Z729" s="10"/>
      <c r="AA729" s="10"/>
      <c r="AB729" s="10"/>
      <c r="AC729" s="10"/>
      <c r="AF729" s="11"/>
    </row>
    <row r="730" spans="3:32" ht="12.75" customHeight="1" x14ac:dyDescent="0.3">
      <c r="C730" s="10"/>
      <c r="D730" s="10"/>
      <c r="E730" s="10"/>
      <c r="F730" s="10"/>
      <c r="G730" s="10"/>
      <c r="H730" s="10"/>
      <c r="I730" s="10"/>
      <c r="J730" s="10"/>
      <c r="K730" s="10"/>
      <c r="L730" s="10"/>
      <c r="M730" s="10"/>
      <c r="N730" s="10"/>
      <c r="O730" s="10"/>
      <c r="P730" s="10"/>
      <c r="Q730" s="79"/>
      <c r="R730" s="80"/>
      <c r="S730" s="81"/>
      <c r="T730" s="81"/>
      <c r="U730" s="81"/>
      <c r="V730" s="81"/>
      <c r="W730" s="10"/>
      <c r="X730" s="10"/>
      <c r="Y730" s="10"/>
      <c r="Z730" s="10"/>
      <c r="AA730" s="10"/>
      <c r="AB730" s="10"/>
      <c r="AC730" s="10"/>
      <c r="AF730" s="11"/>
    </row>
    <row r="731" spans="3:32" ht="12.75" customHeight="1" x14ac:dyDescent="0.3">
      <c r="C731" s="10"/>
      <c r="D731" s="10"/>
      <c r="E731" s="10"/>
      <c r="F731" s="10"/>
      <c r="G731" s="10"/>
      <c r="H731" s="10"/>
      <c r="I731" s="10"/>
      <c r="J731" s="10"/>
      <c r="K731" s="10"/>
      <c r="L731" s="10"/>
      <c r="M731" s="10"/>
      <c r="N731" s="10"/>
      <c r="O731" s="10"/>
      <c r="P731" s="10"/>
      <c r="Q731" s="79"/>
      <c r="R731" s="80"/>
      <c r="S731" s="81"/>
      <c r="T731" s="81"/>
      <c r="U731" s="81"/>
      <c r="V731" s="81"/>
      <c r="W731" s="10"/>
      <c r="X731" s="10"/>
      <c r="Y731" s="10"/>
      <c r="Z731" s="10"/>
      <c r="AA731" s="10"/>
      <c r="AB731" s="10"/>
      <c r="AC731" s="10"/>
      <c r="AF731" s="11"/>
    </row>
    <row r="732" spans="3:32" ht="12.75" customHeight="1" x14ac:dyDescent="0.3">
      <c r="C732" s="10"/>
      <c r="D732" s="10"/>
      <c r="E732" s="10"/>
      <c r="F732" s="10"/>
      <c r="G732" s="10"/>
      <c r="H732" s="10"/>
      <c r="I732" s="10"/>
      <c r="J732" s="10"/>
      <c r="K732" s="10"/>
      <c r="L732" s="10"/>
      <c r="M732" s="10"/>
      <c r="N732" s="10"/>
      <c r="O732" s="10"/>
      <c r="P732" s="10"/>
      <c r="Q732" s="79"/>
      <c r="R732" s="80"/>
      <c r="S732" s="81"/>
      <c r="T732" s="81"/>
      <c r="U732" s="81"/>
      <c r="V732" s="81"/>
      <c r="W732" s="10"/>
      <c r="X732" s="10"/>
      <c r="Y732" s="10"/>
      <c r="Z732" s="10"/>
      <c r="AA732" s="10"/>
      <c r="AB732" s="10"/>
      <c r="AC732" s="10"/>
      <c r="AF732" s="11"/>
    </row>
    <row r="733" spans="3:32" ht="12.75" customHeight="1" x14ac:dyDescent="0.3">
      <c r="C733" s="10"/>
      <c r="D733" s="10"/>
      <c r="E733" s="10"/>
      <c r="F733" s="10"/>
      <c r="G733" s="10"/>
      <c r="H733" s="10"/>
      <c r="I733" s="10"/>
      <c r="J733" s="10"/>
      <c r="K733" s="10"/>
      <c r="L733" s="10"/>
      <c r="M733" s="10"/>
      <c r="N733" s="10"/>
      <c r="O733" s="10"/>
      <c r="P733" s="10"/>
      <c r="Q733" s="79"/>
      <c r="R733" s="80"/>
      <c r="S733" s="81"/>
      <c r="T733" s="81"/>
      <c r="U733" s="81"/>
      <c r="V733" s="81"/>
      <c r="W733" s="10"/>
      <c r="X733" s="10"/>
      <c r="Y733" s="10"/>
      <c r="Z733" s="10"/>
      <c r="AA733" s="10"/>
      <c r="AB733" s="10"/>
      <c r="AC733" s="10"/>
      <c r="AF733" s="11"/>
    </row>
    <row r="734" spans="3:32" ht="12.75" customHeight="1" x14ac:dyDescent="0.3">
      <c r="C734" s="10"/>
      <c r="D734" s="10"/>
      <c r="E734" s="10"/>
      <c r="F734" s="10"/>
      <c r="G734" s="10"/>
      <c r="H734" s="10"/>
      <c r="I734" s="10"/>
      <c r="J734" s="10"/>
      <c r="K734" s="10"/>
      <c r="L734" s="10"/>
      <c r="M734" s="10"/>
      <c r="N734" s="10"/>
      <c r="O734" s="10"/>
      <c r="P734" s="10"/>
      <c r="Q734" s="79"/>
      <c r="R734" s="80"/>
      <c r="S734" s="81"/>
      <c r="T734" s="81"/>
      <c r="U734" s="81"/>
      <c r="V734" s="81"/>
      <c r="W734" s="10"/>
      <c r="X734" s="10"/>
      <c r="Y734" s="10"/>
      <c r="Z734" s="10"/>
      <c r="AA734" s="10"/>
      <c r="AB734" s="10"/>
      <c r="AC734" s="10"/>
      <c r="AF734" s="11"/>
    </row>
    <row r="735" spans="3:32" ht="12.75" customHeight="1" x14ac:dyDescent="0.3">
      <c r="C735" s="10"/>
      <c r="D735" s="10"/>
      <c r="E735" s="10"/>
      <c r="F735" s="10"/>
      <c r="G735" s="10"/>
      <c r="H735" s="10"/>
      <c r="I735" s="10"/>
      <c r="J735" s="10"/>
      <c r="K735" s="10"/>
      <c r="L735" s="10"/>
      <c r="M735" s="10"/>
      <c r="N735" s="10"/>
      <c r="O735" s="10"/>
      <c r="P735" s="10"/>
      <c r="Q735" s="79"/>
      <c r="R735" s="80"/>
      <c r="S735" s="81"/>
      <c r="T735" s="81"/>
      <c r="U735" s="81"/>
      <c r="V735" s="81"/>
      <c r="W735" s="10"/>
      <c r="X735" s="10"/>
      <c r="Y735" s="10"/>
      <c r="Z735" s="10"/>
      <c r="AA735" s="10"/>
      <c r="AB735" s="10"/>
      <c r="AC735" s="10"/>
      <c r="AF735" s="11"/>
    </row>
    <row r="736" spans="3:32" ht="12.75" customHeight="1" x14ac:dyDescent="0.3">
      <c r="C736" s="10"/>
      <c r="D736" s="10"/>
      <c r="E736" s="10"/>
      <c r="F736" s="10"/>
      <c r="G736" s="10"/>
      <c r="H736" s="10"/>
      <c r="I736" s="10"/>
      <c r="J736" s="10"/>
      <c r="K736" s="10"/>
      <c r="L736" s="10"/>
      <c r="M736" s="10"/>
      <c r="N736" s="10"/>
      <c r="O736" s="10"/>
      <c r="P736" s="10"/>
      <c r="Q736" s="79"/>
      <c r="R736" s="80"/>
      <c r="S736" s="81"/>
      <c r="T736" s="81"/>
      <c r="U736" s="81"/>
      <c r="V736" s="81"/>
      <c r="W736" s="10"/>
      <c r="X736" s="10"/>
      <c r="Y736" s="10"/>
      <c r="Z736" s="10"/>
      <c r="AA736" s="10"/>
      <c r="AB736" s="10"/>
      <c r="AC736" s="10"/>
      <c r="AF736" s="11"/>
    </row>
    <row r="737" spans="3:32" ht="12.75" customHeight="1" x14ac:dyDescent="0.3">
      <c r="C737" s="10"/>
      <c r="D737" s="10"/>
      <c r="E737" s="10"/>
      <c r="F737" s="10"/>
      <c r="G737" s="10"/>
      <c r="H737" s="10"/>
      <c r="I737" s="10"/>
      <c r="J737" s="10"/>
      <c r="K737" s="10"/>
      <c r="L737" s="10"/>
      <c r="M737" s="10"/>
      <c r="N737" s="10"/>
      <c r="O737" s="10"/>
      <c r="P737" s="10"/>
      <c r="Q737" s="79"/>
      <c r="R737" s="80"/>
      <c r="S737" s="81"/>
      <c r="T737" s="81"/>
      <c r="U737" s="81"/>
      <c r="V737" s="81"/>
      <c r="W737" s="10"/>
      <c r="X737" s="10"/>
      <c r="Y737" s="10"/>
      <c r="Z737" s="10"/>
      <c r="AA737" s="10"/>
      <c r="AB737" s="10"/>
      <c r="AC737" s="10"/>
      <c r="AF737" s="11"/>
    </row>
    <row r="738" spans="3:32" ht="12.75" customHeight="1" x14ac:dyDescent="0.3">
      <c r="C738" s="10"/>
      <c r="D738" s="10"/>
      <c r="E738" s="10"/>
      <c r="F738" s="10"/>
      <c r="G738" s="10"/>
      <c r="H738" s="10"/>
      <c r="I738" s="10"/>
      <c r="J738" s="10"/>
      <c r="K738" s="10"/>
      <c r="L738" s="10"/>
      <c r="M738" s="10"/>
      <c r="N738" s="10"/>
      <c r="O738" s="10"/>
      <c r="P738" s="10"/>
      <c r="Q738" s="79"/>
      <c r="R738" s="80"/>
      <c r="S738" s="81"/>
      <c r="T738" s="81"/>
      <c r="U738" s="81"/>
      <c r="V738" s="81"/>
      <c r="W738" s="10"/>
      <c r="X738" s="10"/>
      <c r="Y738" s="10"/>
      <c r="Z738" s="10"/>
      <c r="AA738" s="10"/>
      <c r="AB738" s="10"/>
      <c r="AC738" s="10"/>
      <c r="AF738" s="11"/>
    </row>
    <row r="739" spans="3:32" ht="12.75" customHeight="1" x14ac:dyDescent="0.3">
      <c r="C739" s="10"/>
      <c r="D739" s="10"/>
      <c r="E739" s="10"/>
      <c r="F739" s="10"/>
      <c r="G739" s="10"/>
      <c r="H739" s="10"/>
      <c r="I739" s="10"/>
      <c r="J739" s="10"/>
      <c r="K739" s="10"/>
      <c r="L739" s="10"/>
      <c r="M739" s="10"/>
      <c r="N739" s="10"/>
      <c r="O739" s="10"/>
      <c r="P739" s="10"/>
      <c r="Q739" s="79"/>
      <c r="R739" s="80"/>
      <c r="S739" s="81"/>
      <c r="T739" s="81"/>
      <c r="U739" s="81"/>
      <c r="V739" s="81"/>
      <c r="W739" s="10"/>
      <c r="X739" s="10"/>
      <c r="Y739" s="10"/>
      <c r="Z739" s="10"/>
      <c r="AA739" s="10"/>
      <c r="AB739" s="10"/>
      <c r="AC739" s="10"/>
      <c r="AF739" s="11"/>
    </row>
    <row r="740" spans="3:32" ht="12.75" customHeight="1" x14ac:dyDescent="0.3">
      <c r="C740" s="10"/>
      <c r="D740" s="10"/>
      <c r="E740" s="10"/>
      <c r="F740" s="10"/>
      <c r="G740" s="10"/>
      <c r="H740" s="10"/>
      <c r="I740" s="10"/>
      <c r="J740" s="10"/>
      <c r="K740" s="10"/>
      <c r="L740" s="10"/>
      <c r="M740" s="10"/>
      <c r="N740" s="10"/>
      <c r="O740" s="10"/>
      <c r="P740" s="10"/>
      <c r="Q740" s="79"/>
      <c r="R740" s="80"/>
      <c r="S740" s="81"/>
      <c r="T740" s="81"/>
      <c r="U740" s="81"/>
      <c r="V740" s="81"/>
      <c r="W740" s="10"/>
      <c r="X740" s="10"/>
      <c r="Y740" s="10"/>
      <c r="Z740" s="10"/>
      <c r="AA740" s="10"/>
      <c r="AB740" s="10"/>
      <c r="AC740" s="10"/>
      <c r="AF740" s="11"/>
    </row>
    <row r="741" spans="3:32" ht="12.75" customHeight="1" x14ac:dyDescent="0.3">
      <c r="C741" s="10"/>
      <c r="D741" s="10"/>
      <c r="E741" s="10"/>
      <c r="F741" s="10"/>
      <c r="G741" s="10"/>
      <c r="H741" s="10"/>
      <c r="I741" s="10"/>
      <c r="J741" s="10"/>
      <c r="K741" s="10"/>
      <c r="L741" s="10"/>
      <c r="M741" s="10"/>
      <c r="N741" s="10"/>
      <c r="O741" s="10"/>
      <c r="P741" s="10"/>
      <c r="Q741" s="79"/>
      <c r="R741" s="80"/>
      <c r="S741" s="81"/>
      <c r="T741" s="81"/>
      <c r="U741" s="81"/>
      <c r="V741" s="81"/>
      <c r="W741" s="10"/>
      <c r="X741" s="10"/>
      <c r="Y741" s="10"/>
      <c r="Z741" s="10"/>
      <c r="AA741" s="10"/>
      <c r="AB741" s="10"/>
      <c r="AC741" s="10"/>
      <c r="AF741" s="11"/>
    </row>
    <row r="742" spans="3:32" ht="12.75" customHeight="1" x14ac:dyDescent="0.3">
      <c r="C742" s="10"/>
      <c r="D742" s="10"/>
      <c r="E742" s="10"/>
      <c r="F742" s="10"/>
      <c r="G742" s="10"/>
      <c r="H742" s="10"/>
      <c r="I742" s="10"/>
      <c r="J742" s="10"/>
      <c r="K742" s="10"/>
      <c r="L742" s="10"/>
      <c r="M742" s="10"/>
      <c r="N742" s="10"/>
      <c r="O742" s="10"/>
      <c r="P742" s="10"/>
      <c r="Q742" s="79"/>
      <c r="R742" s="80"/>
      <c r="S742" s="81"/>
      <c r="T742" s="81"/>
      <c r="U742" s="81"/>
      <c r="V742" s="81"/>
      <c r="W742" s="10"/>
      <c r="X742" s="10"/>
      <c r="Y742" s="10"/>
      <c r="Z742" s="10"/>
      <c r="AA742" s="10"/>
      <c r="AB742" s="10"/>
      <c r="AC742" s="10"/>
      <c r="AF742" s="11"/>
    </row>
    <row r="743" spans="3:32" ht="12.75" customHeight="1" x14ac:dyDescent="0.3">
      <c r="C743" s="10"/>
      <c r="D743" s="10"/>
      <c r="E743" s="10"/>
      <c r="F743" s="10"/>
      <c r="G743" s="10"/>
      <c r="H743" s="10"/>
      <c r="I743" s="10"/>
      <c r="J743" s="10"/>
      <c r="K743" s="10"/>
      <c r="L743" s="10"/>
      <c r="M743" s="10"/>
      <c r="N743" s="10"/>
      <c r="O743" s="10"/>
      <c r="P743" s="10"/>
      <c r="Q743" s="79"/>
      <c r="R743" s="80"/>
      <c r="S743" s="81"/>
      <c r="T743" s="81"/>
      <c r="U743" s="81"/>
      <c r="V743" s="81"/>
      <c r="W743" s="10"/>
      <c r="X743" s="10"/>
      <c r="Y743" s="10"/>
      <c r="Z743" s="10"/>
      <c r="AA743" s="10"/>
      <c r="AB743" s="10"/>
      <c r="AC743" s="10"/>
      <c r="AF743" s="11"/>
    </row>
    <row r="744" spans="3:32" ht="12.75" customHeight="1" x14ac:dyDescent="0.3">
      <c r="C744" s="10"/>
      <c r="D744" s="10"/>
      <c r="E744" s="10"/>
      <c r="F744" s="10"/>
      <c r="G744" s="10"/>
      <c r="H744" s="10"/>
      <c r="I744" s="10"/>
      <c r="J744" s="10"/>
      <c r="K744" s="10"/>
      <c r="L744" s="10"/>
      <c r="M744" s="10"/>
      <c r="N744" s="10"/>
      <c r="O744" s="10"/>
      <c r="P744" s="10"/>
      <c r="Q744" s="79"/>
      <c r="R744" s="80"/>
      <c r="S744" s="81"/>
      <c r="T744" s="81"/>
      <c r="U744" s="81"/>
      <c r="V744" s="81"/>
      <c r="W744" s="10"/>
      <c r="X744" s="10"/>
      <c r="Y744" s="10"/>
      <c r="Z744" s="10"/>
      <c r="AA744" s="10"/>
      <c r="AB744" s="10"/>
      <c r="AC744" s="10"/>
      <c r="AF744" s="11"/>
    </row>
    <row r="745" spans="3:32" ht="12.75" customHeight="1" x14ac:dyDescent="0.3">
      <c r="C745" s="10"/>
      <c r="D745" s="10"/>
      <c r="E745" s="10"/>
      <c r="F745" s="10"/>
      <c r="G745" s="10"/>
      <c r="H745" s="10"/>
      <c r="I745" s="10"/>
      <c r="J745" s="10"/>
      <c r="K745" s="10"/>
      <c r="L745" s="10"/>
      <c r="M745" s="10"/>
      <c r="N745" s="10"/>
      <c r="O745" s="10"/>
      <c r="P745" s="10"/>
      <c r="Q745" s="79"/>
      <c r="R745" s="80"/>
      <c r="S745" s="81"/>
      <c r="T745" s="81"/>
      <c r="U745" s="81"/>
      <c r="V745" s="81"/>
      <c r="W745" s="10"/>
      <c r="X745" s="10"/>
      <c r="Y745" s="10"/>
      <c r="Z745" s="10"/>
      <c r="AA745" s="10"/>
      <c r="AB745" s="10"/>
      <c r="AC745" s="10"/>
      <c r="AF745" s="11"/>
    </row>
    <row r="746" spans="3:32" ht="12.75" customHeight="1" x14ac:dyDescent="0.3">
      <c r="C746" s="10"/>
      <c r="D746" s="10"/>
      <c r="E746" s="10"/>
      <c r="F746" s="10"/>
      <c r="G746" s="10"/>
      <c r="H746" s="10"/>
      <c r="I746" s="10"/>
      <c r="J746" s="10"/>
      <c r="K746" s="10"/>
      <c r="L746" s="10"/>
      <c r="M746" s="10"/>
      <c r="N746" s="10"/>
      <c r="O746" s="10"/>
      <c r="P746" s="10"/>
      <c r="Q746" s="79"/>
      <c r="R746" s="80"/>
      <c r="S746" s="81"/>
      <c r="T746" s="81"/>
      <c r="U746" s="81"/>
      <c r="V746" s="81"/>
      <c r="W746" s="10"/>
      <c r="X746" s="10"/>
      <c r="Y746" s="10"/>
      <c r="Z746" s="10"/>
      <c r="AA746" s="10"/>
      <c r="AB746" s="10"/>
      <c r="AC746" s="10"/>
      <c r="AF746" s="11"/>
    </row>
    <row r="747" spans="3:32" ht="12.75" customHeight="1" x14ac:dyDescent="0.3">
      <c r="C747" s="10"/>
      <c r="D747" s="10"/>
      <c r="E747" s="10"/>
      <c r="F747" s="10"/>
      <c r="G747" s="10"/>
      <c r="H747" s="10"/>
      <c r="I747" s="10"/>
      <c r="J747" s="10"/>
      <c r="K747" s="10"/>
      <c r="L747" s="10"/>
      <c r="M747" s="10"/>
      <c r="N747" s="10"/>
      <c r="O747" s="10"/>
      <c r="P747" s="10"/>
      <c r="Q747" s="79"/>
      <c r="R747" s="80"/>
      <c r="S747" s="81"/>
      <c r="T747" s="81"/>
      <c r="U747" s="81"/>
      <c r="V747" s="81"/>
      <c r="W747" s="10"/>
      <c r="X747" s="10"/>
      <c r="Y747" s="10"/>
      <c r="Z747" s="10"/>
      <c r="AA747" s="10"/>
      <c r="AB747" s="10"/>
      <c r="AC747" s="10"/>
      <c r="AF747" s="11"/>
    </row>
    <row r="748" spans="3:32" ht="12.75" customHeight="1" x14ac:dyDescent="0.3">
      <c r="C748" s="10"/>
      <c r="D748" s="10"/>
      <c r="E748" s="10"/>
      <c r="F748" s="10"/>
      <c r="G748" s="10"/>
      <c r="H748" s="10"/>
      <c r="I748" s="10"/>
      <c r="J748" s="10"/>
      <c r="K748" s="10"/>
      <c r="L748" s="10"/>
      <c r="M748" s="10"/>
      <c r="N748" s="10"/>
      <c r="O748" s="10"/>
      <c r="P748" s="10"/>
      <c r="Q748" s="79"/>
      <c r="R748" s="80"/>
      <c r="S748" s="81"/>
      <c r="T748" s="81"/>
      <c r="U748" s="81"/>
      <c r="V748" s="81"/>
      <c r="W748" s="10"/>
      <c r="X748" s="10"/>
      <c r="Y748" s="10"/>
      <c r="Z748" s="10"/>
      <c r="AA748" s="10"/>
      <c r="AB748" s="10"/>
      <c r="AC748" s="10"/>
      <c r="AF748" s="11"/>
    </row>
    <row r="749" spans="3:32" ht="12.75" customHeight="1" x14ac:dyDescent="0.3">
      <c r="C749" s="10"/>
      <c r="D749" s="10"/>
      <c r="E749" s="10"/>
      <c r="F749" s="10"/>
      <c r="G749" s="10"/>
      <c r="H749" s="10"/>
      <c r="I749" s="10"/>
      <c r="J749" s="10"/>
      <c r="K749" s="10"/>
      <c r="L749" s="10"/>
      <c r="M749" s="10"/>
      <c r="N749" s="10"/>
      <c r="O749" s="10"/>
      <c r="P749" s="10"/>
      <c r="Q749" s="79"/>
      <c r="R749" s="80"/>
      <c r="S749" s="81"/>
      <c r="T749" s="81"/>
      <c r="U749" s="81"/>
      <c r="V749" s="81"/>
      <c r="W749" s="10"/>
      <c r="X749" s="10"/>
      <c r="Y749" s="10"/>
      <c r="Z749" s="10"/>
      <c r="AA749" s="10"/>
      <c r="AB749" s="10"/>
      <c r="AC749" s="10"/>
      <c r="AF749" s="11"/>
    </row>
    <row r="750" spans="3:32" ht="12.75" customHeight="1" x14ac:dyDescent="0.3">
      <c r="C750" s="10"/>
      <c r="D750" s="10"/>
      <c r="E750" s="10"/>
      <c r="F750" s="10"/>
      <c r="G750" s="10"/>
      <c r="H750" s="10"/>
      <c r="I750" s="10"/>
      <c r="J750" s="10"/>
      <c r="K750" s="10"/>
      <c r="L750" s="10"/>
      <c r="M750" s="10"/>
      <c r="N750" s="10"/>
      <c r="O750" s="10"/>
      <c r="P750" s="10"/>
      <c r="Q750" s="79"/>
      <c r="R750" s="80"/>
      <c r="S750" s="81"/>
      <c r="T750" s="81"/>
      <c r="U750" s="81"/>
      <c r="V750" s="81"/>
      <c r="W750" s="10"/>
      <c r="X750" s="10"/>
      <c r="Y750" s="10"/>
      <c r="Z750" s="10"/>
      <c r="AA750" s="10"/>
      <c r="AB750" s="10"/>
      <c r="AC750" s="10"/>
      <c r="AF750" s="11"/>
    </row>
    <row r="751" spans="3:32" ht="12.75" customHeight="1" x14ac:dyDescent="0.3">
      <c r="C751" s="10"/>
      <c r="D751" s="10"/>
      <c r="E751" s="10"/>
      <c r="F751" s="10"/>
      <c r="G751" s="10"/>
      <c r="H751" s="10"/>
      <c r="I751" s="10"/>
      <c r="J751" s="10"/>
      <c r="K751" s="10"/>
      <c r="L751" s="10"/>
      <c r="M751" s="10"/>
      <c r="N751" s="10"/>
      <c r="O751" s="10"/>
      <c r="P751" s="10"/>
      <c r="Q751" s="79"/>
      <c r="R751" s="80"/>
      <c r="S751" s="81"/>
      <c r="T751" s="81"/>
      <c r="U751" s="81"/>
      <c r="V751" s="81"/>
      <c r="W751" s="10"/>
      <c r="X751" s="10"/>
      <c r="Y751" s="10"/>
      <c r="Z751" s="10"/>
      <c r="AA751" s="10"/>
      <c r="AB751" s="10"/>
      <c r="AC751" s="10"/>
      <c r="AF751" s="11"/>
    </row>
    <row r="752" spans="3:32" ht="12.75" customHeight="1" x14ac:dyDescent="0.3">
      <c r="C752" s="10"/>
      <c r="D752" s="10"/>
      <c r="E752" s="10"/>
      <c r="F752" s="10"/>
      <c r="G752" s="10"/>
      <c r="H752" s="10"/>
      <c r="I752" s="10"/>
      <c r="J752" s="10"/>
      <c r="K752" s="10"/>
      <c r="L752" s="10"/>
      <c r="M752" s="10"/>
      <c r="N752" s="10"/>
      <c r="O752" s="10"/>
      <c r="P752" s="10"/>
      <c r="Q752" s="79"/>
      <c r="R752" s="80"/>
      <c r="S752" s="81"/>
      <c r="T752" s="81"/>
      <c r="U752" s="81"/>
      <c r="V752" s="81"/>
      <c r="W752" s="10"/>
      <c r="X752" s="10"/>
      <c r="Y752" s="10"/>
      <c r="Z752" s="10"/>
      <c r="AA752" s="10"/>
      <c r="AB752" s="10"/>
      <c r="AC752" s="10"/>
      <c r="AF752" s="11"/>
    </row>
    <row r="753" spans="3:32" ht="12.75" customHeight="1" x14ac:dyDescent="0.3">
      <c r="C753" s="10"/>
      <c r="D753" s="10"/>
      <c r="E753" s="10"/>
      <c r="F753" s="10"/>
      <c r="G753" s="10"/>
      <c r="H753" s="10"/>
      <c r="I753" s="10"/>
      <c r="J753" s="10"/>
      <c r="K753" s="10"/>
      <c r="L753" s="10"/>
      <c r="M753" s="10"/>
      <c r="N753" s="10"/>
      <c r="O753" s="10"/>
      <c r="P753" s="10"/>
      <c r="Q753" s="79"/>
      <c r="R753" s="80"/>
      <c r="S753" s="81"/>
      <c r="T753" s="81"/>
      <c r="U753" s="81"/>
      <c r="V753" s="81"/>
      <c r="W753" s="10"/>
      <c r="X753" s="10"/>
      <c r="Y753" s="10"/>
      <c r="Z753" s="10"/>
      <c r="AA753" s="10"/>
      <c r="AB753" s="10"/>
      <c r="AC753" s="10"/>
      <c r="AF753" s="11"/>
    </row>
    <row r="754" spans="3:32" ht="12.75" customHeight="1" x14ac:dyDescent="0.3">
      <c r="C754" s="10"/>
      <c r="D754" s="10"/>
      <c r="E754" s="10"/>
      <c r="F754" s="10"/>
      <c r="G754" s="10"/>
      <c r="H754" s="10"/>
      <c r="I754" s="10"/>
      <c r="J754" s="10"/>
      <c r="K754" s="10"/>
      <c r="L754" s="10"/>
      <c r="M754" s="10"/>
      <c r="N754" s="10"/>
      <c r="O754" s="10"/>
      <c r="P754" s="10"/>
      <c r="Q754" s="79"/>
      <c r="R754" s="80"/>
      <c r="S754" s="81"/>
      <c r="T754" s="81"/>
      <c r="U754" s="81"/>
      <c r="V754" s="81"/>
      <c r="W754" s="10"/>
      <c r="X754" s="10"/>
      <c r="Y754" s="10"/>
      <c r="Z754" s="10"/>
      <c r="AA754" s="10"/>
      <c r="AB754" s="10"/>
      <c r="AC754" s="10"/>
      <c r="AF754" s="11"/>
    </row>
    <row r="755" spans="3:32" ht="12.75" customHeight="1" x14ac:dyDescent="0.3">
      <c r="C755" s="10"/>
      <c r="D755" s="10"/>
      <c r="E755" s="10"/>
      <c r="F755" s="10"/>
      <c r="G755" s="10"/>
      <c r="H755" s="10"/>
      <c r="I755" s="10"/>
      <c r="J755" s="10"/>
      <c r="K755" s="10"/>
      <c r="L755" s="10"/>
      <c r="M755" s="10"/>
      <c r="N755" s="10"/>
      <c r="O755" s="10"/>
      <c r="P755" s="10"/>
      <c r="Q755" s="79"/>
      <c r="R755" s="80"/>
      <c r="S755" s="81"/>
      <c r="T755" s="81"/>
      <c r="U755" s="81"/>
      <c r="V755" s="81"/>
      <c r="W755" s="10"/>
      <c r="X755" s="10"/>
      <c r="Y755" s="10"/>
      <c r="Z755" s="10"/>
      <c r="AA755" s="10"/>
      <c r="AB755" s="10"/>
      <c r="AC755" s="10"/>
      <c r="AF755" s="11"/>
    </row>
    <row r="756" spans="3:32" ht="12.75" customHeight="1" x14ac:dyDescent="0.3">
      <c r="C756" s="10"/>
      <c r="D756" s="10"/>
      <c r="E756" s="10"/>
      <c r="F756" s="10"/>
      <c r="G756" s="10"/>
      <c r="H756" s="10"/>
      <c r="I756" s="10"/>
      <c r="J756" s="10"/>
      <c r="K756" s="10"/>
      <c r="L756" s="10"/>
      <c r="M756" s="10"/>
      <c r="N756" s="10"/>
      <c r="O756" s="10"/>
      <c r="P756" s="10"/>
      <c r="Q756" s="79"/>
      <c r="R756" s="80"/>
      <c r="S756" s="81"/>
      <c r="T756" s="81"/>
      <c r="U756" s="81"/>
      <c r="V756" s="81"/>
      <c r="W756" s="10"/>
      <c r="X756" s="10"/>
      <c r="Y756" s="10"/>
      <c r="Z756" s="10"/>
      <c r="AA756" s="10"/>
      <c r="AB756" s="10"/>
      <c r="AC756" s="10"/>
      <c r="AF756" s="11"/>
    </row>
    <row r="757" spans="3:32" ht="12.75" customHeight="1" x14ac:dyDescent="0.3">
      <c r="C757" s="10"/>
      <c r="D757" s="10"/>
      <c r="E757" s="10"/>
      <c r="F757" s="10"/>
      <c r="G757" s="10"/>
      <c r="H757" s="10"/>
      <c r="I757" s="10"/>
      <c r="J757" s="10"/>
      <c r="K757" s="10"/>
      <c r="L757" s="10"/>
      <c r="M757" s="10"/>
      <c r="N757" s="10"/>
      <c r="O757" s="10"/>
      <c r="P757" s="10"/>
      <c r="Q757" s="79"/>
      <c r="R757" s="80"/>
      <c r="S757" s="81"/>
      <c r="T757" s="81"/>
      <c r="U757" s="81"/>
      <c r="V757" s="81"/>
      <c r="W757" s="10"/>
      <c r="X757" s="10"/>
      <c r="Y757" s="10"/>
      <c r="Z757" s="10"/>
      <c r="AA757" s="10"/>
      <c r="AB757" s="10"/>
      <c r="AC757" s="10"/>
      <c r="AF757" s="11"/>
    </row>
    <row r="758" spans="3:32" ht="12.75" customHeight="1" x14ac:dyDescent="0.3">
      <c r="C758" s="10"/>
      <c r="D758" s="10"/>
      <c r="E758" s="10"/>
      <c r="F758" s="10"/>
      <c r="G758" s="10"/>
      <c r="H758" s="10"/>
      <c r="I758" s="10"/>
      <c r="J758" s="10"/>
      <c r="K758" s="10"/>
      <c r="L758" s="10"/>
      <c r="M758" s="10"/>
      <c r="N758" s="10"/>
      <c r="O758" s="10"/>
      <c r="P758" s="10"/>
      <c r="Q758" s="79"/>
      <c r="R758" s="80"/>
      <c r="S758" s="81"/>
      <c r="T758" s="81"/>
      <c r="U758" s="81"/>
      <c r="V758" s="81"/>
      <c r="W758" s="10"/>
      <c r="X758" s="10"/>
      <c r="Y758" s="10"/>
      <c r="Z758" s="10"/>
      <c r="AA758" s="10"/>
      <c r="AB758" s="10"/>
      <c r="AC758" s="10"/>
      <c r="AF758" s="11"/>
    </row>
    <row r="759" spans="3:32" ht="12.75" customHeight="1" x14ac:dyDescent="0.3">
      <c r="C759" s="10"/>
      <c r="D759" s="10"/>
      <c r="E759" s="10"/>
      <c r="F759" s="10"/>
      <c r="G759" s="10"/>
      <c r="H759" s="10"/>
      <c r="I759" s="10"/>
      <c r="J759" s="10"/>
      <c r="K759" s="10"/>
      <c r="L759" s="10"/>
      <c r="M759" s="10"/>
      <c r="N759" s="10"/>
      <c r="O759" s="10"/>
      <c r="P759" s="10"/>
      <c r="Q759" s="79"/>
      <c r="R759" s="80"/>
      <c r="S759" s="81"/>
      <c r="T759" s="81"/>
      <c r="U759" s="81"/>
      <c r="V759" s="81"/>
      <c r="W759" s="10"/>
      <c r="X759" s="10"/>
      <c r="Y759" s="10"/>
      <c r="Z759" s="10"/>
      <c r="AA759" s="10"/>
      <c r="AB759" s="10"/>
      <c r="AC759" s="10"/>
      <c r="AF759" s="11"/>
    </row>
    <row r="760" spans="3:32" ht="12.75" customHeight="1" x14ac:dyDescent="0.3">
      <c r="C760" s="10"/>
      <c r="D760" s="10"/>
      <c r="E760" s="10"/>
      <c r="F760" s="10"/>
      <c r="G760" s="10"/>
      <c r="H760" s="10"/>
      <c r="I760" s="10"/>
      <c r="J760" s="10"/>
      <c r="K760" s="10"/>
      <c r="L760" s="10"/>
      <c r="M760" s="10"/>
      <c r="N760" s="10"/>
      <c r="O760" s="10"/>
      <c r="P760" s="10"/>
      <c r="Q760" s="79"/>
      <c r="R760" s="80"/>
      <c r="S760" s="81"/>
      <c r="T760" s="81"/>
      <c r="U760" s="81"/>
      <c r="V760" s="81"/>
      <c r="W760" s="10"/>
      <c r="X760" s="10"/>
      <c r="Y760" s="10"/>
      <c r="Z760" s="10"/>
      <c r="AA760" s="10"/>
      <c r="AB760" s="10"/>
      <c r="AC760" s="10"/>
      <c r="AF760" s="11"/>
    </row>
    <row r="761" spans="3:32" ht="12.75" customHeight="1" x14ac:dyDescent="0.3">
      <c r="C761" s="10"/>
      <c r="D761" s="10"/>
      <c r="E761" s="10"/>
      <c r="F761" s="10"/>
      <c r="G761" s="10"/>
      <c r="H761" s="10"/>
      <c r="I761" s="10"/>
      <c r="J761" s="10"/>
      <c r="K761" s="10"/>
      <c r="L761" s="10"/>
      <c r="M761" s="10"/>
      <c r="N761" s="10"/>
      <c r="O761" s="10"/>
      <c r="P761" s="10"/>
      <c r="Q761" s="79"/>
      <c r="R761" s="80"/>
      <c r="S761" s="81"/>
      <c r="T761" s="81"/>
      <c r="U761" s="81"/>
      <c r="V761" s="81"/>
      <c r="W761" s="10"/>
      <c r="X761" s="10"/>
      <c r="Y761" s="10"/>
      <c r="Z761" s="10"/>
      <c r="AA761" s="10"/>
      <c r="AB761" s="10"/>
      <c r="AC761" s="10"/>
      <c r="AF761" s="11"/>
    </row>
    <row r="762" spans="3:32" ht="12.75" customHeight="1" x14ac:dyDescent="0.3">
      <c r="C762" s="10"/>
      <c r="D762" s="10"/>
      <c r="E762" s="10"/>
      <c r="F762" s="10"/>
      <c r="G762" s="10"/>
      <c r="H762" s="10"/>
      <c r="I762" s="10"/>
      <c r="J762" s="10"/>
      <c r="K762" s="10"/>
      <c r="L762" s="10"/>
      <c r="M762" s="10"/>
      <c r="N762" s="10"/>
      <c r="O762" s="10"/>
      <c r="P762" s="10"/>
      <c r="Q762" s="79"/>
      <c r="R762" s="80"/>
      <c r="S762" s="81"/>
      <c r="T762" s="81"/>
      <c r="U762" s="81"/>
      <c r="V762" s="81"/>
      <c r="W762" s="10"/>
      <c r="X762" s="10"/>
      <c r="Y762" s="10"/>
      <c r="Z762" s="10"/>
      <c r="AA762" s="10"/>
      <c r="AB762" s="10"/>
      <c r="AC762" s="10"/>
      <c r="AF762" s="11"/>
    </row>
    <row r="763" spans="3:32" ht="12.75" customHeight="1" x14ac:dyDescent="0.3">
      <c r="C763" s="10"/>
      <c r="D763" s="10"/>
      <c r="E763" s="10"/>
      <c r="F763" s="10"/>
      <c r="G763" s="10"/>
      <c r="H763" s="10"/>
      <c r="I763" s="10"/>
      <c r="J763" s="10"/>
      <c r="K763" s="10"/>
      <c r="L763" s="10"/>
      <c r="M763" s="10"/>
      <c r="N763" s="10"/>
      <c r="O763" s="10"/>
      <c r="P763" s="10"/>
      <c r="Q763" s="79"/>
      <c r="R763" s="80"/>
      <c r="S763" s="81"/>
      <c r="T763" s="81"/>
      <c r="U763" s="81"/>
      <c r="V763" s="81"/>
      <c r="W763" s="10"/>
      <c r="X763" s="10"/>
      <c r="Y763" s="10"/>
      <c r="Z763" s="10"/>
      <c r="AA763" s="10"/>
      <c r="AB763" s="10"/>
      <c r="AC763" s="10"/>
      <c r="AF763" s="11"/>
    </row>
    <row r="764" spans="3:32" ht="12.75" customHeight="1" x14ac:dyDescent="0.3">
      <c r="C764" s="10"/>
      <c r="D764" s="10"/>
      <c r="E764" s="10"/>
      <c r="F764" s="10"/>
      <c r="G764" s="10"/>
      <c r="H764" s="10"/>
      <c r="I764" s="10"/>
      <c r="J764" s="10"/>
      <c r="K764" s="10"/>
      <c r="L764" s="10"/>
      <c r="M764" s="10"/>
      <c r="N764" s="10"/>
      <c r="O764" s="10"/>
      <c r="P764" s="10"/>
      <c r="Q764" s="79"/>
      <c r="R764" s="80"/>
      <c r="S764" s="81"/>
      <c r="T764" s="81"/>
      <c r="U764" s="81"/>
      <c r="V764" s="81"/>
      <c r="W764" s="10"/>
      <c r="X764" s="10"/>
      <c r="Y764" s="10"/>
      <c r="Z764" s="10"/>
      <c r="AA764" s="10"/>
      <c r="AB764" s="10"/>
      <c r="AC764" s="10"/>
      <c r="AF764" s="11"/>
    </row>
    <row r="765" spans="3:32" ht="12.75" customHeight="1" x14ac:dyDescent="0.3">
      <c r="C765" s="10"/>
      <c r="D765" s="10"/>
      <c r="E765" s="10"/>
      <c r="F765" s="10"/>
      <c r="G765" s="10"/>
      <c r="H765" s="10"/>
      <c r="I765" s="10"/>
      <c r="J765" s="10"/>
      <c r="K765" s="10"/>
      <c r="L765" s="10"/>
      <c r="M765" s="10"/>
      <c r="N765" s="10"/>
      <c r="O765" s="10"/>
      <c r="P765" s="10"/>
      <c r="Q765" s="79"/>
      <c r="R765" s="80"/>
      <c r="S765" s="81"/>
      <c r="T765" s="81"/>
      <c r="U765" s="81"/>
      <c r="V765" s="81"/>
      <c r="W765" s="10"/>
      <c r="X765" s="10"/>
      <c r="Y765" s="10"/>
      <c r="Z765" s="10"/>
      <c r="AA765" s="10"/>
      <c r="AB765" s="10"/>
      <c r="AC765" s="10"/>
      <c r="AF765" s="11"/>
    </row>
    <row r="766" spans="3:32" ht="12.75" customHeight="1" x14ac:dyDescent="0.3">
      <c r="C766" s="10"/>
      <c r="D766" s="10"/>
      <c r="E766" s="10"/>
      <c r="F766" s="10"/>
      <c r="G766" s="10"/>
      <c r="H766" s="10"/>
      <c r="I766" s="10"/>
      <c r="J766" s="10"/>
      <c r="K766" s="10"/>
      <c r="L766" s="10"/>
      <c r="M766" s="10"/>
      <c r="N766" s="10"/>
      <c r="O766" s="10"/>
      <c r="P766" s="10"/>
      <c r="Q766" s="79"/>
      <c r="R766" s="80"/>
      <c r="S766" s="81"/>
      <c r="T766" s="81"/>
      <c r="U766" s="81"/>
      <c r="V766" s="81"/>
      <c r="W766" s="10"/>
      <c r="X766" s="10"/>
      <c r="Y766" s="10"/>
      <c r="Z766" s="10"/>
      <c r="AA766" s="10"/>
      <c r="AB766" s="10"/>
      <c r="AC766" s="10"/>
      <c r="AF766" s="11"/>
    </row>
    <row r="767" spans="3:32" ht="12.75" customHeight="1" x14ac:dyDescent="0.3">
      <c r="C767" s="10"/>
      <c r="D767" s="10"/>
      <c r="E767" s="10"/>
      <c r="F767" s="10"/>
      <c r="G767" s="10"/>
      <c r="H767" s="10"/>
      <c r="I767" s="10"/>
      <c r="J767" s="10"/>
      <c r="K767" s="10"/>
      <c r="L767" s="10"/>
      <c r="M767" s="10"/>
      <c r="N767" s="10"/>
      <c r="O767" s="10"/>
      <c r="P767" s="10"/>
      <c r="Q767" s="79"/>
      <c r="R767" s="80"/>
      <c r="S767" s="81"/>
      <c r="T767" s="81"/>
      <c r="U767" s="81"/>
      <c r="V767" s="81"/>
      <c r="W767" s="10"/>
      <c r="X767" s="10"/>
      <c r="Y767" s="10"/>
      <c r="Z767" s="10"/>
      <c r="AA767" s="10"/>
      <c r="AB767" s="10"/>
      <c r="AC767" s="10"/>
      <c r="AF767" s="11"/>
    </row>
    <row r="768" spans="3:32" ht="12.75" customHeight="1" x14ac:dyDescent="0.3">
      <c r="C768" s="10"/>
      <c r="D768" s="10"/>
      <c r="E768" s="10"/>
      <c r="F768" s="10"/>
      <c r="G768" s="10"/>
      <c r="H768" s="10"/>
      <c r="I768" s="10"/>
      <c r="J768" s="10"/>
      <c r="K768" s="10"/>
      <c r="L768" s="10"/>
      <c r="M768" s="10"/>
      <c r="N768" s="10"/>
      <c r="O768" s="10"/>
      <c r="P768" s="10"/>
      <c r="Q768" s="79"/>
      <c r="R768" s="80"/>
      <c r="S768" s="81"/>
      <c r="T768" s="81"/>
      <c r="U768" s="81"/>
      <c r="V768" s="81"/>
      <c r="W768" s="10"/>
      <c r="X768" s="10"/>
      <c r="Y768" s="10"/>
      <c r="Z768" s="10"/>
      <c r="AA768" s="10"/>
      <c r="AB768" s="10"/>
      <c r="AC768" s="10"/>
      <c r="AF768" s="11"/>
    </row>
    <row r="769" spans="3:32" ht="12.75" customHeight="1" x14ac:dyDescent="0.3">
      <c r="C769" s="10"/>
      <c r="D769" s="10"/>
      <c r="E769" s="10"/>
      <c r="F769" s="10"/>
      <c r="G769" s="10"/>
      <c r="H769" s="10"/>
      <c r="I769" s="10"/>
      <c r="J769" s="10"/>
      <c r="K769" s="10"/>
      <c r="L769" s="10"/>
      <c r="M769" s="10"/>
      <c r="N769" s="10"/>
      <c r="O769" s="10"/>
      <c r="P769" s="10"/>
      <c r="Q769" s="79"/>
      <c r="R769" s="80"/>
      <c r="S769" s="81"/>
      <c r="T769" s="81"/>
      <c r="U769" s="81"/>
      <c r="V769" s="81"/>
      <c r="W769" s="10"/>
      <c r="X769" s="10"/>
      <c r="Y769" s="10"/>
      <c r="Z769" s="10"/>
      <c r="AA769" s="10"/>
      <c r="AB769" s="10"/>
      <c r="AC769" s="10"/>
      <c r="AF769" s="11"/>
    </row>
    <row r="770" spans="3:32" ht="12.75" customHeight="1" x14ac:dyDescent="0.3">
      <c r="C770" s="10"/>
      <c r="D770" s="10"/>
      <c r="E770" s="10"/>
      <c r="F770" s="10"/>
      <c r="G770" s="10"/>
      <c r="H770" s="10"/>
      <c r="I770" s="10"/>
      <c r="J770" s="10"/>
      <c r="K770" s="10"/>
      <c r="L770" s="10"/>
      <c r="M770" s="10"/>
      <c r="N770" s="10"/>
      <c r="O770" s="10"/>
      <c r="P770" s="10"/>
      <c r="Q770" s="79"/>
      <c r="R770" s="80"/>
      <c r="S770" s="81"/>
      <c r="T770" s="81"/>
      <c r="U770" s="81"/>
      <c r="V770" s="81"/>
      <c r="W770" s="10"/>
      <c r="X770" s="10"/>
      <c r="Y770" s="10"/>
      <c r="Z770" s="10"/>
      <c r="AA770" s="10"/>
      <c r="AB770" s="10"/>
      <c r="AC770" s="10"/>
      <c r="AF770" s="11"/>
    </row>
    <row r="771" spans="3:32" ht="12.75" customHeight="1" x14ac:dyDescent="0.3">
      <c r="C771" s="10"/>
      <c r="D771" s="10"/>
      <c r="E771" s="10"/>
      <c r="F771" s="10"/>
      <c r="G771" s="10"/>
      <c r="H771" s="10"/>
      <c r="I771" s="10"/>
      <c r="J771" s="10"/>
      <c r="K771" s="10"/>
      <c r="L771" s="10"/>
      <c r="M771" s="10"/>
      <c r="N771" s="10"/>
      <c r="O771" s="10"/>
      <c r="P771" s="10"/>
      <c r="Q771" s="79"/>
      <c r="R771" s="80"/>
      <c r="S771" s="81"/>
      <c r="T771" s="81"/>
      <c r="U771" s="81"/>
      <c r="V771" s="81"/>
      <c r="W771" s="10"/>
      <c r="X771" s="10"/>
      <c r="Y771" s="10"/>
      <c r="Z771" s="10"/>
      <c r="AA771" s="10"/>
      <c r="AB771" s="10"/>
      <c r="AC771" s="10"/>
      <c r="AF771" s="11"/>
    </row>
    <row r="772" spans="3:32" ht="12.75" customHeight="1" x14ac:dyDescent="0.3">
      <c r="C772" s="10"/>
      <c r="D772" s="10"/>
      <c r="E772" s="10"/>
      <c r="F772" s="10"/>
      <c r="G772" s="10"/>
      <c r="H772" s="10"/>
      <c r="I772" s="10"/>
      <c r="J772" s="10"/>
      <c r="K772" s="10"/>
      <c r="L772" s="10"/>
      <c r="M772" s="10"/>
      <c r="N772" s="10"/>
      <c r="O772" s="10"/>
      <c r="P772" s="10"/>
      <c r="Q772" s="79"/>
      <c r="R772" s="80"/>
      <c r="S772" s="81"/>
      <c r="T772" s="81"/>
      <c r="U772" s="81"/>
      <c r="V772" s="81"/>
      <c r="W772" s="10"/>
      <c r="X772" s="10"/>
      <c r="Y772" s="10"/>
      <c r="Z772" s="10"/>
      <c r="AA772" s="10"/>
      <c r="AB772" s="10"/>
      <c r="AC772" s="10"/>
      <c r="AF772" s="11"/>
    </row>
    <row r="773" spans="3:32" ht="12.75" customHeight="1" x14ac:dyDescent="0.3">
      <c r="C773" s="10"/>
      <c r="D773" s="10"/>
      <c r="E773" s="10"/>
      <c r="F773" s="10"/>
      <c r="G773" s="10"/>
      <c r="H773" s="10"/>
      <c r="I773" s="10"/>
      <c r="J773" s="10"/>
      <c r="K773" s="10"/>
      <c r="L773" s="10"/>
      <c r="M773" s="10"/>
      <c r="N773" s="10"/>
      <c r="O773" s="10"/>
      <c r="P773" s="10"/>
      <c r="Q773" s="79"/>
      <c r="R773" s="80"/>
      <c r="S773" s="81"/>
      <c r="T773" s="81"/>
      <c r="U773" s="81"/>
      <c r="V773" s="81"/>
      <c r="W773" s="10"/>
      <c r="X773" s="10"/>
      <c r="Y773" s="10"/>
      <c r="Z773" s="10"/>
      <c r="AA773" s="10"/>
      <c r="AB773" s="10"/>
      <c r="AC773" s="10"/>
      <c r="AF773" s="11"/>
    </row>
    <row r="774" spans="3:32" ht="12.75" customHeight="1" x14ac:dyDescent="0.3">
      <c r="C774" s="10"/>
      <c r="D774" s="10"/>
      <c r="E774" s="10"/>
      <c r="F774" s="10"/>
      <c r="G774" s="10"/>
      <c r="H774" s="10"/>
      <c r="I774" s="10"/>
      <c r="J774" s="10"/>
      <c r="K774" s="10"/>
      <c r="L774" s="10"/>
      <c r="M774" s="10"/>
      <c r="N774" s="10"/>
      <c r="O774" s="10"/>
      <c r="P774" s="10"/>
      <c r="Q774" s="79"/>
      <c r="R774" s="80"/>
      <c r="S774" s="81"/>
      <c r="T774" s="81"/>
      <c r="U774" s="81"/>
      <c r="V774" s="81"/>
      <c r="W774" s="10"/>
      <c r="X774" s="10"/>
      <c r="Y774" s="10"/>
      <c r="Z774" s="10"/>
      <c r="AA774" s="10"/>
      <c r="AB774" s="10"/>
      <c r="AC774" s="10"/>
      <c r="AF774" s="11"/>
    </row>
    <row r="775" spans="3:32" ht="12.75" customHeight="1" x14ac:dyDescent="0.3">
      <c r="C775" s="10"/>
      <c r="D775" s="10"/>
      <c r="E775" s="10"/>
      <c r="F775" s="10"/>
      <c r="G775" s="10"/>
      <c r="H775" s="10"/>
      <c r="I775" s="10"/>
      <c r="J775" s="10"/>
      <c r="K775" s="10"/>
      <c r="L775" s="10"/>
      <c r="M775" s="10"/>
      <c r="N775" s="10"/>
      <c r="O775" s="10"/>
      <c r="P775" s="10"/>
      <c r="Q775" s="79"/>
      <c r="R775" s="80"/>
      <c r="S775" s="81"/>
      <c r="T775" s="81"/>
      <c r="U775" s="81"/>
      <c r="V775" s="81"/>
      <c r="W775" s="10"/>
      <c r="X775" s="10"/>
      <c r="Y775" s="10"/>
      <c r="Z775" s="10"/>
      <c r="AA775" s="10"/>
      <c r="AB775" s="10"/>
      <c r="AC775" s="10"/>
      <c r="AF775" s="11"/>
    </row>
    <row r="776" spans="3:32" ht="12.75" customHeight="1" x14ac:dyDescent="0.3">
      <c r="C776" s="10"/>
      <c r="D776" s="10"/>
      <c r="E776" s="10"/>
      <c r="F776" s="10"/>
      <c r="G776" s="10"/>
      <c r="H776" s="10"/>
      <c r="I776" s="10"/>
      <c r="J776" s="10"/>
      <c r="K776" s="10"/>
      <c r="L776" s="10"/>
      <c r="M776" s="10"/>
      <c r="N776" s="10"/>
      <c r="O776" s="10"/>
      <c r="P776" s="10"/>
      <c r="Q776" s="79"/>
      <c r="R776" s="80"/>
      <c r="S776" s="81"/>
      <c r="T776" s="81"/>
      <c r="U776" s="81"/>
      <c r="V776" s="81"/>
      <c r="W776" s="10"/>
      <c r="X776" s="10"/>
      <c r="Y776" s="10"/>
      <c r="Z776" s="10"/>
      <c r="AA776" s="10"/>
      <c r="AB776" s="10"/>
      <c r="AC776" s="10"/>
      <c r="AF776" s="11"/>
    </row>
    <row r="777" spans="3:32" ht="12.75" customHeight="1" x14ac:dyDescent="0.3">
      <c r="C777" s="10"/>
      <c r="D777" s="10"/>
      <c r="E777" s="10"/>
      <c r="F777" s="10"/>
      <c r="G777" s="10"/>
      <c r="H777" s="10"/>
      <c r="I777" s="10"/>
      <c r="J777" s="10"/>
      <c r="K777" s="10"/>
      <c r="L777" s="10"/>
      <c r="M777" s="10"/>
      <c r="N777" s="10"/>
      <c r="O777" s="10"/>
      <c r="P777" s="10"/>
      <c r="Q777" s="79"/>
      <c r="R777" s="80"/>
      <c r="S777" s="81"/>
      <c r="T777" s="81"/>
      <c r="U777" s="81"/>
      <c r="V777" s="81"/>
      <c r="W777" s="10"/>
      <c r="X777" s="10"/>
      <c r="Y777" s="10"/>
      <c r="Z777" s="10"/>
      <c r="AA777" s="10"/>
      <c r="AB777" s="10"/>
      <c r="AC777" s="10"/>
      <c r="AF777" s="11"/>
    </row>
    <row r="778" spans="3:32" ht="12.75" customHeight="1" x14ac:dyDescent="0.3">
      <c r="C778" s="10"/>
      <c r="D778" s="10"/>
      <c r="E778" s="10"/>
      <c r="F778" s="10"/>
      <c r="G778" s="10"/>
      <c r="H778" s="10"/>
      <c r="I778" s="10"/>
      <c r="J778" s="10"/>
      <c r="K778" s="10"/>
      <c r="L778" s="10"/>
      <c r="M778" s="10"/>
      <c r="N778" s="10"/>
      <c r="O778" s="10"/>
      <c r="P778" s="10"/>
      <c r="Q778" s="79"/>
      <c r="R778" s="80"/>
      <c r="S778" s="81"/>
      <c r="T778" s="81"/>
      <c r="U778" s="81"/>
      <c r="V778" s="81"/>
      <c r="W778" s="10"/>
      <c r="X778" s="10"/>
      <c r="Y778" s="10"/>
      <c r="Z778" s="10"/>
      <c r="AA778" s="10"/>
      <c r="AB778" s="10"/>
      <c r="AC778" s="10"/>
      <c r="AF778" s="11"/>
    </row>
    <row r="779" spans="3:32" ht="12.75" customHeight="1" x14ac:dyDescent="0.3">
      <c r="C779" s="10"/>
      <c r="D779" s="10"/>
      <c r="E779" s="10"/>
      <c r="F779" s="10"/>
      <c r="G779" s="10"/>
      <c r="H779" s="10"/>
      <c r="I779" s="10"/>
      <c r="J779" s="10"/>
      <c r="K779" s="10"/>
      <c r="L779" s="10"/>
      <c r="M779" s="10"/>
      <c r="N779" s="10"/>
      <c r="O779" s="10"/>
      <c r="P779" s="10"/>
      <c r="Q779" s="79"/>
      <c r="R779" s="80"/>
      <c r="S779" s="81"/>
      <c r="T779" s="81"/>
      <c r="U779" s="81"/>
      <c r="V779" s="81"/>
      <c r="W779" s="10"/>
      <c r="X779" s="10"/>
      <c r="Y779" s="10"/>
      <c r="Z779" s="10"/>
      <c r="AA779" s="10"/>
      <c r="AB779" s="10"/>
      <c r="AC779" s="10"/>
      <c r="AF779" s="11"/>
    </row>
    <row r="780" spans="3:32" ht="12.75" customHeight="1" x14ac:dyDescent="0.3">
      <c r="C780" s="10"/>
      <c r="D780" s="10"/>
      <c r="E780" s="10"/>
      <c r="F780" s="10"/>
      <c r="G780" s="10"/>
      <c r="H780" s="10"/>
      <c r="I780" s="10"/>
      <c r="J780" s="10"/>
      <c r="K780" s="10"/>
      <c r="L780" s="10"/>
      <c r="M780" s="10"/>
      <c r="N780" s="10"/>
      <c r="O780" s="10"/>
      <c r="P780" s="10"/>
      <c r="Q780" s="79"/>
      <c r="R780" s="80"/>
      <c r="S780" s="81"/>
      <c r="T780" s="81"/>
      <c r="U780" s="81"/>
      <c r="V780" s="81"/>
      <c r="W780" s="10"/>
      <c r="X780" s="10"/>
      <c r="Y780" s="10"/>
      <c r="Z780" s="10"/>
      <c r="AA780" s="10"/>
      <c r="AB780" s="10"/>
      <c r="AC780" s="10"/>
      <c r="AF780" s="11"/>
    </row>
    <row r="781" spans="3:32" ht="12.75" customHeight="1" x14ac:dyDescent="0.3">
      <c r="C781" s="10"/>
      <c r="D781" s="10"/>
      <c r="E781" s="10"/>
      <c r="F781" s="10"/>
      <c r="G781" s="10"/>
      <c r="H781" s="10"/>
      <c r="I781" s="10"/>
      <c r="J781" s="10"/>
      <c r="K781" s="10"/>
      <c r="L781" s="10"/>
      <c r="M781" s="10"/>
      <c r="N781" s="10"/>
      <c r="O781" s="10"/>
      <c r="P781" s="10"/>
      <c r="Q781" s="79"/>
      <c r="R781" s="80"/>
      <c r="S781" s="81"/>
      <c r="T781" s="81"/>
      <c r="U781" s="81"/>
      <c r="V781" s="81"/>
      <c r="W781" s="10"/>
      <c r="X781" s="10"/>
      <c r="Y781" s="10"/>
      <c r="Z781" s="10"/>
      <c r="AA781" s="10"/>
      <c r="AB781" s="10"/>
      <c r="AC781" s="10"/>
      <c r="AF781" s="11"/>
    </row>
    <row r="782" spans="3:32" ht="12.75" customHeight="1" x14ac:dyDescent="0.3">
      <c r="C782" s="10"/>
      <c r="D782" s="10"/>
      <c r="E782" s="10"/>
      <c r="F782" s="10"/>
      <c r="G782" s="10"/>
      <c r="H782" s="10"/>
      <c r="I782" s="10"/>
      <c r="J782" s="10"/>
      <c r="K782" s="10"/>
      <c r="L782" s="10"/>
      <c r="M782" s="10"/>
      <c r="N782" s="10"/>
      <c r="O782" s="10"/>
      <c r="P782" s="10"/>
      <c r="Q782" s="79"/>
      <c r="R782" s="80"/>
      <c r="S782" s="81"/>
      <c r="T782" s="81"/>
      <c r="U782" s="81"/>
      <c r="V782" s="81"/>
      <c r="W782" s="10"/>
      <c r="X782" s="10"/>
      <c r="Y782" s="10"/>
      <c r="Z782" s="10"/>
      <c r="AA782" s="10"/>
      <c r="AB782" s="10"/>
      <c r="AC782" s="10"/>
      <c r="AF782" s="11"/>
    </row>
    <row r="783" spans="3:32" ht="12.75" customHeight="1" x14ac:dyDescent="0.3">
      <c r="C783" s="10"/>
      <c r="D783" s="10"/>
      <c r="E783" s="10"/>
      <c r="F783" s="10"/>
      <c r="G783" s="10"/>
      <c r="H783" s="10"/>
      <c r="I783" s="10"/>
      <c r="J783" s="10"/>
      <c r="K783" s="10"/>
      <c r="L783" s="10"/>
      <c r="M783" s="10"/>
      <c r="N783" s="10"/>
      <c r="O783" s="10"/>
      <c r="P783" s="10"/>
      <c r="Q783" s="79"/>
      <c r="R783" s="80"/>
      <c r="S783" s="81"/>
      <c r="T783" s="81"/>
      <c r="U783" s="81"/>
      <c r="V783" s="81"/>
      <c r="W783" s="10"/>
      <c r="X783" s="10"/>
      <c r="Y783" s="10"/>
      <c r="Z783" s="10"/>
      <c r="AA783" s="10"/>
      <c r="AB783" s="10"/>
      <c r="AC783" s="10"/>
      <c r="AF783" s="11"/>
    </row>
    <row r="784" spans="3:32" ht="12.75" customHeight="1" x14ac:dyDescent="0.3">
      <c r="C784" s="10"/>
      <c r="D784" s="10"/>
      <c r="E784" s="10"/>
      <c r="F784" s="10"/>
      <c r="G784" s="10"/>
      <c r="H784" s="10"/>
      <c r="I784" s="10"/>
      <c r="J784" s="10"/>
      <c r="K784" s="10"/>
      <c r="L784" s="10"/>
      <c r="M784" s="10"/>
      <c r="N784" s="10"/>
      <c r="O784" s="10"/>
      <c r="P784" s="10"/>
      <c r="Q784" s="79"/>
      <c r="R784" s="80"/>
      <c r="S784" s="81"/>
      <c r="T784" s="81"/>
      <c r="U784" s="81"/>
      <c r="V784" s="81"/>
      <c r="W784" s="10"/>
      <c r="X784" s="10"/>
      <c r="Y784" s="10"/>
      <c r="Z784" s="10"/>
      <c r="AA784" s="10"/>
      <c r="AB784" s="10"/>
      <c r="AC784" s="10"/>
      <c r="AF784" s="11"/>
    </row>
    <row r="785" spans="3:32" ht="12.75" customHeight="1" x14ac:dyDescent="0.3">
      <c r="C785" s="10"/>
      <c r="D785" s="10"/>
      <c r="E785" s="10"/>
      <c r="F785" s="10"/>
      <c r="G785" s="10"/>
      <c r="H785" s="10"/>
      <c r="I785" s="10"/>
      <c r="J785" s="10"/>
      <c r="K785" s="10"/>
      <c r="L785" s="10"/>
      <c r="M785" s="10"/>
      <c r="N785" s="10"/>
      <c r="O785" s="10"/>
      <c r="P785" s="10"/>
      <c r="Q785" s="79"/>
      <c r="R785" s="80"/>
      <c r="S785" s="81"/>
      <c r="T785" s="81"/>
      <c r="U785" s="81"/>
      <c r="V785" s="81"/>
      <c r="W785" s="10"/>
      <c r="X785" s="10"/>
      <c r="Y785" s="10"/>
      <c r="Z785" s="10"/>
      <c r="AA785" s="10"/>
      <c r="AB785" s="10"/>
      <c r="AC785" s="10"/>
      <c r="AF785" s="11"/>
    </row>
    <row r="786" spans="3:32" ht="12.75" customHeight="1" x14ac:dyDescent="0.3">
      <c r="C786" s="10"/>
      <c r="D786" s="10"/>
      <c r="E786" s="10"/>
      <c r="F786" s="10"/>
      <c r="G786" s="10"/>
      <c r="H786" s="10"/>
      <c r="I786" s="10"/>
      <c r="J786" s="10"/>
      <c r="K786" s="10"/>
      <c r="L786" s="10"/>
      <c r="M786" s="10"/>
      <c r="N786" s="10"/>
      <c r="O786" s="10"/>
      <c r="P786" s="10"/>
      <c r="Q786" s="79"/>
      <c r="R786" s="80"/>
      <c r="S786" s="81"/>
      <c r="T786" s="81"/>
      <c r="U786" s="81"/>
      <c r="V786" s="81"/>
      <c r="W786" s="10"/>
      <c r="X786" s="10"/>
      <c r="Y786" s="10"/>
      <c r="Z786" s="10"/>
      <c r="AA786" s="10"/>
      <c r="AB786" s="10"/>
      <c r="AC786" s="10"/>
      <c r="AF786" s="11"/>
    </row>
    <row r="787" spans="3:32" ht="12.75" customHeight="1" x14ac:dyDescent="0.3">
      <c r="C787" s="10"/>
      <c r="D787" s="10"/>
      <c r="E787" s="10"/>
      <c r="F787" s="10"/>
      <c r="G787" s="10"/>
      <c r="H787" s="10"/>
      <c r="I787" s="10"/>
      <c r="J787" s="10"/>
      <c r="K787" s="10"/>
      <c r="L787" s="10"/>
      <c r="M787" s="10"/>
      <c r="N787" s="10"/>
      <c r="O787" s="10"/>
      <c r="P787" s="10"/>
      <c r="Q787" s="79"/>
      <c r="R787" s="80"/>
      <c r="S787" s="81"/>
      <c r="T787" s="81"/>
      <c r="U787" s="81"/>
      <c r="V787" s="81"/>
      <c r="W787" s="10"/>
      <c r="X787" s="10"/>
      <c r="Y787" s="10"/>
      <c r="Z787" s="10"/>
      <c r="AA787" s="10"/>
      <c r="AB787" s="10"/>
      <c r="AC787" s="10"/>
      <c r="AF787" s="11"/>
    </row>
    <row r="788" spans="3:32" ht="12.75" customHeight="1" x14ac:dyDescent="0.3">
      <c r="C788" s="10"/>
      <c r="D788" s="10"/>
      <c r="E788" s="10"/>
      <c r="F788" s="10"/>
      <c r="G788" s="10"/>
      <c r="H788" s="10"/>
      <c r="I788" s="10"/>
      <c r="J788" s="10"/>
      <c r="K788" s="10"/>
      <c r="L788" s="10"/>
      <c r="M788" s="10"/>
      <c r="N788" s="10"/>
      <c r="O788" s="10"/>
      <c r="P788" s="10"/>
      <c r="Q788" s="79"/>
      <c r="R788" s="80"/>
      <c r="S788" s="81"/>
      <c r="T788" s="81"/>
      <c r="U788" s="81"/>
      <c r="V788" s="81"/>
      <c r="W788" s="10"/>
      <c r="X788" s="10"/>
      <c r="Y788" s="10"/>
      <c r="Z788" s="10"/>
      <c r="AA788" s="10"/>
      <c r="AB788" s="10"/>
      <c r="AC788" s="10"/>
      <c r="AF788" s="11"/>
    </row>
    <row r="789" spans="3:32" ht="12.75" customHeight="1" x14ac:dyDescent="0.3">
      <c r="C789" s="10"/>
      <c r="D789" s="10"/>
      <c r="E789" s="10"/>
      <c r="F789" s="10"/>
      <c r="G789" s="10"/>
      <c r="H789" s="10"/>
      <c r="I789" s="10"/>
      <c r="J789" s="10"/>
      <c r="K789" s="10"/>
      <c r="L789" s="10"/>
      <c r="M789" s="10"/>
      <c r="N789" s="10"/>
      <c r="O789" s="10"/>
      <c r="P789" s="10"/>
      <c r="Q789" s="79"/>
      <c r="R789" s="80"/>
      <c r="S789" s="81"/>
      <c r="T789" s="81"/>
      <c r="U789" s="81"/>
      <c r="V789" s="81"/>
      <c r="W789" s="10"/>
      <c r="X789" s="10"/>
      <c r="Y789" s="10"/>
      <c r="Z789" s="10"/>
      <c r="AA789" s="10"/>
      <c r="AB789" s="10"/>
      <c r="AC789" s="10"/>
      <c r="AF789" s="11"/>
    </row>
    <row r="790" spans="3:32" ht="12.75" customHeight="1" x14ac:dyDescent="0.3">
      <c r="C790" s="10"/>
      <c r="D790" s="10"/>
      <c r="E790" s="10"/>
      <c r="F790" s="10"/>
      <c r="G790" s="10"/>
      <c r="H790" s="10"/>
      <c r="I790" s="10"/>
      <c r="J790" s="10"/>
      <c r="K790" s="10"/>
      <c r="L790" s="10"/>
      <c r="M790" s="10"/>
      <c r="N790" s="10"/>
      <c r="O790" s="10"/>
      <c r="P790" s="10"/>
      <c r="Q790" s="79"/>
      <c r="R790" s="80"/>
      <c r="S790" s="81"/>
      <c r="T790" s="81"/>
      <c r="U790" s="81"/>
      <c r="V790" s="81"/>
      <c r="W790" s="10"/>
      <c r="X790" s="10"/>
      <c r="Y790" s="10"/>
      <c r="Z790" s="10"/>
      <c r="AA790" s="10"/>
      <c r="AB790" s="10"/>
      <c r="AC790" s="10"/>
      <c r="AF790" s="11"/>
    </row>
    <row r="791" spans="3:32" ht="12.75" customHeight="1" x14ac:dyDescent="0.3">
      <c r="C791" s="10"/>
      <c r="D791" s="10"/>
      <c r="E791" s="10"/>
      <c r="F791" s="10"/>
      <c r="G791" s="10"/>
      <c r="H791" s="10"/>
      <c r="I791" s="10"/>
      <c r="J791" s="10"/>
      <c r="K791" s="10"/>
      <c r="L791" s="10"/>
      <c r="M791" s="10"/>
      <c r="N791" s="10"/>
      <c r="O791" s="10"/>
      <c r="P791" s="10"/>
      <c r="Q791" s="79"/>
      <c r="R791" s="80"/>
      <c r="S791" s="81"/>
      <c r="T791" s="81"/>
      <c r="U791" s="81"/>
      <c r="V791" s="81"/>
      <c r="W791" s="10"/>
      <c r="X791" s="10"/>
      <c r="Y791" s="10"/>
      <c r="Z791" s="10"/>
      <c r="AA791" s="10"/>
      <c r="AB791" s="10"/>
      <c r="AC791" s="10"/>
      <c r="AF791" s="11"/>
    </row>
    <row r="792" spans="3:32" ht="12.75" customHeight="1" x14ac:dyDescent="0.3">
      <c r="C792" s="10"/>
      <c r="D792" s="10"/>
      <c r="E792" s="10"/>
      <c r="F792" s="10"/>
      <c r="G792" s="10"/>
      <c r="H792" s="10"/>
      <c r="I792" s="10"/>
      <c r="J792" s="10"/>
      <c r="K792" s="10"/>
      <c r="L792" s="10"/>
      <c r="M792" s="10"/>
      <c r="N792" s="10"/>
      <c r="O792" s="10"/>
      <c r="P792" s="10"/>
      <c r="Q792" s="79"/>
      <c r="R792" s="80"/>
      <c r="S792" s="81"/>
      <c r="T792" s="81"/>
      <c r="U792" s="81"/>
      <c r="V792" s="81"/>
      <c r="W792" s="10"/>
      <c r="X792" s="10"/>
      <c r="Y792" s="10"/>
      <c r="Z792" s="10"/>
      <c r="AA792" s="10"/>
      <c r="AB792" s="10"/>
      <c r="AC792" s="10"/>
      <c r="AF792" s="11"/>
    </row>
    <row r="793" spans="3:32" ht="12.75" customHeight="1" x14ac:dyDescent="0.3">
      <c r="C793" s="10"/>
      <c r="D793" s="10"/>
      <c r="E793" s="10"/>
      <c r="F793" s="10"/>
      <c r="G793" s="10"/>
      <c r="H793" s="10"/>
      <c r="I793" s="10"/>
      <c r="J793" s="10"/>
      <c r="K793" s="10"/>
      <c r="L793" s="10"/>
      <c r="M793" s="10"/>
      <c r="N793" s="10"/>
      <c r="O793" s="10"/>
      <c r="P793" s="10"/>
      <c r="Q793" s="79"/>
      <c r="R793" s="80"/>
      <c r="S793" s="81"/>
      <c r="T793" s="81"/>
      <c r="U793" s="81"/>
      <c r="V793" s="81"/>
      <c r="W793" s="10"/>
      <c r="X793" s="10"/>
      <c r="Y793" s="10"/>
      <c r="Z793" s="10"/>
      <c r="AA793" s="10"/>
      <c r="AB793" s="10"/>
      <c r="AC793" s="10"/>
      <c r="AF793" s="11"/>
    </row>
    <row r="794" spans="3:32" ht="12.75" customHeight="1" x14ac:dyDescent="0.3">
      <c r="C794" s="10"/>
      <c r="D794" s="10"/>
      <c r="E794" s="10"/>
      <c r="F794" s="10"/>
      <c r="G794" s="10"/>
      <c r="H794" s="10"/>
      <c r="I794" s="10"/>
      <c r="J794" s="10"/>
      <c r="K794" s="10"/>
      <c r="L794" s="10"/>
      <c r="M794" s="10"/>
      <c r="N794" s="10"/>
      <c r="O794" s="10"/>
      <c r="P794" s="10"/>
      <c r="Q794" s="79"/>
      <c r="R794" s="80"/>
      <c r="S794" s="81"/>
      <c r="T794" s="81"/>
      <c r="U794" s="81"/>
      <c r="V794" s="81"/>
      <c r="W794" s="10"/>
      <c r="X794" s="10"/>
      <c r="Y794" s="10"/>
      <c r="Z794" s="10"/>
      <c r="AA794" s="10"/>
      <c r="AB794" s="10"/>
      <c r="AC794" s="10"/>
      <c r="AF794" s="11"/>
    </row>
    <row r="795" spans="3:32" ht="12.75" customHeight="1" x14ac:dyDescent="0.3">
      <c r="C795" s="10"/>
      <c r="D795" s="10"/>
      <c r="E795" s="10"/>
      <c r="F795" s="10"/>
      <c r="G795" s="10"/>
      <c r="H795" s="10"/>
      <c r="I795" s="10"/>
      <c r="J795" s="10"/>
      <c r="K795" s="10"/>
      <c r="L795" s="10"/>
      <c r="M795" s="10"/>
      <c r="N795" s="10"/>
      <c r="O795" s="10"/>
      <c r="P795" s="10"/>
      <c r="Q795" s="79"/>
      <c r="R795" s="80"/>
      <c r="S795" s="81"/>
      <c r="T795" s="81"/>
      <c r="U795" s="81"/>
      <c r="V795" s="81"/>
      <c r="W795" s="10"/>
      <c r="X795" s="10"/>
      <c r="Y795" s="10"/>
      <c r="Z795" s="10"/>
      <c r="AA795" s="10"/>
      <c r="AB795" s="10"/>
      <c r="AC795" s="10"/>
      <c r="AF795" s="11"/>
    </row>
    <row r="796" spans="3:32" ht="12.75" customHeight="1" x14ac:dyDescent="0.3">
      <c r="C796" s="10"/>
      <c r="D796" s="10"/>
      <c r="E796" s="10"/>
      <c r="F796" s="10"/>
      <c r="G796" s="10"/>
      <c r="H796" s="10"/>
      <c r="I796" s="10"/>
      <c r="J796" s="10"/>
      <c r="K796" s="10"/>
      <c r="L796" s="10"/>
      <c r="M796" s="10"/>
      <c r="N796" s="10"/>
      <c r="O796" s="10"/>
      <c r="P796" s="10"/>
      <c r="Q796" s="79"/>
      <c r="R796" s="80"/>
      <c r="S796" s="81"/>
      <c r="T796" s="81"/>
      <c r="U796" s="81"/>
      <c r="V796" s="81"/>
      <c r="W796" s="10"/>
      <c r="X796" s="10"/>
      <c r="Y796" s="10"/>
      <c r="Z796" s="10"/>
      <c r="AA796" s="10"/>
      <c r="AB796" s="10"/>
      <c r="AC796" s="10"/>
      <c r="AF796" s="11"/>
    </row>
    <row r="797" spans="3:32" ht="12.75" customHeight="1" x14ac:dyDescent="0.3">
      <c r="C797" s="10"/>
      <c r="D797" s="10"/>
      <c r="E797" s="10"/>
      <c r="F797" s="10"/>
      <c r="G797" s="10"/>
      <c r="H797" s="10"/>
      <c r="I797" s="10"/>
      <c r="J797" s="10"/>
      <c r="K797" s="10"/>
      <c r="L797" s="10"/>
      <c r="M797" s="10"/>
      <c r="N797" s="10"/>
      <c r="O797" s="10"/>
      <c r="P797" s="10"/>
      <c r="Q797" s="79"/>
      <c r="R797" s="80"/>
      <c r="S797" s="81"/>
      <c r="T797" s="81"/>
      <c r="U797" s="81"/>
      <c r="V797" s="81"/>
      <c r="W797" s="10"/>
      <c r="X797" s="10"/>
      <c r="Y797" s="10"/>
      <c r="Z797" s="10"/>
      <c r="AA797" s="10"/>
      <c r="AB797" s="10"/>
      <c r="AC797" s="10"/>
      <c r="AF797" s="11"/>
    </row>
    <row r="798" spans="3:32" ht="12.75" customHeight="1" x14ac:dyDescent="0.3">
      <c r="C798" s="10"/>
      <c r="D798" s="10"/>
      <c r="E798" s="10"/>
      <c r="F798" s="10"/>
      <c r="G798" s="10"/>
      <c r="H798" s="10"/>
      <c r="I798" s="10"/>
      <c r="J798" s="10"/>
      <c r="K798" s="10"/>
      <c r="L798" s="10"/>
      <c r="M798" s="10"/>
      <c r="N798" s="10"/>
      <c r="O798" s="10"/>
      <c r="P798" s="10"/>
      <c r="Q798" s="79"/>
      <c r="R798" s="80"/>
      <c r="S798" s="81"/>
      <c r="T798" s="81"/>
      <c r="U798" s="81"/>
      <c r="V798" s="81"/>
      <c r="W798" s="10"/>
      <c r="X798" s="10"/>
      <c r="Y798" s="10"/>
      <c r="Z798" s="10"/>
      <c r="AA798" s="10"/>
      <c r="AB798" s="10"/>
      <c r="AC798" s="10"/>
      <c r="AF798" s="11"/>
    </row>
    <row r="799" spans="3:32" ht="12.75" customHeight="1" x14ac:dyDescent="0.3">
      <c r="C799" s="10"/>
      <c r="D799" s="10"/>
      <c r="E799" s="10"/>
      <c r="F799" s="10"/>
      <c r="G799" s="10"/>
      <c r="H799" s="10"/>
      <c r="I799" s="10"/>
      <c r="J799" s="10"/>
      <c r="K799" s="10"/>
      <c r="L799" s="10"/>
      <c r="M799" s="10"/>
      <c r="N799" s="10"/>
      <c r="O799" s="10"/>
      <c r="P799" s="10"/>
      <c r="Q799" s="79"/>
      <c r="R799" s="80"/>
      <c r="S799" s="81"/>
      <c r="T799" s="81"/>
      <c r="U799" s="81"/>
      <c r="V799" s="81"/>
      <c r="W799" s="10"/>
      <c r="X799" s="10"/>
      <c r="Y799" s="10"/>
      <c r="Z799" s="10"/>
      <c r="AA799" s="10"/>
      <c r="AB799" s="10"/>
      <c r="AC799" s="10"/>
      <c r="AF799" s="11"/>
    </row>
    <row r="800" spans="3:32" ht="12.75" customHeight="1" x14ac:dyDescent="0.3">
      <c r="C800" s="10"/>
      <c r="D800" s="10"/>
      <c r="E800" s="10"/>
      <c r="F800" s="10"/>
      <c r="G800" s="10"/>
      <c r="H800" s="10"/>
      <c r="I800" s="10"/>
      <c r="J800" s="10"/>
      <c r="K800" s="10"/>
      <c r="L800" s="10"/>
      <c r="M800" s="10"/>
      <c r="N800" s="10"/>
      <c r="O800" s="10"/>
      <c r="P800" s="10"/>
      <c r="Q800" s="79"/>
      <c r="R800" s="80"/>
      <c r="S800" s="81"/>
      <c r="T800" s="81"/>
      <c r="U800" s="81"/>
      <c r="V800" s="81"/>
      <c r="W800" s="10"/>
      <c r="X800" s="10"/>
      <c r="Y800" s="10"/>
      <c r="Z800" s="10"/>
      <c r="AA800" s="10"/>
      <c r="AB800" s="10"/>
      <c r="AC800" s="10"/>
      <c r="AF800" s="11"/>
    </row>
    <row r="801" spans="3:32" ht="12.75" customHeight="1" x14ac:dyDescent="0.3">
      <c r="C801" s="10"/>
      <c r="D801" s="10"/>
      <c r="E801" s="10"/>
      <c r="F801" s="10"/>
      <c r="G801" s="10"/>
      <c r="H801" s="10"/>
      <c r="I801" s="10"/>
      <c r="J801" s="10"/>
      <c r="K801" s="10"/>
      <c r="L801" s="10"/>
      <c r="M801" s="10"/>
      <c r="N801" s="10"/>
      <c r="O801" s="10"/>
      <c r="P801" s="10"/>
      <c r="Q801" s="79"/>
      <c r="R801" s="80"/>
      <c r="S801" s="81"/>
      <c r="T801" s="81"/>
      <c r="U801" s="81"/>
      <c r="V801" s="81"/>
      <c r="W801" s="10"/>
      <c r="X801" s="10"/>
      <c r="Y801" s="10"/>
      <c r="Z801" s="10"/>
      <c r="AA801" s="10"/>
      <c r="AB801" s="10"/>
      <c r="AC801" s="10"/>
      <c r="AF801" s="11"/>
    </row>
    <row r="802" spans="3:32" ht="12.75" customHeight="1" x14ac:dyDescent="0.3">
      <c r="C802" s="10"/>
      <c r="D802" s="10"/>
      <c r="E802" s="10"/>
      <c r="F802" s="10"/>
      <c r="G802" s="10"/>
      <c r="H802" s="10"/>
      <c r="I802" s="10"/>
      <c r="J802" s="10"/>
      <c r="K802" s="10"/>
      <c r="L802" s="10"/>
      <c r="M802" s="10"/>
      <c r="N802" s="10"/>
      <c r="O802" s="10"/>
      <c r="P802" s="10"/>
      <c r="Q802" s="79"/>
      <c r="R802" s="80"/>
      <c r="S802" s="81"/>
      <c r="T802" s="81"/>
      <c r="U802" s="81"/>
      <c r="V802" s="81"/>
      <c r="W802" s="10"/>
      <c r="X802" s="10"/>
      <c r="Y802" s="10"/>
      <c r="Z802" s="10"/>
      <c r="AA802" s="10"/>
      <c r="AB802" s="10"/>
      <c r="AC802" s="10"/>
      <c r="AF802" s="11"/>
    </row>
    <row r="803" spans="3:32" ht="12.75" customHeight="1" x14ac:dyDescent="0.3">
      <c r="C803" s="10"/>
      <c r="D803" s="10"/>
      <c r="E803" s="10"/>
      <c r="F803" s="10"/>
      <c r="G803" s="10"/>
      <c r="H803" s="10"/>
      <c r="I803" s="10"/>
      <c r="J803" s="10"/>
      <c r="K803" s="10"/>
      <c r="L803" s="10"/>
      <c r="M803" s="10"/>
      <c r="N803" s="10"/>
      <c r="O803" s="10"/>
      <c r="P803" s="10"/>
      <c r="Q803" s="79"/>
      <c r="R803" s="80"/>
      <c r="S803" s="81"/>
      <c r="T803" s="81"/>
      <c r="U803" s="81"/>
      <c r="V803" s="81"/>
      <c r="W803" s="10"/>
      <c r="X803" s="10"/>
      <c r="Y803" s="10"/>
      <c r="Z803" s="10"/>
      <c r="AA803" s="10"/>
      <c r="AB803" s="10"/>
      <c r="AC803" s="10"/>
      <c r="AF803" s="11"/>
    </row>
    <row r="804" spans="3:32" ht="12.75" customHeight="1" x14ac:dyDescent="0.3">
      <c r="C804" s="10"/>
      <c r="D804" s="10"/>
      <c r="E804" s="10"/>
      <c r="F804" s="10"/>
      <c r="G804" s="10"/>
      <c r="H804" s="10"/>
      <c r="I804" s="10"/>
      <c r="J804" s="10"/>
      <c r="K804" s="10"/>
      <c r="L804" s="10"/>
      <c r="M804" s="10"/>
      <c r="N804" s="10"/>
      <c r="O804" s="10"/>
      <c r="P804" s="10"/>
      <c r="Q804" s="79"/>
      <c r="R804" s="80"/>
      <c r="S804" s="81"/>
      <c r="T804" s="81"/>
      <c r="U804" s="81"/>
      <c r="V804" s="81"/>
      <c r="W804" s="10"/>
      <c r="X804" s="10"/>
      <c r="Y804" s="10"/>
      <c r="Z804" s="10"/>
      <c r="AA804" s="10"/>
      <c r="AB804" s="10"/>
      <c r="AC804" s="10"/>
      <c r="AF804" s="11"/>
    </row>
    <row r="805" spans="3:32" ht="12.75" customHeight="1" x14ac:dyDescent="0.3">
      <c r="C805" s="10"/>
      <c r="D805" s="10"/>
      <c r="E805" s="10"/>
      <c r="F805" s="10"/>
      <c r="G805" s="10"/>
      <c r="H805" s="10"/>
      <c r="I805" s="10"/>
      <c r="J805" s="10"/>
      <c r="K805" s="10"/>
      <c r="L805" s="10"/>
      <c r="M805" s="10"/>
      <c r="N805" s="10"/>
      <c r="O805" s="10"/>
      <c r="P805" s="10"/>
      <c r="Q805" s="79"/>
      <c r="R805" s="80"/>
      <c r="S805" s="81"/>
      <c r="T805" s="81"/>
      <c r="U805" s="81"/>
      <c r="V805" s="81"/>
      <c r="W805" s="10"/>
      <c r="X805" s="10"/>
      <c r="Y805" s="10"/>
      <c r="Z805" s="10"/>
      <c r="AA805" s="10"/>
      <c r="AB805" s="10"/>
      <c r="AC805" s="10"/>
      <c r="AF805" s="11"/>
    </row>
    <row r="806" spans="3:32" ht="12.75" customHeight="1" x14ac:dyDescent="0.3">
      <c r="C806" s="10"/>
      <c r="D806" s="10"/>
      <c r="E806" s="10"/>
      <c r="F806" s="10"/>
      <c r="G806" s="10"/>
      <c r="H806" s="10"/>
      <c r="I806" s="10"/>
      <c r="J806" s="10"/>
      <c r="K806" s="10"/>
      <c r="L806" s="10"/>
      <c r="M806" s="10"/>
      <c r="N806" s="10"/>
      <c r="O806" s="10"/>
      <c r="P806" s="10"/>
      <c r="Q806" s="79"/>
      <c r="R806" s="80"/>
      <c r="S806" s="81"/>
      <c r="T806" s="81"/>
      <c r="U806" s="81"/>
      <c r="V806" s="81"/>
      <c r="W806" s="10"/>
      <c r="X806" s="10"/>
      <c r="Y806" s="10"/>
      <c r="Z806" s="10"/>
      <c r="AA806" s="10"/>
      <c r="AB806" s="10"/>
      <c r="AC806" s="10"/>
      <c r="AF806" s="11"/>
    </row>
    <row r="807" spans="3:32" ht="12.75" customHeight="1" x14ac:dyDescent="0.3">
      <c r="C807" s="10"/>
      <c r="D807" s="10"/>
      <c r="E807" s="10"/>
      <c r="F807" s="10"/>
      <c r="G807" s="10"/>
      <c r="H807" s="10"/>
      <c r="I807" s="10"/>
      <c r="J807" s="10"/>
      <c r="K807" s="10"/>
      <c r="L807" s="10"/>
      <c r="M807" s="10"/>
      <c r="N807" s="10"/>
      <c r="O807" s="10"/>
      <c r="P807" s="10"/>
      <c r="Q807" s="79"/>
      <c r="R807" s="80"/>
      <c r="S807" s="81"/>
      <c r="T807" s="81"/>
      <c r="U807" s="81"/>
      <c r="V807" s="81"/>
      <c r="W807" s="10"/>
      <c r="X807" s="10"/>
      <c r="Y807" s="10"/>
      <c r="Z807" s="10"/>
      <c r="AA807" s="10"/>
      <c r="AB807" s="10"/>
      <c r="AC807" s="10"/>
      <c r="AF807" s="11"/>
    </row>
    <row r="808" spans="3:32" ht="12.75" customHeight="1" x14ac:dyDescent="0.3">
      <c r="C808" s="10"/>
      <c r="D808" s="10"/>
      <c r="E808" s="10"/>
      <c r="F808" s="10"/>
      <c r="G808" s="10"/>
      <c r="H808" s="10"/>
      <c r="I808" s="10"/>
      <c r="J808" s="10"/>
      <c r="K808" s="10"/>
      <c r="L808" s="10"/>
      <c r="M808" s="10"/>
      <c r="N808" s="10"/>
      <c r="O808" s="10"/>
      <c r="P808" s="10"/>
      <c r="Q808" s="79"/>
      <c r="R808" s="80"/>
      <c r="S808" s="81"/>
      <c r="T808" s="81"/>
      <c r="U808" s="81"/>
      <c r="V808" s="81"/>
      <c r="W808" s="10"/>
      <c r="X808" s="10"/>
      <c r="Y808" s="10"/>
      <c r="Z808" s="10"/>
      <c r="AA808" s="10"/>
      <c r="AB808" s="10"/>
      <c r="AC808" s="10"/>
      <c r="AF808" s="11"/>
    </row>
    <row r="809" spans="3:32" ht="12.75" customHeight="1" x14ac:dyDescent="0.3">
      <c r="C809" s="10"/>
      <c r="D809" s="10"/>
      <c r="E809" s="10"/>
      <c r="F809" s="10"/>
      <c r="G809" s="10"/>
      <c r="H809" s="10"/>
      <c r="I809" s="10"/>
      <c r="J809" s="10"/>
      <c r="K809" s="10"/>
      <c r="L809" s="10"/>
      <c r="M809" s="10"/>
      <c r="N809" s="10"/>
      <c r="O809" s="10"/>
      <c r="P809" s="10"/>
      <c r="Q809" s="79"/>
      <c r="R809" s="80"/>
      <c r="S809" s="81"/>
      <c r="T809" s="81"/>
      <c r="U809" s="81"/>
      <c r="V809" s="81"/>
      <c r="W809" s="10"/>
      <c r="X809" s="10"/>
      <c r="Y809" s="10"/>
      <c r="Z809" s="10"/>
      <c r="AA809" s="10"/>
      <c r="AB809" s="10"/>
      <c r="AC809" s="10"/>
      <c r="AF809" s="11"/>
    </row>
    <row r="810" spans="3:32" ht="12.75" customHeight="1" x14ac:dyDescent="0.3">
      <c r="C810" s="10"/>
      <c r="D810" s="10"/>
      <c r="E810" s="10"/>
      <c r="F810" s="10"/>
      <c r="G810" s="10"/>
      <c r="H810" s="10"/>
      <c r="I810" s="10"/>
      <c r="J810" s="10"/>
      <c r="K810" s="10"/>
      <c r="L810" s="10"/>
      <c r="M810" s="10"/>
      <c r="N810" s="10"/>
      <c r="O810" s="10"/>
      <c r="P810" s="10"/>
      <c r="Q810" s="79"/>
      <c r="R810" s="80"/>
      <c r="S810" s="81"/>
      <c r="T810" s="81"/>
      <c r="U810" s="81"/>
      <c r="V810" s="81"/>
      <c r="W810" s="10"/>
      <c r="X810" s="10"/>
      <c r="Y810" s="10"/>
      <c r="Z810" s="10"/>
      <c r="AA810" s="10"/>
      <c r="AB810" s="10"/>
      <c r="AC810" s="10"/>
      <c r="AF810" s="11"/>
    </row>
    <row r="811" spans="3:32" ht="12.75" customHeight="1" x14ac:dyDescent="0.3">
      <c r="C811" s="10"/>
      <c r="D811" s="10"/>
      <c r="E811" s="10"/>
      <c r="F811" s="10"/>
      <c r="G811" s="10"/>
      <c r="H811" s="10"/>
      <c r="I811" s="10"/>
      <c r="J811" s="10"/>
      <c r="K811" s="10"/>
      <c r="L811" s="10"/>
      <c r="M811" s="10"/>
      <c r="N811" s="10"/>
      <c r="O811" s="10"/>
      <c r="P811" s="10"/>
      <c r="Q811" s="79"/>
      <c r="R811" s="80"/>
      <c r="S811" s="81"/>
      <c r="T811" s="81"/>
      <c r="U811" s="81"/>
      <c r="V811" s="81"/>
      <c r="W811" s="10"/>
      <c r="X811" s="10"/>
      <c r="Y811" s="10"/>
      <c r="Z811" s="10"/>
      <c r="AA811" s="10"/>
      <c r="AB811" s="10"/>
      <c r="AC811" s="10"/>
      <c r="AF811" s="11"/>
    </row>
    <row r="812" spans="3:32" ht="12.75" customHeight="1" x14ac:dyDescent="0.3">
      <c r="C812" s="10"/>
      <c r="D812" s="10"/>
      <c r="E812" s="10"/>
      <c r="F812" s="10"/>
      <c r="G812" s="10"/>
      <c r="H812" s="10"/>
      <c r="I812" s="10"/>
      <c r="J812" s="10"/>
      <c r="K812" s="10"/>
      <c r="L812" s="10"/>
      <c r="M812" s="10"/>
      <c r="N812" s="10"/>
      <c r="O812" s="10"/>
      <c r="P812" s="10"/>
      <c r="Q812" s="79"/>
      <c r="R812" s="80"/>
      <c r="S812" s="81"/>
      <c r="T812" s="81"/>
      <c r="U812" s="81"/>
      <c r="V812" s="81"/>
      <c r="W812" s="10"/>
      <c r="X812" s="10"/>
      <c r="Y812" s="10"/>
      <c r="Z812" s="10"/>
      <c r="AA812" s="10"/>
      <c r="AB812" s="10"/>
      <c r="AC812" s="10"/>
      <c r="AF812" s="11"/>
    </row>
    <row r="813" spans="3:32" ht="12.75" customHeight="1" x14ac:dyDescent="0.3">
      <c r="C813" s="10"/>
      <c r="D813" s="10"/>
      <c r="E813" s="10"/>
      <c r="F813" s="10"/>
      <c r="G813" s="10"/>
      <c r="H813" s="10"/>
      <c r="I813" s="10"/>
      <c r="J813" s="10"/>
      <c r="K813" s="10"/>
      <c r="L813" s="10"/>
      <c r="M813" s="10"/>
      <c r="N813" s="10"/>
      <c r="O813" s="10"/>
      <c r="P813" s="10"/>
      <c r="Q813" s="79"/>
      <c r="R813" s="80"/>
      <c r="S813" s="81"/>
      <c r="T813" s="81"/>
      <c r="U813" s="81"/>
      <c r="V813" s="81"/>
      <c r="W813" s="10"/>
      <c r="X813" s="10"/>
      <c r="Y813" s="10"/>
      <c r="Z813" s="10"/>
      <c r="AA813" s="10"/>
      <c r="AB813" s="10"/>
      <c r="AC813" s="10"/>
      <c r="AF813" s="11"/>
    </row>
    <row r="814" spans="3:32" ht="12.75" customHeight="1" x14ac:dyDescent="0.3">
      <c r="C814" s="10"/>
      <c r="D814" s="10"/>
      <c r="E814" s="10"/>
      <c r="F814" s="10"/>
      <c r="G814" s="10"/>
      <c r="H814" s="10"/>
      <c r="I814" s="10"/>
      <c r="J814" s="10"/>
      <c r="K814" s="10"/>
      <c r="L814" s="10"/>
      <c r="M814" s="10"/>
      <c r="N814" s="10"/>
      <c r="O814" s="10"/>
      <c r="P814" s="10"/>
      <c r="Q814" s="79"/>
      <c r="R814" s="80"/>
      <c r="S814" s="81"/>
      <c r="T814" s="81"/>
      <c r="U814" s="81"/>
      <c r="V814" s="81"/>
      <c r="W814" s="10"/>
      <c r="X814" s="10"/>
      <c r="Y814" s="10"/>
      <c r="Z814" s="10"/>
      <c r="AA814" s="10"/>
      <c r="AB814" s="10"/>
      <c r="AC814" s="10"/>
      <c r="AF814" s="11"/>
    </row>
    <row r="815" spans="3:32" ht="12.75" customHeight="1" x14ac:dyDescent="0.3">
      <c r="C815" s="10"/>
      <c r="D815" s="10"/>
      <c r="E815" s="10"/>
      <c r="F815" s="10"/>
      <c r="G815" s="10"/>
      <c r="H815" s="10"/>
      <c r="I815" s="10"/>
      <c r="J815" s="10"/>
      <c r="K815" s="10"/>
      <c r="L815" s="10"/>
      <c r="M815" s="10"/>
      <c r="N815" s="10"/>
      <c r="O815" s="10"/>
      <c r="P815" s="10"/>
      <c r="Q815" s="79"/>
      <c r="R815" s="80"/>
      <c r="S815" s="81"/>
      <c r="T815" s="81"/>
      <c r="U815" s="81"/>
      <c r="V815" s="81"/>
      <c r="W815" s="10"/>
      <c r="X815" s="10"/>
      <c r="Y815" s="10"/>
      <c r="Z815" s="10"/>
      <c r="AA815" s="10"/>
      <c r="AB815" s="10"/>
      <c r="AC815" s="10"/>
      <c r="AF815" s="11"/>
    </row>
    <row r="816" spans="3:32" ht="12.75" customHeight="1" x14ac:dyDescent="0.3">
      <c r="C816" s="10"/>
      <c r="D816" s="10"/>
      <c r="E816" s="10"/>
      <c r="F816" s="10"/>
      <c r="G816" s="10"/>
      <c r="H816" s="10"/>
      <c r="I816" s="10"/>
      <c r="J816" s="10"/>
      <c r="K816" s="10"/>
      <c r="L816" s="10"/>
      <c r="M816" s="10"/>
      <c r="N816" s="10"/>
      <c r="O816" s="10"/>
      <c r="P816" s="10"/>
      <c r="Q816" s="79"/>
      <c r="R816" s="80"/>
      <c r="S816" s="81"/>
      <c r="T816" s="81"/>
      <c r="U816" s="81"/>
      <c r="V816" s="81"/>
      <c r="W816" s="10"/>
      <c r="X816" s="10"/>
      <c r="Y816" s="10"/>
      <c r="Z816" s="10"/>
      <c r="AA816" s="10"/>
      <c r="AB816" s="10"/>
      <c r="AC816" s="10"/>
      <c r="AF816" s="11"/>
    </row>
    <row r="817" spans="3:32" ht="12.75" customHeight="1" x14ac:dyDescent="0.3">
      <c r="C817" s="10"/>
      <c r="D817" s="10"/>
      <c r="E817" s="10"/>
      <c r="F817" s="10"/>
      <c r="G817" s="10"/>
      <c r="H817" s="10"/>
      <c r="I817" s="10"/>
      <c r="J817" s="10"/>
      <c r="K817" s="10"/>
      <c r="L817" s="10"/>
      <c r="M817" s="10"/>
      <c r="N817" s="10"/>
      <c r="O817" s="10"/>
      <c r="P817" s="10"/>
      <c r="Q817" s="79"/>
      <c r="R817" s="80"/>
      <c r="S817" s="81"/>
      <c r="T817" s="81"/>
      <c r="U817" s="81"/>
      <c r="V817" s="81"/>
      <c r="W817" s="10"/>
      <c r="X817" s="10"/>
      <c r="Y817" s="10"/>
      <c r="Z817" s="10"/>
      <c r="AA817" s="10"/>
      <c r="AB817" s="10"/>
      <c r="AC817" s="10"/>
      <c r="AF817" s="11"/>
    </row>
    <row r="818" spans="3:32" ht="12.75" customHeight="1" x14ac:dyDescent="0.3">
      <c r="C818" s="10"/>
      <c r="D818" s="10"/>
      <c r="E818" s="10"/>
      <c r="F818" s="10"/>
      <c r="G818" s="10"/>
      <c r="H818" s="10"/>
      <c r="I818" s="10"/>
      <c r="J818" s="10"/>
      <c r="K818" s="10"/>
      <c r="L818" s="10"/>
      <c r="M818" s="10"/>
      <c r="N818" s="10"/>
      <c r="O818" s="10"/>
      <c r="P818" s="10"/>
      <c r="Q818" s="79"/>
      <c r="R818" s="80"/>
      <c r="S818" s="81"/>
      <c r="T818" s="81"/>
      <c r="U818" s="81"/>
      <c r="V818" s="81"/>
      <c r="W818" s="10"/>
      <c r="X818" s="10"/>
      <c r="Y818" s="10"/>
      <c r="Z818" s="10"/>
      <c r="AA818" s="10"/>
      <c r="AB818" s="10"/>
      <c r="AC818" s="10"/>
      <c r="AF818" s="11"/>
    </row>
    <row r="819" spans="3:32" ht="12.75" customHeight="1" x14ac:dyDescent="0.3">
      <c r="C819" s="10"/>
      <c r="D819" s="10"/>
      <c r="E819" s="10"/>
      <c r="F819" s="10"/>
      <c r="G819" s="10"/>
      <c r="H819" s="10"/>
      <c r="I819" s="10"/>
      <c r="J819" s="10"/>
      <c r="K819" s="10"/>
      <c r="L819" s="10"/>
      <c r="M819" s="10"/>
      <c r="N819" s="10"/>
      <c r="O819" s="10"/>
      <c r="P819" s="10"/>
      <c r="Q819" s="79"/>
      <c r="R819" s="80"/>
      <c r="S819" s="81"/>
      <c r="T819" s="81"/>
      <c r="U819" s="81"/>
      <c r="V819" s="81"/>
      <c r="W819" s="10"/>
      <c r="X819" s="10"/>
      <c r="Y819" s="10"/>
      <c r="Z819" s="10"/>
      <c r="AA819" s="10"/>
      <c r="AB819" s="10"/>
      <c r="AC819" s="10"/>
      <c r="AF819" s="11"/>
    </row>
    <row r="820" spans="3:32" ht="12.75" customHeight="1" x14ac:dyDescent="0.3">
      <c r="C820" s="10"/>
      <c r="D820" s="10"/>
      <c r="E820" s="10"/>
      <c r="F820" s="10"/>
      <c r="G820" s="10"/>
      <c r="H820" s="10"/>
      <c r="I820" s="10"/>
      <c r="J820" s="10"/>
      <c r="K820" s="10"/>
      <c r="L820" s="10"/>
      <c r="M820" s="10"/>
      <c r="N820" s="10"/>
      <c r="O820" s="10"/>
      <c r="P820" s="10"/>
      <c r="Q820" s="79"/>
      <c r="R820" s="80"/>
      <c r="S820" s="81"/>
      <c r="T820" s="81"/>
      <c r="U820" s="81"/>
      <c r="V820" s="81"/>
      <c r="W820" s="10"/>
      <c r="X820" s="10"/>
      <c r="Y820" s="10"/>
      <c r="Z820" s="10"/>
      <c r="AA820" s="10"/>
      <c r="AB820" s="10"/>
      <c r="AC820" s="10"/>
      <c r="AF820" s="11"/>
    </row>
    <row r="821" spans="3:32" ht="12.75" customHeight="1" x14ac:dyDescent="0.3">
      <c r="C821" s="10"/>
      <c r="D821" s="10"/>
      <c r="E821" s="10"/>
      <c r="F821" s="10"/>
      <c r="G821" s="10"/>
      <c r="H821" s="10"/>
      <c r="I821" s="10"/>
      <c r="J821" s="10"/>
      <c r="K821" s="10"/>
      <c r="L821" s="10"/>
      <c r="M821" s="10"/>
      <c r="N821" s="10"/>
      <c r="O821" s="10"/>
      <c r="P821" s="10"/>
      <c r="Q821" s="79"/>
      <c r="R821" s="80"/>
      <c r="S821" s="81"/>
      <c r="T821" s="81"/>
      <c r="U821" s="81"/>
      <c r="V821" s="81"/>
      <c r="W821" s="10"/>
      <c r="X821" s="10"/>
      <c r="Y821" s="10"/>
      <c r="Z821" s="10"/>
      <c r="AA821" s="10"/>
      <c r="AB821" s="10"/>
      <c r="AC821" s="10"/>
      <c r="AF821" s="11"/>
    </row>
    <row r="822" spans="3:32" ht="12.75" customHeight="1" x14ac:dyDescent="0.3">
      <c r="C822" s="10"/>
      <c r="D822" s="10"/>
      <c r="E822" s="10"/>
      <c r="F822" s="10"/>
      <c r="G822" s="10"/>
      <c r="H822" s="10"/>
      <c r="I822" s="10"/>
      <c r="J822" s="10"/>
      <c r="K822" s="10"/>
      <c r="L822" s="10"/>
      <c r="M822" s="10"/>
      <c r="N822" s="10"/>
      <c r="O822" s="10"/>
      <c r="P822" s="10"/>
      <c r="Q822" s="79"/>
      <c r="R822" s="80"/>
      <c r="S822" s="81"/>
      <c r="T822" s="81"/>
      <c r="U822" s="81"/>
      <c r="V822" s="81"/>
      <c r="W822" s="10"/>
      <c r="X822" s="10"/>
      <c r="Y822" s="10"/>
      <c r="Z822" s="10"/>
      <c r="AA822" s="10"/>
      <c r="AB822" s="10"/>
      <c r="AC822" s="10"/>
      <c r="AF822" s="11"/>
    </row>
    <row r="823" spans="3:32" ht="12.75" customHeight="1" x14ac:dyDescent="0.3">
      <c r="C823" s="10"/>
      <c r="D823" s="10"/>
      <c r="E823" s="10"/>
      <c r="F823" s="10"/>
      <c r="G823" s="10"/>
      <c r="H823" s="10"/>
      <c r="I823" s="10"/>
      <c r="J823" s="10"/>
      <c r="K823" s="10"/>
      <c r="L823" s="10"/>
      <c r="M823" s="10"/>
      <c r="N823" s="10"/>
      <c r="O823" s="10"/>
      <c r="P823" s="10"/>
      <c r="Q823" s="79"/>
      <c r="R823" s="80"/>
      <c r="S823" s="81"/>
      <c r="T823" s="81"/>
      <c r="U823" s="81"/>
      <c r="V823" s="81"/>
      <c r="W823" s="10"/>
      <c r="X823" s="10"/>
      <c r="Y823" s="10"/>
      <c r="Z823" s="10"/>
      <c r="AA823" s="10"/>
      <c r="AB823" s="10"/>
      <c r="AC823" s="10"/>
      <c r="AF823" s="11"/>
    </row>
    <row r="824" spans="3:32" ht="12.75" customHeight="1" x14ac:dyDescent="0.3">
      <c r="C824" s="10"/>
      <c r="D824" s="10"/>
      <c r="E824" s="10"/>
      <c r="F824" s="10"/>
      <c r="G824" s="10"/>
      <c r="H824" s="10"/>
      <c r="I824" s="10"/>
      <c r="J824" s="10"/>
      <c r="K824" s="10"/>
      <c r="L824" s="10"/>
      <c r="M824" s="10"/>
      <c r="N824" s="10"/>
      <c r="O824" s="10"/>
      <c r="P824" s="10"/>
      <c r="Q824" s="79"/>
      <c r="R824" s="80"/>
      <c r="S824" s="81"/>
      <c r="T824" s="81"/>
      <c r="U824" s="81"/>
      <c r="V824" s="81"/>
      <c r="W824" s="10"/>
      <c r="X824" s="10"/>
      <c r="Y824" s="10"/>
      <c r="Z824" s="10"/>
      <c r="AA824" s="10"/>
      <c r="AB824" s="10"/>
      <c r="AC824" s="10"/>
      <c r="AF824" s="11"/>
    </row>
    <row r="825" spans="3:32" ht="12.75" customHeight="1" x14ac:dyDescent="0.3">
      <c r="C825" s="10"/>
      <c r="D825" s="10"/>
      <c r="E825" s="10"/>
      <c r="F825" s="10"/>
      <c r="G825" s="10"/>
      <c r="H825" s="10"/>
      <c r="I825" s="10"/>
      <c r="J825" s="10"/>
      <c r="K825" s="10"/>
      <c r="L825" s="10"/>
      <c r="M825" s="10"/>
      <c r="N825" s="10"/>
      <c r="O825" s="10"/>
      <c r="P825" s="10"/>
      <c r="Q825" s="79"/>
      <c r="R825" s="80"/>
      <c r="S825" s="81"/>
      <c r="T825" s="81"/>
      <c r="U825" s="81"/>
      <c r="V825" s="81"/>
      <c r="W825" s="10"/>
      <c r="X825" s="10"/>
      <c r="Y825" s="10"/>
      <c r="Z825" s="10"/>
      <c r="AA825" s="10"/>
      <c r="AB825" s="10"/>
      <c r="AC825" s="10"/>
      <c r="AF825" s="11"/>
    </row>
    <row r="826" spans="3:32" ht="12.75" customHeight="1" x14ac:dyDescent="0.3">
      <c r="C826" s="10"/>
      <c r="D826" s="10"/>
      <c r="E826" s="10"/>
      <c r="F826" s="10"/>
      <c r="G826" s="10"/>
      <c r="H826" s="10"/>
      <c r="I826" s="10"/>
      <c r="J826" s="10"/>
      <c r="K826" s="10"/>
      <c r="L826" s="10"/>
      <c r="M826" s="10"/>
      <c r="N826" s="10"/>
      <c r="O826" s="10"/>
      <c r="P826" s="10"/>
      <c r="Q826" s="79"/>
      <c r="R826" s="80"/>
      <c r="S826" s="81"/>
      <c r="T826" s="81"/>
      <c r="U826" s="81"/>
      <c r="V826" s="81"/>
      <c r="W826" s="10"/>
      <c r="X826" s="10"/>
      <c r="Y826" s="10"/>
      <c r="Z826" s="10"/>
      <c r="AA826" s="10"/>
      <c r="AB826" s="10"/>
      <c r="AC826" s="10"/>
      <c r="AF826" s="11"/>
    </row>
    <row r="827" spans="3:32" ht="12.75" customHeight="1" x14ac:dyDescent="0.3">
      <c r="C827" s="10"/>
      <c r="D827" s="10"/>
      <c r="E827" s="10"/>
      <c r="F827" s="10"/>
      <c r="G827" s="10"/>
      <c r="H827" s="10"/>
      <c r="I827" s="10"/>
      <c r="J827" s="10"/>
      <c r="K827" s="10"/>
      <c r="L827" s="10"/>
      <c r="M827" s="10"/>
      <c r="N827" s="10"/>
      <c r="O827" s="10"/>
      <c r="P827" s="10"/>
      <c r="Q827" s="79"/>
      <c r="R827" s="80"/>
      <c r="S827" s="81"/>
      <c r="T827" s="81"/>
      <c r="U827" s="81"/>
      <c r="V827" s="81"/>
      <c r="W827" s="10"/>
      <c r="X827" s="10"/>
      <c r="Y827" s="10"/>
      <c r="Z827" s="10"/>
      <c r="AA827" s="10"/>
      <c r="AB827" s="10"/>
      <c r="AC827" s="10"/>
      <c r="AF827" s="11"/>
    </row>
    <row r="828" spans="3:32" ht="12.75" customHeight="1" x14ac:dyDescent="0.3">
      <c r="C828" s="10"/>
      <c r="D828" s="10"/>
      <c r="E828" s="10"/>
      <c r="F828" s="10"/>
      <c r="G828" s="10"/>
      <c r="H828" s="10"/>
      <c r="I828" s="10"/>
      <c r="J828" s="10"/>
      <c r="K828" s="10"/>
      <c r="L828" s="10"/>
      <c r="M828" s="10"/>
      <c r="N828" s="10"/>
      <c r="O828" s="10"/>
      <c r="P828" s="10"/>
      <c r="Q828" s="79"/>
      <c r="R828" s="80"/>
      <c r="S828" s="81"/>
      <c r="T828" s="81"/>
      <c r="U828" s="81"/>
      <c r="V828" s="81"/>
      <c r="W828" s="10"/>
      <c r="X828" s="10"/>
      <c r="Y828" s="10"/>
      <c r="Z828" s="10"/>
      <c r="AA828" s="10"/>
      <c r="AB828" s="10"/>
      <c r="AC828" s="10"/>
      <c r="AF828" s="11"/>
    </row>
    <row r="829" spans="3:32" ht="12.75" customHeight="1" x14ac:dyDescent="0.3">
      <c r="C829" s="10"/>
      <c r="D829" s="10"/>
      <c r="E829" s="10"/>
      <c r="F829" s="10"/>
      <c r="G829" s="10"/>
      <c r="H829" s="10"/>
      <c r="I829" s="10"/>
      <c r="J829" s="10"/>
      <c r="K829" s="10"/>
      <c r="L829" s="10"/>
      <c r="M829" s="10"/>
      <c r="N829" s="10"/>
      <c r="O829" s="10"/>
      <c r="P829" s="10"/>
      <c r="Q829" s="79"/>
      <c r="R829" s="80"/>
      <c r="S829" s="81"/>
      <c r="T829" s="81"/>
      <c r="U829" s="81"/>
      <c r="V829" s="81"/>
      <c r="W829" s="10"/>
      <c r="X829" s="10"/>
      <c r="Y829" s="10"/>
      <c r="Z829" s="10"/>
      <c r="AA829" s="10"/>
      <c r="AB829" s="10"/>
      <c r="AC829" s="10"/>
      <c r="AF829" s="11"/>
    </row>
    <row r="830" spans="3:32" ht="12.75" customHeight="1" x14ac:dyDescent="0.3">
      <c r="C830" s="10"/>
      <c r="D830" s="10"/>
      <c r="E830" s="10"/>
      <c r="F830" s="10"/>
      <c r="G830" s="10"/>
      <c r="H830" s="10"/>
      <c r="I830" s="10"/>
      <c r="J830" s="10"/>
      <c r="K830" s="10"/>
      <c r="L830" s="10"/>
      <c r="M830" s="10"/>
      <c r="N830" s="10"/>
      <c r="O830" s="10"/>
      <c r="P830" s="10"/>
      <c r="Q830" s="79"/>
      <c r="R830" s="80"/>
      <c r="S830" s="81"/>
      <c r="T830" s="81"/>
      <c r="U830" s="81"/>
      <c r="V830" s="81"/>
      <c r="W830" s="10"/>
      <c r="X830" s="10"/>
      <c r="Y830" s="10"/>
      <c r="Z830" s="10"/>
      <c r="AA830" s="10"/>
      <c r="AB830" s="10"/>
      <c r="AC830" s="10"/>
      <c r="AF830" s="11"/>
    </row>
    <row r="831" spans="3:32" ht="12.75" customHeight="1" x14ac:dyDescent="0.3">
      <c r="C831" s="10"/>
      <c r="D831" s="10"/>
      <c r="E831" s="10"/>
      <c r="F831" s="10"/>
      <c r="G831" s="10"/>
      <c r="H831" s="10"/>
      <c r="I831" s="10"/>
      <c r="J831" s="10"/>
      <c r="K831" s="10"/>
      <c r="L831" s="10"/>
      <c r="M831" s="10"/>
      <c r="N831" s="10"/>
      <c r="O831" s="10"/>
      <c r="P831" s="10"/>
      <c r="Q831" s="79"/>
      <c r="R831" s="80"/>
      <c r="S831" s="81"/>
      <c r="T831" s="81"/>
      <c r="U831" s="81"/>
      <c r="V831" s="81"/>
      <c r="W831" s="10"/>
      <c r="X831" s="10"/>
      <c r="Y831" s="10"/>
      <c r="Z831" s="10"/>
      <c r="AA831" s="10"/>
      <c r="AB831" s="10"/>
      <c r="AC831" s="10"/>
      <c r="AF831" s="11"/>
    </row>
    <row r="832" spans="3:32" ht="12.75" customHeight="1" x14ac:dyDescent="0.3">
      <c r="C832" s="10"/>
      <c r="D832" s="10"/>
      <c r="E832" s="10"/>
      <c r="F832" s="10"/>
      <c r="G832" s="10"/>
      <c r="H832" s="10"/>
      <c r="I832" s="10"/>
      <c r="J832" s="10"/>
      <c r="K832" s="10"/>
      <c r="L832" s="10"/>
      <c r="M832" s="10"/>
      <c r="N832" s="10"/>
      <c r="O832" s="10"/>
      <c r="P832" s="10"/>
      <c r="Q832" s="79"/>
      <c r="R832" s="80"/>
      <c r="S832" s="81"/>
      <c r="T832" s="81"/>
      <c r="U832" s="81"/>
      <c r="V832" s="81"/>
      <c r="W832" s="10"/>
      <c r="X832" s="10"/>
      <c r="Y832" s="10"/>
      <c r="Z832" s="10"/>
      <c r="AA832" s="10"/>
      <c r="AB832" s="10"/>
      <c r="AC832" s="10"/>
      <c r="AF832" s="11"/>
    </row>
    <row r="833" spans="3:32" ht="12.75" customHeight="1" x14ac:dyDescent="0.3">
      <c r="C833" s="10"/>
      <c r="D833" s="10"/>
      <c r="E833" s="10"/>
      <c r="F833" s="10"/>
      <c r="G833" s="10"/>
      <c r="H833" s="10"/>
      <c r="I833" s="10"/>
      <c r="J833" s="10"/>
      <c r="K833" s="10"/>
      <c r="L833" s="10"/>
      <c r="M833" s="10"/>
      <c r="N833" s="10"/>
      <c r="O833" s="10"/>
      <c r="P833" s="10"/>
      <c r="Q833" s="79"/>
      <c r="R833" s="80"/>
      <c r="S833" s="81"/>
      <c r="T833" s="81"/>
      <c r="U833" s="81"/>
      <c r="V833" s="81"/>
      <c r="W833" s="10"/>
      <c r="X833" s="10"/>
      <c r="Y833" s="10"/>
      <c r="Z833" s="10"/>
      <c r="AA833" s="10"/>
      <c r="AB833" s="10"/>
      <c r="AC833" s="10"/>
      <c r="AF833" s="11"/>
    </row>
    <row r="834" spans="3:32" ht="12.75" customHeight="1" x14ac:dyDescent="0.3">
      <c r="C834" s="10"/>
      <c r="D834" s="10"/>
      <c r="E834" s="10"/>
      <c r="F834" s="10"/>
      <c r="G834" s="10"/>
      <c r="H834" s="10"/>
      <c r="I834" s="10"/>
      <c r="J834" s="10"/>
      <c r="K834" s="10"/>
      <c r="L834" s="10"/>
      <c r="M834" s="10"/>
      <c r="N834" s="10"/>
      <c r="O834" s="10"/>
      <c r="P834" s="10"/>
      <c r="Q834" s="79"/>
      <c r="R834" s="80"/>
      <c r="S834" s="81"/>
      <c r="T834" s="81"/>
      <c r="U834" s="81"/>
      <c r="V834" s="81"/>
      <c r="W834" s="10"/>
      <c r="X834" s="10"/>
      <c r="Y834" s="10"/>
      <c r="Z834" s="10"/>
      <c r="AA834" s="10"/>
      <c r="AB834" s="10"/>
      <c r="AC834" s="10"/>
      <c r="AF834" s="11"/>
    </row>
    <row r="835" spans="3:32" ht="12.75" customHeight="1" x14ac:dyDescent="0.3">
      <c r="C835" s="10"/>
      <c r="D835" s="10"/>
      <c r="E835" s="10"/>
      <c r="F835" s="10"/>
      <c r="G835" s="10"/>
      <c r="H835" s="10"/>
      <c r="I835" s="10"/>
      <c r="J835" s="10"/>
      <c r="K835" s="10"/>
      <c r="L835" s="10"/>
      <c r="M835" s="10"/>
      <c r="N835" s="10"/>
      <c r="O835" s="10"/>
      <c r="P835" s="10"/>
      <c r="Q835" s="79"/>
      <c r="R835" s="80"/>
      <c r="S835" s="81"/>
      <c r="T835" s="81"/>
      <c r="U835" s="81"/>
      <c r="V835" s="81"/>
      <c r="W835" s="10"/>
      <c r="X835" s="10"/>
      <c r="Y835" s="10"/>
      <c r="Z835" s="10"/>
      <c r="AA835" s="10"/>
      <c r="AB835" s="10"/>
      <c r="AC835" s="10"/>
      <c r="AF835" s="11"/>
    </row>
    <row r="836" spans="3:32" ht="12.75" customHeight="1" x14ac:dyDescent="0.3">
      <c r="C836" s="10"/>
      <c r="D836" s="10"/>
      <c r="E836" s="10"/>
      <c r="F836" s="10"/>
      <c r="G836" s="10"/>
      <c r="H836" s="10"/>
      <c r="I836" s="10"/>
      <c r="J836" s="10"/>
      <c r="K836" s="10"/>
      <c r="L836" s="10"/>
      <c r="M836" s="10"/>
      <c r="N836" s="10"/>
      <c r="O836" s="10"/>
      <c r="P836" s="10"/>
      <c r="Q836" s="79"/>
      <c r="R836" s="80"/>
      <c r="S836" s="81"/>
      <c r="T836" s="81"/>
      <c r="U836" s="81"/>
      <c r="V836" s="81"/>
      <c r="W836" s="10"/>
      <c r="X836" s="10"/>
      <c r="Y836" s="10"/>
      <c r="Z836" s="10"/>
      <c r="AA836" s="10"/>
      <c r="AB836" s="10"/>
      <c r="AC836" s="10"/>
      <c r="AF836" s="11"/>
    </row>
    <row r="837" spans="3:32" ht="12.75" customHeight="1" x14ac:dyDescent="0.3">
      <c r="C837" s="10"/>
      <c r="D837" s="10"/>
      <c r="E837" s="10"/>
      <c r="F837" s="10"/>
      <c r="G837" s="10"/>
      <c r="H837" s="10"/>
      <c r="I837" s="10"/>
      <c r="J837" s="10"/>
      <c r="K837" s="10"/>
      <c r="L837" s="10"/>
      <c r="M837" s="10"/>
      <c r="N837" s="10"/>
      <c r="O837" s="10"/>
      <c r="P837" s="10"/>
      <c r="Q837" s="79"/>
      <c r="R837" s="80"/>
      <c r="S837" s="81"/>
      <c r="T837" s="81"/>
      <c r="U837" s="81"/>
      <c r="V837" s="81"/>
      <c r="W837" s="10"/>
      <c r="X837" s="10"/>
      <c r="Y837" s="10"/>
      <c r="Z837" s="10"/>
      <c r="AA837" s="10"/>
      <c r="AB837" s="10"/>
      <c r="AC837" s="10"/>
      <c r="AF837" s="11"/>
    </row>
    <row r="838" spans="3:32" ht="12.75" customHeight="1" x14ac:dyDescent="0.3">
      <c r="C838" s="10"/>
      <c r="D838" s="10"/>
      <c r="E838" s="10"/>
      <c r="F838" s="10"/>
      <c r="G838" s="10"/>
      <c r="H838" s="10"/>
      <c r="I838" s="10"/>
      <c r="J838" s="10"/>
      <c r="K838" s="10"/>
      <c r="L838" s="10"/>
      <c r="M838" s="10"/>
      <c r="N838" s="10"/>
      <c r="O838" s="10"/>
      <c r="P838" s="10"/>
      <c r="Q838" s="79"/>
      <c r="R838" s="80"/>
      <c r="S838" s="81"/>
      <c r="T838" s="81"/>
      <c r="U838" s="81"/>
      <c r="V838" s="81"/>
      <c r="W838" s="10"/>
      <c r="X838" s="10"/>
      <c r="Y838" s="10"/>
      <c r="Z838" s="10"/>
      <c r="AA838" s="10"/>
      <c r="AB838" s="10"/>
      <c r="AC838" s="10"/>
      <c r="AF838" s="11"/>
    </row>
    <row r="839" spans="3:32" ht="12.75" customHeight="1" x14ac:dyDescent="0.3">
      <c r="C839" s="10"/>
      <c r="D839" s="10"/>
      <c r="E839" s="10"/>
      <c r="F839" s="10"/>
      <c r="G839" s="10"/>
      <c r="H839" s="10"/>
      <c r="I839" s="10"/>
      <c r="J839" s="10"/>
      <c r="K839" s="10"/>
      <c r="L839" s="10"/>
      <c r="M839" s="10"/>
      <c r="N839" s="10"/>
      <c r="O839" s="10"/>
      <c r="P839" s="10"/>
      <c r="Q839" s="79"/>
      <c r="R839" s="80"/>
      <c r="S839" s="81"/>
      <c r="T839" s="81"/>
      <c r="U839" s="81"/>
      <c r="V839" s="81"/>
      <c r="W839" s="10"/>
      <c r="X839" s="10"/>
      <c r="Y839" s="10"/>
      <c r="Z839" s="10"/>
      <c r="AA839" s="10"/>
      <c r="AB839" s="10"/>
      <c r="AC839" s="10"/>
      <c r="AF839" s="11"/>
    </row>
    <row r="840" spans="3:32" ht="12.75" customHeight="1" x14ac:dyDescent="0.3">
      <c r="C840" s="10"/>
      <c r="D840" s="10"/>
      <c r="E840" s="10"/>
      <c r="F840" s="10"/>
      <c r="G840" s="10"/>
      <c r="H840" s="10"/>
      <c r="I840" s="10"/>
      <c r="J840" s="10"/>
      <c r="K840" s="10"/>
      <c r="L840" s="10"/>
      <c r="M840" s="10"/>
      <c r="N840" s="10"/>
      <c r="O840" s="10"/>
      <c r="P840" s="10"/>
      <c r="Q840" s="79"/>
      <c r="R840" s="80"/>
      <c r="S840" s="81"/>
      <c r="T840" s="81"/>
      <c r="U840" s="81"/>
      <c r="V840" s="81"/>
      <c r="W840" s="10"/>
      <c r="X840" s="10"/>
      <c r="Y840" s="10"/>
      <c r="Z840" s="10"/>
      <c r="AA840" s="10"/>
      <c r="AB840" s="10"/>
      <c r="AC840" s="10"/>
      <c r="AF840" s="11"/>
    </row>
    <row r="841" spans="3:32" ht="12.75" customHeight="1" x14ac:dyDescent="0.3">
      <c r="C841" s="10"/>
      <c r="D841" s="10"/>
      <c r="E841" s="10"/>
      <c r="F841" s="10"/>
      <c r="G841" s="10"/>
      <c r="H841" s="10"/>
      <c r="I841" s="10"/>
      <c r="J841" s="10"/>
      <c r="K841" s="10"/>
      <c r="L841" s="10"/>
      <c r="M841" s="10"/>
      <c r="N841" s="10"/>
      <c r="O841" s="10"/>
      <c r="P841" s="10"/>
      <c r="Q841" s="79"/>
      <c r="R841" s="80"/>
      <c r="S841" s="81"/>
      <c r="T841" s="81"/>
      <c r="U841" s="81"/>
      <c r="V841" s="81"/>
      <c r="W841" s="10"/>
      <c r="X841" s="10"/>
      <c r="Y841" s="10"/>
      <c r="Z841" s="10"/>
      <c r="AA841" s="10"/>
      <c r="AB841" s="10"/>
      <c r="AC841" s="10"/>
      <c r="AF841" s="11"/>
    </row>
    <row r="842" spans="3:32" ht="12.75" customHeight="1" x14ac:dyDescent="0.3">
      <c r="C842" s="10"/>
      <c r="D842" s="10"/>
      <c r="E842" s="10"/>
      <c r="F842" s="10"/>
      <c r="G842" s="10"/>
      <c r="H842" s="10"/>
      <c r="I842" s="10"/>
      <c r="J842" s="10"/>
      <c r="K842" s="10"/>
      <c r="L842" s="10"/>
      <c r="M842" s="10"/>
      <c r="N842" s="10"/>
      <c r="O842" s="10"/>
      <c r="P842" s="10"/>
      <c r="Q842" s="79"/>
      <c r="R842" s="80"/>
      <c r="S842" s="81"/>
      <c r="T842" s="81"/>
      <c r="U842" s="81"/>
      <c r="V842" s="81"/>
      <c r="W842" s="10"/>
      <c r="X842" s="10"/>
      <c r="Y842" s="10"/>
      <c r="Z842" s="10"/>
      <c r="AA842" s="10"/>
      <c r="AB842" s="10"/>
      <c r="AC842" s="10"/>
      <c r="AF842" s="11"/>
    </row>
    <row r="843" spans="3:32" ht="12.75" customHeight="1" x14ac:dyDescent="0.3">
      <c r="C843" s="10"/>
      <c r="D843" s="10"/>
      <c r="E843" s="10"/>
      <c r="F843" s="10"/>
      <c r="G843" s="10"/>
      <c r="H843" s="10"/>
      <c r="I843" s="10"/>
      <c r="J843" s="10"/>
      <c r="K843" s="10"/>
      <c r="L843" s="10"/>
      <c r="M843" s="10"/>
      <c r="N843" s="10"/>
      <c r="O843" s="10"/>
      <c r="P843" s="10"/>
      <c r="Q843" s="79"/>
      <c r="R843" s="80"/>
      <c r="S843" s="81"/>
      <c r="T843" s="81"/>
      <c r="U843" s="81"/>
      <c r="V843" s="81"/>
      <c r="W843" s="10"/>
      <c r="X843" s="10"/>
      <c r="Y843" s="10"/>
      <c r="Z843" s="10"/>
      <c r="AA843" s="10"/>
      <c r="AB843" s="10"/>
      <c r="AC843" s="10"/>
      <c r="AF843" s="11"/>
    </row>
    <row r="844" spans="3:32" ht="12.75" customHeight="1" x14ac:dyDescent="0.3">
      <c r="C844" s="10"/>
      <c r="D844" s="10"/>
      <c r="E844" s="10"/>
      <c r="F844" s="10"/>
      <c r="G844" s="10"/>
      <c r="H844" s="10"/>
      <c r="I844" s="10"/>
      <c r="J844" s="10"/>
      <c r="K844" s="10"/>
      <c r="L844" s="10"/>
      <c r="M844" s="10"/>
      <c r="N844" s="10"/>
      <c r="O844" s="10"/>
      <c r="P844" s="10"/>
      <c r="Q844" s="79"/>
      <c r="R844" s="80"/>
      <c r="S844" s="81"/>
      <c r="T844" s="81"/>
      <c r="U844" s="81"/>
      <c r="V844" s="81"/>
      <c r="W844" s="10"/>
      <c r="X844" s="10"/>
      <c r="Y844" s="10"/>
      <c r="Z844" s="10"/>
      <c r="AA844" s="10"/>
      <c r="AB844" s="10"/>
      <c r="AC844" s="10"/>
      <c r="AF844" s="11"/>
    </row>
    <row r="845" spans="3:32" ht="12.75" customHeight="1" x14ac:dyDescent="0.3">
      <c r="C845" s="10"/>
      <c r="D845" s="10"/>
      <c r="E845" s="10"/>
      <c r="F845" s="10"/>
      <c r="G845" s="10"/>
      <c r="H845" s="10"/>
      <c r="I845" s="10"/>
      <c r="J845" s="10"/>
      <c r="K845" s="10"/>
      <c r="L845" s="10"/>
      <c r="M845" s="10"/>
      <c r="N845" s="10"/>
      <c r="O845" s="10"/>
      <c r="P845" s="10"/>
      <c r="Q845" s="79"/>
      <c r="R845" s="80"/>
      <c r="S845" s="81"/>
      <c r="T845" s="81"/>
      <c r="U845" s="81"/>
      <c r="V845" s="81"/>
      <c r="W845" s="10"/>
      <c r="X845" s="10"/>
      <c r="Y845" s="10"/>
      <c r="Z845" s="10"/>
      <c r="AA845" s="10"/>
      <c r="AB845" s="10"/>
      <c r="AC845" s="10"/>
      <c r="AF845" s="11"/>
    </row>
    <row r="846" spans="3:32" ht="12.75" customHeight="1" x14ac:dyDescent="0.3">
      <c r="C846" s="10"/>
      <c r="D846" s="10"/>
      <c r="E846" s="10"/>
      <c r="F846" s="10"/>
      <c r="G846" s="10"/>
      <c r="H846" s="10"/>
      <c r="I846" s="10"/>
      <c r="J846" s="10"/>
      <c r="K846" s="10"/>
      <c r="L846" s="10"/>
      <c r="M846" s="10"/>
      <c r="N846" s="10"/>
      <c r="O846" s="10"/>
      <c r="P846" s="10"/>
      <c r="Q846" s="79"/>
      <c r="R846" s="80"/>
      <c r="S846" s="81"/>
      <c r="T846" s="81"/>
      <c r="U846" s="81"/>
      <c r="V846" s="81"/>
      <c r="W846" s="10"/>
      <c r="X846" s="10"/>
      <c r="Y846" s="10"/>
      <c r="Z846" s="10"/>
      <c r="AA846" s="10"/>
      <c r="AB846" s="10"/>
      <c r="AC846" s="10"/>
      <c r="AF846" s="11"/>
    </row>
    <row r="847" spans="3:32" ht="12.75" customHeight="1" x14ac:dyDescent="0.3">
      <c r="C847" s="10"/>
      <c r="D847" s="10"/>
      <c r="E847" s="10"/>
      <c r="F847" s="10"/>
      <c r="G847" s="10"/>
      <c r="H847" s="10"/>
      <c r="I847" s="10"/>
      <c r="J847" s="10"/>
      <c r="K847" s="10"/>
      <c r="L847" s="10"/>
      <c r="M847" s="10"/>
      <c r="N847" s="10"/>
      <c r="O847" s="10"/>
      <c r="P847" s="10"/>
      <c r="Q847" s="79"/>
      <c r="R847" s="80"/>
      <c r="S847" s="81"/>
      <c r="T847" s="81"/>
      <c r="U847" s="81"/>
      <c r="V847" s="81"/>
      <c r="W847" s="10"/>
      <c r="X847" s="10"/>
      <c r="Y847" s="10"/>
      <c r="Z847" s="10"/>
      <c r="AA847" s="10"/>
      <c r="AB847" s="10"/>
      <c r="AC847" s="10"/>
      <c r="AF847" s="11"/>
    </row>
    <row r="848" spans="3:32" ht="12.75" customHeight="1" x14ac:dyDescent="0.3">
      <c r="C848" s="10"/>
      <c r="D848" s="10"/>
      <c r="E848" s="10"/>
      <c r="F848" s="10"/>
      <c r="G848" s="10"/>
      <c r="H848" s="10"/>
      <c r="I848" s="10"/>
      <c r="J848" s="10"/>
      <c r="K848" s="10"/>
      <c r="L848" s="10"/>
      <c r="M848" s="10"/>
      <c r="N848" s="10"/>
      <c r="O848" s="10"/>
      <c r="P848" s="10"/>
      <c r="Q848" s="79"/>
      <c r="R848" s="80"/>
      <c r="S848" s="81"/>
      <c r="T848" s="81"/>
      <c r="U848" s="81"/>
      <c r="V848" s="81"/>
      <c r="W848" s="10"/>
      <c r="X848" s="10"/>
      <c r="Y848" s="10"/>
      <c r="Z848" s="10"/>
      <c r="AA848" s="10"/>
      <c r="AB848" s="10"/>
      <c r="AC848" s="10"/>
      <c r="AF848" s="11"/>
    </row>
    <row r="849" spans="3:32" ht="12.75" customHeight="1" x14ac:dyDescent="0.3">
      <c r="C849" s="10"/>
      <c r="D849" s="10"/>
      <c r="E849" s="10"/>
      <c r="F849" s="10"/>
      <c r="G849" s="10"/>
      <c r="H849" s="10"/>
      <c r="I849" s="10"/>
      <c r="J849" s="10"/>
      <c r="K849" s="10"/>
      <c r="L849" s="10"/>
      <c r="M849" s="10"/>
      <c r="N849" s="10"/>
      <c r="O849" s="10"/>
      <c r="P849" s="10"/>
      <c r="Q849" s="79"/>
      <c r="R849" s="80"/>
      <c r="S849" s="81"/>
      <c r="T849" s="81"/>
      <c r="U849" s="81"/>
      <c r="V849" s="81"/>
      <c r="W849" s="10"/>
      <c r="X849" s="10"/>
      <c r="Y849" s="10"/>
      <c r="Z849" s="10"/>
      <c r="AA849" s="10"/>
      <c r="AB849" s="10"/>
      <c r="AC849" s="10"/>
      <c r="AF849" s="11"/>
    </row>
    <row r="850" spans="3:32" ht="12.75" customHeight="1" x14ac:dyDescent="0.3">
      <c r="C850" s="10"/>
      <c r="D850" s="10"/>
      <c r="E850" s="10"/>
      <c r="F850" s="10"/>
      <c r="G850" s="10"/>
      <c r="H850" s="10"/>
      <c r="I850" s="10"/>
      <c r="J850" s="10"/>
      <c r="K850" s="10"/>
      <c r="L850" s="10"/>
      <c r="M850" s="10"/>
      <c r="N850" s="10"/>
      <c r="O850" s="10"/>
      <c r="P850" s="10"/>
      <c r="Q850" s="79"/>
      <c r="R850" s="80"/>
      <c r="S850" s="81"/>
      <c r="T850" s="81"/>
      <c r="U850" s="81"/>
      <c r="V850" s="81"/>
      <c r="W850" s="10"/>
      <c r="X850" s="10"/>
      <c r="Y850" s="10"/>
      <c r="Z850" s="10"/>
      <c r="AA850" s="10"/>
      <c r="AB850" s="10"/>
      <c r="AC850" s="10"/>
      <c r="AF850" s="11"/>
    </row>
    <row r="851" spans="3:32" ht="12.75" customHeight="1" x14ac:dyDescent="0.3">
      <c r="C851" s="10"/>
      <c r="D851" s="10"/>
      <c r="E851" s="10"/>
      <c r="F851" s="10"/>
      <c r="G851" s="10"/>
      <c r="H851" s="10"/>
      <c r="I851" s="10"/>
      <c r="J851" s="10"/>
      <c r="K851" s="10"/>
      <c r="L851" s="10"/>
      <c r="M851" s="10"/>
      <c r="N851" s="10"/>
      <c r="O851" s="10"/>
      <c r="P851" s="10"/>
      <c r="Q851" s="79"/>
      <c r="R851" s="80"/>
      <c r="S851" s="81"/>
      <c r="T851" s="81"/>
      <c r="U851" s="81"/>
      <c r="V851" s="81"/>
      <c r="W851" s="10"/>
      <c r="X851" s="10"/>
      <c r="Y851" s="10"/>
      <c r="Z851" s="10"/>
      <c r="AA851" s="10"/>
      <c r="AB851" s="10"/>
      <c r="AC851" s="10"/>
      <c r="AF851" s="11"/>
    </row>
    <row r="852" spans="3:32" ht="12.75" customHeight="1" x14ac:dyDescent="0.3">
      <c r="C852" s="10"/>
      <c r="D852" s="10"/>
      <c r="E852" s="10"/>
      <c r="F852" s="10"/>
      <c r="G852" s="10"/>
      <c r="H852" s="10"/>
      <c r="I852" s="10"/>
      <c r="J852" s="10"/>
      <c r="K852" s="10"/>
      <c r="L852" s="10"/>
      <c r="M852" s="10"/>
      <c r="N852" s="10"/>
      <c r="O852" s="10"/>
      <c r="P852" s="10"/>
      <c r="Q852" s="79"/>
      <c r="R852" s="80"/>
      <c r="S852" s="81"/>
      <c r="T852" s="81"/>
      <c r="U852" s="81"/>
      <c r="V852" s="81"/>
      <c r="W852" s="10"/>
      <c r="X852" s="10"/>
      <c r="Y852" s="10"/>
      <c r="Z852" s="10"/>
      <c r="AA852" s="10"/>
      <c r="AB852" s="10"/>
      <c r="AC852" s="10"/>
      <c r="AF852" s="11"/>
    </row>
    <row r="853" spans="3:32" ht="12.75" customHeight="1" x14ac:dyDescent="0.3">
      <c r="C853" s="10"/>
      <c r="D853" s="10"/>
      <c r="E853" s="10"/>
      <c r="F853" s="10"/>
      <c r="G853" s="10"/>
      <c r="H853" s="10"/>
      <c r="I853" s="10"/>
      <c r="J853" s="10"/>
      <c r="K853" s="10"/>
      <c r="L853" s="10"/>
      <c r="M853" s="10"/>
      <c r="N853" s="10"/>
      <c r="O853" s="10"/>
      <c r="P853" s="10"/>
      <c r="Q853" s="79"/>
      <c r="R853" s="80"/>
      <c r="S853" s="81"/>
      <c r="T853" s="81"/>
      <c r="U853" s="81"/>
      <c r="V853" s="81"/>
      <c r="W853" s="10"/>
      <c r="X853" s="10"/>
      <c r="Y853" s="10"/>
      <c r="Z853" s="10"/>
      <c r="AA853" s="10"/>
      <c r="AB853" s="10"/>
      <c r="AC853" s="10"/>
      <c r="AF853" s="11"/>
    </row>
    <row r="854" spans="3:32" ht="12.75" customHeight="1" x14ac:dyDescent="0.3">
      <c r="C854" s="10"/>
      <c r="D854" s="10"/>
      <c r="E854" s="10"/>
      <c r="F854" s="10"/>
      <c r="G854" s="10"/>
      <c r="H854" s="10"/>
      <c r="I854" s="10"/>
      <c r="J854" s="10"/>
      <c r="K854" s="10"/>
      <c r="L854" s="10"/>
      <c r="M854" s="10"/>
      <c r="N854" s="10"/>
      <c r="O854" s="10"/>
      <c r="P854" s="10"/>
      <c r="Q854" s="79"/>
      <c r="R854" s="80"/>
      <c r="S854" s="81"/>
      <c r="T854" s="81"/>
      <c r="U854" s="81"/>
      <c r="V854" s="81"/>
      <c r="W854" s="10"/>
      <c r="X854" s="10"/>
      <c r="Y854" s="10"/>
      <c r="Z854" s="10"/>
      <c r="AA854" s="10"/>
      <c r="AB854" s="10"/>
      <c r="AC854" s="10"/>
      <c r="AF854" s="11"/>
    </row>
    <row r="855" spans="3:32" ht="12.75" customHeight="1" x14ac:dyDescent="0.3">
      <c r="C855" s="10"/>
      <c r="D855" s="10"/>
      <c r="E855" s="10"/>
      <c r="F855" s="10"/>
      <c r="G855" s="10"/>
      <c r="H855" s="10"/>
      <c r="I855" s="10"/>
      <c r="J855" s="10"/>
      <c r="K855" s="10"/>
      <c r="L855" s="10"/>
      <c r="M855" s="10"/>
      <c r="N855" s="10"/>
      <c r="O855" s="10"/>
      <c r="P855" s="10"/>
      <c r="Q855" s="79"/>
      <c r="R855" s="80"/>
      <c r="S855" s="81"/>
      <c r="T855" s="81"/>
      <c r="U855" s="81"/>
      <c r="V855" s="81"/>
      <c r="W855" s="10"/>
      <c r="X855" s="10"/>
      <c r="Y855" s="10"/>
      <c r="Z855" s="10"/>
      <c r="AA855" s="10"/>
      <c r="AB855" s="10"/>
      <c r="AC855" s="10"/>
      <c r="AF855" s="11"/>
    </row>
    <row r="856" spans="3:32" ht="12.75" customHeight="1" x14ac:dyDescent="0.3">
      <c r="C856" s="10"/>
      <c r="D856" s="10"/>
      <c r="E856" s="10"/>
      <c r="F856" s="10"/>
      <c r="G856" s="10"/>
      <c r="H856" s="10"/>
      <c r="I856" s="10"/>
      <c r="J856" s="10"/>
      <c r="K856" s="10"/>
      <c r="L856" s="10"/>
      <c r="M856" s="10"/>
      <c r="N856" s="10"/>
      <c r="O856" s="10"/>
      <c r="P856" s="10"/>
      <c r="Q856" s="79"/>
      <c r="R856" s="80"/>
      <c r="S856" s="81"/>
      <c r="T856" s="81"/>
      <c r="U856" s="81"/>
      <c r="V856" s="81"/>
      <c r="W856" s="10"/>
      <c r="X856" s="10"/>
      <c r="Y856" s="10"/>
      <c r="Z856" s="10"/>
      <c r="AA856" s="10"/>
      <c r="AB856" s="10"/>
      <c r="AC856" s="10"/>
      <c r="AF856" s="11"/>
    </row>
    <row r="857" spans="3:32" ht="12.75" customHeight="1" x14ac:dyDescent="0.3">
      <c r="C857" s="10"/>
      <c r="D857" s="10"/>
      <c r="E857" s="10"/>
      <c r="F857" s="10"/>
      <c r="G857" s="10"/>
      <c r="H857" s="10"/>
      <c r="I857" s="10"/>
      <c r="J857" s="10"/>
      <c r="K857" s="10"/>
      <c r="L857" s="10"/>
      <c r="M857" s="10"/>
      <c r="N857" s="10"/>
      <c r="O857" s="10"/>
      <c r="P857" s="10"/>
      <c r="Q857" s="79"/>
      <c r="R857" s="80"/>
      <c r="S857" s="81"/>
      <c r="T857" s="81"/>
      <c r="U857" s="81"/>
      <c r="V857" s="81"/>
      <c r="W857" s="10"/>
      <c r="X857" s="10"/>
      <c r="Y857" s="10"/>
      <c r="Z857" s="10"/>
      <c r="AA857" s="10"/>
      <c r="AB857" s="10"/>
      <c r="AC857" s="10"/>
      <c r="AF857" s="11"/>
    </row>
    <row r="858" spans="3:32" ht="12.75" customHeight="1" x14ac:dyDescent="0.3">
      <c r="C858" s="10"/>
      <c r="D858" s="10"/>
      <c r="E858" s="10"/>
      <c r="F858" s="10"/>
      <c r="G858" s="10"/>
      <c r="H858" s="10"/>
      <c r="I858" s="10"/>
      <c r="J858" s="10"/>
      <c r="K858" s="10"/>
      <c r="L858" s="10"/>
      <c r="M858" s="10"/>
      <c r="N858" s="10"/>
      <c r="O858" s="10"/>
      <c r="P858" s="10"/>
      <c r="Q858" s="79"/>
      <c r="R858" s="80"/>
      <c r="S858" s="81"/>
      <c r="T858" s="81"/>
      <c r="U858" s="81"/>
      <c r="V858" s="81"/>
      <c r="W858" s="10"/>
      <c r="X858" s="10"/>
      <c r="Y858" s="10"/>
      <c r="Z858" s="10"/>
      <c r="AA858" s="10"/>
      <c r="AB858" s="10"/>
      <c r="AC858" s="10"/>
      <c r="AF858" s="11"/>
    </row>
    <row r="859" spans="3:32" ht="12.75" customHeight="1" x14ac:dyDescent="0.3">
      <c r="C859" s="10"/>
      <c r="D859" s="10"/>
      <c r="E859" s="10"/>
      <c r="F859" s="10"/>
      <c r="G859" s="10"/>
      <c r="H859" s="10"/>
      <c r="I859" s="10"/>
      <c r="J859" s="10"/>
      <c r="K859" s="10"/>
      <c r="L859" s="10"/>
      <c r="M859" s="10"/>
      <c r="N859" s="10"/>
      <c r="O859" s="10"/>
      <c r="P859" s="10"/>
      <c r="Q859" s="79"/>
      <c r="R859" s="80"/>
      <c r="S859" s="81"/>
      <c r="T859" s="81"/>
      <c r="U859" s="81"/>
      <c r="V859" s="81"/>
      <c r="W859" s="10"/>
      <c r="X859" s="10"/>
      <c r="Y859" s="10"/>
      <c r="Z859" s="10"/>
      <c r="AA859" s="10"/>
      <c r="AB859" s="10"/>
      <c r="AC859" s="10"/>
      <c r="AF859" s="11"/>
    </row>
    <row r="860" spans="3:32" ht="12.75" customHeight="1" x14ac:dyDescent="0.3">
      <c r="C860" s="10"/>
      <c r="D860" s="10"/>
      <c r="E860" s="10"/>
      <c r="F860" s="10"/>
      <c r="G860" s="10"/>
      <c r="H860" s="10"/>
      <c r="I860" s="10"/>
      <c r="J860" s="10"/>
      <c r="K860" s="10"/>
      <c r="L860" s="10"/>
      <c r="M860" s="10"/>
      <c r="N860" s="10"/>
      <c r="O860" s="10"/>
      <c r="P860" s="10"/>
      <c r="Q860" s="79"/>
      <c r="R860" s="80"/>
      <c r="S860" s="81"/>
      <c r="T860" s="81"/>
      <c r="U860" s="81"/>
      <c r="V860" s="81"/>
      <c r="W860" s="10"/>
      <c r="X860" s="10"/>
      <c r="Y860" s="10"/>
      <c r="Z860" s="10"/>
      <c r="AA860" s="10"/>
      <c r="AB860" s="10"/>
      <c r="AC860" s="10"/>
      <c r="AF860" s="11"/>
    </row>
    <row r="861" spans="3:32" ht="12.75" customHeight="1" x14ac:dyDescent="0.3">
      <c r="C861" s="10"/>
      <c r="D861" s="10"/>
      <c r="E861" s="10"/>
      <c r="F861" s="10"/>
      <c r="G861" s="10"/>
      <c r="H861" s="10"/>
      <c r="I861" s="10"/>
      <c r="J861" s="10"/>
      <c r="K861" s="10"/>
      <c r="L861" s="10"/>
      <c r="M861" s="10"/>
      <c r="N861" s="10"/>
      <c r="O861" s="10"/>
      <c r="P861" s="10"/>
      <c r="Q861" s="79"/>
      <c r="R861" s="80"/>
      <c r="S861" s="81"/>
      <c r="T861" s="81"/>
      <c r="U861" s="81"/>
      <c r="V861" s="81"/>
      <c r="W861" s="10"/>
      <c r="X861" s="10"/>
      <c r="Y861" s="10"/>
      <c r="Z861" s="10"/>
      <c r="AA861" s="10"/>
      <c r="AB861" s="10"/>
      <c r="AC861" s="10"/>
      <c r="AF861" s="11"/>
    </row>
    <row r="862" spans="3:32" ht="12.75" customHeight="1" x14ac:dyDescent="0.3">
      <c r="C862" s="10"/>
      <c r="D862" s="10"/>
      <c r="E862" s="10"/>
      <c r="F862" s="10"/>
      <c r="G862" s="10"/>
      <c r="H862" s="10"/>
      <c r="I862" s="10"/>
      <c r="J862" s="10"/>
      <c r="K862" s="10"/>
      <c r="L862" s="10"/>
      <c r="M862" s="10"/>
      <c r="N862" s="10"/>
      <c r="O862" s="10"/>
      <c r="P862" s="10"/>
      <c r="Q862" s="79"/>
      <c r="R862" s="80"/>
      <c r="S862" s="81"/>
      <c r="T862" s="81"/>
      <c r="U862" s="81"/>
      <c r="V862" s="81"/>
      <c r="W862" s="10"/>
      <c r="X862" s="10"/>
      <c r="Y862" s="10"/>
      <c r="Z862" s="10"/>
      <c r="AA862" s="10"/>
      <c r="AB862" s="10"/>
      <c r="AC862" s="10"/>
      <c r="AF862" s="11"/>
    </row>
    <row r="863" spans="3:32" ht="12.75" customHeight="1" x14ac:dyDescent="0.3">
      <c r="C863" s="10"/>
      <c r="D863" s="10"/>
      <c r="E863" s="10"/>
      <c r="F863" s="10"/>
      <c r="G863" s="10"/>
      <c r="H863" s="10"/>
      <c r="I863" s="10"/>
      <c r="J863" s="10"/>
      <c r="K863" s="10"/>
      <c r="L863" s="10"/>
      <c r="M863" s="10"/>
      <c r="N863" s="10"/>
      <c r="O863" s="10"/>
      <c r="P863" s="10"/>
      <c r="Q863" s="79"/>
      <c r="R863" s="80"/>
      <c r="S863" s="81"/>
      <c r="T863" s="81"/>
      <c r="U863" s="81"/>
      <c r="V863" s="81"/>
      <c r="W863" s="10"/>
      <c r="X863" s="10"/>
      <c r="Y863" s="10"/>
      <c r="Z863" s="10"/>
      <c r="AA863" s="10"/>
      <c r="AB863" s="10"/>
      <c r="AC863" s="10"/>
      <c r="AF863" s="11"/>
    </row>
    <row r="864" spans="3:32" ht="12.75" customHeight="1" x14ac:dyDescent="0.3">
      <c r="C864" s="10"/>
      <c r="D864" s="10"/>
      <c r="E864" s="10"/>
      <c r="F864" s="10"/>
      <c r="G864" s="10"/>
      <c r="H864" s="10"/>
      <c r="I864" s="10"/>
      <c r="J864" s="10"/>
      <c r="K864" s="10"/>
      <c r="L864" s="10"/>
      <c r="M864" s="10"/>
      <c r="N864" s="10"/>
      <c r="O864" s="10"/>
      <c r="P864" s="10"/>
      <c r="Q864" s="79"/>
      <c r="R864" s="80"/>
      <c r="S864" s="81"/>
      <c r="T864" s="81"/>
      <c r="U864" s="81"/>
      <c r="V864" s="81"/>
      <c r="W864" s="10"/>
      <c r="X864" s="10"/>
      <c r="Y864" s="10"/>
      <c r="Z864" s="10"/>
      <c r="AA864" s="10"/>
      <c r="AB864" s="10"/>
      <c r="AC864" s="10"/>
      <c r="AF864" s="11"/>
    </row>
    <row r="865" spans="3:32" ht="12.75" customHeight="1" x14ac:dyDescent="0.3">
      <c r="C865" s="10"/>
      <c r="D865" s="10"/>
      <c r="E865" s="10"/>
      <c r="F865" s="10"/>
      <c r="G865" s="10"/>
      <c r="H865" s="10"/>
      <c r="I865" s="10"/>
      <c r="J865" s="10"/>
      <c r="K865" s="10"/>
      <c r="L865" s="10"/>
      <c r="M865" s="10"/>
      <c r="N865" s="10"/>
      <c r="O865" s="10"/>
      <c r="P865" s="10"/>
      <c r="Q865" s="79"/>
      <c r="R865" s="80"/>
      <c r="S865" s="81"/>
      <c r="T865" s="81"/>
      <c r="U865" s="81"/>
      <c r="V865" s="81"/>
      <c r="W865" s="10"/>
      <c r="X865" s="10"/>
      <c r="Y865" s="10"/>
      <c r="Z865" s="10"/>
      <c r="AA865" s="10"/>
      <c r="AB865" s="10"/>
      <c r="AC865" s="10"/>
      <c r="AF865" s="11"/>
    </row>
    <row r="866" spans="3:32" ht="12.75" customHeight="1" x14ac:dyDescent="0.3">
      <c r="C866" s="10"/>
      <c r="D866" s="10"/>
      <c r="E866" s="10"/>
      <c r="F866" s="10"/>
      <c r="G866" s="10"/>
      <c r="H866" s="10"/>
      <c r="I866" s="10"/>
      <c r="J866" s="10"/>
      <c r="K866" s="10"/>
      <c r="L866" s="10"/>
      <c r="M866" s="10"/>
      <c r="N866" s="10"/>
      <c r="O866" s="10"/>
      <c r="P866" s="10"/>
      <c r="Q866" s="79"/>
      <c r="R866" s="80"/>
      <c r="S866" s="81"/>
      <c r="T866" s="81"/>
      <c r="U866" s="81"/>
      <c r="V866" s="81"/>
      <c r="W866" s="10"/>
      <c r="X866" s="10"/>
      <c r="Y866" s="10"/>
      <c r="Z866" s="10"/>
      <c r="AA866" s="10"/>
      <c r="AB866" s="10"/>
      <c r="AC866" s="10"/>
      <c r="AF866" s="11"/>
    </row>
    <row r="867" spans="3:32" ht="12.75" customHeight="1" x14ac:dyDescent="0.3">
      <c r="C867" s="10"/>
      <c r="D867" s="10"/>
      <c r="E867" s="10"/>
      <c r="F867" s="10"/>
      <c r="G867" s="10"/>
      <c r="H867" s="10"/>
      <c r="I867" s="10"/>
      <c r="J867" s="10"/>
      <c r="K867" s="10"/>
      <c r="L867" s="10"/>
      <c r="M867" s="10"/>
      <c r="N867" s="10"/>
      <c r="O867" s="10"/>
      <c r="P867" s="10"/>
      <c r="Q867" s="79"/>
      <c r="R867" s="80"/>
      <c r="S867" s="81"/>
      <c r="T867" s="81"/>
      <c r="U867" s="81"/>
      <c r="V867" s="81"/>
      <c r="W867" s="10"/>
      <c r="X867" s="10"/>
      <c r="Y867" s="10"/>
      <c r="Z867" s="10"/>
      <c r="AA867" s="10"/>
      <c r="AB867" s="10"/>
      <c r="AC867" s="10"/>
      <c r="AF867" s="11"/>
    </row>
    <row r="868" spans="3:32" ht="12.75" customHeight="1" x14ac:dyDescent="0.3">
      <c r="C868" s="10"/>
      <c r="D868" s="10"/>
      <c r="E868" s="10"/>
      <c r="F868" s="10"/>
      <c r="G868" s="10"/>
      <c r="H868" s="10"/>
      <c r="I868" s="10"/>
      <c r="J868" s="10"/>
      <c r="K868" s="10"/>
      <c r="L868" s="10"/>
      <c r="M868" s="10"/>
      <c r="N868" s="10"/>
      <c r="O868" s="10"/>
      <c r="P868" s="10"/>
      <c r="Q868" s="79"/>
      <c r="R868" s="80"/>
      <c r="S868" s="81"/>
      <c r="T868" s="81"/>
      <c r="U868" s="81"/>
      <c r="V868" s="81"/>
      <c r="W868" s="10"/>
      <c r="X868" s="10"/>
      <c r="Y868" s="10"/>
      <c r="Z868" s="10"/>
      <c r="AA868" s="10"/>
      <c r="AB868" s="10"/>
      <c r="AC868" s="10"/>
      <c r="AF868" s="11"/>
    </row>
    <row r="869" spans="3:32" ht="12.75" customHeight="1" x14ac:dyDescent="0.3">
      <c r="C869" s="10"/>
      <c r="D869" s="10"/>
      <c r="E869" s="10"/>
      <c r="F869" s="10"/>
      <c r="G869" s="10"/>
      <c r="H869" s="10"/>
      <c r="I869" s="10"/>
      <c r="J869" s="10"/>
      <c r="K869" s="10"/>
      <c r="L869" s="10"/>
      <c r="M869" s="10"/>
      <c r="N869" s="10"/>
      <c r="O869" s="10"/>
      <c r="P869" s="10"/>
      <c r="Q869" s="79"/>
      <c r="R869" s="80"/>
      <c r="S869" s="81"/>
      <c r="T869" s="81"/>
      <c r="U869" s="81"/>
      <c r="V869" s="81"/>
      <c r="W869" s="10"/>
      <c r="X869" s="10"/>
      <c r="Y869" s="10"/>
      <c r="Z869" s="10"/>
      <c r="AA869" s="10"/>
      <c r="AB869" s="10"/>
      <c r="AC869" s="10"/>
      <c r="AF869" s="11"/>
    </row>
    <row r="870" spans="3:32" ht="12.75" customHeight="1" x14ac:dyDescent="0.3">
      <c r="C870" s="10"/>
      <c r="D870" s="10"/>
      <c r="E870" s="10"/>
      <c r="F870" s="10"/>
      <c r="G870" s="10"/>
      <c r="H870" s="10"/>
      <c r="I870" s="10"/>
      <c r="J870" s="10"/>
      <c r="K870" s="10"/>
      <c r="L870" s="10"/>
      <c r="M870" s="10"/>
      <c r="N870" s="10"/>
      <c r="O870" s="10"/>
      <c r="P870" s="10"/>
      <c r="Q870" s="79"/>
      <c r="R870" s="80"/>
      <c r="S870" s="81"/>
      <c r="T870" s="81"/>
      <c r="U870" s="81"/>
      <c r="V870" s="81"/>
      <c r="W870" s="10"/>
      <c r="X870" s="10"/>
      <c r="Y870" s="10"/>
      <c r="Z870" s="10"/>
      <c r="AA870" s="10"/>
      <c r="AB870" s="10"/>
      <c r="AC870" s="10"/>
      <c r="AF870" s="11"/>
    </row>
    <row r="871" spans="3:32" ht="12.75" customHeight="1" x14ac:dyDescent="0.3">
      <c r="C871" s="10"/>
      <c r="D871" s="10"/>
      <c r="E871" s="10"/>
      <c r="F871" s="10"/>
      <c r="G871" s="10"/>
      <c r="H871" s="10"/>
      <c r="I871" s="10"/>
      <c r="J871" s="10"/>
      <c r="K871" s="10"/>
      <c r="L871" s="10"/>
      <c r="M871" s="10"/>
      <c r="N871" s="10"/>
      <c r="O871" s="10"/>
      <c r="P871" s="10"/>
      <c r="Q871" s="79"/>
      <c r="R871" s="80"/>
      <c r="S871" s="81"/>
      <c r="T871" s="81"/>
      <c r="U871" s="81"/>
      <c r="V871" s="81"/>
      <c r="W871" s="10"/>
      <c r="X871" s="10"/>
      <c r="Y871" s="10"/>
      <c r="Z871" s="10"/>
      <c r="AA871" s="10"/>
      <c r="AB871" s="10"/>
      <c r="AC871" s="10"/>
      <c r="AF871" s="11"/>
    </row>
    <row r="872" spans="3:32" ht="12.75" customHeight="1" x14ac:dyDescent="0.3">
      <c r="C872" s="10"/>
      <c r="D872" s="10"/>
      <c r="E872" s="10"/>
      <c r="F872" s="10"/>
      <c r="G872" s="10"/>
      <c r="H872" s="10"/>
      <c r="I872" s="10"/>
      <c r="J872" s="10"/>
      <c r="K872" s="10"/>
      <c r="L872" s="10"/>
      <c r="M872" s="10"/>
      <c r="N872" s="10"/>
      <c r="O872" s="10"/>
      <c r="P872" s="10"/>
      <c r="Q872" s="79"/>
      <c r="R872" s="80"/>
      <c r="S872" s="81"/>
      <c r="T872" s="81"/>
      <c r="U872" s="81"/>
      <c r="V872" s="81"/>
      <c r="W872" s="10"/>
      <c r="X872" s="10"/>
      <c r="Y872" s="10"/>
      <c r="Z872" s="10"/>
      <c r="AA872" s="10"/>
      <c r="AB872" s="10"/>
      <c r="AC872" s="10"/>
      <c r="AF872" s="11"/>
    </row>
    <row r="873" spans="3:32" ht="12.75" customHeight="1" x14ac:dyDescent="0.3">
      <c r="C873" s="10"/>
      <c r="D873" s="10"/>
      <c r="E873" s="10"/>
      <c r="F873" s="10"/>
      <c r="G873" s="10"/>
      <c r="H873" s="10"/>
      <c r="I873" s="10"/>
      <c r="J873" s="10"/>
      <c r="K873" s="10"/>
      <c r="L873" s="10"/>
      <c r="M873" s="10"/>
      <c r="N873" s="10"/>
      <c r="O873" s="10"/>
      <c r="P873" s="10"/>
      <c r="Q873" s="79"/>
      <c r="R873" s="80"/>
      <c r="S873" s="81"/>
      <c r="T873" s="81"/>
      <c r="U873" s="81"/>
      <c r="V873" s="81"/>
      <c r="W873" s="10"/>
      <c r="X873" s="10"/>
      <c r="Y873" s="10"/>
      <c r="Z873" s="10"/>
      <c r="AA873" s="10"/>
      <c r="AB873" s="10"/>
      <c r="AC873" s="10"/>
      <c r="AF873" s="11"/>
    </row>
    <row r="874" spans="3:32" ht="12.75" customHeight="1" x14ac:dyDescent="0.3">
      <c r="C874" s="10"/>
      <c r="D874" s="10"/>
      <c r="E874" s="10"/>
      <c r="F874" s="10"/>
      <c r="G874" s="10"/>
      <c r="H874" s="10"/>
      <c r="I874" s="10"/>
      <c r="J874" s="10"/>
      <c r="K874" s="10"/>
      <c r="L874" s="10"/>
      <c r="M874" s="10"/>
      <c r="N874" s="10"/>
      <c r="O874" s="10"/>
      <c r="P874" s="10"/>
      <c r="Q874" s="79"/>
      <c r="R874" s="80"/>
      <c r="S874" s="81"/>
      <c r="T874" s="81"/>
      <c r="U874" s="81"/>
      <c r="V874" s="81"/>
      <c r="W874" s="10"/>
      <c r="X874" s="10"/>
      <c r="Y874" s="10"/>
      <c r="Z874" s="10"/>
      <c r="AA874" s="10"/>
      <c r="AB874" s="10"/>
      <c r="AC874" s="10"/>
      <c r="AF874" s="11"/>
    </row>
    <row r="875" spans="3:32" ht="12.75" customHeight="1" x14ac:dyDescent="0.3">
      <c r="C875" s="10"/>
      <c r="D875" s="10"/>
      <c r="E875" s="10"/>
      <c r="F875" s="10"/>
      <c r="G875" s="10"/>
      <c r="H875" s="10"/>
      <c r="I875" s="10"/>
      <c r="J875" s="10"/>
      <c r="K875" s="10"/>
      <c r="L875" s="10"/>
      <c r="M875" s="10"/>
      <c r="N875" s="10"/>
      <c r="O875" s="10"/>
      <c r="P875" s="10"/>
      <c r="Q875" s="79"/>
      <c r="R875" s="80"/>
      <c r="S875" s="81"/>
      <c r="T875" s="81"/>
      <c r="U875" s="81"/>
      <c r="V875" s="81"/>
      <c r="W875" s="10"/>
      <c r="X875" s="10"/>
      <c r="Y875" s="10"/>
      <c r="Z875" s="10"/>
      <c r="AA875" s="10"/>
      <c r="AB875" s="10"/>
      <c r="AC875" s="10"/>
      <c r="AF875" s="11"/>
    </row>
    <row r="876" spans="3:32" ht="12.75" customHeight="1" x14ac:dyDescent="0.3">
      <c r="C876" s="10"/>
      <c r="D876" s="10"/>
      <c r="E876" s="10"/>
      <c r="F876" s="10"/>
      <c r="G876" s="10"/>
      <c r="H876" s="10"/>
      <c r="I876" s="10"/>
      <c r="J876" s="10"/>
      <c r="K876" s="10"/>
      <c r="L876" s="10"/>
      <c r="M876" s="10"/>
      <c r="N876" s="10"/>
      <c r="O876" s="10"/>
      <c r="P876" s="10"/>
      <c r="Q876" s="79"/>
      <c r="R876" s="80"/>
      <c r="S876" s="81"/>
      <c r="T876" s="81"/>
      <c r="U876" s="81"/>
      <c r="V876" s="81"/>
      <c r="W876" s="10"/>
      <c r="X876" s="10"/>
      <c r="Y876" s="10"/>
      <c r="Z876" s="10"/>
      <c r="AA876" s="10"/>
      <c r="AB876" s="10"/>
      <c r="AC876" s="10"/>
      <c r="AF876" s="11"/>
    </row>
    <row r="877" spans="3:32" ht="12.75" customHeight="1" x14ac:dyDescent="0.3">
      <c r="C877" s="10"/>
      <c r="D877" s="10"/>
      <c r="E877" s="10"/>
      <c r="F877" s="10"/>
      <c r="G877" s="10"/>
      <c r="H877" s="10"/>
      <c r="I877" s="10"/>
      <c r="J877" s="10"/>
      <c r="K877" s="10"/>
      <c r="L877" s="10"/>
      <c r="M877" s="10"/>
      <c r="N877" s="10"/>
      <c r="O877" s="10"/>
      <c r="P877" s="10"/>
      <c r="Q877" s="79"/>
      <c r="R877" s="80"/>
      <c r="S877" s="81"/>
      <c r="T877" s="81"/>
      <c r="U877" s="81"/>
      <c r="V877" s="81"/>
      <c r="W877" s="10"/>
      <c r="X877" s="10"/>
      <c r="Y877" s="10"/>
      <c r="Z877" s="10"/>
      <c r="AA877" s="10"/>
      <c r="AB877" s="10"/>
      <c r="AC877" s="10"/>
      <c r="AF877" s="11"/>
    </row>
    <row r="878" spans="3:32" ht="12.75" customHeight="1" x14ac:dyDescent="0.3">
      <c r="C878" s="10"/>
      <c r="D878" s="10"/>
      <c r="E878" s="10"/>
      <c r="F878" s="10"/>
      <c r="G878" s="10"/>
      <c r="H878" s="10"/>
      <c r="I878" s="10"/>
      <c r="J878" s="10"/>
      <c r="K878" s="10"/>
      <c r="L878" s="10"/>
      <c r="M878" s="10"/>
      <c r="N878" s="10"/>
      <c r="O878" s="10"/>
      <c r="P878" s="10"/>
      <c r="Q878" s="79"/>
      <c r="R878" s="80"/>
      <c r="S878" s="81"/>
      <c r="T878" s="81"/>
      <c r="U878" s="81"/>
      <c r="V878" s="81"/>
      <c r="W878" s="10"/>
      <c r="X878" s="10"/>
      <c r="Y878" s="10"/>
      <c r="Z878" s="10"/>
      <c r="AA878" s="10"/>
      <c r="AB878" s="10"/>
      <c r="AC878" s="10"/>
      <c r="AF878" s="11"/>
    </row>
    <row r="879" spans="3:32" ht="12.75" customHeight="1" x14ac:dyDescent="0.3">
      <c r="C879" s="10"/>
      <c r="D879" s="10"/>
      <c r="E879" s="10"/>
      <c r="F879" s="10"/>
      <c r="G879" s="10"/>
      <c r="H879" s="10"/>
      <c r="I879" s="10"/>
      <c r="J879" s="10"/>
      <c r="K879" s="10"/>
      <c r="L879" s="10"/>
      <c r="M879" s="10"/>
      <c r="N879" s="10"/>
      <c r="O879" s="10"/>
      <c r="P879" s="10"/>
      <c r="Q879" s="79"/>
      <c r="R879" s="80"/>
      <c r="S879" s="81"/>
      <c r="T879" s="81"/>
      <c r="U879" s="81"/>
      <c r="V879" s="81"/>
      <c r="W879" s="10"/>
      <c r="X879" s="10"/>
      <c r="Y879" s="10"/>
      <c r="Z879" s="10"/>
      <c r="AA879" s="10"/>
      <c r="AB879" s="10"/>
      <c r="AC879" s="10"/>
      <c r="AF879" s="11"/>
    </row>
    <row r="880" spans="3:32" ht="12.75" customHeight="1" x14ac:dyDescent="0.3">
      <c r="C880" s="10"/>
      <c r="D880" s="10"/>
      <c r="E880" s="10"/>
      <c r="F880" s="10"/>
      <c r="G880" s="10"/>
      <c r="H880" s="10"/>
      <c r="I880" s="10"/>
      <c r="J880" s="10"/>
      <c r="K880" s="10"/>
      <c r="L880" s="10"/>
      <c r="M880" s="10"/>
      <c r="N880" s="10"/>
      <c r="O880" s="10"/>
      <c r="P880" s="10"/>
      <c r="Q880" s="79"/>
      <c r="R880" s="80"/>
      <c r="S880" s="81"/>
      <c r="T880" s="81"/>
      <c r="U880" s="81"/>
      <c r="V880" s="81"/>
      <c r="W880" s="10"/>
      <c r="X880" s="10"/>
      <c r="Y880" s="10"/>
      <c r="Z880" s="10"/>
      <c r="AA880" s="10"/>
      <c r="AB880" s="10"/>
      <c r="AC880" s="10"/>
      <c r="AF880" s="11"/>
    </row>
    <row r="881" spans="3:32" ht="12.75" customHeight="1" x14ac:dyDescent="0.3">
      <c r="C881" s="10"/>
      <c r="D881" s="10"/>
      <c r="E881" s="10"/>
      <c r="F881" s="10"/>
      <c r="G881" s="10"/>
      <c r="H881" s="10"/>
      <c r="I881" s="10"/>
      <c r="J881" s="10"/>
      <c r="K881" s="10"/>
      <c r="L881" s="10"/>
      <c r="M881" s="10"/>
      <c r="N881" s="10"/>
      <c r="O881" s="10"/>
      <c r="P881" s="10"/>
      <c r="Q881" s="79"/>
      <c r="R881" s="80"/>
      <c r="S881" s="81"/>
      <c r="T881" s="81"/>
      <c r="U881" s="81"/>
      <c r="V881" s="81"/>
      <c r="W881" s="10"/>
      <c r="X881" s="10"/>
      <c r="Y881" s="10"/>
      <c r="Z881" s="10"/>
      <c r="AA881" s="10"/>
      <c r="AB881" s="10"/>
      <c r="AC881" s="10"/>
      <c r="AF881" s="11"/>
    </row>
    <row r="882" spans="3:32" ht="12.75" customHeight="1" x14ac:dyDescent="0.3">
      <c r="C882" s="10"/>
      <c r="D882" s="10"/>
      <c r="E882" s="10"/>
      <c r="F882" s="10"/>
      <c r="G882" s="10"/>
      <c r="H882" s="10"/>
      <c r="I882" s="10"/>
      <c r="J882" s="10"/>
      <c r="K882" s="10"/>
      <c r="L882" s="10"/>
      <c r="M882" s="10"/>
      <c r="N882" s="10"/>
      <c r="O882" s="10"/>
      <c r="P882" s="10"/>
      <c r="Q882" s="79"/>
      <c r="R882" s="80"/>
      <c r="S882" s="81"/>
      <c r="T882" s="81"/>
      <c r="U882" s="81"/>
      <c r="V882" s="81"/>
      <c r="W882" s="10"/>
      <c r="X882" s="10"/>
      <c r="Y882" s="10"/>
      <c r="Z882" s="10"/>
      <c r="AA882" s="10"/>
      <c r="AB882" s="10"/>
      <c r="AC882" s="10"/>
      <c r="AF882" s="11"/>
    </row>
    <row r="883" spans="3:32" ht="12.75" customHeight="1" x14ac:dyDescent="0.3">
      <c r="C883" s="10"/>
      <c r="D883" s="10"/>
      <c r="E883" s="10"/>
      <c r="F883" s="10"/>
      <c r="G883" s="10"/>
      <c r="H883" s="10"/>
      <c r="I883" s="10"/>
      <c r="J883" s="10"/>
      <c r="K883" s="10"/>
      <c r="L883" s="10"/>
      <c r="M883" s="10"/>
      <c r="N883" s="10"/>
      <c r="O883" s="10"/>
      <c r="P883" s="10"/>
      <c r="Q883" s="79"/>
      <c r="R883" s="80"/>
      <c r="S883" s="81"/>
      <c r="T883" s="81"/>
      <c r="U883" s="81"/>
      <c r="V883" s="81"/>
      <c r="W883" s="10"/>
      <c r="X883" s="10"/>
      <c r="Y883" s="10"/>
      <c r="Z883" s="10"/>
      <c r="AA883" s="10"/>
      <c r="AB883" s="10"/>
      <c r="AC883" s="10"/>
      <c r="AF883" s="11"/>
    </row>
    <row r="884" spans="3:32" ht="12.75" customHeight="1" x14ac:dyDescent="0.3">
      <c r="C884" s="10"/>
      <c r="D884" s="10"/>
      <c r="E884" s="10"/>
      <c r="F884" s="10"/>
      <c r="G884" s="10"/>
      <c r="H884" s="10"/>
      <c r="I884" s="10"/>
      <c r="J884" s="10"/>
      <c r="K884" s="10"/>
      <c r="L884" s="10"/>
      <c r="M884" s="10"/>
      <c r="N884" s="10"/>
      <c r="O884" s="10"/>
      <c r="P884" s="10"/>
      <c r="Q884" s="79"/>
      <c r="R884" s="80"/>
      <c r="S884" s="81"/>
      <c r="T884" s="81"/>
      <c r="U884" s="81"/>
      <c r="V884" s="81"/>
      <c r="W884" s="10"/>
      <c r="X884" s="10"/>
      <c r="Y884" s="10"/>
      <c r="Z884" s="10"/>
      <c r="AA884" s="10"/>
      <c r="AB884" s="10"/>
      <c r="AC884" s="10"/>
      <c r="AF884" s="11"/>
    </row>
    <row r="885" spans="3:32" ht="12.75" customHeight="1" x14ac:dyDescent="0.3">
      <c r="C885" s="10"/>
      <c r="D885" s="10"/>
      <c r="E885" s="10"/>
      <c r="F885" s="10"/>
      <c r="G885" s="10"/>
      <c r="H885" s="10"/>
      <c r="I885" s="10"/>
      <c r="J885" s="10"/>
      <c r="K885" s="10"/>
      <c r="L885" s="10"/>
      <c r="M885" s="10"/>
      <c r="N885" s="10"/>
      <c r="O885" s="10"/>
      <c r="P885" s="10"/>
      <c r="Q885" s="79"/>
      <c r="R885" s="80"/>
      <c r="S885" s="81"/>
      <c r="T885" s="81"/>
      <c r="U885" s="81"/>
      <c r="V885" s="81"/>
      <c r="W885" s="10"/>
      <c r="X885" s="10"/>
      <c r="Y885" s="10"/>
      <c r="Z885" s="10"/>
      <c r="AA885" s="10"/>
      <c r="AB885" s="10"/>
      <c r="AC885" s="10"/>
      <c r="AF885" s="11"/>
    </row>
    <row r="886" spans="3:32" ht="12.75" customHeight="1" x14ac:dyDescent="0.3">
      <c r="C886" s="10"/>
      <c r="D886" s="10"/>
      <c r="E886" s="10"/>
      <c r="F886" s="10"/>
      <c r="G886" s="10"/>
      <c r="H886" s="10"/>
      <c r="I886" s="10"/>
      <c r="J886" s="10"/>
      <c r="K886" s="10"/>
      <c r="L886" s="10"/>
      <c r="M886" s="10"/>
      <c r="N886" s="10"/>
      <c r="O886" s="10"/>
      <c r="P886" s="10"/>
      <c r="Q886" s="79"/>
      <c r="R886" s="80"/>
      <c r="S886" s="81"/>
      <c r="T886" s="81"/>
      <c r="U886" s="81"/>
      <c r="V886" s="81"/>
      <c r="W886" s="10"/>
      <c r="X886" s="10"/>
      <c r="Y886" s="10"/>
      <c r="Z886" s="10"/>
      <c r="AA886" s="10"/>
      <c r="AB886" s="10"/>
      <c r="AC886" s="10"/>
      <c r="AF886" s="11"/>
    </row>
    <row r="887" spans="3:32" ht="12.75" customHeight="1" x14ac:dyDescent="0.3">
      <c r="C887" s="10"/>
      <c r="D887" s="10"/>
      <c r="E887" s="10"/>
      <c r="F887" s="10"/>
      <c r="G887" s="10"/>
      <c r="H887" s="10"/>
      <c r="I887" s="10"/>
      <c r="J887" s="10"/>
      <c r="K887" s="10"/>
      <c r="L887" s="10"/>
      <c r="M887" s="10"/>
      <c r="N887" s="10"/>
      <c r="O887" s="10"/>
      <c r="P887" s="10"/>
      <c r="Q887" s="79"/>
      <c r="R887" s="80"/>
      <c r="S887" s="81"/>
      <c r="T887" s="81"/>
      <c r="U887" s="81"/>
      <c r="V887" s="81"/>
      <c r="W887" s="10"/>
      <c r="X887" s="10"/>
      <c r="Y887" s="10"/>
      <c r="Z887" s="10"/>
      <c r="AA887" s="10"/>
      <c r="AB887" s="10"/>
      <c r="AC887" s="10"/>
      <c r="AF887" s="11"/>
    </row>
    <row r="888" spans="3:32" ht="12.75" customHeight="1" x14ac:dyDescent="0.3">
      <c r="C888" s="10"/>
      <c r="D888" s="10"/>
      <c r="E888" s="10"/>
      <c r="F888" s="10"/>
      <c r="G888" s="10"/>
      <c r="H888" s="10"/>
      <c r="I888" s="10"/>
      <c r="J888" s="10"/>
      <c r="K888" s="10"/>
      <c r="L888" s="10"/>
      <c r="M888" s="10"/>
      <c r="N888" s="10"/>
      <c r="O888" s="10"/>
      <c r="P888" s="10"/>
      <c r="Q888" s="79"/>
      <c r="R888" s="80"/>
      <c r="S888" s="81"/>
      <c r="T888" s="81"/>
      <c r="U888" s="81"/>
      <c r="V888" s="81"/>
      <c r="W888" s="10"/>
      <c r="X888" s="10"/>
      <c r="Y888" s="10"/>
      <c r="Z888" s="10"/>
      <c r="AA888" s="10"/>
      <c r="AB888" s="10"/>
      <c r="AC888" s="10"/>
      <c r="AF888" s="11"/>
    </row>
    <row r="889" spans="3:32" ht="12.75" customHeight="1" x14ac:dyDescent="0.3">
      <c r="C889" s="10"/>
      <c r="D889" s="10"/>
      <c r="E889" s="10"/>
      <c r="F889" s="10"/>
      <c r="G889" s="10"/>
      <c r="H889" s="10"/>
      <c r="I889" s="10"/>
      <c r="J889" s="10"/>
      <c r="K889" s="10"/>
      <c r="L889" s="10"/>
      <c r="M889" s="10"/>
      <c r="N889" s="10"/>
      <c r="O889" s="10"/>
      <c r="P889" s="10"/>
      <c r="Q889" s="79"/>
      <c r="R889" s="80"/>
      <c r="S889" s="81"/>
      <c r="T889" s="81"/>
      <c r="U889" s="81"/>
      <c r="V889" s="81"/>
      <c r="W889" s="10"/>
      <c r="X889" s="10"/>
      <c r="Y889" s="10"/>
      <c r="Z889" s="10"/>
      <c r="AA889" s="10"/>
      <c r="AB889" s="10"/>
      <c r="AC889" s="10"/>
      <c r="AF889" s="11"/>
    </row>
    <row r="890" spans="3:32" ht="12.75" customHeight="1" x14ac:dyDescent="0.3">
      <c r="C890" s="10"/>
      <c r="D890" s="10"/>
      <c r="E890" s="10"/>
      <c r="F890" s="10"/>
      <c r="G890" s="10"/>
      <c r="H890" s="10"/>
      <c r="I890" s="10"/>
      <c r="J890" s="10"/>
      <c r="K890" s="10"/>
      <c r="L890" s="10"/>
      <c r="M890" s="10"/>
      <c r="N890" s="10"/>
      <c r="O890" s="10"/>
      <c r="P890" s="10"/>
      <c r="Q890" s="79"/>
      <c r="R890" s="80"/>
      <c r="S890" s="81"/>
      <c r="T890" s="81"/>
      <c r="U890" s="81"/>
      <c r="V890" s="81"/>
      <c r="W890" s="10"/>
      <c r="X890" s="10"/>
      <c r="Y890" s="10"/>
      <c r="Z890" s="10"/>
      <c r="AA890" s="10"/>
      <c r="AB890" s="10"/>
      <c r="AC890" s="10"/>
      <c r="AF890" s="11"/>
    </row>
    <row r="891" spans="3:32" ht="12.75" customHeight="1" x14ac:dyDescent="0.3">
      <c r="C891" s="10"/>
      <c r="D891" s="10"/>
      <c r="E891" s="10"/>
      <c r="F891" s="10"/>
      <c r="G891" s="10"/>
      <c r="H891" s="10"/>
      <c r="I891" s="10"/>
      <c r="J891" s="10"/>
      <c r="K891" s="10"/>
      <c r="L891" s="10"/>
      <c r="M891" s="10"/>
      <c r="N891" s="10"/>
      <c r="O891" s="10"/>
      <c r="P891" s="10"/>
      <c r="Q891" s="79"/>
      <c r="R891" s="80"/>
      <c r="S891" s="81"/>
      <c r="T891" s="81"/>
      <c r="U891" s="81"/>
      <c r="V891" s="81"/>
      <c r="W891" s="10"/>
      <c r="X891" s="10"/>
      <c r="Y891" s="10"/>
      <c r="Z891" s="10"/>
      <c r="AA891" s="10"/>
      <c r="AB891" s="10"/>
      <c r="AC891" s="10"/>
      <c r="AF891" s="11"/>
    </row>
    <row r="892" spans="3:32" ht="12.75" customHeight="1" x14ac:dyDescent="0.3">
      <c r="C892" s="10"/>
      <c r="D892" s="10"/>
      <c r="E892" s="10"/>
      <c r="F892" s="10"/>
      <c r="G892" s="10"/>
      <c r="H892" s="10"/>
      <c r="I892" s="10"/>
      <c r="J892" s="10"/>
      <c r="K892" s="10"/>
      <c r="L892" s="10"/>
      <c r="M892" s="10"/>
      <c r="N892" s="10"/>
      <c r="O892" s="10"/>
      <c r="P892" s="10"/>
      <c r="Q892" s="79"/>
      <c r="R892" s="80"/>
      <c r="S892" s="81"/>
      <c r="T892" s="81"/>
      <c r="U892" s="81"/>
      <c r="V892" s="81"/>
      <c r="W892" s="10"/>
      <c r="X892" s="10"/>
      <c r="Y892" s="10"/>
      <c r="Z892" s="10"/>
      <c r="AA892" s="10"/>
      <c r="AB892" s="10"/>
      <c r="AC892" s="10"/>
      <c r="AF892" s="11"/>
    </row>
    <row r="893" spans="3:32" ht="12.75" customHeight="1" x14ac:dyDescent="0.3">
      <c r="C893" s="10"/>
      <c r="D893" s="10"/>
      <c r="E893" s="10"/>
      <c r="F893" s="10"/>
      <c r="G893" s="10"/>
      <c r="H893" s="10"/>
      <c r="I893" s="10"/>
      <c r="J893" s="10"/>
      <c r="K893" s="10"/>
      <c r="L893" s="10"/>
      <c r="M893" s="10"/>
      <c r="N893" s="10"/>
      <c r="O893" s="10"/>
      <c r="P893" s="10"/>
      <c r="Q893" s="79"/>
      <c r="R893" s="80"/>
      <c r="S893" s="81"/>
      <c r="T893" s="81"/>
      <c r="U893" s="81"/>
      <c r="V893" s="81"/>
      <c r="W893" s="10"/>
      <c r="X893" s="10"/>
      <c r="Y893" s="10"/>
      <c r="Z893" s="10"/>
      <c r="AA893" s="10"/>
      <c r="AB893" s="10"/>
      <c r="AC893" s="10"/>
      <c r="AF893" s="11"/>
    </row>
    <row r="894" spans="3:32" ht="12.75" customHeight="1" x14ac:dyDescent="0.3">
      <c r="C894" s="10"/>
      <c r="D894" s="10"/>
      <c r="E894" s="10"/>
      <c r="F894" s="10"/>
      <c r="G894" s="10"/>
      <c r="H894" s="10"/>
      <c r="I894" s="10"/>
      <c r="J894" s="10"/>
      <c r="K894" s="10"/>
      <c r="L894" s="10"/>
      <c r="M894" s="10"/>
      <c r="N894" s="10"/>
      <c r="O894" s="10"/>
      <c r="P894" s="10"/>
      <c r="Q894" s="79"/>
      <c r="R894" s="80"/>
      <c r="S894" s="81"/>
      <c r="T894" s="81"/>
      <c r="U894" s="81"/>
      <c r="V894" s="81"/>
      <c r="W894" s="10"/>
      <c r="X894" s="10"/>
      <c r="Y894" s="10"/>
      <c r="Z894" s="10"/>
      <c r="AA894" s="10"/>
      <c r="AB894" s="10"/>
      <c r="AC894" s="10"/>
      <c r="AF894" s="11"/>
    </row>
    <row r="895" spans="3:32" ht="12.75" customHeight="1" x14ac:dyDescent="0.3">
      <c r="C895" s="10"/>
      <c r="D895" s="10"/>
      <c r="E895" s="10"/>
      <c r="F895" s="10"/>
      <c r="G895" s="10"/>
      <c r="H895" s="10"/>
      <c r="I895" s="10"/>
      <c r="J895" s="10"/>
      <c r="K895" s="10"/>
      <c r="L895" s="10"/>
      <c r="M895" s="10"/>
      <c r="N895" s="10"/>
      <c r="O895" s="10"/>
      <c r="P895" s="10"/>
      <c r="Q895" s="79"/>
      <c r="R895" s="80"/>
      <c r="S895" s="81"/>
      <c r="T895" s="81"/>
      <c r="U895" s="81"/>
      <c r="V895" s="81"/>
      <c r="W895" s="10"/>
      <c r="X895" s="10"/>
      <c r="Y895" s="10"/>
      <c r="Z895" s="10"/>
      <c r="AA895" s="10"/>
      <c r="AB895" s="10"/>
      <c r="AC895" s="10"/>
      <c r="AF895" s="11"/>
    </row>
    <row r="896" spans="3:32" ht="12.75" customHeight="1" x14ac:dyDescent="0.3">
      <c r="C896" s="10"/>
      <c r="D896" s="10"/>
      <c r="E896" s="10"/>
      <c r="F896" s="10"/>
      <c r="G896" s="10"/>
      <c r="H896" s="10"/>
      <c r="I896" s="10"/>
      <c r="J896" s="10"/>
      <c r="K896" s="10"/>
      <c r="L896" s="10"/>
      <c r="M896" s="10"/>
      <c r="N896" s="10"/>
      <c r="O896" s="10"/>
      <c r="P896" s="10"/>
      <c r="Q896" s="79"/>
      <c r="R896" s="80"/>
      <c r="S896" s="81"/>
      <c r="T896" s="81"/>
      <c r="U896" s="81"/>
      <c r="V896" s="81"/>
      <c r="W896" s="10"/>
      <c r="X896" s="10"/>
      <c r="Y896" s="10"/>
      <c r="Z896" s="10"/>
      <c r="AA896" s="10"/>
      <c r="AB896" s="10"/>
      <c r="AC896" s="10"/>
      <c r="AF896" s="11"/>
    </row>
    <row r="897" spans="3:32" ht="12.75" customHeight="1" x14ac:dyDescent="0.3">
      <c r="C897" s="10"/>
      <c r="D897" s="10"/>
      <c r="E897" s="10"/>
      <c r="F897" s="10"/>
      <c r="G897" s="10"/>
      <c r="H897" s="10"/>
      <c r="I897" s="10"/>
      <c r="J897" s="10"/>
      <c r="K897" s="10"/>
      <c r="L897" s="10"/>
      <c r="M897" s="10"/>
      <c r="N897" s="10"/>
      <c r="O897" s="10"/>
      <c r="P897" s="10"/>
      <c r="Q897" s="79"/>
      <c r="R897" s="80"/>
      <c r="S897" s="81"/>
      <c r="T897" s="81"/>
      <c r="U897" s="81"/>
      <c r="V897" s="81"/>
      <c r="W897" s="10"/>
      <c r="X897" s="10"/>
      <c r="Y897" s="10"/>
      <c r="Z897" s="10"/>
      <c r="AA897" s="10"/>
      <c r="AB897" s="10"/>
      <c r="AC897" s="10"/>
      <c r="AF897" s="11"/>
    </row>
    <row r="898" spans="3:32" ht="12.75" customHeight="1" x14ac:dyDescent="0.3">
      <c r="C898" s="10"/>
      <c r="D898" s="10"/>
      <c r="E898" s="10"/>
      <c r="F898" s="10"/>
      <c r="G898" s="10"/>
      <c r="H898" s="10"/>
      <c r="I898" s="10"/>
      <c r="J898" s="10"/>
      <c r="K898" s="10"/>
      <c r="L898" s="10"/>
      <c r="M898" s="10"/>
      <c r="N898" s="10"/>
      <c r="O898" s="10"/>
      <c r="P898" s="10"/>
      <c r="Q898" s="79"/>
      <c r="R898" s="80"/>
      <c r="S898" s="81"/>
      <c r="T898" s="81"/>
      <c r="U898" s="81"/>
      <c r="V898" s="81"/>
      <c r="W898" s="10"/>
      <c r="X898" s="10"/>
      <c r="Y898" s="10"/>
      <c r="Z898" s="10"/>
      <c r="AA898" s="10"/>
      <c r="AB898" s="10"/>
      <c r="AC898" s="10"/>
      <c r="AF898" s="11"/>
    </row>
    <row r="899" spans="3:32" ht="12.75" customHeight="1" x14ac:dyDescent="0.3">
      <c r="C899" s="10"/>
      <c r="D899" s="10"/>
      <c r="E899" s="10"/>
      <c r="F899" s="10"/>
      <c r="G899" s="10"/>
      <c r="H899" s="10"/>
      <c r="I899" s="10"/>
      <c r="J899" s="10"/>
      <c r="K899" s="10"/>
      <c r="L899" s="10"/>
      <c r="M899" s="10"/>
      <c r="N899" s="10"/>
      <c r="O899" s="10"/>
      <c r="P899" s="10"/>
      <c r="Q899" s="79"/>
      <c r="R899" s="80"/>
      <c r="S899" s="81"/>
      <c r="T899" s="81"/>
      <c r="U899" s="81"/>
      <c r="V899" s="81"/>
      <c r="W899" s="10"/>
      <c r="X899" s="10"/>
      <c r="Y899" s="10"/>
      <c r="Z899" s="10"/>
      <c r="AA899" s="10"/>
      <c r="AB899" s="10"/>
      <c r="AC899" s="10"/>
      <c r="AF899" s="11"/>
    </row>
    <row r="900" spans="3:32" ht="12.75" customHeight="1" x14ac:dyDescent="0.3">
      <c r="C900" s="10"/>
      <c r="D900" s="10"/>
      <c r="E900" s="10"/>
      <c r="F900" s="10"/>
      <c r="G900" s="10"/>
      <c r="H900" s="10"/>
      <c r="I900" s="10"/>
      <c r="J900" s="10"/>
      <c r="K900" s="10"/>
      <c r="L900" s="10"/>
      <c r="M900" s="10"/>
      <c r="N900" s="10"/>
      <c r="O900" s="10"/>
      <c r="P900" s="10"/>
      <c r="Q900" s="79"/>
      <c r="R900" s="80"/>
      <c r="S900" s="81"/>
      <c r="T900" s="81"/>
      <c r="U900" s="81"/>
      <c r="V900" s="81"/>
      <c r="W900" s="10"/>
      <c r="X900" s="10"/>
      <c r="Y900" s="10"/>
      <c r="Z900" s="10"/>
      <c r="AA900" s="10"/>
      <c r="AB900" s="10"/>
      <c r="AC900" s="10"/>
      <c r="AF900" s="11"/>
    </row>
    <row r="901" spans="3:32" ht="12.75" customHeight="1" x14ac:dyDescent="0.3">
      <c r="AF901" s="11"/>
    </row>
    <row r="902" spans="3:32" ht="12.75" customHeight="1" x14ac:dyDescent="0.3">
      <c r="AF902" s="11"/>
    </row>
  </sheetData>
  <hyperlinks>
    <hyperlink ref="AA254" r:id="rId1" xr:uid="{00000000-0004-0000-0000-0000DC000000}"/>
  </hyperlinks>
  <pageMargins left="0.7" right="0.7" top="0.75" bottom="0.75" header="0" footer="0"/>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ummaryRight="0"/>
  </sheetPr>
  <dimension ref="A1:Z1146"/>
  <sheetViews>
    <sheetView workbookViewId="0"/>
  </sheetViews>
  <sheetFormatPr defaultColWidth="14.4140625" defaultRowHeight="12.75" customHeight="1" x14ac:dyDescent="0.3"/>
  <cols>
    <col min="1" max="16384" width="14.4140625" style="4"/>
  </cols>
  <sheetData>
    <row r="1" spans="1:26" ht="12.75" customHeight="1" x14ac:dyDescent="0.3">
      <c r="A1" s="5" t="s">
        <v>1629</v>
      </c>
      <c r="B1" s="3"/>
      <c r="C1" s="1"/>
      <c r="D1" s="1"/>
      <c r="E1" s="1"/>
      <c r="F1" s="1"/>
      <c r="G1" s="1"/>
      <c r="H1" s="1"/>
      <c r="I1" s="1"/>
      <c r="J1" s="1"/>
      <c r="K1" s="1"/>
      <c r="L1" s="1"/>
      <c r="M1" s="1"/>
      <c r="N1" s="1"/>
      <c r="O1" s="1"/>
      <c r="P1" s="1"/>
      <c r="Q1" s="1"/>
      <c r="R1" s="1"/>
      <c r="S1" s="1"/>
      <c r="T1" s="1"/>
      <c r="U1" s="1"/>
      <c r="V1" s="1"/>
      <c r="W1" s="1"/>
      <c r="X1" s="1"/>
      <c r="Y1" s="1"/>
      <c r="Z1" s="1"/>
    </row>
    <row r="2" spans="1:26" ht="12.75" customHeight="1" x14ac:dyDescent="0.3">
      <c r="A2" s="4" t="s">
        <v>1407</v>
      </c>
      <c r="B2" s="3" t="s">
        <v>1454</v>
      </c>
      <c r="C2" s="1"/>
      <c r="D2" s="1"/>
      <c r="E2" s="1"/>
      <c r="F2" s="1"/>
      <c r="G2" s="1"/>
      <c r="H2" s="1"/>
      <c r="I2" s="1"/>
      <c r="J2" s="1"/>
      <c r="K2" s="1"/>
      <c r="L2" s="1"/>
      <c r="M2" s="1"/>
      <c r="N2" s="1"/>
      <c r="O2" s="1"/>
      <c r="P2" s="1"/>
      <c r="Q2" s="1"/>
      <c r="R2" s="1"/>
      <c r="S2" s="1"/>
      <c r="T2" s="1"/>
      <c r="U2" s="1"/>
      <c r="V2" s="1"/>
      <c r="W2" s="1"/>
      <c r="X2" s="1"/>
      <c r="Y2" s="1"/>
      <c r="Z2" s="1"/>
    </row>
    <row r="3" spans="1:26" ht="12.75" customHeight="1" x14ac:dyDescent="0.3">
      <c r="A3" s="4" t="s">
        <v>1380</v>
      </c>
      <c r="B3" s="3" t="s">
        <v>1454</v>
      </c>
      <c r="C3" s="1"/>
      <c r="D3" s="1"/>
      <c r="E3" s="1"/>
      <c r="F3" s="1"/>
      <c r="G3" s="1"/>
      <c r="H3" s="1"/>
      <c r="I3" s="1"/>
      <c r="J3" s="1"/>
      <c r="K3" s="1"/>
      <c r="L3" s="1"/>
      <c r="M3" s="1"/>
      <c r="N3" s="1"/>
      <c r="O3" s="1"/>
      <c r="P3" s="1"/>
      <c r="Q3" s="1"/>
      <c r="R3" s="1"/>
      <c r="S3" s="1"/>
      <c r="T3" s="1"/>
      <c r="U3" s="1"/>
      <c r="V3" s="1"/>
      <c r="W3" s="1"/>
      <c r="X3" s="1"/>
      <c r="Y3" s="1"/>
      <c r="Z3" s="1"/>
    </row>
    <row r="4" spans="1:26" ht="12.75" customHeight="1" x14ac:dyDescent="0.3">
      <c r="A4" s="4" t="s">
        <v>1395</v>
      </c>
      <c r="B4" s="3" t="s">
        <v>523</v>
      </c>
      <c r="C4" s="1"/>
      <c r="D4" s="1"/>
      <c r="E4" s="1"/>
      <c r="F4" s="1"/>
      <c r="G4" s="1"/>
      <c r="H4" s="1"/>
      <c r="I4" s="1"/>
      <c r="J4" s="1"/>
      <c r="K4" s="1"/>
      <c r="L4" s="1"/>
      <c r="M4" s="1"/>
      <c r="N4" s="1"/>
      <c r="O4" s="1"/>
      <c r="P4" s="1"/>
      <c r="Q4" s="1"/>
      <c r="R4" s="1"/>
      <c r="S4" s="1"/>
      <c r="T4" s="1"/>
      <c r="U4" s="1"/>
      <c r="V4" s="1"/>
      <c r="W4" s="1"/>
      <c r="X4" s="1"/>
      <c r="Y4" s="1"/>
      <c r="Z4" s="1"/>
    </row>
    <row r="5" spans="1:26" ht="12.75" customHeight="1" x14ac:dyDescent="0.3">
      <c r="A5" s="4" t="s">
        <v>1381</v>
      </c>
      <c r="B5" s="3" t="s">
        <v>1454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4" t="s">
        <v>902</v>
      </c>
      <c r="B6" s="3" t="s">
        <v>524</v>
      </c>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4" t="s">
        <v>903</v>
      </c>
      <c r="B7" s="3" t="s">
        <v>525</v>
      </c>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4" t="s">
        <v>1648</v>
      </c>
      <c r="B8" s="3" t="s">
        <v>1649</v>
      </c>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4" t="s">
        <v>904</v>
      </c>
      <c r="B9" s="3" t="s">
        <v>526</v>
      </c>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4" t="s">
        <v>905</v>
      </c>
      <c r="B10" s="3" t="s">
        <v>1086</v>
      </c>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4" t="s">
        <v>1134</v>
      </c>
      <c r="B11" s="3" t="s">
        <v>1227</v>
      </c>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4" t="s">
        <v>906</v>
      </c>
      <c r="B12" s="3" t="s">
        <v>527</v>
      </c>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4" t="s">
        <v>1396</v>
      </c>
      <c r="B13" s="3" t="s">
        <v>1233</v>
      </c>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4" t="s">
        <v>907</v>
      </c>
      <c r="B14" s="3" t="s">
        <v>526</v>
      </c>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4" t="s">
        <v>908</v>
      </c>
      <c r="B15" s="3" t="s">
        <v>1440</v>
      </c>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4" t="s">
        <v>1408</v>
      </c>
      <c r="B16" s="4" t="s">
        <v>1087</v>
      </c>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x14ac:dyDescent="0.3">
      <c r="A17" s="4" t="s">
        <v>1409</v>
      </c>
      <c r="B17" s="3" t="s">
        <v>1457</v>
      </c>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4" t="s">
        <v>909</v>
      </c>
      <c r="B18" s="3" t="s">
        <v>704</v>
      </c>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x14ac:dyDescent="0.3">
      <c r="A19" s="4" t="s">
        <v>584</v>
      </c>
      <c r="B19" s="3" t="s">
        <v>529</v>
      </c>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x14ac:dyDescent="0.3">
      <c r="A20" s="4" t="s">
        <v>1382</v>
      </c>
      <c r="B20" s="3" t="s">
        <v>524</v>
      </c>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x14ac:dyDescent="0.3">
      <c r="A21" s="4" t="s">
        <v>1410</v>
      </c>
      <c r="B21" s="3" t="s">
        <v>530</v>
      </c>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x14ac:dyDescent="0.3">
      <c r="A22" s="4" t="s">
        <v>1411</v>
      </c>
      <c r="B22" s="3" t="s">
        <v>1228</v>
      </c>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x14ac:dyDescent="0.3">
      <c r="A23" s="4" t="s">
        <v>1412</v>
      </c>
      <c r="B23" s="3" t="s">
        <v>1223</v>
      </c>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x14ac:dyDescent="0.3">
      <c r="A24" s="4" t="s">
        <v>1405</v>
      </c>
      <c r="B24" s="3" t="s">
        <v>703</v>
      </c>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x14ac:dyDescent="0.3">
      <c r="A25" s="4" t="s">
        <v>910</v>
      </c>
      <c r="B25" s="3" t="s">
        <v>526</v>
      </c>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3">
      <c r="A26" s="4" t="s">
        <v>1413</v>
      </c>
      <c r="B26" s="3" t="s">
        <v>530</v>
      </c>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3">
      <c r="A27" s="4" t="s">
        <v>911</v>
      </c>
      <c r="B27" s="3" t="s">
        <v>531</v>
      </c>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3">
      <c r="A28" s="4" t="s">
        <v>1397</v>
      </c>
      <c r="B28" s="3" t="s">
        <v>531</v>
      </c>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3">
      <c r="A29" s="4" t="s">
        <v>1406</v>
      </c>
      <c r="B29" s="3" t="s">
        <v>533</v>
      </c>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3">
      <c r="A30" s="4" t="s">
        <v>912</v>
      </c>
      <c r="B30" s="3" t="s">
        <v>532</v>
      </c>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3">
      <c r="A31" s="4" t="s">
        <v>913</v>
      </c>
      <c r="B31" s="3" t="s">
        <v>529</v>
      </c>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x14ac:dyDescent="0.3">
      <c r="A32" s="4" t="s">
        <v>1414</v>
      </c>
      <c r="B32" s="6" t="s">
        <v>1441</v>
      </c>
      <c r="C32" s="6"/>
      <c r="D32" s="6"/>
      <c r="E32" s="6"/>
      <c r="F32" s="6"/>
      <c r="G32" s="6"/>
      <c r="H32" s="6"/>
      <c r="I32" s="6"/>
      <c r="J32" s="6"/>
      <c r="K32" s="6"/>
      <c r="L32" s="6"/>
      <c r="M32" s="6"/>
      <c r="N32" s="6"/>
      <c r="O32" s="6"/>
      <c r="P32" s="6"/>
      <c r="Q32" s="6"/>
      <c r="R32" s="6"/>
      <c r="S32" s="6"/>
      <c r="T32" s="6"/>
      <c r="U32" s="6"/>
      <c r="V32" s="6"/>
      <c r="W32" s="6"/>
      <c r="X32" s="6"/>
      <c r="Y32" s="6"/>
      <c r="Z32" s="6"/>
    </row>
    <row r="33" spans="1:26" ht="12.75" customHeight="1" x14ac:dyDescent="0.3">
      <c r="A33" s="4" t="s">
        <v>1085</v>
      </c>
      <c r="B33" s="2" t="s">
        <v>572</v>
      </c>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3">
      <c r="A34" s="4" t="s">
        <v>914</v>
      </c>
      <c r="B34" s="3" t="s">
        <v>1446</v>
      </c>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x14ac:dyDescent="0.3">
      <c r="A35" s="4" t="s">
        <v>1415</v>
      </c>
      <c r="B35" s="3" t="s">
        <v>544</v>
      </c>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
      <c r="A36" s="4" t="s">
        <v>1416</v>
      </c>
      <c r="B36" s="3" t="s">
        <v>529</v>
      </c>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3">
      <c r="A37" s="4" t="s">
        <v>915</v>
      </c>
      <c r="B37" s="3" t="s">
        <v>1234</v>
      </c>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3">
      <c r="A38" s="4" t="s">
        <v>916</v>
      </c>
      <c r="B38" s="2" t="s">
        <v>529</v>
      </c>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3">
      <c r="A39" s="11" t="s">
        <v>1417</v>
      </c>
      <c r="B39" s="2" t="s">
        <v>533</v>
      </c>
      <c r="C39" s="1"/>
      <c r="D39" s="7"/>
      <c r="E39" s="1"/>
      <c r="F39" s="1"/>
      <c r="G39" s="1"/>
      <c r="H39" s="1"/>
      <c r="I39" s="1"/>
      <c r="J39" s="1"/>
      <c r="K39" s="1"/>
      <c r="L39" s="1"/>
      <c r="M39" s="1"/>
      <c r="N39" s="1"/>
      <c r="O39" s="1"/>
      <c r="P39" s="1"/>
      <c r="Q39" s="1"/>
      <c r="R39" s="1"/>
      <c r="S39" s="1"/>
      <c r="T39" s="1"/>
      <c r="U39" s="1"/>
      <c r="V39" s="1"/>
      <c r="W39" s="1"/>
      <c r="X39" s="1"/>
      <c r="Y39" s="1"/>
      <c r="Z39" s="1"/>
    </row>
    <row r="40" spans="1:26" ht="12.75" customHeight="1" x14ac:dyDescent="0.3">
      <c r="A40" s="4" t="s">
        <v>856</v>
      </c>
      <c r="B40" s="2" t="s">
        <v>857</v>
      </c>
      <c r="C40" s="1"/>
      <c r="D40" s="7"/>
      <c r="E40" s="1"/>
      <c r="F40" s="1"/>
      <c r="G40" s="1"/>
      <c r="H40" s="1"/>
      <c r="I40" s="1"/>
      <c r="J40" s="1"/>
      <c r="K40" s="1"/>
      <c r="L40" s="1"/>
      <c r="M40" s="1"/>
      <c r="N40" s="1"/>
      <c r="O40" s="1"/>
      <c r="P40" s="1"/>
      <c r="Q40" s="1"/>
      <c r="R40" s="1"/>
      <c r="S40" s="1"/>
      <c r="T40" s="1"/>
      <c r="U40" s="1"/>
      <c r="V40" s="1"/>
      <c r="W40" s="1"/>
      <c r="X40" s="1"/>
      <c r="Y40" s="1"/>
      <c r="Z40" s="1"/>
    </row>
    <row r="41" spans="1:26" ht="12.75" customHeight="1" x14ac:dyDescent="0.3">
      <c r="A41" s="4" t="s">
        <v>1617</v>
      </c>
      <c r="B41" s="2" t="s">
        <v>1618</v>
      </c>
      <c r="C41" s="1"/>
      <c r="D41" s="7"/>
      <c r="E41" s="1"/>
      <c r="F41" s="1"/>
      <c r="G41" s="1"/>
      <c r="H41" s="1"/>
      <c r="I41" s="1"/>
      <c r="J41" s="1"/>
      <c r="K41" s="1"/>
      <c r="L41" s="1"/>
      <c r="M41" s="1"/>
      <c r="N41" s="1"/>
      <c r="O41" s="1"/>
      <c r="P41" s="1"/>
      <c r="Q41" s="1"/>
      <c r="R41" s="1"/>
      <c r="S41" s="1"/>
      <c r="T41" s="1"/>
      <c r="U41" s="1"/>
      <c r="V41" s="1"/>
      <c r="W41" s="1"/>
      <c r="X41" s="1"/>
      <c r="Y41" s="1"/>
      <c r="Z41" s="1"/>
    </row>
    <row r="42" spans="1:26" ht="12.75" customHeight="1" x14ac:dyDescent="0.3">
      <c r="A42" s="4" t="s">
        <v>573</v>
      </c>
      <c r="B42" s="2" t="s">
        <v>1455</v>
      </c>
      <c r="C42" s="1"/>
      <c r="D42" s="7"/>
      <c r="E42" s="1"/>
      <c r="F42" s="1"/>
      <c r="G42" s="1"/>
      <c r="H42" s="1"/>
      <c r="I42" s="1"/>
      <c r="J42" s="1"/>
      <c r="K42" s="1"/>
      <c r="L42" s="1"/>
      <c r="M42" s="1"/>
      <c r="N42" s="1"/>
      <c r="O42" s="1"/>
      <c r="P42" s="1"/>
      <c r="Q42" s="1"/>
      <c r="R42" s="1"/>
      <c r="S42" s="1"/>
      <c r="T42" s="1"/>
      <c r="U42" s="1"/>
      <c r="V42" s="1"/>
      <c r="W42" s="1"/>
      <c r="X42" s="1"/>
      <c r="Y42" s="1"/>
      <c r="Z42" s="1"/>
    </row>
    <row r="43" spans="1:26" ht="12.75" customHeight="1" x14ac:dyDescent="0.3">
      <c r="A43" s="4" t="s">
        <v>917</v>
      </c>
      <c r="B43" s="2" t="s">
        <v>1447</v>
      </c>
      <c r="C43" s="1"/>
      <c r="D43" s="7"/>
      <c r="E43" s="1"/>
      <c r="F43" s="1"/>
      <c r="G43" s="1"/>
      <c r="H43" s="1"/>
      <c r="I43" s="1"/>
      <c r="J43" s="1"/>
      <c r="K43" s="1"/>
      <c r="L43" s="1"/>
      <c r="M43" s="1"/>
      <c r="N43" s="1"/>
      <c r="O43" s="1"/>
      <c r="P43" s="1"/>
      <c r="Q43" s="1"/>
      <c r="R43" s="1"/>
      <c r="S43" s="1"/>
      <c r="T43" s="1"/>
      <c r="U43" s="1"/>
      <c r="V43" s="1"/>
      <c r="W43" s="1"/>
      <c r="X43" s="1"/>
      <c r="Y43" s="1"/>
      <c r="Z43" s="1"/>
    </row>
    <row r="44" spans="1:26" ht="12.75" customHeight="1" x14ac:dyDescent="0.3">
      <c r="A44" s="4" t="s">
        <v>1418</v>
      </c>
      <c r="B44" s="2" t="s">
        <v>533</v>
      </c>
      <c r="C44" s="1"/>
      <c r="D44" s="7"/>
      <c r="E44" s="1"/>
      <c r="F44" s="1"/>
      <c r="G44" s="1"/>
      <c r="H44" s="1"/>
      <c r="I44" s="1"/>
      <c r="J44" s="1"/>
      <c r="K44" s="1"/>
      <c r="L44" s="1"/>
      <c r="M44" s="1"/>
      <c r="N44" s="1"/>
      <c r="O44" s="1"/>
      <c r="P44" s="1"/>
      <c r="Q44" s="1"/>
      <c r="R44" s="1"/>
      <c r="S44" s="1"/>
      <c r="T44" s="1"/>
      <c r="U44" s="1"/>
      <c r="V44" s="1"/>
      <c r="W44" s="1"/>
      <c r="X44" s="1"/>
      <c r="Y44" s="1"/>
      <c r="Z44" s="1"/>
    </row>
    <row r="45" spans="1:26" ht="12.75" customHeight="1" x14ac:dyDescent="0.3">
      <c r="A45" s="4" t="s">
        <v>918</v>
      </c>
      <c r="B45" s="2" t="s">
        <v>529</v>
      </c>
      <c r="C45" s="1"/>
      <c r="D45" s="7"/>
      <c r="E45" s="1"/>
      <c r="F45" s="1"/>
      <c r="G45" s="1"/>
      <c r="H45" s="1"/>
      <c r="I45" s="1"/>
      <c r="J45" s="1"/>
      <c r="K45" s="1"/>
      <c r="L45" s="1"/>
      <c r="M45" s="1"/>
      <c r="N45" s="1"/>
      <c r="O45" s="1"/>
      <c r="P45" s="1"/>
      <c r="Q45" s="1"/>
      <c r="R45" s="1"/>
      <c r="S45" s="1"/>
      <c r="T45" s="1"/>
      <c r="U45" s="1"/>
      <c r="V45" s="1"/>
      <c r="W45" s="1"/>
      <c r="X45" s="1"/>
      <c r="Y45" s="1"/>
      <c r="Z45" s="1"/>
    </row>
    <row r="46" spans="1:26" ht="12.75" customHeight="1" x14ac:dyDescent="0.3">
      <c r="A46" s="4" t="s">
        <v>919</v>
      </c>
      <c r="B46" s="2" t="s">
        <v>1229</v>
      </c>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4" t="s">
        <v>920</v>
      </c>
      <c r="B47" s="2" t="s">
        <v>1229</v>
      </c>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3">
      <c r="A48" s="4" t="s">
        <v>921</v>
      </c>
      <c r="B48" s="2" t="s">
        <v>1230</v>
      </c>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3">
      <c r="A49" s="4" t="s">
        <v>922</v>
      </c>
      <c r="B49" s="3" t="s">
        <v>526</v>
      </c>
      <c r="C49" s="1"/>
      <c r="D49" s="7"/>
      <c r="E49" s="1"/>
      <c r="F49" s="1"/>
      <c r="G49" s="1"/>
      <c r="H49" s="1"/>
      <c r="I49" s="1"/>
      <c r="J49" s="1"/>
      <c r="K49" s="1"/>
      <c r="L49" s="1"/>
      <c r="M49" s="1"/>
      <c r="N49" s="1"/>
      <c r="O49" s="1"/>
      <c r="P49" s="1"/>
      <c r="Q49" s="1"/>
      <c r="R49" s="1"/>
      <c r="S49" s="1"/>
      <c r="T49" s="1"/>
      <c r="U49" s="1"/>
      <c r="V49" s="1"/>
      <c r="W49" s="1"/>
      <c r="X49" s="1"/>
      <c r="Y49" s="1"/>
      <c r="Z49" s="1"/>
    </row>
    <row r="50" spans="1:26" ht="12.75" customHeight="1" x14ac:dyDescent="0.3">
      <c r="A50" s="4" t="s">
        <v>923</v>
      </c>
      <c r="B50" s="3" t="s">
        <v>524</v>
      </c>
      <c r="C50" s="1"/>
      <c r="D50" s="7"/>
      <c r="E50" s="1"/>
      <c r="F50" s="1"/>
      <c r="G50" s="1"/>
      <c r="H50" s="1"/>
      <c r="I50" s="1"/>
      <c r="J50" s="1"/>
      <c r="K50" s="1"/>
      <c r="L50" s="1"/>
      <c r="M50" s="1"/>
      <c r="N50" s="1"/>
      <c r="O50" s="1"/>
      <c r="P50" s="1"/>
      <c r="Q50" s="1"/>
      <c r="R50" s="1"/>
      <c r="S50" s="1"/>
      <c r="T50" s="1"/>
      <c r="U50" s="1"/>
      <c r="V50" s="1"/>
      <c r="W50" s="1"/>
      <c r="X50" s="1"/>
      <c r="Y50" s="1"/>
      <c r="Z50" s="1"/>
    </row>
    <row r="51" spans="1:26" ht="12.75" customHeight="1" x14ac:dyDescent="0.3">
      <c r="A51" s="4" t="s">
        <v>924</v>
      </c>
      <c r="B51" s="3" t="s">
        <v>524</v>
      </c>
      <c r="C51" s="1"/>
      <c r="D51" s="7"/>
      <c r="E51" s="1"/>
      <c r="F51" s="1"/>
      <c r="G51" s="1"/>
      <c r="H51" s="1"/>
      <c r="I51" s="1"/>
      <c r="J51" s="1"/>
      <c r="K51" s="1"/>
      <c r="L51" s="1"/>
      <c r="M51" s="1"/>
      <c r="N51" s="1"/>
      <c r="O51" s="1"/>
      <c r="P51" s="1"/>
      <c r="Q51" s="1"/>
      <c r="R51" s="1"/>
      <c r="S51" s="1"/>
      <c r="T51" s="1"/>
      <c r="U51" s="1"/>
      <c r="V51" s="1"/>
      <c r="W51" s="1"/>
      <c r="X51" s="1"/>
      <c r="Y51" s="1"/>
      <c r="Z51" s="1"/>
    </row>
    <row r="52" spans="1:26" ht="12.75" customHeight="1" x14ac:dyDescent="0.3">
      <c r="A52" s="4" t="s">
        <v>925</v>
      </c>
      <c r="B52" s="3" t="s">
        <v>533</v>
      </c>
      <c r="C52" s="1"/>
      <c r="D52" s="7"/>
      <c r="E52" s="1"/>
      <c r="F52" s="1"/>
      <c r="G52" s="1"/>
      <c r="H52" s="1"/>
      <c r="I52" s="1"/>
      <c r="J52" s="1"/>
      <c r="K52" s="1"/>
      <c r="L52" s="1"/>
      <c r="M52" s="1"/>
      <c r="N52" s="1"/>
      <c r="O52" s="1"/>
      <c r="P52" s="1"/>
      <c r="Q52" s="1"/>
      <c r="R52" s="1"/>
      <c r="S52" s="1"/>
      <c r="T52" s="1"/>
      <c r="U52" s="1"/>
      <c r="V52" s="1"/>
      <c r="W52" s="1"/>
      <c r="X52" s="1"/>
      <c r="Y52" s="1"/>
      <c r="Z52" s="1"/>
    </row>
    <row r="53" spans="1:26" ht="12.75" customHeight="1" x14ac:dyDescent="0.3">
      <c r="A53" s="4" t="s">
        <v>926</v>
      </c>
      <c r="B53" s="3" t="s">
        <v>1458</v>
      </c>
      <c r="C53" s="1"/>
      <c r="D53" s="7"/>
      <c r="E53" s="1"/>
      <c r="F53" s="1"/>
      <c r="G53" s="1"/>
      <c r="H53" s="1"/>
      <c r="I53" s="1"/>
      <c r="J53" s="1"/>
      <c r="K53" s="1"/>
      <c r="L53" s="1"/>
      <c r="M53" s="1"/>
      <c r="N53" s="1"/>
      <c r="O53" s="1"/>
      <c r="P53" s="1"/>
      <c r="Q53" s="1"/>
      <c r="R53" s="1"/>
      <c r="S53" s="1"/>
      <c r="T53" s="1"/>
      <c r="U53" s="1"/>
      <c r="V53" s="1"/>
      <c r="W53" s="1"/>
      <c r="X53" s="1"/>
      <c r="Y53" s="1"/>
      <c r="Z53" s="1"/>
    </row>
    <row r="54" spans="1:26" ht="12.75" customHeight="1" x14ac:dyDescent="0.3">
      <c r="A54" s="4" t="s">
        <v>860</v>
      </c>
      <c r="B54" s="2" t="s">
        <v>1232</v>
      </c>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
      <c r="A55" s="4" t="s">
        <v>927</v>
      </c>
      <c r="B55" s="2" t="s">
        <v>533</v>
      </c>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
      <c r="A56" s="4" t="s">
        <v>929</v>
      </c>
      <c r="B56" s="2" t="s">
        <v>1091</v>
      </c>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
      <c r="A57" s="4" t="s">
        <v>706</v>
      </c>
      <c r="B57" s="2" t="s">
        <v>1235</v>
      </c>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
      <c r="A58" s="4" t="s">
        <v>1419</v>
      </c>
      <c r="B58" s="2" t="s">
        <v>1229</v>
      </c>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
      <c r="A59" s="4" t="s">
        <v>1456</v>
      </c>
      <c r="B59" s="2" t="s">
        <v>1229</v>
      </c>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
      <c r="A60" s="4" t="s">
        <v>931</v>
      </c>
      <c r="B60" s="3" t="s">
        <v>1442</v>
      </c>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
      <c r="A61" s="4" t="s">
        <v>932</v>
      </c>
      <c r="B61" s="3" t="s">
        <v>526</v>
      </c>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
      <c r="A62" s="4" t="s">
        <v>722</v>
      </c>
      <c r="B62" s="3" t="s">
        <v>1448</v>
      </c>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
      <c r="A63" s="4" t="s">
        <v>933</v>
      </c>
      <c r="B63" s="3" t="s">
        <v>536</v>
      </c>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
      <c r="A64" s="4" t="s">
        <v>934</v>
      </c>
      <c r="B64" s="3" t="s">
        <v>1449</v>
      </c>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
      <c r="A65" s="4" t="s">
        <v>574</v>
      </c>
      <c r="B65" s="2" t="s">
        <v>1231</v>
      </c>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
      <c r="A66" s="4" t="s">
        <v>1420</v>
      </c>
      <c r="B66" s="3" t="s">
        <v>537</v>
      </c>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
      <c r="A67" s="4" t="s">
        <v>1421</v>
      </c>
      <c r="B67" s="3" t="s">
        <v>524</v>
      </c>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
      <c r="A68" s="4" t="s">
        <v>1615</v>
      </c>
      <c r="B68" s="3" t="s">
        <v>1616</v>
      </c>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
      <c r="A69" s="4" t="s">
        <v>1422</v>
      </c>
      <c r="B69" s="3" t="s">
        <v>1225</v>
      </c>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
      <c r="A70" s="4" t="s">
        <v>935</v>
      </c>
      <c r="B70" s="3" t="s">
        <v>538</v>
      </c>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
      <c r="A71" s="4" t="s">
        <v>936</v>
      </c>
      <c r="B71" s="3" t="s">
        <v>535</v>
      </c>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
      <c r="A72" s="4" t="s">
        <v>937</v>
      </c>
      <c r="B72" s="3" t="s">
        <v>539</v>
      </c>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
      <c r="A73" s="4" t="s">
        <v>1208</v>
      </c>
      <c r="B73" s="3" t="s">
        <v>543</v>
      </c>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
      <c r="A74" s="4" t="s">
        <v>938</v>
      </c>
      <c r="B74" s="8" t="s">
        <v>535</v>
      </c>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
      <c r="A75" s="4" t="s">
        <v>939</v>
      </c>
      <c r="B75" s="8" t="s">
        <v>527</v>
      </c>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
      <c r="A76" s="4" t="s">
        <v>730</v>
      </c>
      <c r="B76" s="2" t="s">
        <v>731</v>
      </c>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
      <c r="A77" s="4" t="s">
        <v>940</v>
      </c>
      <c r="B77" s="3" t="s">
        <v>524</v>
      </c>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
      <c r="A78" s="4" t="s">
        <v>1398</v>
      </c>
      <c r="B78" s="3" t="s">
        <v>1236</v>
      </c>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
      <c r="A79" s="4" t="s">
        <v>941</v>
      </c>
      <c r="B79" s="3" t="s">
        <v>1092</v>
      </c>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
      <c r="A80" s="4" t="s">
        <v>942</v>
      </c>
      <c r="B80" s="3" t="s">
        <v>540</v>
      </c>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
      <c r="A81" s="4" t="s">
        <v>1423</v>
      </c>
      <c r="B81" s="3" t="s">
        <v>1443</v>
      </c>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
      <c r="A82" s="4" t="s">
        <v>943</v>
      </c>
      <c r="B82" s="2" t="s">
        <v>541</v>
      </c>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
      <c r="A83" s="4" t="s">
        <v>944</v>
      </c>
      <c r="B83" s="3" t="s">
        <v>542</v>
      </c>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
      <c r="A84" s="4" t="s">
        <v>945</v>
      </c>
      <c r="B84" s="8" t="s">
        <v>527</v>
      </c>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
      <c r="A85" s="4" t="s">
        <v>946</v>
      </c>
      <c r="B85" s="3" t="s">
        <v>529</v>
      </c>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
      <c r="A86" s="4" t="s">
        <v>947</v>
      </c>
      <c r="B86" s="3" t="s">
        <v>529</v>
      </c>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
      <c r="A87" s="4" t="s">
        <v>948</v>
      </c>
      <c r="B87" s="3" t="s">
        <v>543</v>
      </c>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
      <c r="A88" s="4" t="s">
        <v>949</v>
      </c>
      <c r="B88" s="3" t="s">
        <v>544</v>
      </c>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
      <c r="A89" s="4" t="s">
        <v>950</v>
      </c>
      <c r="B89" s="8" t="s">
        <v>527</v>
      </c>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
      <c r="A90" s="4" t="s">
        <v>1424</v>
      </c>
      <c r="B90" s="8" t="s">
        <v>527</v>
      </c>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
      <c r="A91" s="4" t="s">
        <v>951</v>
      </c>
      <c r="B91" s="2" t="s">
        <v>1229</v>
      </c>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
      <c r="A92" s="4" t="s">
        <v>952</v>
      </c>
      <c r="B92" s="2" t="s">
        <v>529</v>
      </c>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
      <c r="A93" s="4" t="s">
        <v>953</v>
      </c>
      <c r="B93" s="2" t="s">
        <v>1450</v>
      </c>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
      <c r="A94" s="4" t="s">
        <v>1425</v>
      </c>
      <c r="B94" s="3" t="s">
        <v>545</v>
      </c>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
      <c r="A95" s="4" t="s">
        <v>954</v>
      </c>
      <c r="B95" s="2" t="s">
        <v>546</v>
      </c>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
      <c r="A96" s="4" t="s">
        <v>955</v>
      </c>
      <c r="B96" s="3" t="s">
        <v>547</v>
      </c>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
      <c r="A97" s="4" t="s">
        <v>956</v>
      </c>
      <c r="B97" s="3" t="s">
        <v>1451</v>
      </c>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
      <c r="A98" s="4" t="s">
        <v>874</v>
      </c>
      <c r="B98" s="2" t="s">
        <v>875</v>
      </c>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4" t="s">
        <v>876</v>
      </c>
      <c r="B99" s="2" t="s">
        <v>1469</v>
      </c>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4" t="s">
        <v>877</v>
      </c>
      <c r="B100" s="2" t="s">
        <v>878</v>
      </c>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4" t="s">
        <v>1426</v>
      </c>
      <c r="B101" s="3" t="s">
        <v>1222</v>
      </c>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4" t="s">
        <v>957</v>
      </c>
      <c r="B102" s="3" t="s">
        <v>529</v>
      </c>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4" t="s">
        <v>958</v>
      </c>
      <c r="B103" s="3" t="s">
        <v>529</v>
      </c>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4" t="s">
        <v>1094</v>
      </c>
      <c r="B104" s="3" t="s">
        <v>529</v>
      </c>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4" t="s">
        <v>1427</v>
      </c>
      <c r="B105" s="3" t="s">
        <v>528</v>
      </c>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4" t="s">
        <v>959</v>
      </c>
      <c r="B106" s="3" t="s">
        <v>528</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4" t="s">
        <v>960</v>
      </c>
      <c r="B107" s="3" t="s">
        <v>548</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4" t="s">
        <v>1428</v>
      </c>
      <c r="B108" s="2" t="s">
        <v>571</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4" t="s">
        <v>961</v>
      </c>
      <c r="B109" s="1" t="s">
        <v>529</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4" t="s">
        <v>962</v>
      </c>
      <c r="B110" s="2" t="s">
        <v>1226</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4" t="s">
        <v>963</v>
      </c>
      <c r="B111" s="1" t="s">
        <v>1093</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4" t="s">
        <v>898</v>
      </c>
      <c r="B112" s="2" t="s">
        <v>1227</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B113" s="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5" t="s">
        <v>964</v>
      </c>
      <c r="B114" s="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4" t="s">
        <v>965</v>
      </c>
      <c r="B115" s="2" t="s">
        <v>526</v>
      </c>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4" t="s">
        <v>1461</v>
      </c>
      <c r="B116" s="2" t="s">
        <v>1470</v>
      </c>
      <c r="C116" s="1"/>
      <c r="D116" s="1"/>
      <c r="E116" s="3"/>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4" t="s">
        <v>966</v>
      </c>
      <c r="B117" s="8" t="s">
        <v>527</v>
      </c>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4" t="s">
        <v>967</v>
      </c>
      <c r="B118" s="2" t="s">
        <v>526</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4" t="s">
        <v>968</v>
      </c>
      <c r="B119" s="2" t="s">
        <v>526</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4" t="s">
        <v>969</v>
      </c>
      <c r="B120" s="2" t="s">
        <v>526</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4" t="s">
        <v>970</v>
      </c>
      <c r="B121" s="2" t="s">
        <v>1224</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4" t="s">
        <v>971</v>
      </c>
      <c r="B122" s="2" t="s">
        <v>529</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4" t="s">
        <v>972</v>
      </c>
      <c r="B123" s="2" t="s">
        <v>529</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4" t="s">
        <v>973</v>
      </c>
      <c r="B124" s="2" t="s">
        <v>529</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4" t="s">
        <v>974</v>
      </c>
      <c r="B125" s="2" t="s">
        <v>529</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4" t="s">
        <v>975</v>
      </c>
      <c r="B126" s="2" t="s">
        <v>526</v>
      </c>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4" t="s">
        <v>1399</v>
      </c>
      <c r="B127" s="2" t="s">
        <v>526</v>
      </c>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4" t="s">
        <v>976</v>
      </c>
      <c r="B128" s="2" t="s">
        <v>526</v>
      </c>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4" t="s">
        <v>977</v>
      </c>
      <c r="B129" s="2" t="s">
        <v>549</v>
      </c>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4" t="s">
        <v>1429</v>
      </c>
      <c r="B130" s="2" t="s">
        <v>535</v>
      </c>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4" t="s">
        <v>978</v>
      </c>
      <c r="B131" s="2" t="s">
        <v>529</v>
      </c>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4" t="s">
        <v>979</v>
      </c>
      <c r="B132" s="2" t="s">
        <v>550</v>
      </c>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4" t="s">
        <v>980</v>
      </c>
      <c r="B133" s="2" t="s">
        <v>526</v>
      </c>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4" t="s">
        <v>981</v>
      </c>
      <c r="B134" s="2" t="s">
        <v>551</v>
      </c>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4" t="s">
        <v>1430</v>
      </c>
      <c r="B135" s="2" t="s">
        <v>1445</v>
      </c>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4" t="s">
        <v>982</v>
      </c>
      <c r="B136" s="2" t="s">
        <v>699</v>
      </c>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4" t="s">
        <v>1431</v>
      </c>
      <c r="B137" s="2" t="s">
        <v>705</v>
      </c>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4" t="s">
        <v>983</v>
      </c>
      <c r="B138" s="2" t="s">
        <v>526</v>
      </c>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4" t="s">
        <v>1432</v>
      </c>
      <c r="B139" s="2" t="s">
        <v>529</v>
      </c>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4" t="s">
        <v>984</v>
      </c>
      <c r="B140" s="2" t="s">
        <v>526</v>
      </c>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4" t="s">
        <v>985</v>
      </c>
      <c r="B141" s="2" t="s">
        <v>529</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4" t="s">
        <v>986</v>
      </c>
      <c r="B142" s="2" t="s">
        <v>529</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4" t="s">
        <v>987</v>
      </c>
      <c r="B143" s="2" t="s">
        <v>529</v>
      </c>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4" t="s">
        <v>988</v>
      </c>
      <c r="B144" s="2" t="s">
        <v>529</v>
      </c>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4" t="s">
        <v>1433</v>
      </c>
      <c r="B145" s="2" t="s">
        <v>533</v>
      </c>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4" t="s">
        <v>989</v>
      </c>
      <c r="B146" s="2" t="s">
        <v>533</v>
      </c>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4" t="s">
        <v>990</v>
      </c>
      <c r="B147" s="2" t="s">
        <v>526</v>
      </c>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4" t="s">
        <v>991</v>
      </c>
      <c r="B148" s="2" t="s">
        <v>526</v>
      </c>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4" t="s">
        <v>992</v>
      </c>
      <c r="B149" s="2" t="s">
        <v>526</v>
      </c>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4" t="s">
        <v>993</v>
      </c>
      <c r="B150" s="2" t="s">
        <v>526</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4" t="s">
        <v>994</v>
      </c>
      <c r="B151" s="2" t="s">
        <v>552</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4" t="s">
        <v>995</v>
      </c>
      <c r="B152" s="2" t="s">
        <v>529</v>
      </c>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4" t="s">
        <v>1462</v>
      </c>
      <c r="B153" s="2" t="s">
        <v>1463</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4" t="s">
        <v>1467</v>
      </c>
      <c r="B154" s="2" t="s">
        <v>1468</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4" t="s">
        <v>1464</v>
      </c>
      <c r="B155" s="2" t="s">
        <v>707</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4" t="s">
        <v>1465</v>
      </c>
      <c r="B156" s="2" t="s">
        <v>1466</v>
      </c>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4" t="s">
        <v>996</v>
      </c>
      <c r="B157" s="2" t="s">
        <v>553</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4" t="s">
        <v>997</v>
      </c>
      <c r="B158" s="2" t="s">
        <v>526</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4" t="s">
        <v>998</v>
      </c>
      <c r="B159" s="3" t="s">
        <v>554</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4" t="s">
        <v>1434</v>
      </c>
      <c r="B160" s="2" t="s">
        <v>526</v>
      </c>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4" t="s">
        <v>999</v>
      </c>
      <c r="B161" s="2" t="s">
        <v>551</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4" t="s">
        <v>1000</v>
      </c>
      <c r="B162" s="2" t="s">
        <v>551</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4" t="s">
        <v>1001</v>
      </c>
      <c r="B163" s="2" t="s">
        <v>526</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4" t="s">
        <v>1002</v>
      </c>
      <c r="B164" s="2" t="s">
        <v>529</v>
      </c>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4" t="s">
        <v>1003</v>
      </c>
      <c r="B165" s="2" t="s">
        <v>555</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4" t="s">
        <v>1004</v>
      </c>
      <c r="B166" s="3" t="s">
        <v>1452</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4" t="s">
        <v>1435</v>
      </c>
      <c r="B167" s="3" t="s">
        <v>1452</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4" t="s">
        <v>1005</v>
      </c>
      <c r="B168" s="2" t="s">
        <v>529</v>
      </c>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4" t="s">
        <v>1211</v>
      </c>
      <c r="B169" s="2" t="s">
        <v>1212</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4" t="s">
        <v>1436</v>
      </c>
      <c r="B170" s="2" t="s">
        <v>526</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4" t="s">
        <v>1006</v>
      </c>
      <c r="B171" s="2" t="s">
        <v>524</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4" t="s">
        <v>1400</v>
      </c>
      <c r="B172" s="2" t="s">
        <v>556</v>
      </c>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4" t="s">
        <v>1007</v>
      </c>
      <c r="B173" s="2" t="s">
        <v>551</v>
      </c>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4" t="s">
        <v>1008</v>
      </c>
      <c r="B174" s="2" t="s">
        <v>557</v>
      </c>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4" t="s">
        <v>1009</v>
      </c>
      <c r="B175" s="2" t="s">
        <v>526</v>
      </c>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4" t="s">
        <v>1010</v>
      </c>
      <c r="B176" s="2" t="s">
        <v>558</v>
      </c>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4" t="s">
        <v>1011</v>
      </c>
      <c r="B177" s="2" t="s">
        <v>529</v>
      </c>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4" t="s">
        <v>1012</v>
      </c>
      <c r="B178" s="2" t="s">
        <v>555</v>
      </c>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4" t="s">
        <v>1013</v>
      </c>
      <c r="B179" s="2" t="s">
        <v>555</v>
      </c>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4" t="s">
        <v>1014</v>
      </c>
      <c r="B180" s="2" t="s">
        <v>533</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4" t="s">
        <v>1015</v>
      </c>
      <c r="B181" s="2" t="s">
        <v>526</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4" t="s">
        <v>1016</v>
      </c>
      <c r="B182" s="2" t="s">
        <v>529</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4" t="s">
        <v>1017</v>
      </c>
      <c r="B183" s="2" t="s">
        <v>559</v>
      </c>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4" t="s">
        <v>1018</v>
      </c>
      <c r="B184" s="3" t="s">
        <v>1453</v>
      </c>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4" t="s">
        <v>1019</v>
      </c>
      <c r="B185" s="2" t="s">
        <v>526</v>
      </c>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4" t="s">
        <v>1020</v>
      </c>
      <c r="B186" s="2" t="s">
        <v>529</v>
      </c>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4" t="s">
        <v>1021</v>
      </c>
      <c r="B187" s="2" t="s">
        <v>551</v>
      </c>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4" t="s">
        <v>1213</v>
      </c>
      <c r="B188" s="2" t="s">
        <v>1214</v>
      </c>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4" t="s">
        <v>1022</v>
      </c>
      <c r="B189" s="2" t="s">
        <v>529</v>
      </c>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4" t="s">
        <v>1023</v>
      </c>
      <c r="B190" s="2" t="s">
        <v>560</v>
      </c>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4" t="s">
        <v>1024</v>
      </c>
      <c r="B191" s="2" t="s">
        <v>561</v>
      </c>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4" t="s">
        <v>1025</v>
      </c>
      <c r="B192" s="2" t="s">
        <v>526</v>
      </c>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4" t="s">
        <v>1026</v>
      </c>
      <c r="B193" s="2" t="s">
        <v>1459</v>
      </c>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4" t="s">
        <v>831</v>
      </c>
      <c r="B194" s="2" t="s">
        <v>901</v>
      </c>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4" t="s">
        <v>1027</v>
      </c>
      <c r="B195" s="2" t="s">
        <v>562</v>
      </c>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4" t="s">
        <v>1437</v>
      </c>
      <c r="B196" s="2" t="s">
        <v>563</v>
      </c>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4" t="s">
        <v>1028</v>
      </c>
      <c r="B197" s="2" t="s">
        <v>564</v>
      </c>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4" t="s">
        <v>1029</v>
      </c>
      <c r="B198" s="2" t="s">
        <v>564</v>
      </c>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4" t="s">
        <v>1030</v>
      </c>
      <c r="B199" s="2" t="s">
        <v>529</v>
      </c>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4" t="s">
        <v>1031</v>
      </c>
      <c r="B200" s="2" t="s">
        <v>534</v>
      </c>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4" t="s">
        <v>1032</v>
      </c>
      <c r="B201" s="2" t="s">
        <v>526</v>
      </c>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4" t="s">
        <v>1033</v>
      </c>
      <c r="B202" s="2" t="s">
        <v>526</v>
      </c>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4" t="s">
        <v>1209</v>
      </c>
      <c r="B203" s="2" t="s">
        <v>1444</v>
      </c>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4" t="s">
        <v>1401</v>
      </c>
      <c r="B204" s="2" t="s">
        <v>526</v>
      </c>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4" t="s">
        <v>1034</v>
      </c>
      <c r="B205" s="2" t="s">
        <v>526</v>
      </c>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4" t="s">
        <v>1035</v>
      </c>
      <c r="B206" s="2" t="s">
        <v>544</v>
      </c>
      <c r="C206" s="1"/>
      <c r="D206" s="1"/>
      <c r="E206" s="1"/>
      <c r="F206" s="1"/>
      <c r="G206" s="1"/>
      <c r="H206" s="1"/>
      <c r="I206" s="1"/>
      <c r="J206" s="1"/>
      <c r="K206" s="1"/>
      <c r="L206" s="1"/>
      <c r="M206" s="1"/>
      <c r="N206" s="1"/>
      <c r="O206" s="1"/>
      <c r="P206" s="1"/>
      <c r="Q206" s="1"/>
      <c r="R206" s="1"/>
      <c r="S206" s="1"/>
      <c r="T206" s="1"/>
      <c r="U206" s="1"/>
      <c r="V206" s="1"/>
      <c r="W206" s="1"/>
      <c r="X206" s="1"/>
      <c r="Y206" s="1"/>
      <c r="Z206" s="1"/>
    </row>
    <row r="208" spans="1:26" ht="12.75" customHeight="1" x14ac:dyDescent="0.3">
      <c r="A208" s="5" t="s">
        <v>1036</v>
      </c>
      <c r="B208" s="2"/>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4" t="s">
        <v>1037</v>
      </c>
      <c r="B209" s="2" t="s">
        <v>526</v>
      </c>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4" t="s">
        <v>1038</v>
      </c>
      <c r="B210" s="2" t="s">
        <v>526</v>
      </c>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4" t="s">
        <v>1039</v>
      </c>
      <c r="B211" s="2" t="s">
        <v>529</v>
      </c>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4" t="s">
        <v>1040</v>
      </c>
      <c r="B212" s="2" t="s">
        <v>527</v>
      </c>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4" t="s">
        <v>1402</v>
      </c>
      <c r="B213" s="2" t="s">
        <v>524</v>
      </c>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4" t="s">
        <v>1041</v>
      </c>
      <c r="B214" s="2" t="s">
        <v>529</v>
      </c>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4" t="s">
        <v>1438</v>
      </c>
      <c r="B215" s="2" t="s">
        <v>529</v>
      </c>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4" t="s">
        <v>1042</v>
      </c>
      <c r="B216" s="2" t="s">
        <v>529</v>
      </c>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4" t="s">
        <v>1043</v>
      </c>
      <c r="B217" s="2" t="s">
        <v>526</v>
      </c>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4" t="s">
        <v>1044</v>
      </c>
      <c r="B218" s="2" t="s">
        <v>534</v>
      </c>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4" t="s">
        <v>1045</v>
      </c>
      <c r="B219" s="2" t="s">
        <v>526</v>
      </c>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4" t="s">
        <v>1046</v>
      </c>
      <c r="B220" s="2" t="s">
        <v>1403</v>
      </c>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4" t="s">
        <v>1047</v>
      </c>
      <c r="B221" s="2" t="s">
        <v>559</v>
      </c>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4" t="s">
        <v>1048</v>
      </c>
      <c r="B222" s="2" t="s">
        <v>1460</v>
      </c>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4" t="s">
        <v>1049</v>
      </c>
      <c r="B223" s="2" t="s">
        <v>529</v>
      </c>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4" t="s">
        <v>1050</v>
      </c>
      <c r="B224" s="2" t="s">
        <v>566</v>
      </c>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4" t="s">
        <v>1051</v>
      </c>
      <c r="B225" s="2" t="s">
        <v>529</v>
      </c>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4" t="s">
        <v>1052</v>
      </c>
      <c r="B226" s="2" t="s">
        <v>526</v>
      </c>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4" t="s">
        <v>1053</v>
      </c>
      <c r="B227" s="2" t="s">
        <v>533</v>
      </c>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4" t="s">
        <v>1054</v>
      </c>
      <c r="B228" s="2" t="s">
        <v>526</v>
      </c>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4" t="s">
        <v>1055</v>
      </c>
      <c r="B229" s="2" t="s">
        <v>565</v>
      </c>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4" t="s">
        <v>1056</v>
      </c>
      <c r="B230" s="2" t="s">
        <v>544</v>
      </c>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4" t="s">
        <v>1057</v>
      </c>
      <c r="B231" s="2" t="s">
        <v>565</v>
      </c>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4" t="s">
        <v>1058</v>
      </c>
      <c r="B232" s="2" t="s">
        <v>529</v>
      </c>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4" t="s">
        <v>1439</v>
      </c>
      <c r="B233" s="2" t="s">
        <v>526</v>
      </c>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4" t="s">
        <v>1059</v>
      </c>
      <c r="B234" s="2" t="s">
        <v>526</v>
      </c>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4" t="s">
        <v>1060</v>
      </c>
      <c r="B235" s="2" t="s">
        <v>567</v>
      </c>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4" t="s">
        <v>1061</v>
      </c>
      <c r="B236" s="2" t="s">
        <v>526</v>
      </c>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4" t="s">
        <v>1062</v>
      </c>
      <c r="B237" s="2" t="s">
        <v>526</v>
      </c>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4" t="s">
        <v>1063</v>
      </c>
      <c r="B238" s="2" t="s">
        <v>534</v>
      </c>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4" t="s">
        <v>1064</v>
      </c>
      <c r="B239" s="2" t="s">
        <v>568</v>
      </c>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4" t="s">
        <v>1404</v>
      </c>
      <c r="B240" s="2" t="s">
        <v>559</v>
      </c>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4" t="s">
        <v>1065</v>
      </c>
      <c r="B241" s="2" t="s">
        <v>526</v>
      </c>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4" t="s">
        <v>1066</v>
      </c>
      <c r="B242" s="2" t="s">
        <v>526</v>
      </c>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4" t="s">
        <v>1067</v>
      </c>
      <c r="B243" s="2" t="s">
        <v>526</v>
      </c>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4" t="s">
        <v>1068</v>
      </c>
      <c r="B244" s="2" t="s">
        <v>544</v>
      </c>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4" t="s">
        <v>1069</v>
      </c>
      <c r="B245" s="2" t="s">
        <v>544</v>
      </c>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4" t="s">
        <v>1070</v>
      </c>
      <c r="B246" s="2" t="s">
        <v>526</v>
      </c>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4" t="s">
        <v>1071</v>
      </c>
      <c r="B247" s="2" t="s">
        <v>569</v>
      </c>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4" t="s">
        <v>1072</v>
      </c>
      <c r="B248" s="2" t="s">
        <v>529</v>
      </c>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4" t="s">
        <v>1073</v>
      </c>
      <c r="B249" s="2" t="s">
        <v>529</v>
      </c>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B250" s="2"/>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5" t="s">
        <v>1074</v>
      </c>
      <c r="B251" s="2"/>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4" t="s">
        <v>1075</v>
      </c>
      <c r="B252" s="2" t="s">
        <v>529</v>
      </c>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4" t="s">
        <v>1076</v>
      </c>
      <c r="B253" s="2" t="s">
        <v>526</v>
      </c>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B254" s="2"/>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5" t="s">
        <v>570</v>
      </c>
      <c r="B255" s="2"/>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4" t="s">
        <v>1077</v>
      </c>
      <c r="B256" s="2"/>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4" t="s">
        <v>1078</v>
      </c>
      <c r="B257" s="2"/>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4" t="s">
        <v>1079</v>
      </c>
      <c r="B258" s="2"/>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4" t="s">
        <v>1080</v>
      </c>
      <c r="B259" s="2"/>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4" t="s">
        <v>1081</v>
      </c>
      <c r="B260" s="2"/>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4" t="s">
        <v>1082</v>
      </c>
      <c r="B261" s="2"/>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4" t="s">
        <v>1083</v>
      </c>
      <c r="B262" s="2"/>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4" t="s">
        <v>1084</v>
      </c>
      <c r="B263" s="2"/>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B264" s="2"/>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5"/>
      <c r="B265" s="2"/>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B266" s="2"/>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B267" s="2"/>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B268" s="2"/>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B269" s="2"/>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B270" s="2"/>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B271" s="2"/>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B272" s="2"/>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2:26" ht="12.75" customHeight="1" x14ac:dyDescent="0.3">
      <c r="B273" s="2"/>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2:26" ht="12.75" customHeight="1" x14ac:dyDescent="0.3">
      <c r="B274" s="2"/>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2:26" ht="12.75" customHeight="1" x14ac:dyDescent="0.3">
      <c r="B275" s="2"/>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2:26" ht="12.75" customHeight="1" x14ac:dyDescent="0.3">
      <c r="B276" s="2"/>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2:26" ht="12.75" customHeight="1" x14ac:dyDescent="0.3">
      <c r="B277" s="2"/>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2:26" ht="12.75" customHeight="1" x14ac:dyDescent="0.3">
      <c r="B278" s="2"/>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2:26" ht="12.75" customHeight="1" x14ac:dyDescent="0.3">
      <c r="B279" s="2"/>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2:26" ht="12.75" customHeight="1" x14ac:dyDescent="0.3">
      <c r="B280" s="2"/>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2:26" ht="12.75" customHeight="1" x14ac:dyDescent="0.3">
      <c r="B281" s="2"/>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2:26" ht="12.75" customHeight="1" x14ac:dyDescent="0.3">
      <c r="B282" s="2"/>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2:26" ht="12.75" customHeight="1" x14ac:dyDescent="0.3">
      <c r="B283" s="2"/>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2:26" ht="12.75" customHeight="1" x14ac:dyDescent="0.3">
      <c r="B284" s="2"/>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2:26" ht="12.75" customHeight="1" x14ac:dyDescent="0.3">
      <c r="B285" s="2"/>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2:26" ht="12.75" customHeight="1" x14ac:dyDescent="0.3">
      <c r="B286" s="2"/>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2:26" ht="12.75" customHeight="1" x14ac:dyDescent="0.3">
      <c r="B287" s="2"/>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2:26" ht="12.75" customHeight="1" x14ac:dyDescent="0.3">
      <c r="B288" s="2"/>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2:26" ht="12.75" customHeight="1" x14ac:dyDescent="0.3">
      <c r="B289" s="2"/>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2:26" ht="12.75" customHeight="1" x14ac:dyDescent="0.3">
      <c r="B290" s="2"/>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2:26" ht="12.75" customHeight="1" x14ac:dyDescent="0.3">
      <c r="B291" s="2"/>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2:26" ht="12.75" customHeight="1" x14ac:dyDescent="0.3">
      <c r="B292" s="2"/>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2:26" ht="12.75" customHeight="1" x14ac:dyDescent="0.3">
      <c r="B293" s="2"/>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2:26" ht="12.75" customHeight="1" x14ac:dyDescent="0.3">
      <c r="B294" s="2"/>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2:26" ht="12.75" customHeight="1" x14ac:dyDescent="0.3">
      <c r="B295" s="2"/>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2:26" ht="12.75" customHeight="1" x14ac:dyDescent="0.3">
      <c r="B296" s="2"/>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2:26" ht="12.75" customHeight="1" x14ac:dyDescent="0.3">
      <c r="B297" s="2"/>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2:26" ht="12.75" customHeight="1" x14ac:dyDescent="0.3">
      <c r="B298" s="2"/>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2:26" ht="12.75" customHeight="1" x14ac:dyDescent="0.3">
      <c r="B299" s="2"/>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2:26" ht="12.75" customHeight="1" x14ac:dyDescent="0.3">
      <c r="B300" s="2"/>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2:26" ht="12.75" customHeight="1" x14ac:dyDescent="0.3">
      <c r="B301" s="2"/>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2:26" ht="12.75" customHeight="1" x14ac:dyDescent="0.3">
      <c r="B302" s="2"/>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2:26" ht="12.75" customHeight="1" x14ac:dyDescent="0.3">
      <c r="B303" s="2"/>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2:26" ht="12.75" customHeight="1" x14ac:dyDescent="0.3">
      <c r="B304" s="2"/>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2:26" ht="12.75" customHeight="1" x14ac:dyDescent="0.3">
      <c r="B305" s="2"/>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2:26" ht="12.75" customHeight="1" x14ac:dyDescent="0.3">
      <c r="B306" s="2"/>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2:26" ht="12.75" customHeight="1" x14ac:dyDescent="0.3">
      <c r="B307" s="2"/>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2:26" ht="12.75" customHeight="1" x14ac:dyDescent="0.3">
      <c r="B308" s="2"/>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2:26" ht="12.75" customHeight="1" x14ac:dyDescent="0.3">
      <c r="B309" s="2"/>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2:26" ht="12.75" customHeight="1" x14ac:dyDescent="0.3">
      <c r="B310" s="2"/>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2:26" ht="12.75" customHeight="1" x14ac:dyDescent="0.3">
      <c r="B311" s="2"/>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2:26" ht="12.75" customHeight="1" x14ac:dyDescent="0.3">
      <c r="B312" s="2"/>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2:26" ht="12.75" customHeight="1" x14ac:dyDescent="0.3">
      <c r="B313" s="2"/>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2:26" ht="12.75" customHeight="1" x14ac:dyDescent="0.3">
      <c r="B314" s="2"/>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2:26" ht="12.75" customHeight="1" x14ac:dyDescent="0.3">
      <c r="B315" s="2"/>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2:26" ht="12.75" customHeight="1" x14ac:dyDescent="0.3">
      <c r="B316" s="2"/>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2:26" ht="12.75" customHeight="1" x14ac:dyDescent="0.3">
      <c r="B317" s="2"/>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2:26" ht="12.75" customHeight="1" x14ac:dyDescent="0.3">
      <c r="B318" s="2"/>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2:26" ht="12.75" customHeight="1" x14ac:dyDescent="0.3">
      <c r="B319" s="2"/>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2:26" ht="12.75" customHeight="1" x14ac:dyDescent="0.3">
      <c r="B320" s="2"/>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2:26" ht="12.75" customHeight="1" x14ac:dyDescent="0.3">
      <c r="B321" s="2"/>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2:26" ht="12.75" customHeight="1" x14ac:dyDescent="0.3">
      <c r="B322" s="2"/>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2:26" ht="12.75" customHeight="1" x14ac:dyDescent="0.3">
      <c r="B323" s="2"/>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2:26" ht="12.75" customHeight="1" x14ac:dyDescent="0.3">
      <c r="B324" s="2"/>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2:26" ht="12.75" customHeight="1" x14ac:dyDescent="0.3">
      <c r="B325" s="2"/>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2:26" ht="12.75" customHeight="1" x14ac:dyDescent="0.3">
      <c r="B326" s="2"/>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2:26" ht="12.75" customHeight="1" x14ac:dyDescent="0.3">
      <c r="B327" s="2"/>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2:26" ht="12.75" customHeight="1" x14ac:dyDescent="0.3">
      <c r="B328" s="2"/>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2:26" ht="12.75" customHeight="1" x14ac:dyDescent="0.3">
      <c r="B329" s="2"/>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2:26" ht="12.75" customHeight="1" x14ac:dyDescent="0.3">
      <c r="B330" s="2"/>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2:26" ht="12.75" customHeight="1" x14ac:dyDescent="0.3">
      <c r="B331" s="2"/>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2:26" ht="12.75" customHeight="1" x14ac:dyDescent="0.3">
      <c r="B332" s="2"/>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2:26" ht="12.75" customHeight="1" x14ac:dyDescent="0.3">
      <c r="B333" s="2"/>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2:26" ht="12.75" customHeight="1" x14ac:dyDescent="0.3">
      <c r="B334" s="2"/>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2:26" ht="12.75" customHeight="1" x14ac:dyDescent="0.3">
      <c r="B335" s="2"/>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2:26" ht="12.75" customHeight="1" x14ac:dyDescent="0.3">
      <c r="B336" s="2"/>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2:26" ht="12.75" customHeight="1" x14ac:dyDescent="0.3">
      <c r="B337" s="2"/>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2:26" ht="12.75" customHeight="1" x14ac:dyDescent="0.3">
      <c r="B338" s="2"/>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2:26" ht="12.75" customHeight="1" x14ac:dyDescent="0.3">
      <c r="B339" s="2"/>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2:26" ht="12.75" customHeight="1" x14ac:dyDescent="0.3">
      <c r="B340" s="2"/>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2:26" ht="12.75" customHeight="1" x14ac:dyDescent="0.3">
      <c r="B341" s="2"/>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2:26" ht="12.75" customHeight="1" x14ac:dyDescent="0.3">
      <c r="B342" s="2"/>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2:26" ht="12.75" customHeight="1" x14ac:dyDescent="0.3">
      <c r="B343" s="2"/>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2:26" ht="12.75" customHeight="1" x14ac:dyDescent="0.3">
      <c r="B344" s="2"/>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2:26" ht="12.75" customHeight="1" x14ac:dyDescent="0.3">
      <c r="B345" s="2"/>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2:26" ht="12.75" customHeight="1" x14ac:dyDescent="0.3">
      <c r="B346" s="2"/>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2:26" ht="12.75" customHeight="1" x14ac:dyDescent="0.3">
      <c r="B347" s="2"/>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2:26" ht="12.75" customHeight="1" x14ac:dyDescent="0.3">
      <c r="B348" s="2"/>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2:26" ht="12.75" customHeight="1" x14ac:dyDescent="0.3">
      <c r="B349" s="2"/>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2:26" ht="12.75" customHeight="1" x14ac:dyDescent="0.3">
      <c r="B350" s="2"/>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2:26" ht="12.75" customHeight="1" x14ac:dyDescent="0.3">
      <c r="B351" s="2"/>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2:26" ht="12.75" customHeight="1" x14ac:dyDescent="0.3">
      <c r="B352" s="2"/>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2:26" ht="12.75" customHeight="1" x14ac:dyDescent="0.3">
      <c r="B353" s="2"/>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2:26" ht="12.75" customHeight="1" x14ac:dyDescent="0.3">
      <c r="B354" s="2"/>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2:26" ht="12.75" customHeight="1" x14ac:dyDescent="0.3">
      <c r="B355" s="2"/>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2:26" ht="12.75" customHeight="1" x14ac:dyDescent="0.3">
      <c r="B356" s="2"/>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2:26" ht="12.75" customHeight="1" x14ac:dyDescent="0.3">
      <c r="B357" s="2"/>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2:26" ht="12.75" customHeight="1" x14ac:dyDescent="0.3">
      <c r="B358" s="2"/>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2:26" ht="12.75" customHeight="1" x14ac:dyDescent="0.3">
      <c r="B359" s="2"/>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2:26" ht="12.75" customHeight="1" x14ac:dyDescent="0.3">
      <c r="B360" s="2"/>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2:26" ht="12.75" customHeight="1" x14ac:dyDescent="0.3">
      <c r="B361" s="2"/>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2:26" ht="12.75" customHeight="1" x14ac:dyDescent="0.3">
      <c r="B362" s="2"/>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2:26" ht="12.75" customHeight="1" x14ac:dyDescent="0.3">
      <c r="B363" s="2"/>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2:26" ht="12.75" customHeight="1" x14ac:dyDescent="0.3">
      <c r="B364" s="2"/>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2:26" ht="12.75" customHeight="1" x14ac:dyDescent="0.3">
      <c r="B365" s="2"/>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2:26" ht="12.75" customHeight="1" x14ac:dyDescent="0.3">
      <c r="B366" s="2"/>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2:26" ht="12.75" customHeight="1" x14ac:dyDescent="0.3">
      <c r="B367" s="2"/>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2:26" ht="12.75" customHeight="1" x14ac:dyDescent="0.3">
      <c r="B368" s="2"/>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2:26" ht="12.75" customHeight="1" x14ac:dyDescent="0.3">
      <c r="B369" s="2"/>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2:26" ht="12.75" customHeight="1" x14ac:dyDescent="0.3">
      <c r="B370" s="2"/>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2:26" ht="12.75" customHeight="1" x14ac:dyDescent="0.3">
      <c r="B371" s="2"/>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2:26" ht="12.75" customHeight="1" x14ac:dyDescent="0.3">
      <c r="B372" s="2"/>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2:26" ht="12.75" customHeight="1" x14ac:dyDescent="0.3">
      <c r="B373" s="2"/>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2:26" ht="12.75" customHeight="1" x14ac:dyDescent="0.3">
      <c r="B374" s="2"/>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2:26" ht="12.75" customHeight="1" x14ac:dyDescent="0.3">
      <c r="B375" s="2"/>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2:26" ht="12.75" customHeight="1" x14ac:dyDescent="0.3">
      <c r="B376" s="2"/>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2:26" ht="12.75" customHeight="1" x14ac:dyDescent="0.3">
      <c r="B377" s="2"/>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2:26" ht="12.75" customHeight="1" x14ac:dyDescent="0.3">
      <c r="B378" s="2"/>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2:26" ht="12.75" customHeight="1" x14ac:dyDescent="0.3">
      <c r="B379" s="2"/>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2:26" ht="12.75" customHeight="1" x14ac:dyDescent="0.3">
      <c r="B380" s="2"/>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2:26" ht="12.75" customHeight="1" x14ac:dyDescent="0.3">
      <c r="B381" s="2"/>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2:26" ht="12.75" customHeight="1" x14ac:dyDescent="0.3">
      <c r="B382" s="2"/>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2:26" ht="12.75" customHeight="1" x14ac:dyDescent="0.3">
      <c r="B383" s="2"/>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2:26" ht="12.75" customHeight="1" x14ac:dyDescent="0.3">
      <c r="B384" s="2"/>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2:26" ht="12.75" customHeight="1" x14ac:dyDescent="0.3">
      <c r="B385" s="2"/>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2:26" ht="12.75" customHeight="1" x14ac:dyDescent="0.3">
      <c r="B386" s="2"/>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2:26" ht="12.75" customHeight="1" x14ac:dyDescent="0.3">
      <c r="B387" s="2"/>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2:26" ht="12.75" customHeight="1" x14ac:dyDescent="0.3">
      <c r="B388" s="2"/>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2:26" ht="12.75" customHeight="1" x14ac:dyDescent="0.3">
      <c r="B389" s="2"/>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2:26" ht="12.75" customHeight="1" x14ac:dyDescent="0.3">
      <c r="B390" s="2"/>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2:26" ht="12.75" customHeight="1" x14ac:dyDescent="0.3">
      <c r="B391" s="2"/>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2:26" ht="12.75" customHeight="1" x14ac:dyDescent="0.3">
      <c r="B392" s="2"/>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2:26" ht="12.75" customHeight="1" x14ac:dyDescent="0.3">
      <c r="B393" s="2"/>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2:26" ht="12.75" customHeight="1" x14ac:dyDescent="0.3">
      <c r="B394" s="2"/>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2:26" ht="12.75" customHeight="1" x14ac:dyDescent="0.3">
      <c r="B395" s="2"/>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2:26" ht="12.75" customHeight="1" x14ac:dyDescent="0.3">
      <c r="B396" s="2"/>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2:26" ht="12.75" customHeight="1" x14ac:dyDescent="0.3">
      <c r="B397" s="2"/>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2:26" ht="12.75" customHeight="1" x14ac:dyDescent="0.3">
      <c r="B398" s="2"/>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2:26" ht="12.75" customHeight="1" x14ac:dyDescent="0.3">
      <c r="B399" s="2"/>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2:26" ht="12.75" customHeight="1" x14ac:dyDescent="0.3">
      <c r="B400" s="2"/>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2:26" ht="12.75" customHeight="1" x14ac:dyDescent="0.3">
      <c r="B401" s="2"/>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2:26" ht="12.75" customHeight="1" x14ac:dyDescent="0.3">
      <c r="B402" s="2"/>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2:26" ht="12.75" customHeight="1" x14ac:dyDescent="0.3">
      <c r="B403" s="2"/>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2:26" ht="12.75" customHeight="1" x14ac:dyDescent="0.3">
      <c r="B404" s="2"/>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2:26" ht="12.75" customHeight="1" x14ac:dyDescent="0.3">
      <c r="B405" s="2"/>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2:26" ht="12.75" customHeight="1" x14ac:dyDescent="0.3">
      <c r="B406" s="2"/>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2:26" ht="12.75" customHeight="1" x14ac:dyDescent="0.3">
      <c r="B407" s="2"/>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2:26" ht="12.75" customHeight="1" x14ac:dyDescent="0.3">
      <c r="B408" s="2"/>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2:26" ht="12.75" customHeight="1" x14ac:dyDescent="0.3">
      <c r="B409" s="2"/>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2:26" ht="12.75" customHeight="1" x14ac:dyDescent="0.3">
      <c r="B410" s="2"/>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2:26" ht="12.75" customHeight="1" x14ac:dyDescent="0.3">
      <c r="B411" s="2"/>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2:26" ht="12.75" customHeight="1" x14ac:dyDescent="0.3">
      <c r="B412" s="2"/>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2:26" ht="12.75" customHeight="1" x14ac:dyDescent="0.3">
      <c r="B413" s="2"/>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2:26" ht="12.75" customHeight="1" x14ac:dyDescent="0.3">
      <c r="B414" s="2"/>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2:26" ht="12.75" customHeight="1" x14ac:dyDescent="0.3">
      <c r="B415" s="2"/>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2:26" ht="12.75" customHeight="1" x14ac:dyDescent="0.3">
      <c r="B416" s="2"/>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2:26" ht="12.75" customHeight="1" x14ac:dyDescent="0.3">
      <c r="B417" s="2"/>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2:26" ht="12.75" customHeight="1" x14ac:dyDescent="0.3">
      <c r="B418" s="2"/>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2:26" ht="12.75" customHeight="1" x14ac:dyDescent="0.3">
      <c r="B419" s="2"/>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2:26" ht="12.75" customHeight="1" x14ac:dyDescent="0.3">
      <c r="B420" s="2"/>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2:26" ht="12.75" customHeight="1" x14ac:dyDescent="0.3">
      <c r="B421" s="2"/>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2:26" ht="12.75" customHeight="1" x14ac:dyDescent="0.3">
      <c r="B422" s="2"/>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2:26" ht="12.75" customHeight="1" x14ac:dyDescent="0.3">
      <c r="B423" s="2"/>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2:26" ht="12.75" customHeight="1" x14ac:dyDescent="0.3">
      <c r="B424" s="2"/>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2:26" ht="12.75" customHeight="1" x14ac:dyDescent="0.3">
      <c r="B425" s="2"/>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2:26" ht="12.75" customHeight="1" x14ac:dyDescent="0.3">
      <c r="B426" s="2"/>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2:26" ht="12.75" customHeight="1" x14ac:dyDescent="0.3">
      <c r="B427" s="2"/>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2:26" ht="12.75" customHeight="1" x14ac:dyDescent="0.3">
      <c r="B428" s="2"/>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2:26" ht="12.75" customHeight="1" x14ac:dyDescent="0.3">
      <c r="B429" s="2"/>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2:26" ht="12.75" customHeight="1" x14ac:dyDescent="0.3">
      <c r="B430" s="2"/>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2:26" ht="12.75" customHeight="1" x14ac:dyDescent="0.3">
      <c r="B431" s="2"/>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2:26" ht="12.75" customHeight="1" x14ac:dyDescent="0.3">
      <c r="B432" s="2"/>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2:26" ht="12.75" customHeight="1" x14ac:dyDescent="0.3">
      <c r="B433" s="2"/>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2:26" ht="12.75" customHeight="1" x14ac:dyDescent="0.3">
      <c r="B434" s="2"/>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2:26" ht="12.75" customHeight="1" x14ac:dyDescent="0.3">
      <c r="B435" s="2"/>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2:26" ht="12.75" customHeight="1" x14ac:dyDescent="0.3">
      <c r="B436" s="2"/>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2:26" ht="12.75" customHeight="1" x14ac:dyDescent="0.3">
      <c r="B437" s="2"/>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2:26" ht="12.75" customHeight="1" x14ac:dyDescent="0.3">
      <c r="B438" s="2"/>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2:26" ht="12.75" customHeight="1" x14ac:dyDescent="0.3">
      <c r="B439" s="2"/>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2:26" ht="12.75" customHeight="1" x14ac:dyDescent="0.3">
      <c r="B440" s="2"/>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2:26" ht="12.75" customHeight="1" x14ac:dyDescent="0.3">
      <c r="B441" s="2"/>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2:26" ht="12.75" customHeight="1" x14ac:dyDescent="0.3">
      <c r="B442" s="2"/>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2:26" ht="12.75" customHeight="1" x14ac:dyDescent="0.3">
      <c r="B443" s="2"/>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2:26" ht="12.75" customHeight="1" x14ac:dyDescent="0.3">
      <c r="B444" s="2"/>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2:26" ht="12.75" customHeight="1" x14ac:dyDescent="0.3">
      <c r="B445" s="2"/>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2:26" ht="12.75" customHeight="1" x14ac:dyDescent="0.3">
      <c r="B446" s="2"/>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2:26" ht="12.75" customHeight="1" x14ac:dyDescent="0.3">
      <c r="B447" s="2"/>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2:26" ht="12.75" customHeight="1" x14ac:dyDescent="0.3">
      <c r="B448" s="2"/>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2:26" ht="12.75" customHeight="1" x14ac:dyDescent="0.3">
      <c r="B449" s="2"/>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2:26" ht="12.75" customHeight="1" x14ac:dyDescent="0.3">
      <c r="B450" s="2"/>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2:26" ht="12.75" customHeight="1" x14ac:dyDescent="0.3">
      <c r="B451" s="2"/>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2:26" ht="12.75" customHeight="1" x14ac:dyDescent="0.3">
      <c r="B452" s="2"/>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2:26" ht="12.75" customHeight="1" x14ac:dyDescent="0.3">
      <c r="B453" s="2"/>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2:26" ht="12.75" customHeight="1" x14ac:dyDescent="0.3">
      <c r="B454" s="2"/>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2:26" ht="12.75" customHeight="1" x14ac:dyDescent="0.3">
      <c r="B455" s="2"/>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2:26" ht="12.75" customHeight="1" x14ac:dyDescent="0.3">
      <c r="B456" s="2"/>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2:26" ht="12.75" customHeight="1" x14ac:dyDescent="0.3">
      <c r="B457" s="2"/>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2:26" ht="12.75" customHeight="1" x14ac:dyDescent="0.3">
      <c r="B458" s="2"/>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2:26" ht="12.75" customHeight="1" x14ac:dyDescent="0.3">
      <c r="B459" s="2"/>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2:26" ht="12.75" customHeight="1" x14ac:dyDescent="0.3">
      <c r="B460" s="2"/>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2:26" ht="12.75" customHeight="1" x14ac:dyDescent="0.3">
      <c r="B461" s="2"/>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2:26" ht="12.75" customHeight="1" x14ac:dyDescent="0.3">
      <c r="B462" s="2"/>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2:26" ht="12.75" customHeight="1" x14ac:dyDescent="0.3">
      <c r="B463" s="2"/>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2:26" ht="12.75" customHeight="1" x14ac:dyDescent="0.3">
      <c r="B464" s="2"/>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2:26" ht="12.75" customHeight="1" x14ac:dyDescent="0.3">
      <c r="B465" s="2"/>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2:26" ht="12.75" customHeight="1" x14ac:dyDescent="0.3">
      <c r="B466" s="2"/>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2:26" ht="12.75" customHeight="1" x14ac:dyDescent="0.3">
      <c r="B467" s="2"/>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2:26" ht="12.75" customHeight="1" x14ac:dyDescent="0.3">
      <c r="B468" s="2"/>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2:26" ht="12.75" customHeight="1" x14ac:dyDescent="0.3">
      <c r="B469" s="2"/>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2:26" ht="12.75" customHeight="1" x14ac:dyDescent="0.3">
      <c r="B470" s="2"/>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2:26" ht="12.75" customHeight="1" x14ac:dyDescent="0.3">
      <c r="B471" s="2"/>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2:26" ht="12.75" customHeight="1" x14ac:dyDescent="0.3">
      <c r="B472" s="2"/>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2:26" ht="12.75" customHeight="1" x14ac:dyDescent="0.3">
      <c r="B473" s="2"/>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2:26" ht="12.75" customHeight="1" x14ac:dyDescent="0.3">
      <c r="B474" s="2"/>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2:26" ht="12.75" customHeight="1" x14ac:dyDescent="0.3">
      <c r="B475" s="2"/>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2:26" ht="12.75" customHeight="1" x14ac:dyDescent="0.3">
      <c r="B476" s="2"/>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2:26" ht="12.75" customHeight="1" x14ac:dyDescent="0.3">
      <c r="B477" s="2"/>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2:26" ht="12.75" customHeight="1" x14ac:dyDescent="0.3">
      <c r="B478" s="2"/>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2:26" ht="12.75" customHeight="1" x14ac:dyDescent="0.3">
      <c r="B479" s="2"/>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2:26" ht="12.75" customHeight="1" x14ac:dyDescent="0.3">
      <c r="B480" s="2"/>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2:26" ht="12.75" customHeight="1" x14ac:dyDescent="0.3">
      <c r="B481" s="2"/>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2:26" ht="12.75" customHeight="1" x14ac:dyDescent="0.3">
      <c r="B482" s="2"/>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2:26" ht="12.75" customHeight="1" x14ac:dyDescent="0.3">
      <c r="B483" s="2"/>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2:26" ht="12.75" customHeight="1" x14ac:dyDescent="0.3">
      <c r="B484" s="2"/>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2:26" ht="12.75" customHeight="1" x14ac:dyDescent="0.3">
      <c r="B485" s="2"/>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2:26" ht="12.75" customHeight="1" x14ac:dyDescent="0.3">
      <c r="B486" s="2"/>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2:26" ht="12.75" customHeight="1" x14ac:dyDescent="0.3">
      <c r="B487" s="2"/>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2:26" ht="12.75" customHeight="1" x14ac:dyDescent="0.3">
      <c r="B488" s="2"/>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2:26" ht="12.75" customHeight="1" x14ac:dyDescent="0.3">
      <c r="B489" s="2"/>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2:26" ht="12.75" customHeight="1" x14ac:dyDescent="0.3">
      <c r="B490" s="2"/>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2:26" ht="12.75" customHeight="1" x14ac:dyDescent="0.3">
      <c r="B491" s="2"/>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2:26" ht="12.75" customHeight="1" x14ac:dyDescent="0.3">
      <c r="B492" s="2"/>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2:26" ht="12.75" customHeight="1" x14ac:dyDescent="0.3">
      <c r="B493" s="2"/>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2:26" ht="12.75" customHeight="1" x14ac:dyDescent="0.3">
      <c r="B494" s="2"/>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2:26" ht="12.75" customHeight="1" x14ac:dyDescent="0.3">
      <c r="B495" s="2"/>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2:26" ht="12.75" customHeight="1" x14ac:dyDescent="0.3">
      <c r="B496" s="2"/>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2:26" ht="12.75" customHeight="1" x14ac:dyDescent="0.3">
      <c r="B497" s="2"/>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2:26" ht="12.75" customHeight="1" x14ac:dyDescent="0.3">
      <c r="B498" s="2"/>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2:26" ht="12.75" customHeight="1" x14ac:dyDescent="0.3">
      <c r="B499" s="2"/>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2:26" ht="12.75" customHeight="1" x14ac:dyDescent="0.3">
      <c r="B500" s="2"/>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2:26" ht="12.75" customHeight="1" x14ac:dyDescent="0.3">
      <c r="B501" s="2"/>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2:26" ht="12.75" customHeight="1" x14ac:dyDescent="0.3">
      <c r="B502" s="2"/>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2:26" ht="12.75" customHeight="1" x14ac:dyDescent="0.3">
      <c r="B503" s="2"/>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2:26" ht="12.75" customHeight="1" x14ac:dyDescent="0.3">
      <c r="B504" s="2"/>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2:26" ht="12.75" customHeight="1" x14ac:dyDescent="0.3">
      <c r="B505" s="2"/>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2:26" ht="12.75" customHeight="1" x14ac:dyDescent="0.3">
      <c r="B506" s="2"/>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2:26" ht="12.75" customHeight="1" x14ac:dyDescent="0.3">
      <c r="B507" s="2"/>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2:26" ht="12.75" customHeight="1" x14ac:dyDescent="0.3">
      <c r="B508" s="2"/>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2:26" ht="12.75" customHeight="1" x14ac:dyDescent="0.3">
      <c r="B509" s="2"/>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2:26" ht="12.75" customHeight="1" x14ac:dyDescent="0.3">
      <c r="B510" s="2"/>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2:26" ht="12.75" customHeight="1" x14ac:dyDescent="0.3">
      <c r="B511" s="2"/>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2:26" ht="12.75" customHeight="1" x14ac:dyDescent="0.3">
      <c r="B512" s="2"/>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2:26" ht="12.75" customHeight="1" x14ac:dyDescent="0.3">
      <c r="B513" s="2"/>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2:26" ht="12.75" customHeight="1" x14ac:dyDescent="0.3">
      <c r="B514" s="2"/>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2:26" ht="12.75" customHeight="1" x14ac:dyDescent="0.3">
      <c r="B515" s="2"/>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2:26" ht="12.75" customHeight="1" x14ac:dyDescent="0.3">
      <c r="B516" s="2"/>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2:26" ht="12.75" customHeight="1" x14ac:dyDescent="0.3">
      <c r="B517" s="2"/>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2:26" ht="12.75" customHeight="1" x14ac:dyDescent="0.3">
      <c r="B518" s="2"/>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2:26" ht="12.75" customHeight="1" x14ac:dyDescent="0.3">
      <c r="B519" s="2"/>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2:26" ht="12.75" customHeight="1" x14ac:dyDescent="0.3">
      <c r="B520" s="2"/>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2:26" ht="12.75" customHeight="1" x14ac:dyDescent="0.3">
      <c r="B521" s="2"/>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2:26" ht="12.75" customHeight="1" x14ac:dyDescent="0.3">
      <c r="B522" s="2"/>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2:26" ht="12.75" customHeight="1" x14ac:dyDescent="0.3">
      <c r="B523" s="2"/>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2:26" ht="12.75" customHeight="1" x14ac:dyDescent="0.3">
      <c r="B524" s="2"/>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2:26" ht="12.75" customHeight="1" x14ac:dyDescent="0.3">
      <c r="B525" s="2"/>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2:26" ht="12.75" customHeight="1" x14ac:dyDescent="0.3">
      <c r="B526" s="2"/>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2:26" ht="12.75" customHeight="1" x14ac:dyDescent="0.3">
      <c r="B527" s="2"/>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2:26" ht="12.75" customHeight="1" x14ac:dyDescent="0.3">
      <c r="B528" s="2"/>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2:26" ht="12.75" customHeight="1" x14ac:dyDescent="0.3">
      <c r="B529" s="2"/>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2:26" ht="12.75" customHeight="1" x14ac:dyDescent="0.3">
      <c r="B530" s="2"/>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2:26" ht="12.75" customHeight="1" x14ac:dyDescent="0.3">
      <c r="B531" s="2"/>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2:26" ht="12.75" customHeight="1" x14ac:dyDescent="0.3">
      <c r="B532" s="2"/>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2:26" ht="12.75" customHeight="1" x14ac:dyDescent="0.3">
      <c r="B533" s="2"/>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2:26" ht="12.75" customHeight="1" x14ac:dyDescent="0.3">
      <c r="B534" s="2"/>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2:26" ht="12.75" customHeight="1" x14ac:dyDescent="0.3">
      <c r="B535" s="2"/>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2:26" ht="12.75" customHeight="1" x14ac:dyDescent="0.3">
      <c r="B536" s="2"/>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2:26" ht="12.75" customHeight="1" x14ac:dyDescent="0.3">
      <c r="B537" s="2"/>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2:26" ht="12.75" customHeight="1" x14ac:dyDescent="0.3">
      <c r="B538" s="2"/>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2:26" ht="12.75" customHeight="1" x14ac:dyDescent="0.3">
      <c r="B539" s="2"/>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2:26" ht="12.75" customHeight="1" x14ac:dyDescent="0.3">
      <c r="B540" s="2"/>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2:26" ht="12.75" customHeight="1" x14ac:dyDescent="0.3">
      <c r="B541" s="2"/>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2:26" ht="12.75" customHeight="1" x14ac:dyDescent="0.3">
      <c r="B542" s="2"/>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2:26" ht="12.75" customHeight="1" x14ac:dyDescent="0.3">
      <c r="B543" s="2"/>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2:26" ht="12.75" customHeight="1" x14ac:dyDescent="0.3">
      <c r="B544" s="2"/>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2:26" ht="12.75" customHeight="1" x14ac:dyDescent="0.3">
      <c r="B545" s="2"/>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2:26" ht="12.75" customHeight="1" x14ac:dyDescent="0.3">
      <c r="B546" s="2"/>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2:26" ht="12.75" customHeight="1" x14ac:dyDescent="0.3">
      <c r="B547" s="2"/>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2:26" ht="12.75" customHeight="1" x14ac:dyDescent="0.3">
      <c r="B548" s="2"/>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2:26" ht="12.75" customHeight="1" x14ac:dyDescent="0.3">
      <c r="B549" s="2"/>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2:26" ht="12.75" customHeight="1" x14ac:dyDescent="0.3">
      <c r="B550" s="2"/>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2:26" ht="12.75" customHeight="1" x14ac:dyDescent="0.3">
      <c r="B551" s="2"/>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2:26" ht="12.75" customHeight="1" x14ac:dyDescent="0.3">
      <c r="B552" s="2"/>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2:26" ht="12.75" customHeight="1" x14ac:dyDescent="0.3">
      <c r="B553" s="2"/>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2:26" ht="12.75" customHeight="1" x14ac:dyDescent="0.3">
      <c r="B554" s="2"/>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2:26" ht="12.75" customHeight="1" x14ac:dyDescent="0.3">
      <c r="B555" s="2"/>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2:26" ht="12.75" customHeight="1" x14ac:dyDescent="0.3">
      <c r="B556" s="2"/>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2:26" ht="12.75" customHeight="1" x14ac:dyDescent="0.3">
      <c r="B557" s="2"/>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2:26" ht="12.75" customHeight="1" x14ac:dyDescent="0.3">
      <c r="B558" s="2"/>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2:26" ht="12.75" customHeight="1" x14ac:dyDescent="0.3">
      <c r="B559" s="2"/>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2:26" ht="12.75" customHeight="1" x14ac:dyDescent="0.3">
      <c r="B560" s="2"/>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2:26" ht="12.75" customHeight="1" x14ac:dyDescent="0.3">
      <c r="B561" s="2"/>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2:26" ht="12.75" customHeight="1" x14ac:dyDescent="0.3">
      <c r="B562" s="2"/>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2:26" ht="12.75" customHeight="1" x14ac:dyDescent="0.3">
      <c r="B563" s="2"/>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2:26" ht="12.75" customHeight="1" x14ac:dyDescent="0.3">
      <c r="B564" s="2"/>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2:26" ht="12.75" customHeight="1" x14ac:dyDescent="0.3">
      <c r="B565" s="2"/>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2:26" ht="12.75" customHeight="1" x14ac:dyDescent="0.3">
      <c r="B566" s="2"/>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2:26" ht="12.75" customHeight="1" x14ac:dyDescent="0.3">
      <c r="B567" s="2"/>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2:26" ht="12.75" customHeight="1" x14ac:dyDescent="0.3">
      <c r="B568" s="2"/>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2:26" ht="12.75" customHeight="1" x14ac:dyDescent="0.3">
      <c r="B569" s="2"/>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2:26" ht="12.75" customHeight="1" x14ac:dyDescent="0.3">
      <c r="B570" s="2"/>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2:26" ht="12.75" customHeight="1" x14ac:dyDescent="0.3">
      <c r="B571" s="2"/>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2:26" ht="12.75" customHeight="1" x14ac:dyDescent="0.3">
      <c r="B572" s="2"/>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2:26" ht="12.75" customHeight="1" x14ac:dyDescent="0.3">
      <c r="B573" s="2"/>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2:26" ht="12.75" customHeight="1" x14ac:dyDescent="0.3">
      <c r="B574" s="2"/>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2:26" ht="12.75" customHeight="1" x14ac:dyDescent="0.3">
      <c r="B575" s="2"/>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2:26" ht="12.75" customHeight="1" x14ac:dyDescent="0.3">
      <c r="B576" s="2"/>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2:26" ht="12.75" customHeight="1" x14ac:dyDescent="0.3">
      <c r="B577" s="2"/>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2:26" ht="12.75" customHeight="1" x14ac:dyDescent="0.3">
      <c r="B578" s="2"/>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2:26" ht="12.75" customHeight="1" x14ac:dyDescent="0.3">
      <c r="B579" s="2"/>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2:26" ht="12.75" customHeight="1" x14ac:dyDescent="0.3">
      <c r="B580" s="2"/>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2:26" ht="12.75" customHeight="1" x14ac:dyDescent="0.3">
      <c r="B581" s="2"/>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2:26" ht="12.75" customHeight="1" x14ac:dyDescent="0.3">
      <c r="B582" s="2"/>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2:26" ht="12.75" customHeight="1" x14ac:dyDescent="0.3">
      <c r="B583" s="2"/>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2:26" ht="12.75" customHeight="1" x14ac:dyDescent="0.3">
      <c r="B584" s="2"/>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2:26" ht="12.75" customHeight="1" x14ac:dyDescent="0.3">
      <c r="B585" s="2"/>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2:26" ht="12.75" customHeight="1" x14ac:dyDescent="0.3">
      <c r="B586" s="2"/>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2:26" ht="12.75" customHeight="1" x14ac:dyDescent="0.3">
      <c r="B587" s="2"/>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2:26" ht="12.75" customHeight="1" x14ac:dyDescent="0.3">
      <c r="B588" s="2"/>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2:26" ht="12.75" customHeight="1" x14ac:dyDescent="0.3">
      <c r="B589" s="2"/>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2:26" ht="12.75" customHeight="1" x14ac:dyDescent="0.3">
      <c r="B590" s="2"/>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2:26" ht="12.75" customHeight="1" x14ac:dyDescent="0.3">
      <c r="B591" s="2"/>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2:26" ht="12.75" customHeight="1" x14ac:dyDescent="0.3">
      <c r="B592" s="2"/>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2:26" ht="12.75" customHeight="1" x14ac:dyDescent="0.3">
      <c r="B593" s="2"/>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2:26" ht="12.75" customHeight="1" x14ac:dyDescent="0.3">
      <c r="B594" s="2"/>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2:26" ht="12.75" customHeight="1" x14ac:dyDescent="0.3">
      <c r="B595" s="2"/>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2:26" ht="12.75" customHeight="1" x14ac:dyDescent="0.3">
      <c r="B596" s="2"/>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2:26" ht="12.75" customHeight="1" x14ac:dyDescent="0.3">
      <c r="B597" s="2"/>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2:26" ht="12.75" customHeight="1" x14ac:dyDescent="0.3">
      <c r="B598" s="2"/>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2:26" ht="12.75" customHeight="1" x14ac:dyDescent="0.3">
      <c r="B599" s="2"/>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2:26" ht="12.75" customHeight="1" x14ac:dyDescent="0.3">
      <c r="B600" s="2"/>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2:26" ht="12.75" customHeight="1" x14ac:dyDescent="0.3">
      <c r="B601" s="2"/>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2:26" ht="12.75" customHeight="1" x14ac:dyDescent="0.3">
      <c r="B602" s="2"/>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2:26" ht="12.75" customHeight="1" x14ac:dyDescent="0.3">
      <c r="B603" s="2"/>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2:26" ht="12.75" customHeight="1" x14ac:dyDescent="0.3">
      <c r="B604" s="2"/>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2:26" ht="12.75" customHeight="1" x14ac:dyDescent="0.3">
      <c r="B605" s="2"/>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2:26" ht="12.75" customHeight="1" x14ac:dyDescent="0.3">
      <c r="B606" s="2"/>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2:26" ht="12.75" customHeight="1" x14ac:dyDescent="0.3">
      <c r="B607" s="2"/>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2:26" ht="12.75" customHeight="1" x14ac:dyDescent="0.3">
      <c r="B608" s="2"/>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2:26" ht="12.75" customHeight="1" x14ac:dyDescent="0.3">
      <c r="B609" s="2"/>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2:26" ht="12.75" customHeight="1" x14ac:dyDescent="0.3">
      <c r="B610" s="2"/>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2:26" ht="12.75" customHeight="1" x14ac:dyDescent="0.3">
      <c r="B611" s="2"/>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2:26" ht="12.75" customHeight="1" x14ac:dyDescent="0.3">
      <c r="B612" s="2"/>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2:26" ht="12.75" customHeight="1" x14ac:dyDescent="0.3">
      <c r="B613" s="2"/>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2:26" ht="12.75" customHeight="1" x14ac:dyDescent="0.3">
      <c r="B614" s="2"/>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2:26" ht="12.75" customHeight="1" x14ac:dyDescent="0.3">
      <c r="B615" s="2"/>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2:26" ht="12.75" customHeight="1" x14ac:dyDescent="0.3">
      <c r="B616" s="2"/>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2:26" ht="12.75" customHeight="1" x14ac:dyDescent="0.3">
      <c r="B617" s="2"/>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2:26" ht="12.75" customHeight="1" x14ac:dyDescent="0.3">
      <c r="B618" s="2"/>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2:26" ht="12.75" customHeight="1" x14ac:dyDescent="0.3">
      <c r="B619" s="2"/>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2:26" ht="12.75" customHeight="1" x14ac:dyDescent="0.3">
      <c r="B620" s="2"/>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2:26" ht="12.75" customHeight="1" x14ac:dyDescent="0.3">
      <c r="B621" s="2"/>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2:26" ht="12.75" customHeight="1" x14ac:dyDescent="0.3">
      <c r="B622" s="2"/>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2:26" ht="12.75" customHeight="1" x14ac:dyDescent="0.3">
      <c r="B623" s="2"/>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2:26" ht="12.75" customHeight="1" x14ac:dyDescent="0.3">
      <c r="B624" s="2"/>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2:26" ht="12.75" customHeight="1" x14ac:dyDescent="0.3">
      <c r="B625" s="2"/>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2:26" ht="12.75" customHeight="1" x14ac:dyDescent="0.3">
      <c r="B626" s="2"/>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2:26" ht="12.75" customHeight="1" x14ac:dyDescent="0.3">
      <c r="B627" s="2"/>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2:26" ht="12.75" customHeight="1" x14ac:dyDescent="0.3">
      <c r="B628" s="2"/>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2:26" ht="12.75" customHeight="1" x14ac:dyDescent="0.3">
      <c r="B629" s="2"/>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2:26" ht="12.75" customHeight="1" x14ac:dyDescent="0.3">
      <c r="B630" s="2"/>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2:26" ht="12.75" customHeight="1" x14ac:dyDescent="0.3">
      <c r="B631" s="2"/>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2:26" ht="12.75" customHeight="1" x14ac:dyDescent="0.3">
      <c r="B632" s="2"/>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2:26" ht="12.75" customHeight="1" x14ac:dyDescent="0.3">
      <c r="B633" s="2"/>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2:26" ht="12.75" customHeight="1" x14ac:dyDescent="0.3">
      <c r="B634" s="2"/>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2:26" ht="12.75" customHeight="1" x14ac:dyDescent="0.3">
      <c r="B635" s="2"/>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2:26" ht="12.75" customHeight="1" x14ac:dyDescent="0.3">
      <c r="B636" s="2"/>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2:26" ht="12.75" customHeight="1" x14ac:dyDescent="0.3">
      <c r="B637" s="2"/>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2:26" ht="12.75" customHeight="1" x14ac:dyDescent="0.3">
      <c r="B638" s="2"/>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2:26" ht="12.75" customHeight="1" x14ac:dyDescent="0.3">
      <c r="B639" s="2"/>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2:26" ht="12.75" customHeight="1" x14ac:dyDescent="0.3">
      <c r="B640" s="2"/>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2:26" ht="12.75" customHeight="1" x14ac:dyDescent="0.3">
      <c r="B641" s="2"/>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2:26" ht="12.75" customHeight="1" x14ac:dyDescent="0.3">
      <c r="B642" s="2"/>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2:26" ht="12.75" customHeight="1" x14ac:dyDescent="0.3">
      <c r="B643" s="2"/>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2:26" ht="12.75" customHeight="1" x14ac:dyDescent="0.3">
      <c r="B644" s="2"/>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2:26" ht="12.75" customHeight="1" x14ac:dyDescent="0.3">
      <c r="B645" s="2"/>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2:26" ht="12.75" customHeight="1" x14ac:dyDescent="0.3">
      <c r="B646" s="2"/>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2:26" ht="12.75" customHeight="1" x14ac:dyDescent="0.3">
      <c r="B647" s="2"/>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2:26" ht="12.75" customHeight="1" x14ac:dyDescent="0.3">
      <c r="B648" s="2"/>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2:26" ht="12.75" customHeight="1" x14ac:dyDescent="0.3">
      <c r="B649" s="2"/>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2:26" ht="12.75" customHeight="1" x14ac:dyDescent="0.3">
      <c r="B650" s="2"/>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2:26" ht="12.75" customHeight="1" x14ac:dyDescent="0.3">
      <c r="B651" s="2"/>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2:26" ht="12.75" customHeight="1" x14ac:dyDescent="0.3">
      <c r="B652" s="2"/>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2:26" ht="12.75" customHeight="1" x14ac:dyDescent="0.3">
      <c r="B653" s="2"/>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2:26" ht="12.75" customHeight="1" x14ac:dyDescent="0.3">
      <c r="B654" s="2"/>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2:26" ht="12.75" customHeight="1" x14ac:dyDescent="0.3">
      <c r="B655" s="2"/>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2:26" ht="12.75" customHeight="1" x14ac:dyDescent="0.3">
      <c r="B656" s="2"/>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2:26" ht="12.75" customHeight="1" x14ac:dyDescent="0.3">
      <c r="B657" s="2"/>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2:26" ht="12.75" customHeight="1" x14ac:dyDescent="0.3">
      <c r="B658" s="2"/>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2:26" ht="12.75" customHeight="1" x14ac:dyDescent="0.3">
      <c r="B659" s="2"/>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2:26" ht="12.75" customHeight="1" x14ac:dyDescent="0.3">
      <c r="B660" s="2"/>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2:26" ht="12.75" customHeight="1" x14ac:dyDescent="0.3">
      <c r="B661" s="2"/>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2:26" ht="12.75" customHeight="1" x14ac:dyDescent="0.3">
      <c r="B662" s="2"/>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2:26" ht="12.75" customHeight="1" x14ac:dyDescent="0.3">
      <c r="B663" s="2"/>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2:26" ht="12.75" customHeight="1" x14ac:dyDescent="0.3">
      <c r="B664" s="2"/>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2:26" ht="12.75" customHeight="1" x14ac:dyDescent="0.3">
      <c r="B665" s="2"/>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2:26" ht="12.75" customHeight="1" x14ac:dyDescent="0.3">
      <c r="B666" s="2"/>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2:26" ht="12.75" customHeight="1" x14ac:dyDescent="0.3">
      <c r="B667" s="2"/>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2:26" ht="12.75" customHeight="1" x14ac:dyDescent="0.3">
      <c r="B668" s="2"/>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2:26" ht="12.75" customHeight="1" x14ac:dyDescent="0.3">
      <c r="B669" s="2"/>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2:26" ht="12.75" customHeight="1" x14ac:dyDescent="0.3">
      <c r="B670" s="2"/>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2:26" ht="12.75" customHeight="1" x14ac:dyDescent="0.3">
      <c r="B671" s="2"/>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2:26" ht="12.75" customHeight="1" x14ac:dyDescent="0.3">
      <c r="B672" s="2"/>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2:26" ht="12.75" customHeight="1" x14ac:dyDescent="0.3">
      <c r="B673" s="2"/>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2:26" ht="12.75" customHeight="1" x14ac:dyDescent="0.3">
      <c r="B674" s="2"/>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2:26" ht="12.75" customHeight="1" x14ac:dyDescent="0.3">
      <c r="B675" s="2"/>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2:26" ht="12.75" customHeight="1" x14ac:dyDescent="0.3">
      <c r="B676" s="2"/>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2:26" ht="12.75" customHeight="1" x14ac:dyDescent="0.3">
      <c r="B677" s="2"/>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2:26" ht="12.75" customHeight="1" x14ac:dyDescent="0.3">
      <c r="B678" s="2"/>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2:26" ht="12.75" customHeight="1" x14ac:dyDescent="0.3">
      <c r="B679" s="2"/>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2:26" ht="12.75" customHeight="1" x14ac:dyDescent="0.3">
      <c r="B680" s="2"/>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2:26" ht="12.75" customHeight="1" x14ac:dyDescent="0.3">
      <c r="B681" s="2"/>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2:26" ht="12.75" customHeight="1" x14ac:dyDescent="0.3">
      <c r="B682" s="2"/>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2:26" ht="12.75" customHeight="1" x14ac:dyDescent="0.3">
      <c r="B683" s="2"/>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2:26" ht="12.75" customHeight="1" x14ac:dyDescent="0.3">
      <c r="B684" s="2"/>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2:26" ht="12.75" customHeight="1" x14ac:dyDescent="0.3">
      <c r="B685" s="2"/>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2:26" ht="12.75" customHeight="1" x14ac:dyDescent="0.3">
      <c r="B686" s="2"/>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2:26" ht="12.75" customHeight="1" x14ac:dyDescent="0.3">
      <c r="B687" s="2"/>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2:26" ht="12.75" customHeight="1" x14ac:dyDescent="0.3">
      <c r="B688" s="2"/>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2:26" ht="12.75" customHeight="1" x14ac:dyDescent="0.3">
      <c r="B689" s="2"/>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2:26" ht="12.75" customHeight="1" x14ac:dyDescent="0.3">
      <c r="B690" s="2"/>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2:26" ht="12.75" customHeight="1" x14ac:dyDescent="0.3">
      <c r="B691" s="2"/>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2:26" ht="12.75" customHeight="1" x14ac:dyDescent="0.3">
      <c r="B692" s="2"/>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2:26" ht="12.75" customHeight="1" x14ac:dyDescent="0.3">
      <c r="B693" s="2"/>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2:26" ht="12.75" customHeight="1" x14ac:dyDescent="0.3">
      <c r="B694" s="2"/>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2:26" ht="12.75" customHeight="1" x14ac:dyDescent="0.3">
      <c r="B695" s="2"/>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2:26" ht="12.75" customHeight="1" x14ac:dyDescent="0.3">
      <c r="B696" s="2"/>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2:26" ht="12.75" customHeight="1" x14ac:dyDescent="0.3">
      <c r="B697" s="2"/>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2:26" ht="12.75" customHeight="1" x14ac:dyDescent="0.3">
      <c r="B698" s="2"/>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2:26" ht="12.75" customHeight="1" x14ac:dyDescent="0.3">
      <c r="B699" s="2"/>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2:26" ht="12.75" customHeight="1" x14ac:dyDescent="0.3">
      <c r="B700" s="2"/>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2:26" ht="12.75" customHeight="1" x14ac:dyDescent="0.3">
      <c r="B701" s="2"/>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2:26" ht="12.75" customHeight="1" x14ac:dyDescent="0.3">
      <c r="B702" s="2"/>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2:26" ht="12.75" customHeight="1" x14ac:dyDescent="0.3">
      <c r="B703" s="2"/>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2:26" ht="12.75" customHeight="1" x14ac:dyDescent="0.3">
      <c r="B704" s="2"/>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2:26" ht="12.75" customHeight="1" x14ac:dyDescent="0.3">
      <c r="B705" s="2"/>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2:26" ht="12.75" customHeight="1" x14ac:dyDescent="0.3">
      <c r="B706" s="2"/>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2:26" ht="12.75" customHeight="1" x14ac:dyDescent="0.3">
      <c r="B707" s="2"/>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2:26" ht="12.75" customHeight="1" x14ac:dyDescent="0.3">
      <c r="B708" s="2"/>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2:26" ht="12.75" customHeight="1" x14ac:dyDescent="0.3">
      <c r="B709" s="2"/>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2:26" ht="12.75" customHeight="1" x14ac:dyDescent="0.3">
      <c r="B710" s="2"/>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2:26" ht="12.75" customHeight="1" x14ac:dyDescent="0.3">
      <c r="B711" s="2"/>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2:26" ht="12.75" customHeight="1" x14ac:dyDescent="0.3">
      <c r="B712" s="2"/>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2:26" ht="12.75" customHeight="1" x14ac:dyDescent="0.3">
      <c r="B713" s="2"/>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2:26" ht="12.75" customHeight="1" x14ac:dyDescent="0.3">
      <c r="B714" s="2"/>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2:26" ht="12.75" customHeight="1" x14ac:dyDescent="0.3">
      <c r="B715" s="2"/>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2:26" ht="12.75" customHeight="1" x14ac:dyDescent="0.3">
      <c r="B716" s="2"/>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2:26" ht="12.75" customHeight="1" x14ac:dyDescent="0.3">
      <c r="B717" s="2"/>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2:26" ht="12.75" customHeight="1" x14ac:dyDescent="0.3">
      <c r="B718" s="2"/>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2:26" ht="12.75" customHeight="1" x14ac:dyDescent="0.3">
      <c r="B719" s="2"/>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2:26" ht="12.75" customHeight="1" x14ac:dyDescent="0.3">
      <c r="B720" s="2"/>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2:26" ht="12.75" customHeight="1" x14ac:dyDescent="0.3">
      <c r="B721" s="2"/>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2:26" ht="12.75" customHeight="1" x14ac:dyDescent="0.3">
      <c r="B722" s="2"/>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2:26" ht="12.75" customHeight="1" x14ac:dyDescent="0.3">
      <c r="B723" s="2"/>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2:26" ht="12.75" customHeight="1" x14ac:dyDescent="0.3">
      <c r="B724" s="2"/>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2:26" ht="12.75" customHeight="1" x14ac:dyDescent="0.3">
      <c r="B725" s="2"/>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2:26" ht="12.75" customHeight="1" x14ac:dyDescent="0.3">
      <c r="B726" s="2"/>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2:26" ht="12.75" customHeight="1" x14ac:dyDescent="0.3">
      <c r="B727" s="2"/>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2:26" ht="12.75" customHeight="1" x14ac:dyDescent="0.3">
      <c r="B728" s="2"/>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2:26" ht="12.75" customHeight="1" x14ac:dyDescent="0.3">
      <c r="B729" s="2"/>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2:26" ht="12.75" customHeight="1" x14ac:dyDescent="0.3">
      <c r="B730" s="2"/>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2:26" ht="12.75" customHeight="1" x14ac:dyDescent="0.3">
      <c r="B731" s="2"/>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2:26" ht="12.75" customHeight="1" x14ac:dyDescent="0.3">
      <c r="B732" s="2"/>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2:26" ht="12.75" customHeight="1" x14ac:dyDescent="0.3">
      <c r="B733" s="2"/>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2:26" ht="12.75" customHeight="1" x14ac:dyDescent="0.3">
      <c r="B734" s="2"/>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2:26" ht="12.75" customHeight="1" x14ac:dyDescent="0.3">
      <c r="B735" s="2"/>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2:26" ht="12.75" customHeight="1" x14ac:dyDescent="0.3">
      <c r="B736" s="2"/>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2:26" ht="12.75" customHeight="1" x14ac:dyDescent="0.3">
      <c r="B737" s="2"/>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2:26" ht="12.75" customHeight="1" x14ac:dyDescent="0.3">
      <c r="B738" s="2"/>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2:26" ht="12.75" customHeight="1" x14ac:dyDescent="0.3">
      <c r="B739" s="2"/>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2:26" ht="12.75" customHeight="1" x14ac:dyDescent="0.3">
      <c r="B740" s="2"/>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2:26" ht="12.75" customHeight="1" x14ac:dyDescent="0.3">
      <c r="B741" s="2"/>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2:26" ht="12.75" customHeight="1" x14ac:dyDescent="0.3">
      <c r="B742" s="2"/>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2:26" ht="12.75" customHeight="1" x14ac:dyDescent="0.3">
      <c r="B743" s="2"/>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2:26" ht="12.75" customHeight="1" x14ac:dyDescent="0.3">
      <c r="B744" s="2"/>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2:26" ht="12.75" customHeight="1" x14ac:dyDescent="0.3">
      <c r="B745" s="2"/>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2:26" ht="12.75" customHeight="1" x14ac:dyDescent="0.3">
      <c r="B746" s="2"/>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2:26" ht="12.75" customHeight="1" x14ac:dyDescent="0.3">
      <c r="B747" s="2"/>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2:26" ht="12.75" customHeight="1" x14ac:dyDescent="0.3">
      <c r="B748" s="2"/>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2:26" ht="12.75" customHeight="1" x14ac:dyDescent="0.3">
      <c r="B749" s="2"/>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2:26" ht="12.75" customHeight="1" x14ac:dyDescent="0.3">
      <c r="B750" s="2"/>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2:26" ht="12.75" customHeight="1" x14ac:dyDescent="0.3">
      <c r="B751" s="2"/>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2:26" ht="12.75" customHeight="1" x14ac:dyDescent="0.3">
      <c r="B752" s="2"/>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2:26" ht="12.75" customHeight="1" x14ac:dyDescent="0.3">
      <c r="B753" s="2"/>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2:26" ht="12.75" customHeight="1" x14ac:dyDescent="0.3">
      <c r="B754" s="2"/>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2:26" ht="12.75" customHeight="1" x14ac:dyDescent="0.3">
      <c r="B755" s="2"/>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2:26" ht="12.75" customHeight="1" x14ac:dyDescent="0.3">
      <c r="B756" s="2"/>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2:26" ht="12.75" customHeight="1" x14ac:dyDescent="0.3">
      <c r="B757" s="2"/>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2:26" ht="12.75" customHeight="1" x14ac:dyDescent="0.3">
      <c r="B758" s="2"/>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2:26" ht="12.75" customHeight="1" x14ac:dyDescent="0.3">
      <c r="B759" s="2"/>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2:26" ht="12.75" customHeight="1" x14ac:dyDescent="0.3">
      <c r="B760" s="2"/>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2:26" ht="12.75" customHeight="1" x14ac:dyDescent="0.3">
      <c r="B761" s="2"/>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2:26" ht="12.75" customHeight="1" x14ac:dyDescent="0.3">
      <c r="B762" s="2"/>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2:26" ht="12.75" customHeight="1" x14ac:dyDescent="0.3">
      <c r="B763" s="2"/>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2:26" ht="12.75" customHeight="1" x14ac:dyDescent="0.3">
      <c r="B764" s="2"/>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2:26" ht="12.75" customHeight="1" x14ac:dyDescent="0.3">
      <c r="B765" s="2"/>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2:26" ht="12.75" customHeight="1" x14ac:dyDescent="0.3">
      <c r="B766" s="2"/>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2:26" ht="12.75" customHeight="1" x14ac:dyDescent="0.3">
      <c r="B767" s="2"/>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2:26" ht="12.75" customHeight="1" x14ac:dyDescent="0.3">
      <c r="B768" s="2"/>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2:26" ht="12.75" customHeight="1" x14ac:dyDescent="0.3">
      <c r="B769" s="2"/>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2:26" ht="12.75" customHeight="1" x14ac:dyDescent="0.3">
      <c r="B770" s="2"/>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2:26" ht="12.75" customHeight="1" x14ac:dyDescent="0.3">
      <c r="B771" s="2"/>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2:26" ht="12.75" customHeight="1" x14ac:dyDescent="0.3">
      <c r="B772" s="2"/>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2:26" ht="12.75" customHeight="1" x14ac:dyDescent="0.3">
      <c r="B773" s="2"/>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2:26" ht="12.75" customHeight="1" x14ac:dyDescent="0.3">
      <c r="B774" s="2"/>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2:26" ht="12.75" customHeight="1" x14ac:dyDescent="0.3">
      <c r="B775" s="2"/>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2:26" ht="12.75" customHeight="1" x14ac:dyDescent="0.3">
      <c r="B776" s="2"/>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2:26" ht="12.75" customHeight="1" x14ac:dyDescent="0.3">
      <c r="B777" s="2"/>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2:26" ht="12.75" customHeight="1" x14ac:dyDescent="0.3">
      <c r="B778" s="2"/>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2:26" ht="12.75" customHeight="1" x14ac:dyDescent="0.3">
      <c r="B779" s="2"/>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2:26" ht="12.75" customHeight="1" x14ac:dyDescent="0.3">
      <c r="B780" s="2"/>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2:26" ht="12.75" customHeight="1" x14ac:dyDescent="0.3">
      <c r="B781" s="2"/>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2:26" ht="12.75" customHeight="1" x14ac:dyDescent="0.3">
      <c r="B782" s="2"/>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2:26" ht="12.75" customHeight="1" x14ac:dyDescent="0.3">
      <c r="B783" s="2"/>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2:26" ht="12.75" customHeight="1" x14ac:dyDescent="0.3">
      <c r="B784" s="2"/>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2:26" ht="12.75" customHeight="1" x14ac:dyDescent="0.3">
      <c r="B785" s="2"/>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2:26" ht="12.75" customHeight="1" x14ac:dyDescent="0.3">
      <c r="B786" s="2"/>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2:26" ht="12.75" customHeight="1" x14ac:dyDescent="0.3">
      <c r="B787" s="2"/>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2:26" ht="12.75" customHeight="1" x14ac:dyDescent="0.3">
      <c r="B788" s="2"/>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2:26" ht="12.75" customHeight="1" x14ac:dyDescent="0.3">
      <c r="B789" s="2"/>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2:26" ht="12.75" customHeight="1" x14ac:dyDescent="0.3">
      <c r="B790" s="2"/>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2:26" ht="12.75" customHeight="1" x14ac:dyDescent="0.3">
      <c r="B791" s="2"/>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2:26" ht="12.75" customHeight="1" x14ac:dyDescent="0.3">
      <c r="B792" s="2"/>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2:26" ht="12.75" customHeight="1" x14ac:dyDescent="0.3">
      <c r="B793" s="2"/>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2:26" ht="12.75" customHeight="1" x14ac:dyDescent="0.3">
      <c r="B794" s="2"/>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2:26" ht="12.75" customHeight="1" x14ac:dyDescent="0.3">
      <c r="B795" s="2"/>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2:26" ht="12.75" customHeight="1" x14ac:dyDescent="0.3">
      <c r="B796" s="2"/>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2:26" ht="12.75" customHeight="1" x14ac:dyDescent="0.3">
      <c r="B797" s="2"/>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2:26" ht="12.75" customHeight="1" x14ac:dyDescent="0.3">
      <c r="B798" s="2"/>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2:26" ht="12.75" customHeight="1" x14ac:dyDescent="0.3">
      <c r="B799" s="2"/>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2:26" ht="12.75" customHeight="1" x14ac:dyDescent="0.3">
      <c r="B800" s="2"/>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2:26" ht="12.75" customHeight="1" x14ac:dyDescent="0.3">
      <c r="B801" s="2"/>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2:26" ht="12.75" customHeight="1" x14ac:dyDescent="0.3">
      <c r="B802" s="2"/>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2:26" ht="12.75" customHeight="1" x14ac:dyDescent="0.3">
      <c r="B803" s="2"/>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2:26" ht="12.75" customHeight="1" x14ac:dyDescent="0.3">
      <c r="B804" s="2"/>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2:26" ht="12.75" customHeight="1" x14ac:dyDescent="0.3">
      <c r="B805" s="2"/>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2:26" ht="12.75" customHeight="1" x14ac:dyDescent="0.3">
      <c r="B806" s="2"/>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2:26" ht="12.75" customHeight="1" x14ac:dyDescent="0.3">
      <c r="B807" s="2"/>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2:26" ht="12.75" customHeight="1" x14ac:dyDescent="0.3">
      <c r="B808" s="2"/>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2:26" ht="12.75" customHeight="1" x14ac:dyDescent="0.3">
      <c r="B809" s="2"/>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2:26" ht="12.75" customHeight="1" x14ac:dyDescent="0.3">
      <c r="B810" s="2"/>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2:26" ht="12.75" customHeight="1" x14ac:dyDescent="0.3">
      <c r="B811" s="2"/>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2:26" ht="12.75" customHeight="1" x14ac:dyDescent="0.3">
      <c r="B812" s="2"/>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2:26" ht="12.75" customHeight="1" x14ac:dyDescent="0.3">
      <c r="B813" s="2"/>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2:26" ht="12.75" customHeight="1" x14ac:dyDescent="0.3">
      <c r="B814" s="2"/>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2:26" ht="12.75" customHeight="1" x14ac:dyDescent="0.3">
      <c r="B815" s="2"/>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2:26" ht="12.75" customHeight="1" x14ac:dyDescent="0.3">
      <c r="B816" s="2"/>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2:26" ht="12.75" customHeight="1" x14ac:dyDescent="0.3">
      <c r="B817" s="2"/>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2:26" ht="12.75" customHeight="1" x14ac:dyDescent="0.3">
      <c r="B818" s="2"/>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2:26" ht="12.75" customHeight="1" x14ac:dyDescent="0.3">
      <c r="B819" s="2"/>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2:26" ht="12.75" customHeight="1" x14ac:dyDescent="0.3">
      <c r="B820" s="2"/>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2:26" ht="12.75" customHeight="1" x14ac:dyDescent="0.3">
      <c r="B821" s="2"/>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2:26" ht="12.75" customHeight="1" x14ac:dyDescent="0.3">
      <c r="B822" s="2"/>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2:26" ht="12.75" customHeight="1" x14ac:dyDescent="0.3">
      <c r="B823" s="2"/>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2:26" ht="12.75" customHeight="1" x14ac:dyDescent="0.3">
      <c r="B824" s="2"/>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2:26" ht="12.75" customHeight="1" x14ac:dyDescent="0.3">
      <c r="B825" s="2"/>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2:26" ht="12.75" customHeight="1" x14ac:dyDescent="0.3">
      <c r="B826" s="2"/>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2:26" ht="12.75" customHeight="1" x14ac:dyDescent="0.3">
      <c r="B827" s="2"/>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2:26" ht="12.75" customHeight="1" x14ac:dyDescent="0.3">
      <c r="B828" s="2"/>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2:26" ht="12.75" customHeight="1" x14ac:dyDescent="0.3">
      <c r="B829" s="2"/>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2:26" ht="12.75" customHeight="1" x14ac:dyDescent="0.3">
      <c r="B830" s="2"/>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2:26" ht="12.75" customHeight="1" x14ac:dyDescent="0.3">
      <c r="B831" s="2"/>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2:26" ht="12.75" customHeight="1" x14ac:dyDescent="0.3">
      <c r="B832" s="2"/>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2:26" ht="12.75" customHeight="1" x14ac:dyDescent="0.3">
      <c r="B833" s="2"/>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2:26" ht="12.75" customHeight="1" x14ac:dyDescent="0.3">
      <c r="B834" s="2"/>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2:26" ht="12.75" customHeight="1" x14ac:dyDescent="0.3">
      <c r="B835" s="2"/>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2:26" ht="12.75" customHeight="1" x14ac:dyDescent="0.3">
      <c r="B836" s="2"/>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2:26" ht="12.75" customHeight="1" x14ac:dyDescent="0.3">
      <c r="B837" s="2"/>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2:26" ht="12.75" customHeight="1" x14ac:dyDescent="0.3">
      <c r="B838" s="2"/>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2:26" ht="12.75" customHeight="1" x14ac:dyDescent="0.3">
      <c r="B839" s="2"/>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2:26" ht="12.75" customHeight="1" x14ac:dyDescent="0.3">
      <c r="B840" s="2"/>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2:26" ht="12.75" customHeight="1" x14ac:dyDescent="0.3">
      <c r="B841" s="2"/>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2:26" ht="12.75" customHeight="1" x14ac:dyDescent="0.3">
      <c r="B842" s="2"/>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2:26" ht="12.75" customHeight="1" x14ac:dyDescent="0.3">
      <c r="B843" s="2"/>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2:26" ht="12.75" customHeight="1" x14ac:dyDescent="0.3">
      <c r="B844" s="2"/>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2:26" ht="12.75" customHeight="1" x14ac:dyDescent="0.3">
      <c r="B845" s="2"/>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2:26" ht="12.75" customHeight="1" x14ac:dyDescent="0.3">
      <c r="B846" s="2"/>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2:26" ht="12.75" customHeight="1" x14ac:dyDescent="0.3">
      <c r="B847" s="2"/>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2:26" ht="12.75" customHeight="1" x14ac:dyDescent="0.3">
      <c r="B848" s="2"/>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2:26" ht="12.75" customHeight="1" x14ac:dyDescent="0.3">
      <c r="B849" s="2"/>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2:26" ht="12.75" customHeight="1" x14ac:dyDescent="0.3">
      <c r="B850" s="2"/>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2:26" ht="12.75" customHeight="1" x14ac:dyDescent="0.3">
      <c r="B851" s="2"/>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2:26" ht="12.75" customHeight="1" x14ac:dyDescent="0.3">
      <c r="B852" s="2"/>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2:26" ht="12.75" customHeight="1" x14ac:dyDescent="0.3">
      <c r="B853" s="2"/>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2:26" ht="12.75" customHeight="1" x14ac:dyDescent="0.3">
      <c r="B854" s="2"/>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2:26" ht="12.75" customHeight="1" x14ac:dyDescent="0.3">
      <c r="B855" s="2"/>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2:26" ht="12.75" customHeight="1" x14ac:dyDescent="0.3">
      <c r="B856" s="2"/>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2:26" ht="12.75" customHeight="1" x14ac:dyDescent="0.3">
      <c r="B857" s="2"/>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2:26" ht="12.75" customHeight="1" x14ac:dyDescent="0.3">
      <c r="B858" s="2"/>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2:26" ht="12.75" customHeight="1" x14ac:dyDescent="0.3">
      <c r="B859" s="2"/>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2:26" ht="12.75" customHeight="1" x14ac:dyDescent="0.3">
      <c r="B860" s="2"/>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2:26" ht="12.75" customHeight="1" x14ac:dyDescent="0.3">
      <c r="B861" s="2"/>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2:26" ht="12.75" customHeight="1" x14ac:dyDescent="0.3">
      <c r="B862" s="2"/>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2:26" ht="12.75" customHeight="1" x14ac:dyDescent="0.3">
      <c r="B863" s="2"/>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2:26" ht="12.75" customHeight="1" x14ac:dyDescent="0.3">
      <c r="B864" s="2"/>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2:26" ht="12.75" customHeight="1" x14ac:dyDescent="0.3">
      <c r="B865" s="2"/>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2:26" ht="12.75" customHeight="1" x14ac:dyDescent="0.3">
      <c r="B866" s="2"/>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2:26" ht="12.75" customHeight="1" x14ac:dyDescent="0.3">
      <c r="B867" s="2"/>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2:26" ht="12.75" customHeight="1" x14ac:dyDescent="0.3">
      <c r="B868" s="2"/>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2:26" ht="12.75" customHeight="1" x14ac:dyDescent="0.3">
      <c r="B869" s="2"/>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2:26" ht="12.75" customHeight="1" x14ac:dyDescent="0.3">
      <c r="B870" s="2"/>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2:26" ht="12.75" customHeight="1" x14ac:dyDescent="0.3">
      <c r="B871" s="2"/>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2:26" ht="12.75" customHeight="1" x14ac:dyDescent="0.3">
      <c r="B872" s="2"/>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2:26" ht="12.75" customHeight="1" x14ac:dyDescent="0.3">
      <c r="B873" s="2"/>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2:26" ht="12.75" customHeight="1" x14ac:dyDescent="0.3">
      <c r="B874" s="2"/>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2:26" ht="12.75" customHeight="1" x14ac:dyDescent="0.3">
      <c r="B875" s="2"/>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2:26" ht="12.75" customHeight="1" x14ac:dyDescent="0.3">
      <c r="B876" s="2"/>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2:26" ht="12.75" customHeight="1" x14ac:dyDescent="0.3">
      <c r="B877" s="2"/>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2:26" ht="12.75" customHeight="1" x14ac:dyDescent="0.3">
      <c r="B878" s="2"/>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2:26" ht="12.75" customHeight="1" x14ac:dyDescent="0.3">
      <c r="B879" s="2"/>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2:26" ht="12.75" customHeight="1" x14ac:dyDescent="0.3">
      <c r="B880" s="2"/>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2:26" ht="12.75" customHeight="1" x14ac:dyDescent="0.3">
      <c r="B881" s="2"/>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2:26" ht="12.75" customHeight="1" x14ac:dyDescent="0.3">
      <c r="B882" s="2"/>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2:26" ht="12.75" customHeight="1" x14ac:dyDescent="0.3">
      <c r="B883" s="2"/>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2:26" ht="12.75" customHeight="1" x14ac:dyDescent="0.3">
      <c r="B884" s="2"/>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2:26" ht="12.75" customHeight="1" x14ac:dyDescent="0.3">
      <c r="B885" s="2"/>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2:26" ht="12.75" customHeight="1" x14ac:dyDescent="0.3">
      <c r="B886" s="2"/>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2:26" ht="12.75" customHeight="1" x14ac:dyDescent="0.3">
      <c r="B887" s="2"/>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2:26" ht="12.75" customHeight="1" x14ac:dyDescent="0.3">
      <c r="B888" s="2"/>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2:26" ht="12.75" customHeight="1" x14ac:dyDescent="0.3">
      <c r="B889" s="2"/>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2:26" ht="12.75" customHeight="1" x14ac:dyDescent="0.3">
      <c r="B890" s="2"/>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2:26" ht="12.75" customHeight="1" x14ac:dyDescent="0.3">
      <c r="B891" s="2"/>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2:26" ht="12.75" customHeight="1" x14ac:dyDescent="0.3">
      <c r="B892" s="2"/>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2:26" ht="12.75" customHeight="1" x14ac:dyDescent="0.3">
      <c r="B893" s="2"/>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2:26" ht="12.75" customHeight="1" x14ac:dyDescent="0.3">
      <c r="B894" s="2"/>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2:26" ht="12.75" customHeight="1" x14ac:dyDescent="0.3">
      <c r="B895" s="2"/>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2:26" ht="12.75" customHeight="1" x14ac:dyDescent="0.3">
      <c r="B896" s="2"/>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2:26" ht="12.75" customHeight="1" x14ac:dyDescent="0.3">
      <c r="B897" s="2"/>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2:26" ht="12.75" customHeight="1" x14ac:dyDescent="0.3">
      <c r="B898" s="2"/>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2:26" ht="12.75" customHeight="1" x14ac:dyDescent="0.3">
      <c r="B899" s="2"/>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2:26" ht="12.75" customHeight="1" x14ac:dyDescent="0.3">
      <c r="B900" s="2"/>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2:26" ht="12.75" customHeight="1" x14ac:dyDescent="0.3">
      <c r="B901" s="2"/>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2:26" ht="12.75" customHeight="1" x14ac:dyDescent="0.3">
      <c r="B902" s="2"/>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2:26" ht="12.75" customHeight="1" x14ac:dyDescent="0.3">
      <c r="B903" s="2"/>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2:26" ht="12.75" customHeight="1" x14ac:dyDescent="0.3">
      <c r="B904" s="2"/>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2:26" ht="12.75" customHeight="1" x14ac:dyDescent="0.3">
      <c r="B905" s="2"/>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2:26" ht="12.75" customHeight="1" x14ac:dyDescent="0.3">
      <c r="B906" s="2"/>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2:26" ht="12.75" customHeight="1" x14ac:dyDescent="0.3">
      <c r="B907" s="2"/>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2:26" ht="12.75" customHeight="1" x14ac:dyDescent="0.3">
      <c r="B908" s="2"/>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2:26" ht="12.75" customHeight="1" x14ac:dyDescent="0.3">
      <c r="B909" s="2"/>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2:26" ht="12.75" customHeight="1" x14ac:dyDescent="0.3">
      <c r="B910" s="2"/>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2:26" ht="12.75" customHeight="1" x14ac:dyDescent="0.3">
      <c r="B911" s="2"/>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2:26" ht="12.75" customHeight="1" x14ac:dyDescent="0.3">
      <c r="B912" s="2"/>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2:26" ht="12.75" customHeight="1" x14ac:dyDescent="0.3">
      <c r="B913" s="2"/>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2:26" ht="12.75" customHeight="1" x14ac:dyDescent="0.3">
      <c r="B914" s="2"/>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2:26" ht="12.75" customHeight="1" x14ac:dyDescent="0.3">
      <c r="B915" s="2"/>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2:26" ht="12.75" customHeight="1" x14ac:dyDescent="0.3">
      <c r="B916" s="2"/>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2:26" ht="12.75" customHeight="1" x14ac:dyDescent="0.3">
      <c r="B917" s="2"/>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2:26" ht="12.75" customHeight="1" x14ac:dyDescent="0.3">
      <c r="B918" s="2"/>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2:26" ht="12.75" customHeight="1" x14ac:dyDescent="0.3">
      <c r="B919" s="2"/>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2:26" ht="12.75" customHeight="1" x14ac:dyDescent="0.3">
      <c r="B920" s="2"/>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2:26" ht="12.75" customHeight="1" x14ac:dyDescent="0.3">
      <c r="B921" s="2"/>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2:26" ht="12.75" customHeight="1" x14ac:dyDescent="0.3">
      <c r="B922" s="2"/>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2:26" ht="12.75" customHeight="1" x14ac:dyDescent="0.3">
      <c r="B923" s="2"/>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2:26" ht="12.75" customHeight="1" x14ac:dyDescent="0.3">
      <c r="B924" s="2"/>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2:26" ht="12.75" customHeight="1" x14ac:dyDescent="0.3">
      <c r="B925" s="2"/>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2:26" ht="12.75" customHeight="1" x14ac:dyDescent="0.3">
      <c r="B926" s="2"/>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2:26" ht="12.75" customHeight="1" x14ac:dyDescent="0.3">
      <c r="B927" s="2"/>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2:26" ht="12.75" customHeight="1" x14ac:dyDescent="0.3">
      <c r="B928" s="2"/>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2:26" ht="12.75" customHeight="1" x14ac:dyDescent="0.3">
      <c r="B929" s="2"/>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2:26" ht="12.75" customHeight="1" x14ac:dyDescent="0.3">
      <c r="B930" s="2"/>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2:26" ht="12.75" customHeight="1" x14ac:dyDescent="0.3">
      <c r="B931" s="2"/>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2:26" ht="12.75" customHeight="1" x14ac:dyDescent="0.3">
      <c r="B932" s="2"/>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2:26" ht="12.75" customHeight="1" x14ac:dyDescent="0.3">
      <c r="B933" s="2"/>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2:26" ht="12.75" customHeight="1" x14ac:dyDescent="0.3">
      <c r="B934" s="2"/>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2:26" ht="12.75" customHeight="1" x14ac:dyDescent="0.3">
      <c r="B935" s="2"/>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2:26" ht="12.75" customHeight="1" x14ac:dyDescent="0.3">
      <c r="B936" s="2"/>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2:26" ht="12.75" customHeight="1" x14ac:dyDescent="0.3">
      <c r="B937" s="2"/>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2:26" ht="12.75" customHeight="1" x14ac:dyDescent="0.3">
      <c r="B938" s="2"/>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2:26" ht="12.75" customHeight="1" x14ac:dyDescent="0.3">
      <c r="B939" s="2"/>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2:26" ht="12.75" customHeight="1" x14ac:dyDescent="0.3">
      <c r="B940" s="2"/>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2:26" ht="12.75" customHeight="1" x14ac:dyDescent="0.3">
      <c r="B941" s="2"/>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2:26" ht="12.75" customHeight="1" x14ac:dyDescent="0.3">
      <c r="B942" s="2"/>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2:26" ht="12.75" customHeight="1" x14ac:dyDescent="0.3">
      <c r="B943" s="2"/>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2:26" ht="12.75" customHeight="1" x14ac:dyDescent="0.3">
      <c r="B944" s="2"/>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2:26" ht="12.75" customHeight="1" x14ac:dyDescent="0.3">
      <c r="B945" s="2"/>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2:26" ht="12.75" customHeight="1" x14ac:dyDescent="0.3">
      <c r="B946" s="2"/>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2:26" ht="12.75" customHeight="1" x14ac:dyDescent="0.3">
      <c r="B947" s="2"/>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2:26" ht="12.75" customHeight="1" x14ac:dyDescent="0.3">
      <c r="B948" s="2"/>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2:26" ht="12.75" customHeight="1" x14ac:dyDescent="0.3">
      <c r="B949" s="2"/>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2:26" ht="12.75" customHeight="1" x14ac:dyDescent="0.3">
      <c r="B950" s="2"/>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2:26" ht="12.75" customHeight="1" x14ac:dyDescent="0.3">
      <c r="B951" s="2"/>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2:26" ht="12.75" customHeight="1" x14ac:dyDescent="0.3">
      <c r="B952" s="2"/>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2:26" ht="12.75" customHeight="1" x14ac:dyDescent="0.3">
      <c r="B953" s="2"/>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2:26" ht="12.75" customHeight="1" x14ac:dyDescent="0.3">
      <c r="B954" s="2"/>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2:26" ht="12.75" customHeight="1" x14ac:dyDescent="0.3">
      <c r="B955" s="2"/>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2:26" ht="12.75" customHeight="1" x14ac:dyDescent="0.3">
      <c r="B956" s="2"/>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2:26" ht="12.75" customHeight="1" x14ac:dyDescent="0.3">
      <c r="B957" s="2"/>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2:26" ht="12.75" customHeight="1" x14ac:dyDescent="0.3">
      <c r="B958" s="2"/>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2:26" ht="12.75" customHeight="1" x14ac:dyDescent="0.3">
      <c r="B959" s="2"/>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2:26" ht="12.75" customHeight="1" x14ac:dyDescent="0.3">
      <c r="B960" s="2"/>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2:26" ht="12.75" customHeight="1" x14ac:dyDescent="0.3">
      <c r="B961" s="2"/>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2:26" ht="12.75" customHeight="1" x14ac:dyDescent="0.3">
      <c r="B962" s="2"/>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2:26" ht="12.75" customHeight="1" x14ac:dyDescent="0.3">
      <c r="B963" s="2"/>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2:26" ht="12.75" customHeight="1" x14ac:dyDescent="0.3">
      <c r="B964" s="2"/>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2:26" ht="12.75" customHeight="1" x14ac:dyDescent="0.3">
      <c r="B965" s="2"/>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2:26" ht="12.75" customHeight="1" x14ac:dyDescent="0.3">
      <c r="B966" s="2"/>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2:26" ht="12.75" customHeight="1" x14ac:dyDescent="0.3">
      <c r="B967" s="2"/>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2:26" ht="12.75" customHeight="1" x14ac:dyDescent="0.3">
      <c r="B968" s="2"/>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2:26" ht="12.75" customHeight="1" x14ac:dyDescent="0.3">
      <c r="B969" s="2"/>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2:26" ht="12.75" customHeight="1" x14ac:dyDescent="0.3">
      <c r="B970" s="2"/>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2:26" ht="12.75" customHeight="1" x14ac:dyDescent="0.3">
      <c r="B971" s="2"/>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2:26" ht="12.75" customHeight="1" x14ac:dyDescent="0.3">
      <c r="B972" s="2"/>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2:26" ht="12.75" customHeight="1" x14ac:dyDescent="0.3">
      <c r="B973" s="2"/>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2:26" ht="12.75" customHeight="1" x14ac:dyDescent="0.3">
      <c r="B974" s="2"/>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2:26" ht="12.75" customHeight="1" x14ac:dyDescent="0.3">
      <c r="B975" s="2"/>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2:26" ht="12.75" customHeight="1" x14ac:dyDescent="0.3">
      <c r="B976" s="2"/>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2:26" ht="12.75" customHeight="1" x14ac:dyDescent="0.3">
      <c r="B977" s="2"/>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2:26" ht="12.75" customHeight="1" x14ac:dyDescent="0.3">
      <c r="B978" s="2"/>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2:26" ht="12.75" customHeight="1" x14ac:dyDescent="0.3">
      <c r="B979" s="2"/>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2:26" ht="12.75" customHeight="1" x14ac:dyDescent="0.3">
      <c r="B980" s="2"/>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2:26" ht="12.75" customHeight="1" x14ac:dyDescent="0.3">
      <c r="B981" s="2"/>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2:26" ht="12.75" customHeight="1" x14ac:dyDescent="0.3">
      <c r="B982" s="2"/>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2:26" ht="12.75" customHeight="1" x14ac:dyDescent="0.3">
      <c r="B983" s="2"/>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2:26" ht="12.75" customHeight="1" x14ac:dyDescent="0.3">
      <c r="B984" s="2"/>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2:26" ht="12.75" customHeight="1" x14ac:dyDescent="0.3">
      <c r="B985" s="2"/>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2:26" ht="12.75" customHeight="1" x14ac:dyDescent="0.3">
      <c r="B986" s="2"/>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2:26" ht="12.75" customHeight="1" x14ac:dyDescent="0.3">
      <c r="B987" s="2"/>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2:26" ht="12.75" customHeight="1" x14ac:dyDescent="0.3">
      <c r="B988" s="2"/>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2:26" ht="12.75" customHeight="1" x14ac:dyDescent="0.3">
      <c r="B989" s="2"/>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2:26" ht="12.75" customHeight="1" x14ac:dyDescent="0.3">
      <c r="B990" s="2"/>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2:26" ht="12.75" customHeight="1" x14ac:dyDescent="0.3">
      <c r="B991" s="2"/>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2:26" ht="12.75" customHeight="1" x14ac:dyDescent="0.3">
      <c r="B992" s="2"/>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2:26" ht="12.75" customHeight="1" x14ac:dyDescent="0.3">
      <c r="B993" s="2"/>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2:26" ht="12.75" customHeight="1" x14ac:dyDescent="0.3">
      <c r="B994" s="2"/>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2:26" ht="12.75" customHeight="1" x14ac:dyDescent="0.3">
      <c r="B995" s="2"/>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2:26" ht="12.75" customHeight="1" x14ac:dyDescent="0.3">
      <c r="B996" s="2"/>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2:26" ht="12.75" customHeight="1" x14ac:dyDescent="0.3">
      <c r="B997" s="2"/>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2:26" ht="12.75" customHeight="1" x14ac:dyDescent="0.3">
      <c r="B998" s="2"/>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2:26" ht="12.75" customHeight="1" x14ac:dyDescent="0.3">
      <c r="B999" s="2"/>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2:26" ht="12.75" customHeight="1" x14ac:dyDescent="0.3">
      <c r="B1000" s="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2:26" ht="12.75" customHeight="1" x14ac:dyDescent="0.3">
      <c r="B1001" s="2"/>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2:26" ht="12.75" customHeight="1" x14ac:dyDescent="0.3">
      <c r="B1002" s="2"/>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2:26" ht="12.75" customHeight="1" x14ac:dyDescent="0.3">
      <c r="B1003" s="2"/>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2:26" ht="12.75" customHeight="1" x14ac:dyDescent="0.3">
      <c r="B1004" s="2"/>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2:26" ht="12.75" customHeight="1" x14ac:dyDescent="0.3">
      <c r="B1005" s="2"/>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2:26" ht="12.75" customHeight="1" x14ac:dyDescent="0.3">
      <c r="B1006" s="2"/>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2:26" ht="12.75" customHeight="1" x14ac:dyDescent="0.3">
      <c r="B1007" s="2"/>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2:26" ht="12.75" customHeight="1" x14ac:dyDescent="0.3">
      <c r="B1008" s="2"/>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2:26" ht="12.75" customHeight="1" x14ac:dyDescent="0.3">
      <c r="B1009" s="2"/>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2:26" ht="12.75" customHeight="1" x14ac:dyDescent="0.3">
      <c r="B1010" s="2"/>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2:26" ht="12.75" customHeight="1" x14ac:dyDescent="0.3">
      <c r="B1011" s="2"/>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2:26" ht="12.75" customHeight="1" x14ac:dyDescent="0.3">
      <c r="B1012" s="2"/>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2:26" ht="12.75" customHeight="1" x14ac:dyDescent="0.3">
      <c r="B1013" s="2"/>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2:26" ht="12.75" customHeight="1" x14ac:dyDescent="0.3">
      <c r="B1014" s="2"/>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2:26" ht="12.75" customHeight="1" x14ac:dyDescent="0.3">
      <c r="B1015" s="2"/>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2:26" ht="12.75" customHeight="1" x14ac:dyDescent="0.3">
      <c r="B1016" s="2"/>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2:26" ht="12.75" customHeight="1" x14ac:dyDescent="0.3">
      <c r="B1017" s="2"/>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2:26" ht="12.75" customHeight="1" x14ac:dyDescent="0.3">
      <c r="B1018" s="2"/>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2:26" ht="12.75" customHeight="1" x14ac:dyDescent="0.3">
      <c r="B1019" s="2"/>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2:26" ht="12.75" customHeight="1" x14ac:dyDescent="0.3">
      <c r="B1020" s="2"/>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2:26" ht="12.75" customHeight="1" x14ac:dyDescent="0.3">
      <c r="B1021" s="2"/>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2:26" ht="12.75" customHeight="1" x14ac:dyDescent="0.3">
      <c r="B1022" s="2"/>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2:26" ht="12.75" customHeight="1" x14ac:dyDescent="0.3">
      <c r="B1023" s="2"/>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2:26" ht="12.75" customHeight="1" x14ac:dyDescent="0.3">
      <c r="B1024" s="2"/>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2:26" ht="12.75" customHeight="1" x14ac:dyDescent="0.3">
      <c r="B1025" s="2"/>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2:26" ht="12.75" customHeight="1" x14ac:dyDescent="0.3">
      <c r="B1026" s="2"/>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2:26" ht="12.75" customHeight="1" x14ac:dyDescent="0.3">
      <c r="B1027" s="2"/>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2:26" ht="12.75" customHeight="1" x14ac:dyDescent="0.3">
      <c r="B1028" s="2"/>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2:26" ht="12.75" customHeight="1" x14ac:dyDescent="0.3">
      <c r="B1029" s="2"/>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2:26" ht="12.75" customHeight="1" x14ac:dyDescent="0.3">
      <c r="B1030" s="2"/>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2:26" ht="12.75" customHeight="1" x14ac:dyDescent="0.3">
      <c r="B1031" s="2"/>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2:26" ht="12.75" customHeight="1" x14ac:dyDescent="0.3">
      <c r="B1032" s="2"/>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2:26" ht="12.75" customHeight="1" x14ac:dyDescent="0.3">
      <c r="B1033" s="2"/>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row r="1034" spans="2:26" ht="12.75" customHeight="1" x14ac:dyDescent="0.3">
      <c r="B1034" s="2"/>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row>
    <row r="1035" spans="2:26" ht="12.75" customHeight="1" x14ac:dyDescent="0.3">
      <c r="B1035" s="2"/>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row>
    <row r="1036" spans="2:26" ht="12.75" customHeight="1" x14ac:dyDescent="0.3">
      <c r="B1036" s="2"/>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row>
    <row r="1037" spans="2:26" ht="12.75" customHeight="1" x14ac:dyDescent="0.3">
      <c r="B1037" s="2"/>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row>
    <row r="1038" spans="2:26" ht="12.75" customHeight="1" x14ac:dyDescent="0.3">
      <c r="B1038" s="2"/>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row>
    <row r="1039" spans="2:26" ht="12.75" customHeight="1" x14ac:dyDescent="0.3">
      <c r="B1039" s="2"/>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row>
    <row r="1040" spans="2:26" ht="12.75" customHeight="1" x14ac:dyDescent="0.3">
      <c r="B1040" s="2"/>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row>
    <row r="1041" spans="2:26" ht="12.75" customHeight="1" x14ac:dyDescent="0.3">
      <c r="B1041" s="2"/>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row>
    <row r="1042" spans="2:26" ht="12.75" customHeight="1" x14ac:dyDescent="0.3">
      <c r="B1042" s="2"/>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row>
    <row r="1043" spans="2:26" ht="12.75" customHeight="1" x14ac:dyDescent="0.3">
      <c r="B1043" s="2"/>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row>
    <row r="1044" spans="2:26" ht="12.75" customHeight="1" x14ac:dyDescent="0.3">
      <c r="B1044" s="2"/>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row>
    <row r="1045" spans="2:26" ht="12.75" customHeight="1" x14ac:dyDescent="0.3">
      <c r="B1045" s="2"/>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row>
    <row r="1046" spans="2:26" ht="12.75" customHeight="1" x14ac:dyDescent="0.3">
      <c r="B1046" s="2"/>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row>
    <row r="1047" spans="2:26" ht="12.75" customHeight="1" x14ac:dyDescent="0.3">
      <c r="B1047" s="2"/>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row>
    <row r="1048" spans="2:26" ht="12.75" customHeight="1" x14ac:dyDescent="0.3">
      <c r="B1048" s="2"/>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row>
    <row r="1049" spans="2:26" ht="12.75" customHeight="1" x14ac:dyDescent="0.3">
      <c r="B1049" s="2"/>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row>
    <row r="1050" spans="2:26" ht="12.75" customHeight="1" x14ac:dyDescent="0.3">
      <c r="B1050" s="2"/>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row>
    <row r="1051" spans="2:26" ht="12.75" customHeight="1" x14ac:dyDescent="0.3">
      <c r="B1051" s="2"/>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row>
    <row r="1052" spans="2:26" ht="12.75" customHeight="1" x14ac:dyDescent="0.3">
      <c r="B1052" s="2"/>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row>
    <row r="1053" spans="2:26" ht="12.75" customHeight="1" x14ac:dyDescent="0.3">
      <c r="B1053" s="2"/>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row>
    <row r="1054" spans="2:26" ht="12.75" customHeight="1" x14ac:dyDescent="0.3">
      <c r="B1054" s="2"/>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row>
    <row r="1055" spans="2:26" ht="12.75" customHeight="1" x14ac:dyDescent="0.3">
      <c r="B1055" s="2"/>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row>
    <row r="1056" spans="2:26" ht="12.75" customHeight="1" x14ac:dyDescent="0.3">
      <c r="B1056" s="2"/>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row>
    <row r="1057" spans="2:26" ht="12.75" customHeight="1" x14ac:dyDescent="0.3">
      <c r="B1057" s="2"/>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row>
    <row r="1058" spans="2:26" ht="12.75" customHeight="1" x14ac:dyDescent="0.3">
      <c r="B1058" s="2"/>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row>
    <row r="1059" spans="2:26" ht="12.75" customHeight="1" x14ac:dyDescent="0.3">
      <c r="B1059" s="2"/>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row>
    <row r="1060" spans="2:26" ht="12.75" customHeight="1" x14ac:dyDescent="0.3">
      <c r="B1060" s="2"/>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row>
    <row r="1061" spans="2:26" ht="12.75" customHeight="1" x14ac:dyDescent="0.3">
      <c r="B1061" s="2"/>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row>
    <row r="1062" spans="2:26" ht="12.75" customHeight="1" x14ac:dyDescent="0.3">
      <c r="B1062" s="2"/>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row>
    <row r="1063" spans="2:26" ht="12.75" customHeight="1" x14ac:dyDescent="0.3">
      <c r="B1063" s="2"/>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row>
    <row r="1064" spans="2:26" ht="12.75" customHeight="1" x14ac:dyDescent="0.3">
      <c r="B1064" s="2"/>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row>
    <row r="1065" spans="2:26" ht="12.75" customHeight="1" x14ac:dyDescent="0.3">
      <c r="B1065" s="2"/>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row>
    <row r="1066" spans="2:26" ht="12.75" customHeight="1" x14ac:dyDescent="0.3">
      <c r="B1066" s="2"/>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row>
    <row r="1067" spans="2:26" ht="12.75" customHeight="1" x14ac:dyDescent="0.3">
      <c r="B1067" s="2"/>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row>
    <row r="1068" spans="2:26" ht="12.75" customHeight="1" x14ac:dyDescent="0.3">
      <c r="B1068" s="2"/>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row>
    <row r="1069" spans="2:26" ht="12.75" customHeight="1" x14ac:dyDescent="0.3">
      <c r="B1069" s="2"/>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row>
    <row r="1070" spans="2:26" ht="12.75" customHeight="1" x14ac:dyDescent="0.3">
      <c r="B1070" s="2"/>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row>
    <row r="1071" spans="2:26" ht="12.75" customHeight="1" x14ac:dyDescent="0.3">
      <c r="B1071" s="2"/>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row>
    <row r="1072" spans="2:26" ht="12.75" customHeight="1" x14ac:dyDescent="0.3">
      <c r="B1072" s="2"/>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row>
    <row r="1073" spans="2:26" ht="12.75" customHeight="1" x14ac:dyDescent="0.3">
      <c r="B1073" s="2"/>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row>
    <row r="1074" spans="2:26" ht="12.75" customHeight="1" x14ac:dyDescent="0.3">
      <c r="B1074" s="2"/>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row>
    <row r="1075" spans="2:26" ht="12.75" customHeight="1" x14ac:dyDescent="0.3">
      <c r="B1075" s="2"/>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row>
    <row r="1076" spans="2:26" ht="12.75" customHeight="1" x14ac:dyDescent="0.3">
      <c r="B1076" s="2"/>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row>
    <row r="1077" spans="2:26" ht="12.75" customHeight="1" x14ac:dyDescent="0.3">
      <c r="B1077" s="2"/>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row>
    <row r="1078" spans="2:26" ht="12.75" customHeight="1" x14ac:dyDescent="0.3">
      <c r="B1078" s="2"/>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row>
    <row r="1079" spans="2:26" ht="12.75" customHeight="1" x14ac:dyDescent="0.3">
      <c r="B1079" s="2"/>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row>
    <row r="1080" spans="2:26" ht="12.75" customHeight="1" x14ac:dyDescent="0.3">
      <c r="B1080" s="2"/>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row>
    <row r="1081" spans="2:26" ht="12.75" customHeight="1" x14ac:dyDescent="0.3">
      <c r="B1081" s="2"/>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row>
    <row r="1082" spans="2:26" ht="12.75" customHeight="1" x14ac:dyDescent="0.3">
      <c r="B1082" s="2"/>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row>
    <row r="1083" spans="2:26" ht="12.75" customHeight="1" x14ac:dyDescent="0.3">
      <c r="B1083" s="2"/>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row>
    <row r="1084" spans="2:26" ht="12.75" customHeight="1" x14ac:dyDescent="0.3">
      <c r="B1084" s="2"/>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row>
    <row r="1085" spans="2:26" ht="12.75" customHeight="1" x14ac:dyDescent="0.3">
      <c r="B1085" s="2"/>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row>
    <row r="1086" spans="2:26" ht="12.75" customHeight="1" x14ac:dyDescent="0.3">
      <c r="B1086" s="2"/>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row>
    <row r="1087" spans="2:26" ht="12.75" customHeight="1" x14ac:dyDescent="0.3">
      <c r="B1087" s="2"/>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row>
    <row r="1088" spans="2:26" ht="12.75" customHeight="1" x14ac:dyDescent="0.3">
      <c r="B1088" s="2"/>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row>
    <row r="1089" spans="2:26" ht="12.75" customHeight="1" x14ac:dyDescent="0.3">
      <c r="B1089" s="2"/>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row>
    <row r="1090" spans="2:26" ht="12.75" customHeight="1" x14ac:dyDescent="0.3">
      <c r="B1090" s="2"/>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row>
    <row r="1091" spans="2:26" ht="12.75" customHeight="1" x14ac:dyDescent="0.3">
      <c r="B1091" s="2"/>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row>
    <row r="1092" spans="2:26" ht="12.75" customHeight="1" x14ac:dyDescent="0.3">
      <c r="B1092" s="2"/>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row>
    <row r="1093" spans="2:26" ht="12.75" customHeight="1" x14ac:dyDescent="0.3">
      <c r="B1093" s="2"/>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row>
    <row r="1094" spans="2:26" ht="12.75" customHeight="1" x14ac:dyDescent="0.3">
      <c r="B1094" s="2"/>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row>
    <row r="1095" spans="2:26" ht="12.75" customHeight="1" x14ac:dyDescent="0.3">
      <c r="B1095" s="2"/>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row>
    <row r="1096" spans="2:26" ht="12.75" customHeight="1" x14ac:dyDescent="0.3">
      <c r="B1096" s="2"/>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row>
    <row r="1097" spans="2:26" ht="12.75" customHeight="1" x14ac:dyDescent="0.3">
      <c r="B1097" s="2"/>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row>
    <row r="1098" spans="2:26" ht="12.75" customHeight="1" x14ac:dyDescent="0.3">
      <c r="B1098" s="2"/>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row>
    <row r="1099" spans="2:26" ht="12.75" customHeight="1" x14ac:dyDescent="0.3">
      <c r="B1099" s="2"/>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row>
    <row r="1100" spans="2:26" ht="12.75" customHeight="1" x14ac:dyDescent="0.3">
      <c r="B1100" s="2"/>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row>
    <row r="1101" spans="2:26" ht="12.75" customHeight="1" x14ac:dyDescent="0.3">
      <c r="B1101" s="2"/>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row>
    <row r="1102" spans="2:26" ht="12.75" customHeight="1" x14ac:dyDescent="0.3">
      <c r="B1102" s="2"/>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row>
    <row r="1103" spans="2:26" ht="12.75" customHeight="1" x14ac:dyDescent="0.3">
      <c r="B1103" s="2"/>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row>
    <row r="1104" spans="2:26" ht="12.75" customHeight="1" x14ac:dyDescent="0.3">
      <c r="B1104" s="2"/>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row>
    <row r="1105" spans="2:26" ht="12.75" customHeight="1" x14ac:dyDescent="0.3">
      <c r="B1105" s="2"/>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row>
    <row r="1106" spans="2:26" ht="12.75" customHeight="1" x14ac:dyDescent="0.3">
      <c r="B1106" s="2"/>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row>
    <row r="1107" spans="2:26" ht="12.75" customHeight="1" x14ac:dyDescent="0.3">
      <c r="B1107" s="2"/>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row>
    <row r="1108" spans="2:26" ht="12.75" customHeight="1" x14ac:dyDescent="0.3">
      <c r="B1108" s="2"/>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row>
    <row r="1109" spans="2:26" ht="12.75" customHeight="1" x14ac:dyDescent="0.3">
      <c r="B1109" s="2"/>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row>
    <row r="1110" spans="2:26" ht="12.75" customHeight="1" x14ac:dyDescent="0.3">
      <c r="B1110" s="2"/>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row>
    <row r="1111" spans="2:26" ht="12.75" customHeight="1" x14ac:dyDescent="0.3">
      <c r="B1111" s="2"/>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row>
    <row r="1112" spans="2:26" ht="12.75" customHeight="1" x14ac:dyDescent="0.3">
      <c r="B1112" s="2"/>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row>
    <row r="1113" spans="2:26" ht="12.75" customHeight="1" x14ac:dyDescent="0.3">
      <c r="B1113" s="2"/>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row>
    <row r="1114" spans="2:26" ht="12.75" customHeight="1" x14ac:dyDescent="0.3">
      <c r="B1114" s="2"/>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row>
    <row r="1115" spans="2:26" ht="12.75" customHeight="1" x14ac:dyDescent="0.3">
      <c r="B1115" s="2"/>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row>
    <row r="1116" spans="2:26" ht="12.75" customHeight="1" x14ac:dyDescent="0.3">
      <c r="B1116" s="2"/>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row>
    <row r="1117" spans="2:26" ht="12.75" customHeight="1" x14ac:dyDescent="0.3">
      <c r="B1117" s="2"/>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row>
    <row r="1118" spans="2:26" ht="12.75" customHeight="1" x14ac:dyDescent="0.3">
      <c r="B1118" s="2"/>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row>
    <row r="1119" spans="2:26" ht="12.75" customHeight="1" x14ac:dyDescent="0.3">
      <c r="B1119" s="2"/>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row>
    <row r="1120" spans="2:26" ht="12.75" customHeight="1" x14ac:dyDescent="0.3">
      <c r="B1120" s="2"/>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row>
    <row r="1121" spans="2:26" ht="12.75" customHeight="1" x14ac:dyDescent="0.3">
      <c r="B1121" s="2"/>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row>
    <row r="1122" spans="2:26" ht="12.75" customHeight="1" x14ac:dyDescent="0.3">
      <c r="B1122" s="2"/>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row>
    <row r="1123" spans="2:26" ht="12.75" customHeight="1" x14ac:dyDescent="0.3">
      <c r="B1123" s="2"/>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row>
    <row r="1124" spans="2:26" ht="12.75" customHeight="1" x14ac:dyDescent="0.3">
      <c r="B1124" s="2"/>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row>
    <row r="1125" spans="2:26" ht="12.75" customHeight="1" x14ac:dyDescent="0.3">
      <c r="B1125" s="2"/>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row>
    <row r="1126" spans="2:26" ht="12.75" customHeight="1" x14ac:dyDescent="0.3">
      <c r="B1126" s="2"/>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row>
    <row r="1127" spans="2:26" ht="12.75" customHeight="1" x14ac:dyDescent="0.3">
      <c r="B1127" s="2"/>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row>
    <row r="1128" spans="2:26" ht="12.75" customHeight="1" x14ac:dyDescent="0.3">
      <c r="B1128" s="2"/>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row>
    <row r="1129" spans="2:26" ht="12.75" customHeight="1" x14ac:dyDescent="0.3">
      <c r="B1129" s="2"/>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row>
    <row r="1130" spans="2:26" ht="12.75" customHeight="1" x14ac:dyDescent="0.3">
      <c r="B1130" s="2"/>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row>
    <row r="1131" spans="2:26" ht="12.75" customHeight="1" x14ac:dyDescent="0.3">
      <c r="B1131" s="2"/>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row>
    <row r="1132" spans="2:26" ht="12.75" customHeight="1" x14ac:dyDescent="0.3">
      <c r="B1132" s="2"/>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row>
    <row r="1133" spans="2:26" ht="12.75" customHeight="1" x14ac:dyDescent="0.3">
      <c r="B1133" s="2"/>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row>
    <row r="1134" spans="2:26" ht="12.75" customHeight="1" x14ac:dyDescent="0.3">
      <c r="B1134" s="2"/>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row>
    <row r="1135" spans="2:26" ht="12.75" customHeight="1" x14ac:dyDescent="0.3">
      <c r="B1135" s="2"/>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row>
    <row r="1136" spans="2:26" ht="12.75" customHeight="1" x14ac:dyDescent="0.3">
      <c r="B1136" s="2"/>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row>
    <row r="1137" spans="2:26" ht="12.75" customHeight="1" x14ac:dyDescent="0.3">
      <c r="B1137" s="2"/>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row>
    <row r="1138" spans="2:26" ht="12.75" customHeight="1" x14ac:dyDescent="0.3">
      <c r="B1138" s="2"/>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row>
    <row r="1139" spans="2:26" ht="12.75" customHeight="1" x14ac:dyDescent="0.3">
      <c r="B1139" s="2"/>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row>
    <row r="1140" spans="2:26" ht="12.75" customHeight="1" x14ac:dyDescent="0.3">
      <c r="B1140" s="2"/>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row>
    <row r="1141" spans="2:26" ht="12.75" customHeight="1" x14ac:dyDescent="0.3">
      <c r="B1141" s="2"/>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row>
    <row r="1142" spans="2:26" ht="12.75" customHeight="1" x14ac:dyDescent="0.3">
      <c r="B1142" s="2"/>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row>
    <row r="1143" spans="2:26" ht="12.75" customHeight="1" x14ac:dyDescent="0.3">
      <c r="B1143" s="2"/>
      <c r="C1143" s="1"/>
      <c r="D1143" s="1"/>
      <c r="E1143" s="1"/>
      <c r="F1143" s="1"/>
      <c r="G1143" s="1"/>
      <c r="H1143" s="1"/>
      <c r="I1143" s="1"/>
      <c r="J1143" s="1"/>
      <c r="K1143" s="1"/>
      <c r="L1143" s="1"/>
      <c r="M1143" s="1"/>
      <c r="N1143" s="1"/>
      <c r="O1143" s="1"/>
      <c r="P1143" s="1"/>
      <c r="Q1143" s="1"/>
      <c r="R1143" s="1"/>
      <c r="S1143" s="1"/>
      <c r="T1143" s="1"/>
      <c r="U1143" s="1"/>
      <c r="V1143" s="1"/>
      <c r="W1143" s="1"/>
      <c r="X1143" s="1"/>
      <c r="Y1143" s="1"/>
      <c r="Z1143" s="1"/>
    </row>
    <row r="1144" spans="2:26" ht="12.75" customHeight="1" x14ac:dyDescent="0.3">
      <c r="B1144" s="2"/>
      <c r="C1144" s="1"/>
      <c r="D1144" s="1"/>
      <c r="E1144" s="1"/>
      <c r="F1144" s="1"/>
      <c r="G1144" s="1"/>
      <c r="H1144" s="1"/>
      <c r="I1144" s="1"/>
      <c r="J1144" s="1"/>
      <c r="K1144" s="1"/>
      <c r="L1144" s="1"/>
      <c r="M1144" s="1"/>
      <c r="N1144" s="1"/>
      <c r="O1144" s="1"/>
      <c r="P1144" s="1"/>
      <c r="Q1144" s="1"/>
      <c r="R1144" s="1"/>
      <c r="S1144" s="1"/>
      <c r="T1144" s="1"/>
      <c r="U1144" s="1"/>
      <c r="V1144" s="1"/>
      <c r="W1144" s="1"/>
      <c r="X1144" s="1"/>
      <c r="Y1144" s="1"/>
      <c r="Z1144" s="1"/>
    </row>
    <row r="1145" spans="2:26" ht="12.75" customHeight="1" x14ac:dyDescent="0.3">
      <c r="B1145" s="2"/>
      <c r="C1145" s="1"/>
      <c r="D1145" s="1"/>
      <c r="E1145" s="1"/>
      <c r="F1145" s="1"/>
      <c r="G1145" s="1"/>
      <c r="H1145" s="1"/>
      <c r="I1145" s="1"/>
      <c r="J1145" s="1"/>
      <c r="K1145" s="1"/>
      <c r="L1145" s="1"/>
      <c r="M1145" s="1"/>
      <c r="N1145" s="1"/>
      <c r="O1145" s="1"/>
      <c r="P1145" s="1"/>
      <c r="Q1145" s="1"/>
      <c r="R1145" s="1"/>
      <c r="S1145" s="1"/>
      <c r="T1145" s="1"/>
      <c r="U1145" s="1"/>
      <c r="V1145" s="1"/>
      <c r="W1145" s="1"/>
      <c r="X1145" s="1"/>
      <c r="Y1145" s="1"/>
      <c r="Z1145" s="1"/>
    </row>
    <row r="1146" spans="2:26" ht="12.75" customHeight="1" x14ac:dyDescent="0.3">
      <c r="B1146" s="2"/>
      <c r="C1146" s="1"/>
      <c r="D1146" s="1"/>
      <c r="E1146" s="1"/>
      <c r="F1146" s="1"/>
      <c r="G1146" s="1"/>
      <c r="H1146" s="1"/>
      <c r="I1146" s="1"/>
      <c r="J1146" s="1"/>
      <c r="K1146" s="1"/>
      <c r="L1146" s="1"/>
      <c r="M1146" s="1"/>
      <c r="N1146" s="1"/>
      <c r="O1146" s="1"/>
      <c r="P1146" s="1"/>
      <c r="Q1146" s="1"/>
      <c r="R1146" s="1"/>
      <c r="S1146" s="1"/>
      <c r="T1146" s="1"/>
      <c r="U1146" s="1"/>
      <c r="V1146" s="1"/>
      <c r="W1146" s="1"/>
      <c r="X1146" s="1"/>
      <c r="Y1146" s="1"/>
      <c r="Z1146" s="1"/>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outlinePr summaryBelow="0" summaryRight="0"/>
  </sheetPr>
  <dimension ref="A1:AK1028"/>
  <sheetViews>
    <sheetView workbookViewId="0">
      <pane ySplit="1" topLeftCell="A16" activePane="bottomLeft" state="frozen"/>
      <selection pane="bottomLeft"/>
    </sheetView>
  </sheetViews>
  <sheetFormatPr defaultColWidth="14.4140625" defaultRowHeight="12.75" customHeight="1" x14ac:dyDescent="0.3"/>
  <cols>
    <col min="1" max="3" width="14.4140625" style="4"/>
    <col min="4" max="4" width="14.4140625" style="3" customWidth="1"/>
    <col min="5" max="5" width="16" style="47" bestFit="1" customWidth="1"/>
    <col min="6" max="6" width="8.9140625" style="47" customWidth="1"/>
    <col min="7" max="7" width="14.4140625" style="3" customWidth="1"/>
    <col min="8" max="8" width="34.83203125" style="3" bestFit="1" customWidth="1"/>
    <col min="9" max="9" width="17.75" style="51" bestFit="1" customWidth="1"/>
    <col min="10" max="10" width="33.4140625" style="3" customWidth="1"/>
    <col min="11" max="16384" width="14.4140625" style="4"/>
  </cols>
  <sheetData>
    <row r="1" spans="1:37" s="5" customFormat="1" ht="12.75" customHeight="1" x14ac:dyDescent="0.3">
      <c r="A1" s="5" t="s">
        <v>858</v>
      </c>
      <c r="B1" s="5" t="s">
        <v>1273</v>
      </c>
      <c r="C1" s="5" t="s">
        <v>1196</v>
      </c>
      <c r="D1" s="40" t="s">
        <v>1100</v>
      </c>
      <c r="E1" s="40" t="s">
        <v>1101</v>
      </c>
      <c r="F1" s="40" t="s">
        <v>1118</v>
      </c>
      <c r="G1" s="40" t="s">
        <v>859</v>
      </c>
      <c r="H1" s="41" t="s">
        <v>1501</v>
      </c>
      <c r="I1" s="42" t="s">
        <v>1120</v>
      </c>
      <c r="J1" s="40" t="s">
        <v>1119</v>
      </c>
      <c r="K1" s="43" t="s">
        <v>21</v>
      </c>
      <c r="L1" s="43" t="s">
        <v>1653</v>
      </c>
      <c r="M1" s="43"/>
      <c r="N1" s="43"/>
      <c r="O1" s="43"/>
      <c r="P1" s="43"/>
      <c r="Q1" s="43"/>
      <c r="R1" s="43"/>
      <c r="S1" s="43"/>
      <c r="T1" s="43"/>
      <c r="U1" s="43"/>
      <c r="V1" s="43"/>
      <c r="W1" s="43"/>
      <c r="X1" s="43"/>
      <c r="Y1" s="43"/>
      <c r="Z1" s="43"/>
      <c r="AA1" s="43"/>
      <c r="AB1" s="43"/>
      <c r="AC1" s="43"/>
      <c r="AD1" s="43"/>
      <c r="AE1" s="43"/>
      <c r="AF1" s="43"/>
      <c r="AG1" s="43"/>
      <c r="AH1" s="43"/>
      <c r="AI1" s="43"/>
      <c r="AJ1" s="43"/>
      <c r="AK1" s="43"/>
    </row>
    <row r="2" spans="1:37" ht="12.75" customHeight="1" x14ac:dyDescent="0.3">
      <c r="A2" s="4">
        <v>1</v>
      </c>
      <c r="B2" s="4">
        <v>1</v>
      </c>
      <c r="C2" s="4">
        <v>1</v>
      </c>
      <c r="D2" s="2" t="s">
        <v>1138</v>
      </c>
      <c r="E2" s="44">
        <v>2015</v>
      </c>
      <c r="F2" s="44" t="s">
        <v>1105</v>
      </c>
      <c r="G2" s="2" t="s">
        <v>1140</v>
      </c>
      <c r="H2" s="2" t="s">
        <v>1500</v>
      </c>
      <c r="I2" s="45">
        <v>44566</v>
      </c>
      <c r="J2" s="2" t="s">
        <v>1142</v>
      </c>
      <c r="K2" s="1"/>
      <c r="L2" s="1">
        <v>1</v>
      </c>
      <c r="M2" s="1"/>
      <c r="N2" s="1"/>
      <c r="O2" s="1"/>
      <c r="P2" s="1"/>
      <c r="Q2" s="1"/>
      <c r="R2" s="1"/>
      <c r="S2" s="1"/>
      <c r="T2" s="1"/>
      <c r="U2" s="1"/>
      <c r="V2" s="1"/>
      <c r="W2" s="1"/>
      <c r="X2" s="1"/>
      <c r="Y2" s="1"/>
      <c r="Z2" s="1"/>
      <c r="AA2" s="1"/>
      <c r="AB2" s="1"/>
      <c r="AC2" s="1"/>
      <c r="AD2" s="1"/>
      <c r="AE2" s="1"/>
      <c r="AF2" s="1"/>
      <c r="AG2" s="1"/>
      <c r="AH2" s="1"/>
      <c r="AI2" s="1"/>
      <c r="AJ2" s="1"/>
      <c r="AK2" s="1"/>
    </row>
    <row r="3" spans="1:37" ht="12.75" customHeight="1" x14ac:dyDescent="0.3">
      <c r="A3" s="4">
        <v>1</v>
      </c>
      <c r="C3" s="4">
        <v>2</v>
      </c>
      <c r="D3" s="2" t="s">
        <v>1139</v>
      </c>
      <c r="E3" s="44">
        <v>2016</v>
      </c>
      <c r="F3" s="44" t="s">
        <v>522</v>
      </c>
      <c r="G3" s="2" t="s">
        <v>1141</v>
      </c>
      <c r="H3" s="2" t="s">
        <v>1500</v>
      </c>
      <c r="I3" s="45">
        <v>44566</v>
      </c>
      <c r="J3" s="2" t="s">
        <v>1143</v>
      </c>
      <c r="K3" s="1" t="s">
        <v>1170</v>
      </c>
      <c r="L3" s="1">
        <v>1</v>
      </c>
      <c r="M3" s="1"/>
      <c r="N3" s="1"/>
      <c r="O3" s="1"/>
      <c r="P3" s="1"/>
      <c r="Q3" s="1"/>
      <c r="R3" s="1"/>
      <c r="S3" s="1"/>
      <c r="T3" s="1"/>
      <c r="U3" s="1"/>
      <c r="V3" s="1"/>
      <c r="W3" s="1"/>
      <c r="X3" s="1"/>
      <c r="Y3" s="1"/>
      <c r="Z3" s="1"/>
      <c r="AA3" s="1"/>
      <c r="AB3" s="1"/>
      <c r="AC3" s="1"/>
      <c r="AD3" s="1"/>
      <c r="AE3" s="1"/>
      <c r="AF3" s="1"/>
      <c r="AG3" s="1"/>
      <c r="AH3" s="1"/>
      <c r="AI3" s="1"/>
      <c r="AJ3" s="1"/>
      <c r="AK3" s="1"/>
    </row>
    <row r="4" spans="1:37" ht="12.75" customHeight="1" x14ac:dyDescent="0.3">
      <c r="A4" s="4">
        <v>2</v>
      </c>
      <c r="B4" s="4">
        <v>2</v>
      </c>
      <c r="C4" s="4">
        <v>3</v>
      </c>
      <c r="D4" s="2" t="s">
        <v>1144</v>
      </c>
      <c r="E4" s="44">
        <v>2016</v>
      </c>
      <c r="F4" s="44" t="s">
        <v>522</v>
      </c>
      <c r="G4" s="2" t="s">
        <v>1145</v>
      </c>
      <c r="H4" s="2" t="s">
        <v>1502</v>
      </c>
      <c r="I4" s="45">
        <v>44570</v>
      </c>
      <c r="J4" s="2" t="s">
        <v>1308</v>
      </c>
      <c r="K4" s="1"/>
      <c r="L4" s="1">
        <v>1</v>
      </c>
      <c r="M4" s="1"/>
      <c r="N4" s="1"/>
      <c r="O4" s="1"/>
      <c r="P4" s="1"/>
      <c r="Q4" s="1"/>
      <c r="R4" s="1"/>
      <c r="S4" s="1"/>
      <c r="T4" s="1"/>
      <c r="U4" s="1"/>
      <c r="V4" s="1"/>
      <c r="W4" s="1"/>
      <c r="X4" s="1"/>
      <c r="Y4" s="1"/>
      <c r="Z4" s="1"/>
      <c r="AA4" s="1"/>
      <c r="AB4" s="1"/>
      <c r="AC4" s="1"/>
      <c r="AD4" s="1"/>
      <c r="AE4" s="1"/>
      <c r="AF4" s="1"/>
      <c r="AG4" s="1"/>
      <c r="AH4" s="1"/>
      <c r="AI4" s="1"/>
      <c r="AJ4" s="1"/>
      <c r="AK4" s="1"/>
    </row>
    <row r="5" spans="1:37" ht="12.75" customHeight="1" x14ac:dyDescent="0.3">
      <c r="A5" s="4">
        <v>3</v>
      </c>
      <c r="C5" s="4">
        <v>4</v>
      </c>
      <c r="D5" s="2" t="s">
        <v>1149</v>
      </c>
      <c r="E5" s="44">
        <v>2017</v>
      </c>
      <c r="F5" s="44" t="s">
        <v>522</v>
      </c>
      <c r="G5" s="2" t="s">
        <v>1148</v>
      </c>
      <c r="H5" s="2" t="s">
        <v>1503</v>
      </c>
      <c r="I5" s="45">
        <v>44570</v>
      </c>
      <c r="J5" s="2"/>
      <c r="K5" s="1"/>
      <c r="L5" s="1"/>
      <c r="M5" s="1"/>
      <c r="N5" s="1"/>
      <c r="O5" s="1"/>
      <c r="P5" s="1"/>
      <c r="Q5" s="1"/>
      <c r="R5" s="1"/>
      <c r="S5" s="1"/>
      <c r="T5" s="1"/>
      <c r="U5" s="1"/>
      <c r="V5" s="1"/>
      <c r="W5" s="1"/>
      <c r="X5" s="1"/>
      <c r="Y5" s="1"/>
      <c r="Z5" s="1"/>
      <c r="AA5" s="1"/>
      <c r="AB5" s="1"/>
      <c r="AC5" s="1"/>
      <c r="AD5" s="1"/>
      <c r="AE5" s="1"/>
      <c r="AF5" s="1"/>
      <c r="AG5" s="1"/>
      <c r="AH5" s="1"/>
      <c r="AI5" s="1"/>
      <c r="AJ5" s="1"/>
      <c r="AK5" s="1"/>
    </row>
    <row r="6" spans="1:37" ht="12.75" customHeight="1" x14ac:dyDescent="0.3">
      <c r="A6" s="4">
        <v>3</v>
      </c>
      <c r="C6" s="4">
        <v>5</v>
      </c>
      <c r="D6" s="2" t="s">
        <v>1147</v>
      </c>
      <c r="E6" s="44">
        <v>2019</v>
      </c>
      <c r="F6" s="44" t="s">
        <v>522</v>
      </c>
      <c r="G6" s="2" t="s">
        <v>1148</v>
      </c>
      <c r="H6" s="2" t="s">
        <v>1503</v>
      </c>
      <c r="I6" s="45">
        <v>44570</v>
      </c>
      <c r="J6" s="2"/>
      <c r="K6" s="1"/>
      <c r="L6" s="1"/>
      <c r="M6" s="1"/>
      <c r="N6" s="1"/>
      <c r="O6" s="1"/>
      <c r="P6" s="1"/>
      <c r="Q6" s="1"/>
      <c r="R6" s="1"/>
      <c r="S6" s="1"/>
      <c r="T6" s="1"/>
      <c r="U6" s="1"/>
      <c r="V6" s="1"/>
      <c r="W6" s="1"/>
      <c r="X6" s="1"/>
      <c r="Y6" s="1"/>
      <c r="Z6" s="1"/>
      <c r="AA6" s="1"/>
      <c r="AB6" s="1"/>
      <c r="AC6" s="1"/>
      <c r="AD6" s="1"/>
      <c r="AE6" s="1"/>
      <c r="AF6" s="1"/>
      <c r="AG6" s="1"/>
      <c r="AH6" s="1"/>
      <c r="AI6" s="1"/>
      <c r="AJ6" s="1"/>
      <c r="AK6" s="1"/>
    </row>
    <row r="7" spans="1:37" ht="12.75" customHeight="1" x14ac:dyDescent="0.3">
      <c r="A7" s="4">
        <v>3</v>
      </c>
      <c r="C7" s="4">
        <v>6</v>
      </c>
      <c r="D7" s="2" t="s">
        <v>1146</v>
      </c>
      <c r="E7" s="44">
        <v>2021</v>
      </c>
      <c r="F7" s="44" t="s">
        <v>522</v>
      </c>
      <c r="G7" s="2" t="s">
        <v>1148</v>
      </c>
      <c r="H7" s="2" t="s">
        <v>1503</v>
      </c>
      <c r="I7" s="45">
        <v>44570</v>
      </c>
      <c r="J7" s="2"/>
      <c r="K7" s="1"/>
      <c r="L7" s="1"/>
      <c r="M7" s="1"/>
      <c r="N7" s="1"/>
      <c r="O7" s="1"/>
      <c r="P7" s="1"/>
      <c r="Q7" s="1"/>
      <c r="R7" s="1"/>
      <c r="S7" s="1"/>
      <c r="T7" s="1"/>
      <c r="U7" s="1"/>
      <c r="V7" s="1"/>
      <c r="W7" s="1"/>
      <c r="X7" s="1"/>
      <c r="Y7" s="1"/>
      <c r="Z7" s="1"/>
      <c r="AA7" s="1"/>
      <c r="AB7" s="1"/>
      <c r="AC7" s="1"/>
      <c r="AD7" s="1"/>
      <c r="AE7" s="1"/>
      <c r="AF7" s="1"/>
      <c r="AG7" s="1"/>
      <c r="AH7" s="1"/>
      <c r="AI7" s="1"/>
      <c r="AJ7" s="1"/>
      <c r="AK7" s="1"/>
    </row>
    <row r="8" spans="1:37" ht="12.75" customHeight="1" x14ac:dyDescent="0.3">
      <c r="A8" s="4">
        <v>4</v>
      </c>
      <c r="B8" s="4">
        <v>3</v>
      </c>
      <c r="C8" s="4">
        <v>7</v>
      </c>
      <c r="D8" s="2" t="s">
        <v>1155</v>
      </c>
      <c r="E8" s="44">
        <v>2015</v>
      </c>
      <c r="F8" s="44" t="s">
        <v>1105</v>
      </c>
      <c r="G8" s="2" t="s">
        <v>1158</v>
      </c>
      <c r="H8" s="2" t="s">
        <v>1504</v>
      </c>
      <c r="I8" s="45">
        <v>44570</v>
      </c>
      <c r="J8" s="2" t="s">
        <v>1366</v>
      </c>
      <c r="K8" s="1" t="s">
        <v>1365</v>
      </c>
      <c r="L8" s="1"/>
      <c r="M8" s="1"/>
      <c r="N8" s="1"/>
      <c r="O8" s="1"/>
      <c r="P8" s="1"/>
      <c r="Q8" s="1"/>
      <c r="R8" s="1"/>
      <c r="S8" s="1"/>
      <c r="T8" s="1"/>
      <c r="U8" s="1"/>
      <c r="V8" s="1"/>
      <c r="W8" s="1"/>
      <c r="X8" s="1"/>
      <c r="Y8" s="1"/>
      <c r="Z8" s="1"/>
      <c r="AA8" s="1"/>
      <c r="AB8" s="1"/>
      <c r="AC8" s="1"/>
      <c r="AD8" s="1"/>
      <c r="AE8" s="1"/>
      <c r="AF8" s="1"/>
      <c r="AG8" s="1"/>
      <c r="AH8" s="1"/>
      <c r="AI8" s="1"/>
      <c r="AJ8" s="1"/>
      <c r="AK8" s="1"/>
    </row>
    <row r="9" spans="1:37" ht="12.75" customHeight="1" x14ac:dyDescent="0.3">
      <c r="A9" s="4">
        <v>4</v>
      </c>
      <c r="C9" s="4">
        <v>8</v>
      </c>
      <c r="D9" s="2" t="s">
        <v>1156</v>
      </c>
      <c r="E9" s="44">
        <v>2018</v>
      </c>
      <c r="F9" s="44" t="s">
        <v>1105</v>
      </c>
      <c r="G9" s="2" t="s">
        <v>1158</v>
      </c>
      <c r="H9" s="2" t="s">
        <v>1504</v>
      </c>
      <c r="I9" s="45">
        <v>44570</v>
      </c>
      <c r="J9" s="2" t="s">
        <v>1367</v>
      </c>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75" customHeight="1" x14ac:dyDescent="0.3">
      <c r="A10" s="4">
        <v>4</v>
      </c>
      <c r="C10" s="4">
        <v>9</v>
      </c>
      <c r="D10" s="2" t="s">
        <v>1157</v>
      </c>
      <c r="E10" s="44">
        <v>2020</v>
      </c>
      <c r="F10" s="44" t="s">
        <v>1105</v>
      </c>
      <c r="G10" s="2" t="s">
        <v>1158</v>
      </c>
      <c r="H10" s="2" t="s">
        <v>1504</v>
      </c>
      <c r="I10" s="45">
        <v>44570</v>
      </c>
      <c r="J10" s="2" t="s">
        <v>1367</v>
      </c>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row>
    <row r="11" spans="1:37" ht="12.75" customHeight="1" x14ac:dyDescent="0.3">
      <c r="A11" s="4">
        <v>4</v>
      </c>
      <c r="C11" s="4">
        <v>10</v>
      </c>
      <c r="D11" s="2" t="s">
        <v>1160</v>
      </c>
      <c r="E11" s="44">
        <v>2016</v>
      </c>
      <c r="F11" s="44" t="s">
        <v>522</v>
      </c>
      <c r="G11" s="2" t="s">
        <v>1159</v>
      </c>
      <c r="H11" s="2" t="s">
        <v>1504</v>
      </c>
      <c r="I11" s="45">
        <v>44570</v>
      </c>
      <c r="J11" s="2" t="s">
        <v>1367</v>
      </c>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spans="1:37" ht="12.75" customHeight="1" x14ac:dyDescent="0.3">
      <c r="A12" s="4">
        <v>5</v>
      </c>
      <c r="C12" s="4">
        <v>11</v>
      </c>
      <c r="D12" s="2" t="s">
        <v>1150</v>
      </c>
      <c r="E12" s="44">
        <v>2016</v>
      </c>
      <c r="F12" s="44" t="s">
        <v>522</v>
      </c>
      <c r="G12" s="2" t="s">
        <v>1152</v>
      </c>
      <c r="H12" s="2" t="s">
        <v>1505</v>
      </c>
      <c r="I12" s="45">
        <v>44570</v>
      </c>
      <c r="J12" s="2"/>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row>
    <row r="13" spans="1:37" ht="12.75" customHeight="1" x14ac:dyDescent="0.3">
      <c r="A13" s="4">
        <v>5</v>
      </c>
      <c r="C13" s="4">
        <v>12</v>
      </c>
      <c r="D13" s="2" t="s">
        <v>1161</v>
      </c>
      <c r="E13" s="44">
        <v>2018</v>
      </c>
      <c r="F13" s="44" t="s">
        <v>522</v>
      </c>
      <c r="G13" s="2" t="s">
        <v>1153</v>
      </c>
      <c r="H13" s="2" t="s">
        <v>1505</v>
      </c>
      <c r="I13" s="45">
        <v>44570</v>
      </c>
      <c r="J13" s="2"/>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row>
    <row r="14" spans="1:37" ht="12.75" customHeight="1" x14ac:dyDescent="0.3">
      <c r="A14" s="4">
        <v>5</v>
      </c>
      <c r="C14" s="4">
        <v>13</v>
      </c>
      <c r="D14" s="2" t="s">
        <v>1151</v>
      </c>
      <c r="E14" s="44">
        <v>2018</v>
      </c>
      <c r="F14" s="44" t="s">
        <v>522</v>
      </c>
      <c r="G14" s="2" t="s">
        <v>1154</v>
      </c>
      <c r="H14" s="2" t="s">
        <v>1505</v>
      </c>
      <c r="I14" s="45">
        <v>44570</v>
      </c>
      <c r="J14" s="2"/>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row>
    <row r="15" spans="1:37" ht="12.75" customHeight="1" x14ac:dyDescent="0.3">
      <c r="A15" s="4">
        <v>6</v>
      </c>
      <c r="C15" s="4">
        <v>14</v>
      </c>
      <c r="D15" s="2" t="s">
        <v>1162</v>
      </c>
      <c r="E15" s="44">
        <v>2014</v>
      </c>
      <c r="F15" s="44" t="s">
        <v>1105</v>
      </c>
      <c r="G15" s="2" t="s">
        <v>1163</v>
      </c>
      <c r="H15" s="2" t="s">
        <v>1506</v>
      </c>
      <c r="I15" s="45">
        <v>44570</v>
      </c>
      <c r="J15" s="2"/>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row>
    <row r="16" spans="1:37" ht="12.75" customHeight="1" x14ac:dyDescent="0.3">
      <c r="A16" s="4">
        <v>7</v>
      </c>
      <c r="C16" s="4">
        <v>15</v>
      </c>
      <c r="D16" s="2" t="s">
        <v>1164</v>
      </c>
      <c r="E16" s="44">
        <v>2020</v>
      </c>
      <c r="F16" s="44" t="s">
        <v>1105</v>
      </c>
      <c r="G16" s="2" t="s">
        <v>1165</v>
      </c>
      <c r="H16" s="2" t="s">
        <v>1507</v>
      </c>
      <c r="I16" s="45">
        <v>44570</v>
      </c>
      <c r="J16" s="2"/>
      <c r="K16" s="1" t="s">
        <v>1185</v>
      </c>
      <c r="L16" s="1"/>
      <c r="M16" s="1"/>
      <c r="N16" s="1"/>
      <c r="O16" s="1"/>
      <c r="P16" s="1"/>
      <c r="Q16" s="1"/>
      <c r="R16" s="1"/>
      <c r="S16" s="1"/>
      <c r="T16" s="1"/>
      <c r="U16" s="1"/>
      <c r="V16" s="1"/>
      <c r="W16" s="1"/>
      <c r="X16" s="1"/>
      <c r="Y16" s="1"/>
      <c r="Z16" s="1"/>
      <c r="AA16" s="1"/>
      <c r="AB16" s="1"/>
      <c r="AC16" s="1"/>
      <c r="AD16" s="1"/>
      <c r="AE16" s="1"/>
      <c r="AF16" s="1"/>
      <c r="AG16" s="1"/>
      <c r="AH16" s="1"/>
      <c r="AI16" s="1"/>
      <c r="AJ16" s="1"/>
      <c r="AK16" s="1"/>
    </row>
    <row r="17" spans="1:37" ht="12.75" customHeight="1" x14ac:dyDescent="0.3">
      <c r="A17" s="4">
        <v>8</v>
      </c>
      <c r="C17" s="4">
        <v>16</v>
      </c>
      <c r="D17" s="2" t="s">
        <v>1166</v>
      </c>
      <c r="E17" s="44">
        <v>2018</v>
      </c>
      <c r="F17" s="44" t="s">
        <v>522</v>
      </c>
      <c r="G17" s="2" t="s">
        <v>1168</v>
      </c>
      <c r="H17" s="2" t="s">
        <v>1508</v>
      </c>
      <c r="I17" s="45">
        <v>44570</v>
      </c>
      <c r="J17" s="2"/>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row>
    <row r="18" spans="1:37" ht="12.75" customHeight="1" x14ac:dyDescent="0.3">
      <c r="A18" s="4">
        <v>8</v>
      </c>
      <c r="C18" s="4">
        <v>17</v>
      </c>
      <c r="D18" s="2" t="s">
        <v>1167</v>
      </c>
      <c r="E18" s="44">
        <v>2018</v>
      </c>
      <c r="F18" s="44" t="s">
        <v>522</v>
      </c>
      <c r="G18" s="2" t="s">
        <v>1169</v>
      </c>
      <c r="H18" s="2" t="s">
        <v>1508</v>
      </c>
      <c r="I18" s="45">
        <v>44570</v>
      </c>
      <c r="J18" s="2"/>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row>
    <row r="19" spans="1:37" ht="12.75" customHeight="1" x14ac:dyDescent="0.3">
      <c r="A19" s="4">
        <v>9</v>
      </c>
      <c r="B19" s="4">
        <v>4</v>
      </c>
      <c r="C19" s="4">
        <v>18</v>
      </c>
      <c r="D19" s="2" t="s">
        <v>781</v>
      </c>
      <c r="E19" s="44">
        <v>2015</v>
      </c>
      <c r="F19" s="44" t="s">
        <v>1105</v>
      </c>
      <c r="G19" s="2" t="s">
        <v>1171</v>
      </c>
      <c r="H19" s="2" t="s">
        <v>1509</v>
      </c>
      <c r="I19" s="45">
        <v>44604</v>
      </c>
      <c r="J19" s="2" t="s">
        <v>1368</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row>
    <row r="20" spans="1:37" ht="12.75" customHeight="1" x14ac:dyDescent="0.3">
      <c r="A20" s="4">
        <v>10</v>
      </c>
      <c r="C20" s="4">
        <v>19</v>
      </c>
      <c r="D20" s="2" t="s">
        <v>1359</v>
      </c>
      <c r="E20" s="44">
        <v>2015</v>
      </c>
      <c r="F20" s="44" t="s">
        <v>522</v>
      </c>
      <c r="G20" s="2" t="s">
        <v>1172</v>
      </c>
      <c r="H20" s="2" t="s">
        <v>1510</v>
      </c>
      <c r="I20" s="45">
        <v>44604</v>
      </c>
      <c r="J20" s="2"/>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row>
    <row r="21" spans="1:37" ht="12.75" customHeight="1" x14ac:dyDescent="0.3">
      <c r="A21" s="4">
        <v>11</v>
      </c>
      <c r="C21" s="4">
        <v>20</v>
      </c>
      <c r="D21" s="2" t="s">
        <v>1173</v>
      </c>
      <c r="E21" s="44">
        <v>2013</v>
      </c>
      <c r="F21" s="44" t="s">
        <v>522</v>
      </c>
      <c r="G21" s="2" t="s">
        <v>1174</v>
      </c>
      <c r="H21" s="2" t="s">
        <v>1511</v>
      </c>
      <c r="I21" s="45">
        <v>44605</v>
      </c>
      <c r="J21" s="2"/>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row>
    <row r="22" spans="1:37" ht="12.75" customHeight="1" x14ac:dyDescent="0.3">
      <c r="A22" s="4">
        <v>12</v>
      </c>
      <c r="C22" s="4">
        <v>21</v>
      </c>
      <c r="D22" s="2" t="s">
        <v>908</v>
      </c>
      <c r="E22" s="44">
        <v>2022</v>
      </c>
      <c r="F22" s="44" t="s">
        <v>522</v>
      </c>
      <c r="G22" s="2" t="s">
        <v>1184</v>
      </c>
      <c r="H22" s="2" t="s">
        <v>1512</v>
      </c>
      <c r="I22" s="45">
        <v>45037</v>
      </c>
      <c r="J22" s="2"/>
      <c r="K22" s="1" t="s">
        <v>1364</v>
      </c>
      <c r="L22" s="1"/>
      <c r="M22" s="1"/>
      <c r="N22" s="1"/>
      <c r="O22" s="1"/>
      <c r="P22" s="1"/>
      <c r="Q22" s="1"/>
      <c r="R22" s="1"/>
      <c r="S22" s="1"/>
      <c r="T22" s="1"/>
      <c r="U22" s="1"/>
      <c r="V22" s="1"/>
      <c r="W22" s="1"/>
      <c r="X22" s="1"/>
      <c r="Y22" s="1"/>
      <c r="Z22" s="1"/>
      <c r="AA22" s="1"/>
      <c r="AB22" s="1"/>
      <c r="AC22" s="1"/>
      <c r="AD22" s="1"/>
      <c r="AE22" s="1"/>
      <c r="AF22" s="1"/>
      <c r="AG22" s="1"/>
      <c r="AH22" s="1"/>
      <c r="AI22" s="1"/>
      <c r="AJ22" s="1"/>
      <c r="AK22" s="1"/>
    </row>
    <row r="23" spans="1:37" ht="12.75" customHeight="1" x14ac:dyDescent="0.3">
      <c r="A23" s="4">
        <v>13</v>
      </c>
      <c r="C23" s="4">
        <v>22</v>
      </c>
      <c r="D23" s="2" t="s">
        <v>1175</v>
      </c>
      <c r="E23" s="44">
        <v>2018</v>
      </c>
      <c r="F23" s="44" t="s">
        <v>522</v>
      </c>
      <c r="G23" s="2" t="s">
        <v>1176</v>
      </c>
      <c r="H23" s="2" t="s">
        <v>1513</v>
      </c>
      <c r="I23" s="45">
        <v>45286</v>
      </c>
      <c r="J23" s="2"/>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row>
    <row r="24" spans="1:37" ht="12.75" customHeight="1" x14ac:dyDescent="0.3">
      <c r="A24" s="4">
        <v>14</v>
      </c>
      <c r="C24" s="4">
        <v>23</v>
      </c>
      <c r="D24" s="2" t="s">
        <v>1177</v>
      </c>
      <c r="E24" s="44">
        <v>2023</v>
      </c>
      <c r="F24" s="44" t="s">
        <v>1105</v>
      </c>
      <c r="G24" s="2" t="s">
        <v>1178</v>
      </c>
      <c r="H24" s="2" t="s">
        <v>1514</v>
      </c>
      <c r="I24" s="45">
        <v>45286</v>
      </c>
      <c r="J24" s="2"/>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row>
    <row r="25" spans="1:37" ht="12.75" customHeight="1" x14ac:dyDescent="0.3">
      <c r="A25" s="4">
        <v>15</v>
      </c>
      <c r="C25" s="4">
        <v>24</v>
      </c>
      <c r="D25" s="2" t="s">
        <v>1179</v>
      </c>
      <c r="E25" s="44">
        <v>2022</v>
      </c>
      <c r="F25" s="44" t="s">
        <v>522</v>
      </c>
      <c r="G25" s="2" t="s">
        <v>1180</v>
      </c>
      <c r="H25" s="46" t="s">
        <v>1515</v>
      </c>
      <c r="I25" s="45">
        <v>45287</v>
      </c>
      <c r="J25" s="2"/>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row>
    <row r="26" spans="1:37" ht="12.75" customHeight="1" x14ac:dyDescent="0.3">
      <c r="A26" s="4">
        <v>16</v>
      </c>
      <c r="C26" s="4">
        <v>25</v>
      </c>
      <c r="D26" s="2" t="s">
        <v>574</v>
      </c>
      <c r="E26" s="44">
        <v>2016</v>
      </c>
      <c r="F26" s="44" t="s">
        <v>522</v>
      </c>
      <c r="G26" s="2" t="s">
        <v>1181</v>
      </c>
      <c r="H26" s="3" t="s">
        <v>1516</v>
      </c>
      <c r="I26" s="45">
        <v>45287</v>
      </c>
      <c r="J26" s="2"/>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row>
    <row r="27" spans="1:37" ht="12.75" customHeight="1" x14ac:dyDescent="0.3">
      <c r="A27" s="4">
        <v>17</v>
      </c>
      <c r="C27" s="4">
        <v>26</v>
      </c>
      <c r="D27" s="2" t="s">
        <v>1182</v>
      </c>
      <c r="E27" s="44">
        <v>2023</v>
      </c>
      <c r="F27" s="44" t="s">
        <v>522</v>
      </c>
      <c r="G27" s="2" t="s">
        <v>1183</v>
      </c>
      <c r="H27" s="6" t="s">
        <v>1517</v>
      </c>
      <c r="I27" s="45">
        <v>45291</v>
      </c>
      <c r="J27" s="2"/>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row>
    <row r="28" spans="1:37" ht="12.75" customHeight="1" x14ac:dyDescent="0.3">
      <c r="A28" s="4">
        <v>18</v>
      </c>
      <c r="C28" s="4">
        <v>27</v>
      </c>
      <c r="D28" s="2" t="s">
        <v>1136</v>
      </c>
      <c r="E28" s="44">
        <v>2016</v>
      </c>
      <c r="F28" s="44" t="s">
        <v>1105</v>
      </c>
      <c r="G28" s="2" t="s">
        <v>1137</v>
      </c>
      <c r="H28" s="46" t="s">
        <v>1518</v>
      </c>
      <c r="I28" s="45">
        <v>45291</v>
      </c>
      <c r="J28" s="2"/>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row>
    <row r="29" spans="1:37" ht="12.75" customHeight="1" x14ac:dyDescent="0.3">
      <c r="A29" s="4">
        <v>19</v>
      </c>
      <c r="C29" s="4">
        <v>28</v>
      </c>
      <c r="D29" s="2" t="s">
        <v>1134</v>
      </c>
      <c r="E29" s="44">
        <v>2021</v>
      </c>
      <c r="F29" s="44" t="s">
        <v>522</v>
      </c>
      <c r="G29" s="2" t="s">
        <v>1135</v>
      </c>
      <c r="H29" s="46" t="s">
        <v>1519</v>
      </c>
      <c r="I29" s="45">
        <v>45522</v>
      </c>
      <c r="J29" s="2"/>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row>
    <row r="30" spans="1:37" ht="12.75" customHeight="1" x14ac:dyDescent="0.3">
      <c r="A30" s="4">
        <v>20</v>
      </c>
      <c r="C30" s="4">
        <v>29</v>
      </c>
      <c r="D30" s="2" t="s">
        <v>860</v>
      </c>
      <c r="E30" s="44">
        <v>2023</v>
      </c>
      <c r="F30" s="44" t="s">
        <v>522</v>
      </c>
      <c r="G30" s="2" t="s">
        <v>1102</v>
      </c>
      <c r="H30" s="2" t="s">
        <v>1520</v>
      </c>
      <c r="I30" s="45">
        <v>45534</v>
      </c>
      <c r="J30" s="2"/>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ht="12.75" customHeight="1" x14ac:dyDescent="0.3">
      <c r="A31" s="4">
        <v>21</v>
      </c>
      <c r="B31" s="4">
        <v>5</v>
      </c>
      <c r="C31" s="4">
        <v>30</v>
      </c>
      <c r="D31" s="2" t="s">
        <v>930</v>
      </c>
      <c r="E31" s="47">
        <v>2024</v>
      </c>
      <c r="F31" s="44" t="s">
        <v>1105</v>
      </c>
      <c r="G31" s="2" t="s">
        <v>1121</v>
      </c>
      <c r="H31" s="2" t="s">
        <v>1521</v>
      </c>
      <c r="I31" s="45">
        <v>45534</v>
      </c>
      <c r="J31" s="2" t="s">
        <v>1369</v>
      </c>
      <c r="K31" s="1"/>
      <c r="L31" s="1">
        <v>1</v>
      </c>
      <c r="M31" s="1"/>
      <c r="N31" s="1"/>
      <c r="O31" s="1"/>
      <c r="P31" s="1"/>
      <c r="Q31" s="1"/>
      <c r="R31" s="1"/>
      <c r="S31" s="1"/>
      <c r="T31" s="1"/>
      <c r="U31" s="1"/>
      <c r="V31" s="1"/>
      <c r="W31" s="1"/>
      <c r="X31" s="1"/>
      <c r="Y31" s="1"/>
      <c r="Z31" s="1"/>
      <c r="AA31" s="1"/>
      <c r="AB31" s="1"/>
      <c r="AC31" s="1"/>
      <c r="AD31" s="1"/>
      <c r="AE31" s="1"/>
      <c r="AF31" s="1"/>
      <c r="AG31" s="1"/>
      <c r="AH31" s="1"/>
      <c r="AI31" s="1"/>
      <c r="AJ31" s="1"/>
      <c r="AK31" s="1"/>
    </row>
    <row r="32" spans="1:37" ht="12.75" customHeight="1" x14ac:dyDescent="0.3">
      <c r="A32" s="4">
        <v>22</v>
      </c>
      <c r="B32" s="4">
        <v>6</v>
      </c>
      <c r="C32" s="4">
        <v>31</v>
      </c>
      <c r="D32" s="3" t="s">
        <v>921</v>
      </c>
      <c r="E32" s="47">
        <v>2023</v>
      </c>
      <c r="F32" s="44" t="s">
        <v>522</v>
      </c>
      <c r="G32" s="2" t="s">
        <v>1103</v>
      </c>
      <c r="H32" s="2" t="s">
        <v>1522</v>
      </c>
      <c r="I32" s="45">
        <v>45534</v>
      </c>
      <c r="J32" s="2" t="s">
        <v>1370</v>
      </c>
      <c r="K32" s="1"/>
      <c r="L32" s="1">
        <v>1</v>
      </c>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2.75" customHeight="1" x14ac:dyDescent="0.3">
      <c r="A33" s="4">
        <v>23</v>
      </c>
      <c r="C33" s="4">
        <v>32</v>
      </c>
      <c r="D33" s="3" t="s">
        <v>706</v>
      </c>
      <c r="E33" s="47">
        <v>2018</v>
      </c>
      <c r="F33" s="44" t="s">
        <v>522</v>
      </c>
      <c r="G33" s="2" t="s">
        <v>1390</v>
      </c>
      <c r="H33" s="2" t="s">
        <v>1523</v>
      </c>
      <c r="I33" s="45">
        <v>45534</v>
      </c>
      <c r="J33" s="2"/>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12.75" customHeight="1" x14ac:dyDescent="0.3">
      <c r="A34" s="4">
        <v>24</v>
      </c>
      <c r="C34" s="4">
        <v>33</v>
      </c>
      <c r="D34" s="3" t="s">
        <v>1104</v>
      </c>
      <c r="E34" s="47">
        <v>2024</v>
      </c>
      <c r="F34" s="44" t="s">
        <v>522</v>
      </c>
      <c r="G34" s="2" t="s">
        <v>1391</v>
      </c>
      <c r="H34" s="2" t="s">
        <v>1524</v>
      </c>
      <c r="I34" s="45">
        <v>45534</v>
      </c>
      <c r="J34" s="2"/>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12.75" customHeight="1" x14ac:dyDescent="0.3">
      <c r="A35" s="4">
        <v>25</v>
      </c>
      <c r="C35" s="4">
        <v>34</v>
      </c>
      <c r="D35" s="10" t="s">
        <v>812</v>
      </c>
      <c r="E35" s="44">
        <v>2011</v>
      </c>
      <c r="F35" s="44" t="s">
        <v>1105</v>
      </c>
      <c r="G35" s="2" t="s">
        <v>1129</v>
      </c>
      <c r="H35" s="2" t="s">
        <v>1525</v>
      </c>
      <c r="I35" s="45">
        <v>45534</v>
      </c>
      <c r="J35" s="2"/>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2.75" customHeight="1" x14ac:dyDescent="0.3">
      <c r="A36" s="4">
        <v>26</v>
      </c>
      <c r="C36" s="4">
        <v>35</v>
      </c>
      <c r="D36" s="2" t="s">
        <v>1122</v>
      </c>
      <c r="E36" s="44">
        <v>2004</v>
      </c>
      <c r="F36" s="44" t="s">
        <v>1105</v>
      </c>
      <c r="G36" s="2" t="s">
        <v>1106</v>
      </c>
      <c r="H36" s="2" t="s">
        <v>1526</v>
      </c>
      <c r="I36" s="45">
        <v>45534</v>
      </c>
      <c r="J36" s="2"/>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12.75" customHeight="1" x14ac:dyDescent="0.3">
      <c r="A37" s="4">
        <v>26</v>
      </c>
      <c r="C37" s="4">
        <v>36</v>
      </c>
      <c r="D37" s="2" t="s">
        <v>1123</v>
      </c>
      <c r="E37" s="44">
        <v>2012</v>
      </c>
      <c r="F37" s="44" t="s">
        <v>1105</v>
      </c>
      <c r="G37" s="2" t="s">
        <v>1107</v>
      </c>
      <c r="H37" s="2" t="s">
        <v>1526</v>
      </c>
      <c r="I37" s="45">
        <v>45534</v>
      </c>
      <c r="J37" s="2"/>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2.75" customHeight="1" x14ac:dyDescent="0.3">
      <c r="A38" s="4">
        <v>26</v>
      </c>
      <c r="C38" s="4">
        <v>37</v>
      </c>
      <c r="D38" s="2" t="s">
        <v>1124</v>
      </c>
      <c r="E38" s="44">
        <v>2014</v>
      </c>
      <c r="F38" s="44" t="s">
        <v>1105</v>
      </c>
      <c r="G38" s="2" t="s">
        <v>1126</v>
      </c>
      <c r="H38" s="2" t="s">
        <v>1526</v>
      </c>
      <c r="I38" s="45">
        <v>45534</v>
      </c>
      <c r="J38" s="2"/>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2.75" customHeight="1" x14ac:dyDescent="0.3">
      <c r="A39" s="4">
        <v>27</v>
      </c>
      <c r="C39" s="4">
        <v>38</v>
      </c>
      <c r="D39" s="10" t="s">
        <v>835</v>
      </c>
      <c r="E39" s="44">
        <v>2020</v>
      </c>
      <c r="F39" s="44" t="s">
        <v>1105</v>
      </c>
      <c r="G39" s="2" t="s">
        <v>1125</v>
      </c>
      <c r="H39" s="2" t="s">
        <v>1527</v>
      </c>
      <c r="I39" s="45">
        <v>45534</v>
      </c>
      <c r="J39" s="2"/>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12.75" customHeight="1" x14ac:dyDescent="0.3">
      <c r="A40" s="4">
        <v>28</v>
      </c>
      <c r="C40" s="4">
        <v>39</v>
      </c>
      <c r="D40" s="10" t="s">
        <v>577</v>
      </c>
      <c r="E40" s="44">
        <v>2017</v>
      </c>
      <c r="F40" s="44" t="s">
        <v>1105</v>
      </c>
      <c r="G40" s="2" t="s">
        <v>1108</v>
      </c>
      <c r="H40" s="2" t="s">
        <v>1528</v>
      </c>
      <c r="I40" s="45">
        <v>45534</v>
      </c>
      <c r="J40" s="2"/>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12.75" customHeight="1" x14ac:dyDescent="0.3">
      <c r="A41" s="4">
        <v>28</v>
      </c>
      <c r="C41" s="4">
        <v>40</v>
      </c>
      <c r="D41" s="10" t="s">
        <v>811</v>
      </c>
      <c r="E41" s="44">
        <v>2019</v>
      </c>
      <c r="F41" s="44" t="s">
        <v>1105</v>
      </c>
      <c r="G41" s="2" t="s">
        <v>1130</v>
      </c>
      <c r="H41" s="2" t="s">
        <v>1528</v>
      </c>
      <c r="I41" s="45">
        <v>45534</v>
      </c>
      <c r="J41" s="2"/>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2.75" customHeight="1" x14ac:dyDescent="0.35">
      <c r="A42" s="4">
        <v>29</v>
      </c>
      <c r="C42" s="4">
        <v>41</v>
      </c>
      <c r="D42" s="10" t="s">
        <v>589</v>
      </c>
      <c r="E42" s="44">
        <v>2015</v>
      </c>
      <c r="F42" s="44" t="s">
        <v>1105</v>
      </c>
      <c r="G42" s="2" t="s">
        <v>1128</v>
      </c>
      <c r="H42" s="2" t="s">
        <v>1529</v>
      </c>
      <c r="I42" s="45">
        <v>45534</v>
      </c>
      <c r="J42" s="2"/>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2.75" customHeight="1" x14ac:dyDescent="0.3">
      <c r="A43" s="4">
        <v>29</v>
      </c>
      <c r="C43" s="4">
        <v>42</v>
      </c>
      <c r="D43" s="10" t="s">
        <v>797</v>
      </c>
      <c r="E43" s="44">
        <v>2019</v>
      </c>
      <c r="F43" s="44" t="s">
        <v>1105</v>
      </c>
      <c r="G43" s="2" t="s">
        <v>1127</v>
      </c>
      <c r="H43" s="2" t="s">
        <v>1529</v>
      </c>
      <c r="I43" s="45">
        <v>45534</v>
      </c>
      <c r="J43" s="2"/>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2.75" customHeight="1" x14ac:dyDescent="0.3">
      <c r="A44" s="4">
        <v>30</v>
      </c>
      <c r="C44" s="4">
        <v>43</v>
      </c>
      <c r="D44" s="10" t="s">
        <v>809</v>
      </c>
      <c r="E44" s="44">
        <v>2019</v>
      </c>
      <c r="F44" s="44" t="s">
        <v>1105</v>
      </c>
      <c r="G44" s="2" t="s">
        <v>1131</v>
      </c>
      <c r="H44" s="2" t="s">
        <v>1530</v>
      </c>
      <c r="I44" s="45">
        <v>45534</v>
      </c>
      <c r="J44" s="2"/>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2.75" customHeight="1" x14ac:dyDescent="0.3">
      <c r="A45" s="4">
        <v>31</v>
      </c>
      <c r="C45" s="4">
        <v>7</v>
      </c>
      <c r="D45" s="2" t="s">
        <v>1109</v>
      </c>
      <c r="E45" s="44">
        <v>2015</v>
      </c>
      <c r="F45" s="44" t="s">
        <v>1105</v>
      </c>
      <c r="G45" s="2" t="s">
        <v>1110</v>
      </c>
      <c r="H45" s="2" t="s">
        <v>1504</v>
      </c>
      <c r="I45" s="45">
        <v>45534</v>
      </c>
      <c r="J45" s="2"/>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2.75" customHeight="1" x14ac:dyDescent="0.3">
      <c r="A46" s="4">
        <v>31</v>
      </c>
      <c r="C46" s="4">
        <v>8</v>
      </c>
      <c r="D46" s="2" t="s">
        <v>1111</v>
      </c>
      <c r="E46" s="44">
        <v>2020</v>
      </c>
      <c r="F46" s="44" t="s">
        <v>1105</v>
      </c>
      <c r="G46" s="2" t="s">
        <v>1112</v>
      </c>
      <c r="H46" s="2" t="s">
        <v>1504</v>
      </c>
      <c r="I46" s="45">
        <v>45534</v>
      </c>
      <c r="J46" s="2"/>
      <c r="K46" s="1"/>
      <c r="L46" s="1"/>
      <c r="M46" s="48"/>
      <c r="N46" s="48"/>
      <c r="O46" s="48"/>
      <c r="P46" s="48"/>
      <c r="Q46" s="48"/>
      <c r="R46" s="48"/>
      <c r="S46" s="1"/>
      <c r="T46" s="1"/>
      <c r="U46" s="1"/>
      <c r="V46" s="1"/>
      <c r="W46" s="1"/>
      <c r="X46" s="1"/>
      <c r="Y46" s="1"/>
      <c r="Z46" s="1"/>
      <c r="AA46" s="1"/>
      <c r="AB46" s="1"/>
      <c r="AC46" s="1"/>
      <c r="AD46" s="1"/>
      <c r="AE46" s="1"/>
      <c r="AF46" s="1"/>
      <c r="AG46" s="1"/>
      <c r="AH46" s="1"/>
      <c r="AI46" s="1"/>
      <c r="AJ46" s="1"/>
      <c r="AK46" s="1"/>
    </row>
    <row r="47" spans="1:37" ht="12.75" customHeight="1" x14ac:dyDescent="0.3">
      <c r="A47" s="4">
        <v>31</v>
      </c>
      <c r="C47" s="4">
        <v>9</v>
      </c>
      <c r="D47" s="2" t="s">
        <v>1113</v>
      </c>
      <c r="E47" s="44">
        <v>2020</v>
      </c>
      <c r="F47" s="44" t="s">
        <v>1105</v>
      </c>
      <c r="G47" s="2" t="s">
        <v>1114</v>
      </c>
      <c r="H47" s="2" t="s">
        <v>1504</v>
      </c>
      <c r="I47" s="45">
        <v>45534</v>
      </c>
      <c r="J47" s="2"/>
      <c r="K47" s="2"/>
      <c r="L47" s="2"/>
      <c r="M47" s="49"/>
      <c r="N47" s="50"/>
      <c r="O47" s="48"/>
      <c r="P47" s="48"/>
      <c r="Q47" s="48"/>
      <c r="R47" s="48"/>
      <c r="S47" s="2"/>
      <c r="T47" s="2"/>
      <c r="U47" s="2"/>
      <c r="V47" s="2"/>
      <c r="W47" s="2"/>
      <c r="X47" s="2"/>
      <c r="Y47" s="2"/>
      <c r="Z47" s="1"/>
      <c r="AA47" s="1"/>
      <c r="AB47" s="1"/>
      <c r="AC47" s="1"/>
      <c r="AD47" s="1"/>
      <c r="AE47" s="1"/>
      <c r="AF47" s="1"/>
      <c r="AG47" s="1"/>
      <c r="AH47" s="1"/>
      <c r="AI47" s="1"/>
      <c r="AJ47" s="1"/>
      <c r="AK47" s="1"/>
    </row>
    <row r="48" spans="1:37" ht="12.75" customHeight="1" x14ac:dyDescent="0.3">
      <c r="A48" s="4">
        <v>31</v>
      </c>
      <c r="C48" s="4">
        <v>10</v>
      </c>
      <c r="D48" s="2" t="s">
        <v>1115</v>
      </c>
      <c r="E48" s="44">
        <v>2016</v>
      </c>
      <c r="F48" s="44" t="s">
        <v>1105</v>
      </c>
      <c r="G48" s="2" t="s">
        <v>1116</v>
      </c>
      <c r="H48" s="2" t="s">
        <v>1504</v>
      </c>
      <c r="I48" s="45">
        <v>45534</v>
      </c>
      <c r="J48" s="2"/>
      <c r="K48" s="1"/>
      <c r="L48" s="1"/>
      <c r="M48" s="1"/>
      <c r="N48" s="1"/>
      <c r="O48" s="48"/>
      <c r="P48" s="48"/>
      <c r="Q48" s="48"/>
      <c r="R48" s="48"/>
      <c r="S48" s="1"/>
      <c r="T48" s="1"/>
      <c r="U48" s="1"/>
      <c r="V48" s="1"/>
      <c r="W48" s="1"/>
      <c r="X48" s="1"/>
      <c r="Y48" s="1"/>
      <c r="Z48" s="1"/>
      <c r="AA48" s="1"/>
      <c r="AB48" s="1"/>
      <c r="AC48" s="1"/>
      <c r="AD48" s="1"/>
      <c r="AE48" s="1"/>
      <c r="AF48" s="1"/>
      <c r="AG48" s="1"/>
      <c r="AH48" s="1"/>
      <c r="AI48" s="1"/>
      <c r="AJ48" s="1"/>
      <c r="AK48" s="1"/>
    </row>
    <row r="49" spans="1:37" ht="12.75" customHeight="1" x14ac:dyDescent="0.3">
      <c r="A49" s="4">
        <v>32</v>
      </c>
      <c r="B49" s="4">
        <v>7</v>
      </c>
      <c r="C49" s="4">
        <v>44</v>
      </c>
      <c r="D49" s="2" t="s">
        <v>827</v>
      </c>
      <c r="E49" s="44">
        <v>2012</v>
      </c>
      <c r="F49" s="44" t="s">
        <v>1105</v>
      </c>
      <c r="G49" s="2" t="s">
        <v>1132</v>
      </c>
      <c r="H49" s="2" t="s">
        <v>1531</v>
      </c>
      <c r="I49" s="45">
        <v>45534</v>
      </c>
      <c r="J49" s="2" t="s">
        <v>1371</v>
      </c>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2.75" customHeight="1" x14ac:dyDescent="0.3">
      <c r="A50" s="4">
        <v>33</v>
      </c>
      <c r="B50" s="4">
        <v>8</v>
      </c>
      <c r="C50" s="4">
        <v>45</v>
      </c>
      <c r="D50" s="2" t="s">
        <v>869</v>
      </c>
      <c r="E50" s="44">
        <v>2024</v>
      </c>
      <c r="F50" s="44" t="s">
        <v>1105</v>
      </c>
      <c r="G50" s="2" t="s">
        <v>1117</v>
      </c>
      <c r="H50" s="2" t="s">
        <v>1532</v>
      </c>
      <c r="I50" s="45">
        <v>45534</v>
      </c>
      <c r="J50" s="2" t="s">
        <v>1372</v>
      </c>
      <c r="K50" s="1"/>
      <c r="L50" s="1">
        <v>1</v>
      </c>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12.75" customHeight="1" x14ac:dyDescent="0.3">
      <c r="A51" s="4">
        <v>34</v>
      </c>
      <c r="C51" s="4">
        <v>46</v>
      </c>
      <c r="D51" s="2" t="s">
        <v>732</v>
      </c>
      <c r="E51" s="47">
        <v>2017</v>
      </c>
      <c r="F51" s="44" t="s">
        <v>1105</v>
      </c>
      <c r="G51" s="2" t="s">
        <v>1133</v>
      </c>
      <c r="H51" s="2" t="s">
        <v>1533</v>
      </c>
      <c r="I51" s="45">
        <v>45535</v>
      </c>
      <c r="J51" s="2"/>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75" customHeight="1" x14ac:dyDescent="0.3">
      <c r="A52" s="4">
        <v>35</v>
      </c>
      <c r="B52" s="4">
        <v>9</v>
      </c>
      <c r="C52" s="4">
        <v>47</v>
      </c>
      <c r="D52" s="10" t="s">
        <v>752</v>
      </c>
      <c r="E52" s="47">
        <v>2014</v>
      </c>
      <c r="F52" s="44" t="s">
        <v>1105</v>
      </c>
      <c r="G52" s="2" t="s">
        <v>1106</v>
      </c>
      <c r="H52" s="2" t="s">
        <v>1534</v>
      </c>
      <c r="I52" s="45">
        <v>45535</v>
      </c>
      <c r="J52" s="2" t="s">
        <v>1373</v>
      </c>
      <c r="K52" s="1"/>
      <c r="L52" s="1">
        <v>1</v>
      </c>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75" customHeight="1" x14ac:dyDescent="0.3">
      <c r="A53" s="4">
        <v>36</v>
      </c>
      <c r="B53" s="4">
        <v>10</v>
      </c>
      <c r="C53" s="4">
        <v>48</v>
      </c>
      <c r="D53" s="3" t="s">
        <v>821</v>
      </c>
      <c r="E53" s="47">
        <v>2018</v>
      </c>
      <c r="F53" s="44" t="s">
        <v>1105</v>
      </c>
      <c r="G53" s="2" t="s">
        <v>1186</v>
      </c>
      <c r="H53" s="2" t="s">
        <v>1536</v>
      </c>
      <c r="I53" s="45">
        <v>45535</v>
      </c>
      <c r="J53" s="2" t="s">
        <v>1374</v>
      </c>
      <c r="K53" s="1"/>
      <c r="L53" s="1">
        <v>1</v>
      </c>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75" customHeight="1" x14ac:dyDescent="0.3">
      <c r="A54" s="4">
        <v>36</v>
      </c>
      <c r="B54" s="4">
        <v>11</v>
      </c>
      <c r="C54" s="4">
        <v>15</v>
      </c>
      <c r="D54" s="10" t="s">
        <v>1164</v>
      </c>
      <c r="E54" s="47">
        <v>2020</v>
      </c>
      <c r="F54" s="44" t="s">
        <v>1105</v>
      </c>
      <c r="G54" s="2" t="s">
        <v>1187</v>
      </c>
      <c r="H54" s="2" t="s">
        <v>1535</v>
      </c>
      <c r="I54" s="45">
        <v>45535</v>
      </c>
      <c r="J54" s="2" t="s">
        <v>1375</v>
      </c>
      <c r="K54" s="1"/>
      <c r="L54" s="1">
        <v>1</v>
      </c>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75" customHeight="1" x14ac:dyDescent="0.3">
      <c r="A55" s="4">
        <v>37</v>
      </c>
      <c r="C55" s="4">
        <v>49</v>
      </c>
      <c r="D55" s="2" t="s">
        <v>1392</v>
      </c>
      <c r="E55" s="47">
        <v>2016</v>
      </c>
      <c r="F55" s="44" t="s">
        <v>522</v>
      </c>
      <c r="G55" s="2" t="s">
        <v>1188</v>
      </c>
      <c r="H55" s="2" t="s">
        <v>1537</v>
      </c>
      <c r="I55" s="45">
        <v>45535</v>
      </c>
      <c r="J55" s="2"/>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75" customHeight="1" x14ac:dyDescent="0.3">
      <c r="A56" s="4">
        <v>38</v>
      </c>
      <c r="C56" s="4">
        <v>50</v>
      </c>
      <c r="D56" s="10" t="s">
        <v>740</v>
      </c>
      <c r="E56" s="47">
        <v>2021</v>
      </c>
      <c r="F56" s="44" t="s">
        <v>1105</v>
      </c>
      <c r="G56" s="2" t="s">
        <v>1189</v>
      </c>
      <c r="H56" s="2" t="s">
        <v>1538</v>
      </c>
      <c r="I56" s="45">
        <v>45535</v>
      </c>
      <c r="J56" s="2"/>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75" customHeight="1" x14ac:dyDescent="0.3">
      <c r="A57" s="4">
        <v>39</v>
      </c>
      <c r="C57" s="4">
        <v>51</v>
      </c>
      <c r="D57" s="3" t="s">
        <v>816</v>
      </c>
      <c r="E57" s="47">
        <v>2019</v>
      </c>
      <c r="F57" s="44" t="s">
        <v>1105</v>
      </c>
      <c r="G57" s="2" t="s">
        <v>1191</v>
      </c>
      <c r="H57" s="2" t="s">
        <v>1539</v>
      </c>
      <c r="I57" s="45">
        <v>45535</v>
      </c>
      <c r="J57" s="2"/>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75" customHeight="1" x14ac:dyDescent="0.3">
      <c r="A58" s="4">
        <v>39</v>
      </c>
      <c r="C58" s="4">
        <v>52</v>
      </c>
      <c r="D58" s="4" t="s">
        <v>796</v>
      </c>
      <c r="E58" s="47">
        <v>2018</v>
      </c>
      <c r="F58" s="47" t="s">
        <v>1105</v>
      </c>
      <c r="G58" s="3" t="s">
        <v>1193</v>
      </c>
      <c r="H58" s="3" t="s">
        <v>1539</v>
      </c>
      <c r="I58" s="51">
        <v>45535</v>
      </c>
    </row>
    <row r="59" spans="1:37" ht="12.75" customHeight="1" x14ac:dyDescent="0.3">
      <c r="A59" s="4">
        <v>39</v>
      </c>
      <c r="C59" s="4">
        <v>53</v>
      </c>
      <c r="D59" s="9" t="s">
        <v>817</v>
      </c>
      <c r="E59" s="44">
        <v>2019</v>
      </c>
      <c r="F59" s="44" t="s">
        <v>1105</v>
      </c>
      <c r="G59" s="2" t="s">
        <v>1192</v>
      </c>
      <c r="H59" s="2" t="s">
        <v>1539</v>
      </c>
      <c r="I59" s="45">
        <v>45535</v>
      </c>
      <c r="J59" s="2"/>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2.75" customHeight="1" x14ac:dyDescent="0.3">
      <c r="A60" s="4">
        <v>40</v>
      </c>
      <c r="C60" s="4">
        <v>21</v>
      </c>
      <c r="D60" s="2" t="s">
        <v>908</v>
      </c>
      <c r="E60" s="44">
        <v>2022</v>
      </c>
      <c r="F60" s="44" t="s">
        <v>522</v>
      </c>
      <c r="G60" s="2" t="s">
        <v>1194</v>
      </c>
      <c r="H60" s="2" t="s">
        <v>1540</v>
      </c>
      <c r="I60" s="45">
        <v>45535</v>
      </c>
      <c r="J60" s="2"/>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12.75" customHeight="1" x14ac:dyDescent="0.3">
      <c r="A61" s="4">
        <v>41</v>
      </c>
      <c r="C61" s="4">
        <v>54</v>
      </c>
      <c r="D61" s="4" t="s">
        <v>951</v>
      </c>
      <c r="E61" s="44">
        <v>2023</v>
      </c>
      <c r="F61" s="44" t="s">
        <v>522</v>
      </c>
      <c r="G61" s="2" t="s">
        <v>1195</v>
      </c>
      <c r="H61" s="2" t="s">
        <v>1541</v>
      </c>
      <c r="I61" s="45">
        <v>45535</v>
      </c>
      <c r="J61" s="2"/>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12.75" customHeight="1" x14ac:dyDescent="0.3">
      <c r="A62" s="4">
        <v>42</v>
      </c>
      <c r="C62" s="4">
        <v>55</v>
      </c>
      <c r="D62" s="2" t="s">
        <v>853</v>
      </c>
      <c r="E62" s="44">
        <v>2024</v>
      </c>
      <c r="F62" s="44" t="s">
        <v>1105</v>
      </c>
      <c r="G62" s="2" t="s">
        <v>1197</v>
      </c>
      <c r="H62" s="2" t="s">
        <v>1542</v>
      </c>
      <c r="I62" s="45">
        <v>45536</v>
      </c>
      <c r="J62" s="2"/>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2.75" customHeight="1" x14ac:dyDescent="0.3">
      <c r="A63" s="4">
        <v>43</v>
      </c>
      <c r="C63" s="4">
        <v>56</v>
      </c>
      <c r="D63" s="2" t="s">
        <v>1209</v>
      </c>
      <c r="E63" s="44">
        <v>2024</v>
      </c>
      <c r="F63" s="44" t="s">
        <v>522</v>
      </c>
      <c r="G63" s="2" t="s">
        <v>1210</v>
      </c>
      <c r="H63" s="3" t="s">
        <v>1543</v>
      </c>
      <c r="I63" s="45">
        <v>45538</v>
      </c>
      <c r="J63" s="2"/>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12.75" customHeight="1" x14ac:dyDescent="0.3">
      <c r="A64" s="4">
        <v>44</v>
      </c>
      <c r="B64" s="4">
        <v>12</v>
      </c>
      <c r="C64" s="4">
        <v>57</v>
      </c>
      <c r="D64" s="10" t="s">
        <v>928</v>
      </c>
      <c r="E64" s="44">
        <v>2016</v>
      </c>
      <c r="F64" s="44" t="s">
        <v>1105</v>
      </c>
      <c r="G64" s="2" t="s">
        <v>1237</v>
      </c>
      <c r="H64" s="2" t="s">
        <v>1544</v>
      </c>
      <c r="I64" s="45">
        <v>45543</v>
      </c>
      <c r="J64" s="2" t="s">
        <v>1644</v>
      </c>
      <c r="K64" s="1"/>
      <c r="L64" s="1">
        <v>1</v>
      </c>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12.75" customHeight="1" x14ac:dyDescent="0.3">
      <c r="A65" s="4">
        <v>45</v>
      </c>
      <c r="C65" s="4">
        <v>58</v>
      </c>
      <c r="D65" s="10" t="s">
        <v>1393</v>
      </c>
      <c r="E65" s="44">
        <v>2024</v>
      </c>
      <c r="F65" s="44" t="s">
        <v>1105</v>
      </c>
      <c r="G65" s="2" t="s">
        <v>1237</v>
      </c>
      <c r="H65" s="2" t="s">
        <v>1545</v>
      </c>
      <c r="I65" s="45">
        <v>45543</v>
      </c>
      <c r="J65" s="2"/>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12.75" customHeight="1" x14ac:dyDescent="0.3">
      <c r="A66" s="4">
        <v>46</v>
      </c>
      <c r="B66" s="4">
        <v>13</v>
      </c>
      <c r="C66" s="4">
        <v>59</v>
      </c>
      <c r="D66" s="2" t="s">
        <v>1241</v>
      </c>
      <c r="E66" s="44">
        <v>2024</v>
      </c>
      <c r="F66" s="44" t="s">
        <v>1105</v>
      </c>
      <c r="G66" s="2" t="s">
        <v>1274</v>
      </c>
      <c r="H66" s="2" t="s">
        <v>1546</v>
      </c>
      <c r="I66" s="45">
        <v>45543</v>
      </c>
      <c r="J66" s="2" t="s">
        <v>1376</v>
      </c>
      <c r="K66" s="1"/>
      <c r="L66" s="1">
        <v>1</v>
      </c>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2.75" customHeight="1" x14ac:dyDescent="0.3">
      <c r="A67" s="4">
        <v>47</v>
      </c>
      <c r="C67" s="4">
        <v>60</v>
      </c>
      <c r="D67" s="2" t="s">
        <v>1275</v>
      </c>
      <c r="E67" s="44">
        <v>2018</v>
      </c>
      <c r="F67" s="44" t="s">
        <v>522</v>
      </c>
      <c r="G67" s="2" t="s">
        <v>1276</v>
      </c>
      <c r="H67" s="2" t="s">
        <v>1547</v>
      </c>
      <c r="I67" s="45">
        <v>45543</v>
      </c>
      <c r="J67" s="2"/>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2.75" customHeight="1" x14ac:dyDescent="0.3">
      <c r="A68" s="4">
        <v>48</v>
      </c>
      <c r="C68" s="4">
        <v>61</v>
      </c>
      <c r="D68" s="2" t="s">
        <v>1277</v>
      </c>
      <c r="E68" s="44">
        <v>2024</v>
      </c>
      <c r="F68" s="44" t="s">
        <v>1105</v>
      </c>
      <c r="G68" s="3" t="s">
        <v>1278</v>
      </c>
      <c r="H68" s="2" t="s">
        <v>1548</v>
      </c>
      <c r="I68" s="45">
        <v>45543</v>
      </c>
      <c r="J68" s="2"/>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12.75" customHeight="1" x14ac:dyDescent="0.3">
      <c r="A69" s="4">
        <v>49</v>
      </c>
      <c r="B69" s="4">
        <v>14</v>
      </c>
      <c r="C69" s="4">
        <v>62</v>
      </c>
      <c r="D69" s="2" t="s">
        <v>1279</v>
      </c>
      <c r="E69" s="44">
        <v>2024</v>
      </c>
      <c r="F69" s="44" t="s">
        <v>1105</v>
      </c>
      <c r="G69" s="2" t="s">
        <v>1280</v>
      </c>
      <c r="H69" s="2" t="s">
        <v>1549</v>
      </c>
      <c r="I69" s="45">
        <v>45543</v>
      </c>
      <c r="J69" s="2" t="s">
        <v>1306</v>
      </c>
      <c r="K69" s="1"/>
      <c r="L69" s="1">
        <v>1</v>
      </c>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12.75" customHeight="1" x14ac:dyDescent="0.3">
      <c r="A70" s="4">
        <v>49</v>
      </c>
      <c r="B70" s="4">
        <v>15</v>
      </c>
      <c r="C70" s="4">
        <v>63</v>
      </c>
      <c r="D70" s="2" t="s">
        <v>1281</v>
      </c>
      <c r="E70" s="44">
        <v>2024</v>
      </c>
      <c r="F70" s="44" t="s">
        <v>1105</v>
      </c>
      <c r="G70" s="2" t="s">
        <v>1282</v>
      </c>
      <c r="H70" s="2" t="s">
        <v>1549</v>
      </c>
      <c r="I70" s="45">
        <v>45543</v>
      </c>
      <c r="J70" s="2" t="s">
        <v>1377</v>
      </c>
      <c r="K70" s="1"/>
      <c r="L70" s="1">
        <v>1</v>
      </c>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2.75" customHeight="1" x14ac:dyDescent="0.3">
      <c r="A71" s="4">
        <v>50</v>
      </c>
      <c r="B71" s="4">
        <v>16</v>
      </c>
      <c r="C71" s="4">
        <v>64</v>
      </c>
      <c r="D71" s="2" t="s">
        <v>1283</v>
      </c>
      <c r="E71" s="44">
        <v>2024</v>
      </c>
      <c r="F71" s="44" t="s">
        <v>1105</v>
      </c>
      <c r="G71" s="2" t="s">
        <v>1284</v>
      </c>
      <c r="H71" s="2" t="s">
        <v>1550</v>
      </c>
      <c r="I71" s="45">
        <v>45543</v>
      </c>
      <c r="J71" s="2" t="s">
        <v>1568</v>
      </c>
      <c r="K71" s="1"/>
      <c r="L71" s="1">
        <v>1</v>
      </c>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2.75" customHeight="1" x14ac:dyDescent="0.3">
      <c r="A72" s="4">
        <v>51</v>
      </c>
      <c r="C72" s="4">
        <v>65</v>
      </c>
      <c r="D72" s="10" t="s">
        <v>829</v>
      </c>
      <c r="E72" s="44">
        <v>2019</v>
      </c>
      <c r="F72" s="44" t="s">
        <v>1105</v>
      </c>
      <c r="G72" s="2" t="s">
        <v>1285</v>
      </c>
      <c r="H72" s="2" t="s">
        <v>1551</v>
      </c>
      <c r="I72" s="45">
        <v>45543</v>
      </c>
      <c r="J72" s="2"/>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12.75" customHeight="1" x14ac:dyDescent="0.3">
      <c r="A73" s="4">
        <v>52</v>
      </c>
      <c r="B73" s="4">
        <v>17</v>
      </c>
      <c r="C73" s="4">
        <v>66</v>
      </c>
      <c r="D73" s="10" t="s">
        <v>708</v>
      </c>
      <c r="E73" s="44">
        <v>2021</v>
      </c>
      <c r="F73" s="44" t="s">
        <v>1105</v>
      </c>
      <c r="G73" s="2" t="s">
        <v>1286</v>
      </c>
      <c r="H73" s="2" t="s">
        <v>1552</v>
      </c>
      <c r="I73" s="45">
        <v>45543</v>
      </c>
      <c r="J73" s="2" t="s">
        <v>1378</v>
      </c>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12.75" customHeight="1" x14ac:dyDescent="0.3">
      <c r="A74" s="4">
        <v>53</v>
      </c>
      <c r="C74" s="4">
        <v>67</v>
      </c>
      <c r="D74" s="10" t="s">
        <v>836</v>
      </c>
      <c r="E74" s="44">
        <v>2024</v>
      </c>
      <c r="F74" s="44" t="s">
        <v>1105</v>
      </c>
      <c r="G74" s="2" t="s">
        <v>1287</v>
      </c>
      <c r="H74" s="2" t="s">
        <v>1553</v>
      </c>
      <c r="I74" s="45">
        <v>45543</v>
      </c>
      <c r="J74" s="2"/>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2.75" customHeight="1" x14ac:dyDescent="0.3">
      <c r="A75" s="4">
        <v>54</v>
      </c>
      <c r="B75" s="4">
        <v>18</v>
      </c>
      <c r="C75" s="4">
        <v>68</v>
      </c>
      <c r="D75" s="2" t="s">
        <v>806</v>
      </c>
      <c r="E75" s="44">
        <v>2020</v>
      </c>
      <c r="F75" s="44" t="s">
        <v>1105</v>
      </c>
      <c r="G75" s="2" t="s">
        <v>1288</v>
      </c>
      <c r="H75" s="2" t="s">
        <v>1554</v>
      </c>
      <c r="I75" s="45">
        <v>45543</v>
      </c>
      <c r="J75" s="2" t="s">
        <v>1289</v>
      </c>
      <c r="K75" s="1"/>
      <c r="L75" s="1">
        <v>1</v>
      </c>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12.75" customHeight="1" x14ac:dyDescent="0.3">
      <c r="A76" s="4">
        <v>55</v>
      </c>
      <c r="B76" s="4">
        <v>19</v>
      </c>
      <c r="C76" s="4">
        <v>69</v>
      </c>
      <c r="D76" s="9" t="s">
        <v>584</v>
      </c>
      <c r="E76" s="44">
        <v>2023</v>
      </c>
      <c r="F76" s="44" t="s">
        <v>1105</v>
      </c>
      <c r="G76" s="2" t="s">
        <v>1191</v>
      </c>
      <c r="H76" s="2" t="s">
        <v>1555</v>
      </c>
      <c r="I76" s="45">
        <v>45543</v>
      </c>
      <c r="J76" s="2" t="s">
        <v>1647</v>
      </c>
      <c r="K76" s="1"/>
      <c r="L76" s="1">
        <v>1</v>
      </c>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2.75" customHeight="1" x14ac:dyDescent="0.3">
      <c r="A77" s="4">
        <v>56</v>
      </c>
      <c r="B77" s="4">
        <v>20</v>
      </c>
      <c r="C77" s="4">
        <v>58</v>
      </c>
      <c r="D77" s="2" t="s">
        <v>583</v>
      </c>
      <c r="E77" s="44">
        <v>2023</v>
      </c>
      <c r="F77" s="44" t="s">
        <v>1105</v>
      </c>
      <c r="G77" s="2" t="s">
        <v>1282</v>
      </c>
      <c r="H77" s="2" t="s">
        <v>1556</v>
      </c>
      <c r="I77" s="45">
        <v>45543</v>
      </c>
      <c r="J77" s="2" t="s">
        <v>1377</v>
      </c>
      <c r="K77" s="1"/>
      <c r="L77" s="1">
        <v>1</v>
      </c>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2.75" customHeight="1" x14ac:dyDescent="0.3">
      <c r="A78" s="4">
        <v>57</v>
      </c>
      <c r="B78" s="4">
        <v>21</v>
      </c>
      <c r="C78" s="4">
        <v>70</v>
      </c>
      <c r="D78" s="9" t="s">
        <v>813</v>
      </c>
      <c r="E78" s="44">
        <v>2023</v>
      </c>
      <c r="F78" s="44" t="s">
        <v>1105</v>
      </c>
      <c r="G78" s="2" t="s">
        <v>1290</v>
      </c>
      <c r="H78" s="2" t="s">
        <v>1557</v>
      </c>
      <c r="I78" s="45">
        <v>45543</v>
      </c>
      <c r="J78" s="2"/>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2.75" customHeight="1" x14ac:dyDescent="0.3">
      <c r="A79" s="4">
        <v>58</v>
      </c>
      <c r="B79" s="4">
        <v>22</v>
      </c>
      <c r="C79" s="4">
        <v>71</v>
      </c>
      <c r="D79" s="2" t="s">
        <v>1291</v>
      </c>
      <c r="E79" s="44">
        <v>2023</v>
      </c>
      <c r="F79" s="44" t="s">
        <v>1105</v>
      </c>
      <c r="G79" s="2" t="s">
        <v>1292</v>
      </c>
      <c r="H79" s="2" t="s">
        <v>1558</v>
      </c>
      <c r="I79" s="45">
        <v>45543</v>
      </c>
      <c r="J79" s="2" t="s">
        <v>1567</v>
      </c>
      <c r="K79" s="1"/>
      <c r="L79" s="1">
        <v>1</v>
      </c>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2.75" customHeight="1" x14ac:dyDescent="0.3">
      <c r="A80" s="4">
        <v>59</v>
      </c>
      <c r="B80" s="4">
        <v>23</v>
      </c>
      <c r="C80" s="4">
        <v>72</v>
      </c>
      <c r="D80" s="9" t="s">
        <v>760</v>
      </c>
      <c r="E80" s="44">
        <v>2022</v>
      </c>
      <c r="F80" s="44" t="s">
        <v>1105</v>
      </c>
      <c r="G80" s="2" t="s">
        <v>1293</v>
      </c>
      <c r="H80" s="2" t="s">
        <v>1559</v>
      </c>
      <c r="I80" s="45">
        <v>45543</v>
      </c>
      <c r="J80" s="2" t="s">
        <v>1624</v>
      </c>
      <c r="K80" s="1"/>
      <c r="L80" s="1">
        <v>1</v>
      </c>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2.75" customHeight="1" x14ac:dyDescent="0.3">
      <c r="A81" s="4">
        <v>60</v>
      </c>
      <c r="C81" s="4">
        <v>73</v>
      </c>
      <c r="D81" s="9" t="s">
        <v>771</v>
      </c>
      <c r="E81" s="44">
        <v>2022</v>
      </c>
      <c r="F81" s="44" t="s">
        <v>1105</v>
      </c>
      <c r="G81" s="2" t="s">
        <v>1294</v>
      </c>
      <c r="H81" s="2" t="s">
        <v>1560</v>
      </c>
      <c r="I81" s="45">
        <v>45543</v>
      </c>
      <c r="J81" s="2"/>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2.75" customHeight="1" x14ac:dyDescent="0.3">
      <c r="A82" s="4">
        <v>61</v>
      </c>
      <c r="C82" s="4">
        <v>74</v>
      </c>
      <c r="D82" s="9" t="s">
        <v>750</v>
      </c>
      <c r="E82" s="44">
        <v>2013</v>
      </c>
      <c r="F82" s="44" t="s">
        <v>1105</v>
      </c>
      <c r="G82" s="2" t="s">
        <v>1295</v>
      </c>
      <c r="H82" s="2" t="s">
        <v>1561</v>
      </c>
      <c r="I82" s="45">
        <v>45543</v>
      </c>
      <c r="J82" s="2"/>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12.75" customHeight="1" x14ac:dyDescent="0.3">
      <c r="A83" s="4">
        <v>62</v>
      </c>
      <c r="B83" s="4">
        <v>24</v>
      </c>
      <c r="C83" s="4">
        <v>75</v>
      </c>
      <c r="D83" s="10" t="s">
        <v>773</v>
      </c>
      <c r="E83" s="44">
        <v>2023</v>
      </c>
      <c r="F83" s="44" t="s">
        <v>1105</v>
      </c>
      <c r="G83" s="2" t="s">
        <v>1296</v>
      </c>
      <c r="H83" s="2" t="s">
        <v>1562</v>
      </c>
      <c r="I83" s="45">
        <v>45543</v>
      </c>
      <c r="J83" s="2" t="s">
        <v>1307</v>
      </c>
      <c r="K83" s="1"/>
      <c r="L83" s="1">
        <v>1</v>
      </c>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12.75" customHeight="1" x14ac:dyDescent="0.3">
      <c r="A84" s="4">
        <v>63</v>
      </c>
      <c r="C84" s="4">
        <v>76</v>
      </c>
      <c r="D84" s="10" t="s">
        <v>737</v>
      </c>
      <c r="E84" s="44">
        <v>2020</v>
      </c>
      <c r="F84" s="44" t="s">
        <v>1105</v>
      </c>
      <c r="G84" s="2" t="s">
        <v>1297</v>
      </c>
      <c r="H84" s="2" t="s">
        <v>1563</v>
      </c>
      <c r="I84" s="45">
        <v>45543</v>
      </c>
      <c r="J84" s="2"/>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2.75" customHeight="1" x14ac:dyDescent="0.3">
      <c r="A85" s="4">
        <v>64</v>
      </c>
      <c r="B85" s="4">
        <v>25</v>
      </c>
      <c r="C85" s="4">
        <v>4</v>
      </c>
      <c r="D85" s="2" t="s">
        <v>1149</v>
      </c>
      <c r="E85" s="44">
        <v>2017</v>
      </c>
      <c r="F85" s="44" t="s">
        <v>522</v>
      </c>
      <c r="G85" s="2" t="s">
        <v>1298</v>
      </c>
      <c r="H85" s="2" t="s">
        <v>1503</v>
      </c>
      <c r="I85" s="45">
        <v>45543</v>
      </c>
      <c r="J85" s="2" t="s">
        <v>1379</v>
      </c>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2.75" customHeight="1" x14ac:dyDescent="0.3">
      <c r="A86" s="4">
        <v>64</v>
      </c>
      <c r="C86" s="4">
        <v>5</v>
      </c>
      <c r="D86" s="2" t="s">
        <v>1147</v>
      </c>
      <c r="E86" s="44">
        <v>2019</v>
      </c>
      <c r="F86" s="44" t="s">
        <v>522</v>
      </c>
      <c r="G86" s="2" t="s">
        <v>1298</v>
      </c>
      <c r="H86" s="2" t="s">
        <v>1503</v>
      </c>
      <c r="I86" s="45">
        <v>45543</v>
      </c>
      <c r="J86" s="2"/>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2.75" customHeight="1" x14ac:dyDescent="0.3">
      <c r="A87" s="4">
        <v>64</v>
      </c>
      <c r="C87" s="4">
        <v>6</v>
      </c>
      <c r="D87" s="2" t="s">
        <v>1146</v>
      </c>
      <c r="E87" s="44">
        <v>2021</v>
      </c>
      <c r="F87" s="44" t="s">
        <v>522</v>
      </c>
      <c r="G87" s="2" t="s">
        <v>1298</v>
      </c>
      <c r="H87" s="2" t="s">
        <v>1503</v>
      </c>
      <c r="I87" s="45">
        <v>45543</v>
      </c>
      <c r="J87" s="2"/>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12.75" customHeight="1" x14ac:dyDescent="0.3">
      <c r="A88" s="4">
        <v>65</v>
      </c>
      <c r="B88" s="4">
        <v>26</v>
      </c>
      <c r="C88" s="4">
        <v>11</v>
      </c>
      <c r="D88" s="2" t="s">
        <v>1150</v>
      </c>
      <c r="E88" s="44">
        <v>2016</v>
      </c>
      <c r="F88" s="44" t="s">
        <v>522</v>
      </c>
      <c r="G88" s="2" t="s">
        <v>1299</v>
      </c>
      <c r="H88" s="2" t="s">
        <v>1505</v>
      </c>
      <c r="I88" s="45">
        <v>45543</v>
      </c>
      <c r="J88" s="2" t="s">
        <v>1646</v>
      </c>
      <c r="K88" s="1"/>
      <c r="L88" s="1">
        <v>1</v>
      </c>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12.75" customHeight="1" x14ac:dyDescent="0.3">
      <c r="A89" s="4">
        <v>65</v>
      </c>
      <c r="C89" s="4">
        <v>12</v>
      </c>
      <c r="D89" s="2" t="s">
        <v>1161</v>
      </c>
      <c r="E89" s="44">
        <v>2018</v>
      </c>
      <c r="F89" s="44" t="s">
        <v>522</v>
      </c>
      <c r="G89" s="2" t="s">
        <v>1300</v>
      </c>
      <c r="H89" s="2" t="s">
        <v>1505</v>
      </c>
      <c r="I89" s="45">
        <v>45543</v>
      </c>
      <c r="J89" s="2"/>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12.75" customHeight="1" x14ac:dyDescent="0.3">
      <c r="A90" s="4">
        <v>65</v>
      </c>
      <c r="C90" s="4">
        <v>13</v>
      </c>
      <c r="D90" s="2" t="s">
        <v>1151</v>
      </c>
      <c r="E90" s="44">
        <v>2018</v>
      </c>
      <c r="F90" s="44" t="s">
        <v>522</v>
      </c>
      <c r="G90" s="2" t="s">
        <v>1301</v>
      </c>
      <c r="H90" s="2" t="s">
        <v>1505</v>
      </c>
      <c r="I90" s="45">
        <v>45543</v>
      </c>
      <c r="J90" s="2"/>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12.75" customHeight="1" x14ac:dyDescent="0.3">
      <c r="A91" s="4">
        <v>66</v>
      </c>
      <c r="C91" s="4">
        <v>14</v>
      </c>
      <c r="D91" s="2" t="s">
        <v>1162</v>
      </c>
      <c r="E91" s="44">
        <v>2014</v>
      </c>
      <c r="F91" s="44" t="s">
        <v>1105</v>
      </c>
      <c r="G91" s="2" t="s">
        <v>1394</v>
      </c>
      <c r="H91" s="2" t="s">
        <v>1506</v>
      </c>
      <c r="I91" s="45">
        <v>45543</v>
      </c>
      <c r="J91" s="2"/>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12.75" customHeight="1" x14ac:dyDescent="0.3">
      <c r="A92" s="4">
        <v>67</v>
      </c>
      <c r="C92" s="4">
        <v>16</v>
      </c>
      <c r="D92" s="2" t="s">
        <v>1166</v>
      </c>
      <c r="E92" s="44">
        <v>2018</v>
      </c>
      <c r="F92" s="44" t="s">
        <v>522</v>
      </c>
      <c r="G92" s="2" t="s">
        <v>1302</v>
      </c>
      <c r="H92" s="2" t="s">
        <v>1564</v>
      </c>
      <c r="I92" s="45">
        <v>45543</v>
      </c>
      <c r="J92" s="2"/>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2.75" customHeight="1" x14ac:dyDescent="0.3">
      <c r="A93" s="4">
        <v>67</v>
      </c>
      <c r="C93" s="4">
        <v>17</v>
      </c>
      <c r="D93" s="2" t="s">
        <v>1167</v>
      </c>
      <c r="E93" s="44">
        <v>2018</v>
      </c>
      <c r="F93" s="44" t="s">
        <v>522</v>
      </c>
      <c r="G93" s="2" t="s">
        <v>1302</v>
      </c>
      <c r="H93" s="2" t="s">
        <v>1564</v>
      </c>
      <c r="I93" s="45">
        <v>45543</v>
      </c>
      <c r="J93" s="2"/>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12.75" customHeight="1" x14ac:dyDescent="0.3">
      <c r="A94" s="4">
        <v>68</v>
      </c>
      <c r="B94" s="4">
        <v>27</v>
      </c>
      <c r="C94" s="4">
        <v>19</v>
      </c>
      <c r="D94" s="2" t="s">
        <v>1358</v>
      </c>
      <c r="E94" s="44">
        <v>2015</v>
      </c>
      <c r="F94" s="44" t="s">
        <v>522</v>
      </c>
      <c r="G94" s="2" t="s">
        <v>1303</v>
      </c>
      <c r="H94" s="2" t="s">
        <v>1565</v>
      </c>
      <c r="I94" s="45">
        <v>45543</v>
      </c>
      <c r="J94" s="2" t="s">
        <v>1379</v>
      </c>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2.75" customHeight="1" x14ac:dyDescent="0.3">
      <c r="A95" s="4">
        <v>69</v>
      </c>
      <c r="C95" s="4">
        <v>20</v>
      </c>
      <c r="D95" s="2" t="s">
        <v>1173</v>
      </c>
      <c r="E95" s="44">
        <v>2013</v>
      </c>
      <c r="F95" s="44" t="s">
        <v>522</v>
      </c>
      <c r="G95" s="2" t="s">
        <v>1304</v>
      </c>
      <c r="H95" s="2" t="s">
        <v>1550</v>
      </c>
      <c r="I95" s="45">
        <v>45543</v>
      </c>
      <c r="J95" s="2"/>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12.75" customHeight="1" x14ac:dyDescent="0.3">
      <c r="A96" s="4">
        <v>70</v>
      </c>
      <c r="B96" s="4">
        <v>28</v>
      </c>
      <c r="C96" s="4">
        <v>77</v>
      </c>
      <c r="D96" s="2" t="s">
        <v>1571</v>
      </c>
      <c r="E96" s="44">
        <v>2013</v>
      </c>
      <c r="F96" s="44" t="s">
        <v>1105</v>
      </c>
      <c r="G96" s="2" t="s">
        <v>1573</v>
      </c>
      <c r="H96" s="2" t="s">
        <v>1575</v>
      </c>
      <c r="I96" s="45">
        <v>45547</v>
      </c>
      <c r="J96" s="2" t="s">
        <v>1640</v>
      </c>
      <c r="K96" s="1"/>
      <c r="L96" s="1">
        <v>1</v>
      </c>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37" ht="12.75" customHeight="1" x14ac:dyDescent="0.3">
      <c r="A97" s="4">
        <v>70</v>
      </c>
      <c r="B97" s="4">
        <v>29</v>
      </c>
      <c r="C97" s="4">
        <v>78</v>
      </c>
      <c r="D97" s="2" t="s">
        <v>1572</v>
      </c>
      <c r="E97" s="44">
        <v>2020</v>
      </c>
      <c r="F97" s="44" t="s">
        <v>1105</v>
      </c>
      <c r="G97" s="2" t="s">
        <v>1574</v>
      </c>
      <c r="H97" s="2" t="s">
        <v>1575</v>
      </c>
      <c r="I97" s="45">
        <v>45547</v>
      </c>
      <c r="J97" s="2" t="s">
        <v>1641</v>
      </c>
      <c r="K97" s="1"/>
      <c r="L97" s="1">
        <v>1</v>
      </c>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37" ht="12.75" customHeight="1" x14ac:dyDescent="0.3">
      <c r="A98" s="4">
        <v>71</v>
      </c>
      <c r="C98" s="4">
        <v>79</v>
      </c>
      <c r="D98" s="2" t="s">
        <v>1270</v>
      </c>
      <c r="E98" s="44">
        <v>2023</v>
      </c>
      <c r="F98" s="44" t="s">
        <v>1105</v>
      </c>
      <c r="G98" s="2" t="s">
        <v>1576</v>
      </c>
      <c r="H98" s="2" t="s">
        <v>1579</v>
      </c>
      <c r="I98" s="45">
        <v>45547</v>
      </c>
      <c r="J98" s="2"/>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37" ht="12.75" customHeight="1" x14ac:dyDescent="0.3">
      <c r="A99" s="4">
        <v>71</v>
      </c>
      <c r="C99" s="4">
        <v>80</v>
      </c>
      <c r="D99" s="2" t="s">
        <v>1271</v>
      </c>
      <c r="E99" s="44">
        <v>2023</v>
      </c>
      <c r="F99" s="44" t="s">
        <v>1105</v>
      </c>
      <c r="G99" s="2" t="s">
        <v>1577</v>
      </c>
      <c r="H99" s="2" t="s">
        <v>1579</v>
      </c>
      <c r="I99" s="45">
        <v>45547</v>
      </c>
      <c r="J99" s="2"/>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37" ht="12.75" customHeight="1" x14ac:dyDescent="0.3">
      <c r="A100" s="4">
        <v>71</v>
      </c>
      <c r="C100" s="4">
        <v>81</v>
      </c>
      <c r="D100" s="2" t="s">
        <v>1248</v>
      </c>
      <c r="E100" s="44">
        <v>2023</v>
      </c>
      <c r="F100" s="44" t="s">
        <v>1105</v>
      </c>
      <c r="G100" s="2" t="s">
        <v>1578</v>
      </c>
      <c r="H100" s="2" t="s">
        <v>1579</v>
      </c>
      <c r="I100" s="45">
        <v>45547</v>
      </c>
      <c r="J100" s="2"/>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37" ht="12.75" customHeight="1" x14ac:dyDescent="0.3">
      <c r="A101" s="4">
        <v>72</v>
      </c>
      <c r="C101" s="4">
        <v>11</v>
      </c>
      <c r="D101" s="2" t="s">
        <v>1150</v>
      </c>
      <c r="E101" s="44">
        <v>2016</v>
      </c>
      <c r="F101" s="44" t="s">
        <v>522</v>
      </c>
      <c r="G101" s="2" t="s">
        <v>1581</v>
      </c>
      <c r="H101" s="2" t="s">
        <v>1580</v>
      </c>
      <c r="I101" s="45">
        <v>45548</v>
      </c>
      <c r="J101" s="2" t="s">
        <v>1602</v>
      </c>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37" ht="12.75" customHeight="1" x14ac:dyDescent="0.3">
      <c r="A102" s="4">
        <v>72</v>
      </c>
      <c r="C102" s="4">
        <v>13</v>
      </c>
      <c r="D102" s="2" t="s">
        <v>1151</v>
      </c>
      <c r="E102" s="44">
        <v>2018</v>
      </c>
      <c r="F102" s="44" t="s">
        <v>522</v>
      </c>
      <c r="G102" s="2" t="s">
        <v>1581</v>
      </c>
      <c r="H102" s="2" t="s">
        <v>1580</v>
      </c>
      <c r="I102" s="45">
        <v>45548</v>
      </c>
      <c r="J102" s="2"/>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37" ht="12.75" customHeight="1" x14ac:dyDescent="0.3">
      <c r="A103" s="4">
        <v>72</v>
      </c>
      <c r="C103" s="4">
        <v>80</v>
      </c>
      <c r="D103" s="2" t="s">
        <v>1596</v>
      </c>
      <c r="E103" s="44">
        <v>2016</v>
      </c>
      <c r="F103" s="44" t="s">
        <v>1105</v>
      </c>
      <c r="G103" s="2" t="s">
        <v>1601</v>
      </c>
      <c r="H103" s="2" t="s">
        <v>1580</v>
      </c>
      <c r="I103" s="45">
        <v>45548</v>
      </c>
      <c r="J103" s="2"/>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37" ht="12.75" customHeight="1" x14ac:dyDescent="0.3">
      <c r="A104" s="4">
        <v>73</v>
      </c>
      <c r="B104" s="4">
        <v>30</v>
      </c>
      <c r="C104" s="4">
        <v>81</v>
      </c>
      <c r="D104" s="2" t="s">
        <v>837</v>
      </c>
      <c r="E104" s="44">
        <v>2021</v>
      </c>
      <c r="F104" s="44" t="s">
        <v>1105</v>
      </c>
      <c r="G104" s="2" t="s">
        <v>1621</v>
      </c>
      <c r="H104" s="2" t="s">
        <v>1622</v>
      </c>
      <c r="I104" s="45">
        <v>45548</v>
      </c>
      <c r="J104" s="2" t="s">
        <v>1643</v>
      </c>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37" ht="12.75" customHeight="1" x14ac:dyDescent="0.3">
      <c r="D105" s="2"/>
      <c r="E105" s="44"/>
      <c r="F105" s="44"/>
      <c r="G105" s="2"/>
      <c r="H105" s="2"/>
      <c r="I105" s="45"/>
      <c r="J105" s="2"/>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37" ht="12.75" customHeight="1" x14ac:dyDescent="0.3">
      <c r="B106" s="52">
        <f>B104/73</f>
        <v>0.41095890410958902</v>
      </c>
      <c r="D106" s="2"/>
      <c r="E106" s="44"/>
      <c r="F106" s="44"/>
      <c r="G106" s="2"/>
      <c r="H106" s="2"/>
      <c r="I106" s="45"/>
      <c r="J106" s="2"/>
      <c r="K106" s="1"/>
      <c r="L106" s="1">
        <f>SUM(L2:L103)</f>
        <v>23</v>
      </c>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37" ht="12.75" customHeight="1" x14ac:dyDescent="0.3">
      <c r="D107" s="2"/>
      <c r="E107" s="44"/>
      <c r="F107" s="44"/>
      <c r="G107" s="2"/>
      <c r="H107" s="2"/>
      <c r="I107" s="45"/>
      <c r="J107" s="2"/>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37" ht="12.75" customHeight="1" x14ac:dyDescent="0.3">
      <c r="D108" s="2"/>
      <c r="E108" s="44"/>
      <c r="F108" s="44"/>
      <c r="G108" s="2"/>
      <c r="H108" s="2"/>
      <c r="I108" s="45"/>
      <c r="J108" s="2"/>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37" ht="12.75" customHeight="1" x14ac:dyDescent="0.3">
      <c r="D109" s="2"/>
      <c r="E109" s="44"/>
      <c r="F109" s="44"/>
      <c r="G109" s="2"/>
      <c r="H109" s="2"/>
      <c r="I109" s="45"/>
      <c r="J109" s="2"/>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spans="1:37" ht="12.75" customHeight="1" x14ac:dyDescent="0.3">
      <c r="D110" s="2"/>
      <c r="E110" s="44"/>
      <c r="F110" s="44"/>
      <c r="G110" s="2"/>
      <c r="H110" s="2"/>
      <c r="I110" s="45"/>
      <c r="J110" s="2"/>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spans="1:37" ht="12.75" customHeight="1" x14ac:dyDescent="0.3">
      <c r="D111" s="2"/>
      <c r="E111" s="44"/>
      <c r="F111" s="44"/>
      <c r="G111" s="2"/>
      <c r="H111" s="2"/>
      <c r="I111" s="45"/>
      <c r="J111" s="2"/>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37" ht="12.75" customHeight="1" x14ac:dyDescent="0.3">
      <c r="D112" s="2"/>
      <c r="E112" s="44"/>
      <c r="F112" s="44"/>
      <c r="G112" s="2"/>
      <c r="H112" s="2"/>
      <c r="I112" s="45"/>
      <c r="J112" s="2"/>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spans="4:37" ht="12.75" customHeight="1" x14ac:dyDescent="0.3">
      <c r="D113" s="2"/>
      <c r="E113" s="44"/>
      <c r="F113" s="44"/>
      <c r="G113" s="2"/>
      <c r="H113" s="2"/>
      <c r="I113" s="45"/>
      <c r="J113" s="2"/>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spans="4:37" ht="12.75" customHeight="1" x14ac:dyDescent="0.3">
      <c r="D114" s="2"/>
      <c r="E114" s="44"/>
      <c r="F114" s="44"/>
      <c r="G114" s="2"/>
      <c r="H114" s="2"/>
      <c r="I114" s="45"/>
      <c r="J114" s="2"/>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spans="4:37" ht="12.75" customHeight="1" x14ac:dyDescent="0.3">
      <c r="D115" s="2"/>
      <c r="E115" s="44"/>
      <c r="F115" s="44"/>
      <c r="G115" s="2"/>
      <c r="H115" s="2"/>
      <c r="I115" s="45"/>
      <c r="J115" s="2"/>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spans="4:37" ht="12.75" customHeight="1" x14ac:dyDescent="0.3">
      <c r="D116" s="2"/>
      <c r="E116" s="44"/>
      <c r="F116" s="44"/>
      <c r="G116" s="2"/>
      <c r="H116" s="2"/>
      <c r="I116" s="45"/>
      <c r="J116" s="2"/>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spans="4:37" ht="12.75" customHeight="1" x14ac:dyDescent="0.3">
      <c r="D117" s="2"/>
      <c r="E117" s="44"/>
      <c r="F117" s="44"/>
      <c r="G117" s="2"/>
      <c r="H117" s="2"/>
      <c r="I117" s="45"/>
      <c r="J117" s="2"/>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spans="4:37" ht="12.75" customHeight="1" x14ac:dyDescent="0.3">
      <c r="D118" s="2"/>
      <c r="E118" s="44"/>
      <c r="F118" s="44"/>
      <c r="G118" s="2"/>
      <c r="H118" s="2"/>
      <c r="I118" s="45"/>
      <c r="J118" s="2"/>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spans="4:37" ht="12.75" customHeight="1" x14ac:dyDescent="0.3">
      <c r="D119" s="2"/>
      <c r="E119" s="44"/>
      <c r="F119" s="44"/>
      <c r="G119" s="2"/>
      <c r="H119" s="2"/>
      <c r="I119" s="45"/>
      <c r="J119" s="2"/>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spans="4:37" ht="12.75" customHeight="1" x14ac:dyDescent="0.3">
      <c r="D120" s="2"/>
      <c r="E120" s="44"/>
      <c r="F120" s="44"/>
      <c r="G120" s="2"/>
      <c r="H120" s="2"/>
      <c r="I120" s="45"/>
      <c r="J120" s="2"/>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spans="4:37" ht="12.75" customHeight="1" x14ac:dyDescent="0.3">
      <c r="D121" s="2"/>
      <c r="E121" s="44"/>
      <c r="F121" s="44"/>
      <c r="G121" s="2"/>
      <c r="H121" s="2"/>
      <c r="I121" s="45"/>
      <c r="J121" s="2"/>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spans="4:37" ht="12.75" customHeight="1" x14ac:dyDescent="0.3">
      <c r="D122" s="2"/>
      <c r="E122" s="44"/>
      <c r="F122" s="44"/>
      <c r="G122" s="2"/>
      <c r="H122" s="2"/>
      <c r="I122" s="45"/>
      <c r="J122" s="2"/>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spans="4:37" ht="12.75" customHeight="1" x14ac:dyDescent="0.3">
      <c r="D123" s="2"/>
      <c r="E123" s="44"/>
      <c r="F123" s="44"/>
      <c r="G123" s="2"/>
      <c r="H123" s="2"/>
      <c r="I123" s="45"/>
      <c r="J123" s="2"/>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spans="4:37" ht="12.75" customHeight="1" x14ac:dyDescent="0.3">
      <c r="D124" s="2"/>
      <c r="E124" s="44"/>
      <c r="F124" s="44"/>
      <c r="G124" s="2"/>
      <c r="H124" s="2"/>
      <c r="I124" s="45"/>
      <c r="J124" s="2"/>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spans="4:37" ht="12.75" customHeight="1" x14ac:dyDescent="0.3">
      <c r="D125" s="2"/>
      <c r="E125" s="44"/>
      <c r="F125" s="44"/>
      <c r="G125" s="2"/>
      <c r="H125" s="2"/>
      <c r="I125" s="45"/>
      <c r="J125" s="2"/>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spans="4:37" ht="12.75" customHeight="1" x14ac:dyDescent="0.3">
      <c r="D126" s="2"/>
      <c r="E126" s="44"/>
      <c r="F126" s="44"/>
      <c r="G126" s="2"/>
      <c r="H126" s="2"/>
      <c r="I126" s="45"/>
      <c r="J126" s="2"/>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spans="4:37" ht="12.75" customHeight="1" x14ac:dyDescent="0.3">
      <c r="D127" s="2"/>
      <c r="E127" s="44"/>
      <c r="F127" s="44"/>
      <c r="G127" s="2"/>
      <c r="H127" s="2"/>
      <c r="I127" s="45"/>
      <c r="J127" s="2"/>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spans="4:37" ht="12.75" customHeight="1" x14ac:dyDescent="0.3">
      <c r="D128" s="2"/>
      <c r="E128" s="44"/>
      <c r="F128" s="44"/>
      <c r="G128" s="2"/>
      <c r="H128" s="2"/>
      <c r="I128" s="45"/>
      <c r="J128" s="2"/>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spans="4:37" ht="12.75" customHeight="1" x14ac:dyDescent="0.3">
      <c r="D129" s="2"/>
      <c r="E129" s="44"/>
      <c r="F129" s="44"/>
      <c r="G129" s="2"/>
      <c r="H129" s="2"/>
      <c r="I129" s="45"/>
      <c r="J129" s="2"/>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spans="4:37" ht="12.75" customHeight="1" x14ac:dyDescent="0.3">
      <c r="D130" s="2"/>
      <c r="E130" s="44"/>
      <c r="F130" s="44"/>
      <c r="G130" s="2"/>
      <c r="H130" s="2"/>
      <c r="I130" s="45"/>
      <c r="J130" s="2"/>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spans="4:37" ht="12.75" customHeight="1" x14ac:dyDescent="0.3">
      <c r="D131" s="2"/>
      <c r="E131" s="44"/>
      <c r="F131" s="44"/>
      <c r="G131" s="2"/>
      <c r="H131" s="2"/>
      <c r="I131" s="45"/>
      <c r="J131" s="2"/>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spans="4:37" ht="12.75" customHeight="1" x14ac:dyDescent="0.3">
      <c r="D132" s="2"/>
      <c r="E132" s="44"/>
      <c r="F132" s="44"/>
      <c r="G132" s="2"/>
      <c r="H132" s="2"/>
      <c r="I132" s="45"/>
      <c r="J132" s="2"/>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spans="4:37" ht="12.75" customHeight="1" x14ac:dyDescent="0.3">
      <c r="D133" s="2"/>
      <c r="E133" s="44"/>
      <c r="F133" s="44"/>
      <c r="G133" s="2"/>
      <c r="H133" s="2"/>
      <c r="I133" s="45"/>
      <c r="J133" s="2"/>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spans="4:37" ht="12.75" customHeight="1" x14ac:dyDescent="0.3">
      <c r="D134" s="2"/>
      <c r="E134" s="44"/>
      <c r="F134" s="44"/>
      <c r="G134" s="2"/>
      <c r="H134" s="2"/>
      <c r="I134" s="45"/>
      <c r="J134" s="2"/>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spans="4:37" ht="12.75" customHeight="1" x14ac:dyDescent="0.3">
      <c r="D135" s="2"/>
      <c r="E135" s="44"/>
      <c r="F135" s="44"/>
      <c r="G135" s="2"/>
      <c r="H135" s="2"/>
      <c r="I135" s="45"/>
      <c r="J135" s="2"/>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spans="4:37" ht="12.75" customHeight="1" x14ac:dyDescent="0.3">
      <c r="D136" s="2"/>
      <c r="E136" s="44"/>
      <c r="F136" s="44"/>
      <c r="G136" s="2"/>
      <c r="H136" s="2"/>
      <c r="I136" s="45"/>
      <c r="J136" s="2"/>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spans="4:37" ht="12.75" customHeight="1" x14ac:dyDescent="0.3">
      <c r="D137" s="2"/>
      <c r="E137" s="44"/>
      <c r="F137" s="44"/>
      <c r="G137" s="2"/>
      <c r="H137" s="2"/>
      <c r="I137" s="45"/>
      <c r="J137" s="2"/>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spans="4:37" ht="12.75" customHeight="1" x14ac:dyDescent="0.3">
      <c r="D138" s="2"/>
      <c r="E138" s="44"/>
      <c r="F138" s="44"/>
      <c r="G138" s="2"/>
      <c r="H138" s="2"/>
      <c r="I138" s="45"/>
      <c r="J138" s="2"/>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spans="4:37" ht="12.75" customHeight="1" x14ac:dyDescent="0.3">
      <c r="D139" s="2"/>
      <c r="E139" s="44"/>
      <c r="F139" s="44"/>
      <c r="G139" s="2"/>
      <c r="H139" s="2"/>
      <c r="I139" s="45"/>
      <c r="J139" s="2"/>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spans="4:37" ht="12.75" customHeight="1" x14ac:dyDescent="0.3">
      <c r="D140" s="2"/>
      <c r="E140" s="44"/>
      <c r="F140" s="44"/>
      <c r="G140" s="2"/>
      <c r="H140" s="2"/>
      <c r="I140" s="45"/>
      <c r="J140" s="2"/>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4:37" ht="12.75" customHeight="1" x14ac:dyDescent="0.3">
      <c r="D141" s="2"/>
      <c r="E141" s="44"/>
      <c r="F141" s="44"/>
      <c r="G141" s="2"/>
      <c r="H141" s="2"/>
      <c r="I141" s="45"/>
      <c r="J141" s="2"/>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4:37" ht="12.75" customHeight="1" x14ac:dyDescent="0.3">
      <c r="D142" s="2"/>
      <c r="E142" s="44"/>
      <c r="F142" s="44"/>
      <c r="G142" s="2"/>
      <c r="H142" s="2"/>
      <c r="I142" s="45"/>
      <c r="J142" s="2"/>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4:37" ht="12.75" customHeight="1" x14ac:dyDescent="0.3">
      <c r="D143" s="2"/>
      <c r="E143" s="44"/>
      <c r="F143" s="44"/>
      <c r="G143" s="2"/>
      <c r="H143" s="2"/>
      <c r="I143" s="45"/>
      <c r="J143" s="2"/>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4:37" ht="12.75" customHeight="1" x14ac:dyDescent="0.3">
      <c r="D144" s="2"/>
      <c r="E144" s="44"/>
      <c r="F144" s="44"/>
      <c r="G144" s="2"/>
      <c r="H144" s="2"/>
      <c r="I144" s="45"/>
      <c r="J144" s="2"/>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4:37" ht="12.75" customHeight="1" x14ac:dyDescent="0.3">
      <c r="D145" s="2"/>
      <c r="E145" s="44"/>
      <c r="F145" s="44"/>
      <c r="G145" s="2"/>
      <c r="H145" s="2"/>
      <c r="I145" s="45"/>
      <c r="J145" s="2"/>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4:37" ht="12.75" customHeight="1" x14ac:dyDescent="0.3">
      <c r="D146" s="2"/>
      <c r="E146" s="44"/>
      <c r="F146" s="44"/>
      <c r="G146" s="2"/>
      <c r="H146" s="2"/>
      <c r="I146" s="45"/>
      <c r="J146" s="2"/>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4:37" ht="12.75" customHeight="1" x14ac:dyDescent="0.3">
      <c r="D147" s="2"/>
      <c r="E147" s="44"/>
      <c r="F147" s="44"/>
      <c r="G147" s="2"/>
      <c r="H147" s="2"/>
      <c r="I147" s="45"/>
      <c r="J147" s="2"/>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4:37" ht="12.75" customHeight="1" x14ac:dyDescent="0.3">
      <c r="D148" s="2"/>
      <c r="E148" s="44"/>
      <c r="F148" s="44"/>
      <c r="G148" s="2"/>
      <c r="H148" s="2"/>
      <c r="I148" s="45"/>
      <c r="J148" s="2"/>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4:37" ht="12.75" customHeight="1" x14ac:dyDescent="0.3">
      <c r="D149" s="2"/>
      <c r="E149" s="44"/>
      <c r="F149" s="44"/>
      <c r="G149" s="2"/>
      <c r="H149" s="2"/>
      <c r="I149" s="45"/>
      <c r="J149" s="2"/>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4:37" ht="12.75" customHeight="1" x14ac:dyDescent="0.3">
      <c r="D150" s="2"/>
      <c r="E150" s="44"/>
      <c r="F150" s="44"/>
      <c r="G150" s="2"/>
      <c r="H150" s="2"/>
      <c r="I150" s="45"/>
      <c r="J150" s="2"/>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4:37" ht="12.75" customHeight="1" x14ac:dyDescent="0.3">
      <c r="D151" s="2"/>
      <c r="E151" s="44"/>
      <c r="F151" s="44"/>
      <c r="G151" s="2"/>
      <c r="H151" s="2"/>
      <c r="I151" s="45"/>
      <c r="J151" s="2"/>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4:37" ht="12.75" customHeight="1" x14ac:dyDescent="0.3">
      <c r="D152" s="2"/>
      <c r="E152" s="44"/>
      <c r="F152" s="44"/>
      <c r="G152" s="2"/>
      <c r="H152" s="2"/>
      <c r="I152" s="45"/>
      <c r="J152" s="2"/>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4:37" ht="12.75" customHeight="1" x14ac:dyDescent="0.3">
      <c r="D153" s="2"/>
      <c r="E153" s="44"/>
      <c r="F153" s="44"/>
      <c r="G153" s="2"/>
      <c r="H153" s="2"/>
      <c r="I153" s="45"/>
      <c r="J153" s="2"/>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4:37" ht="12.75" customHeight="1" x14ac:dyDescent="0.3">
      <c r="D154" s="2"/>
      <c r="E154" s="44"/>
      <c r="F154" s="44"/>
      <c r="G154" s="2"/>
      <c r="H154" s="2"/>
      <c r="I154" s="45"/>
      <c r="J154" s="2"/>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4:37" ht="12.75" customHeight="1" x14ac:dyDescent="0.3">
      <c r="D155" s="2"/>
      <c r="E155" s="44"/>
      <c r="F155" s="44"/>
      <c r="G155" s="2"/>
      <c r="H155" s="2"/>
      <c r="I155" s="45"/>
      <c r="J155" s="2"/>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4:37" ht="12.75" customHeight="1" x14ac:dyDescent="0.3">
      <c r="D156" s="2"/>
      <c r="E156" s="44"/>
      <c r="F156" s="44"/>
      <c r="G156" s="2"/>
      <c r="H156" s="2"/>
      <c r="I156" s="45"/>
      <c r="J156" s="2"/>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4:37" ht="12.75" customHeight="1" x14ac:dyDescent="0.3">
      <c r="D157" s="2"/>
      <c r="E157" s="44"/>
      <c r="F157" s="44"/>
      <c r="G157" s="2"/>
      <c r="H157" s="2"/>
      <c r="I157" s="45"/>
      <c r="J157" s="2"/>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4:37" ht="12.75" customHeight="1" x14ac:dyDescent="0.3">
      <c r="D158" s="2"/>
      <c r="E158" s="44"/>
      <c r="F158" s="44"/>
      <c r="G158" s="2"/>
      <c r="H158" s="2"/>
      <c r="I158" s="45"/>
      <c r="J158" s="2"/>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4:37" ht="12.75" customHeight="1" x14ac:dyDescent="0.3">
      <c r="D159" s="2"/>
      <c r="E159" s="44"/>
      <c r="F159" s="44"/>
      <c r="G159" s="2"/>
      <c r="H159" s="2"/>
      <c r="I159" s="45"/>
      <c r="J159" s="2"/>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4:37" ht="12.75" customHeight="1" x14ac:dyDescent="0.3">
      <c r="D160" s="2"/>
      <c r="E160" s="44"/>
      <c r="F160" s="44"/>
      <c r="G160" s="2"/>
      <c r="H160" s="2"/>
      <c r="I160" s="45"/>
      <c r="J160" s="2"/>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4:37" ht="12.75" customHeight="1" x14ac:dyDescent="0.3">
      <c r="D161" s="2"/>
      <c r="E161" s="44"/>
      <c r="F161" s="44"/>
      <c r="G161" s="2"/>
      <c r="H161" s="2"/>
      <c r="I161" s="45"/>
      <c r="J161" s="2"/>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4:37" ht="12.75" customHeight="1" x14ac:dyDescent="0.3">
      <c r="D162" s="2"/>
      <c r="E162" s="44"/>
      <c r="F162" s="44"/>
      <c r="G162" s="2"/>
      <c r="H162" s="2"/>
      <c r="I162" s="45"/>
      <c r="J162" s="2"/>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4:37" ht="12.75" customHeight="1" x14ac:dyDescent="0.3">
      <c r="D163" s="2"/>
      <c r="E163" s="44"/>
      <c r="F163" s="44"/>
      <c r="G163" s="2"/>
      <c r="H163" s="2"/>
      <c r="I163" s="45"/>
      <c r="J163" s="2"/>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4:37" ht="12.75" customHeight="1" x14ac:dyDescent="0.3">
      <c r="D164" s="2"/>
      <c r="E164" s="44"/>
      <c r="F164" s="44"/>
      <c r="G164" s="2"/>
      <c r="H164" s="2"/>
      <c r="I164" s="45"/>
      <c r="J164" s="2"/>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4:37" ht="12.75" customHeight="1" x14ac:dyDescent="0.3">
      <c r="D165" s="2"/>
      <c r="E165" s="44"/>
      <c r="F165" s="44"/>
      <c r="G165" s="2"/>
      <c r="H165" s="2"/>
      <c r="I165" s="45"/>
      <c r="J165" s="2"/>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4:37" ht="12.75" customHeight="1" x14ac:dyDescent="0.3">
      <c r="D166" s="2"/>
      <c r="E166" s="44"/>
      <c r="F166" s="44"/>
      <c r="G166" s="2"/>
      <c r="H166" s="2"/>
      <c r="I166" s="45"/>
      <c r="J166" s="2"/>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4:37" ht="12.75" customHeight="1" x14ac:dyDescent="0.3">
      <c r="D167" s="2"/>
      <c r="E167" s="44"/>
      <c r="F167" s="44"/>
      <c r="G167" s="2"/>
      <c r="H167" s="2"/>
      <c r="I167" s="45"/>
      <c r="J167" s="2"/>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4:37" ht="12.75" customHeight="1" x14ac:dyDescent="0.3">
      <c r="D168" s="2"/>
      <c r="E168" s="44"/>
      <c r="F168" s="44"/>
      <c r="G168" s="2"/>
      <c r="H168" s="2"/>
      <c r="I168" s="45"/>
      <c r="J168" s="2"/>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4:37" ht="12.75" customHeight="1" x14ac:dyDescent="0.3">
      <c r="D169" s="2"/>
      <c r="E169" s="44"/>
      <c r="F169" s="44"/>
      <c r="G169" s="2"/>
      <c r="H169" s="2"/>
      <c r="I169" s="45"/>
      <c r="J169" s="2"/>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4:37" ht="12.75" customHeight="1" x14ac:dyDescent="0.3">
      <c r="D170" s="2"/>
      <c r="E170" s="44"/>
      <c r="F170" s="44"/>
      <c r="G170" s="2"/>
      <c r="H170" s="2"/>
      <c r="I170" s="45"/>
      <c r="J170" s="2"/>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4:37" ht="12.75" customHeight="1" x14ac:dyDescent="0.3">
      <c r="D171" s="2"/>
      <c r="E171" s="44"/>
      <c r="F171" s="44"/>
      <c r="G171" s="2"/>
      <c r="H171" s="2"/>
      <c r="I171" s="45"/>
      <c r="J171" s="2"/>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4:37" ht="12.75" customHeight="1" x14ac:dyDescent="0.3">
      <c r="D172" s="2"/>
      <c r="E172" s="44"/>
      <c r="F172" s="44"/>
      <c r="G172" s="2"/>
      <c r="H172" s="2"/>
      <c r="I172" s="45"/>
      <c r="J172" s="2"/>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4:37" ht="12.75" customHeight="1" x14ac:dyDescent="0.3">
      <c r="D173" s="2"/>
      <c r="E173" s="44"/>
      <c r="F173" s="44"/>
      <c r="G173" s="2"/>
      <c r="H173" s="2"/>
      <c r="I173" s="45"/>
      <c r="J173" s="2"/>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4:37" ht="12.75" customHeight="1" x14ac:dyDescent="0.3">
      <c r="D174" s="2"/>
      <c r="E174" s="44"/>
      <c r="F174" s="44"/>
      <c r="G174" s="2"/>
      <c r="H174" s="2"/>
      <c r="I174" s="45"/>
      <c r="J174" s="2"/>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4:37" ht="12.75" customHeight="1" x14ac:dyDescent="0.3">
      <c r="D175" s="2"/>
      <c r="E175" s="44"/>
      <c r="F175" s="44"/>
      <c r="G175" s="2"/>
      <c r="H175" s="2"/>
      <c r="I175" s="45"/>
      <c r="J175" s="2"/>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4:37" ht="12.75" customHeight="1" x14ac:dyDescent="0.3">
      <c r="D176" s="2"/>
      <c r="E176" s="44"/>
      <c r="F176" s="44"/>
      <c r="G176" s="2"/>
      <c r="H176" s="2"/>
      <c r="I176" s="45"/>
      <c r="J176" s="2"/>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4:37" ht="12.75" customHeight="1" x14ac:dyDescent="0.3">
      <c r="D177" s="2"/>
      <c r="E177" s="44"/>
      <c r="F177" s="44"/>
      <c r="G177" s="2"/>
      <c r="H177" s="2"/>
      <c r="I177" s="45"/>
      <c r="J177" s="2"/>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4:37" ht="12.75" customHeight="1" x14ac:dyDescent="0.3">
      <c r="D178" s="2"/>
      <c r="E178" s="44"/>
      <c r="F178" s="44"/>
      <c r="G178" s="2"/>
      <c r="H178" s="2"/>
      <c r="I178" s="45"/>
      <c r="J178" s="2"/>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4:37" ht="12.75" customHeight="1" x14ac:dyDescent="0.3">
      <c r="D179" s="2"/>
      <c r="E179" s="44"/>
      <c r="F179" s="44"/>
      <c r="G179" s="2"/>
      <c r="H179" s="2"/>
      <c r="I179" s="45"/>
      <c r="J179" s="2"/>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4:37" ht="12.75" customHeight="1" x14ac:dyDescent="0.3">
      <c r="D180" s="2"/>
      <c r="E180" s="44"/>
      <c r="F180" s="44"/>
      <c r="G180" s="2"/>
      <c r="H180" s="2"/>
      <c r="I180" s="45"/>
      <c r="J180" s="2"/>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4:37" ht="12.75" customHeight="1" x14ac:dyDescent="0.3">
      <c r="D181" s="2"/>
      <c r="E181" s="44"/>
      <c r="F181" s="44"/>
      <c r="G181" s="2"/>
      <c r="H181" s="2"/>
      <c r="I181" s="45"/>
      <c r="J181" s="2"/>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4:37" ht="12.75" customHeight="1" x14ac:dyDescent="0.3">
      <c r="D182" s="2"/>
      <c r="E182" s="44"/>
      <c r="F182" s="44"/>
      <c r="G182" s="2"/>
      <c r="H182" s="2"/>
      <c r="I182" s="45"/>
      <c r="J182" s="2"/>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4:37" ht="12.75" customHeight="1" x14ac:dyDescent="0.3">
      <c r="D183" s="2"/>
      <c r="E183" s="44"/>
      <c r="F183" s="44"/>
      <c r="G183" s="2"/>
      <c r="H183" s="2"/>
      <c r="I183" s="45"/>
      <c r="J183" s="2"/>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4:37" ht="12.75" customHeight="1" x14ac:dyDescent="0.3">
      <c r="D184" s="2"/>
      <c r="E184" s="44"/>
      <c r="F184" s="44"/>
      <c r="G184" s="2"/>
      <c r="H184" s="2"/>
      <c r="I184" s="45"/>
      <c r="J184" s="2"/>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4:37" ht="12.75" customHeight="1" x14ac:dyDescent="0.3">
      <c r="D185" s="2"/>
      <c r="E185" s="44"/>
      <c r="F185" s="44"/>
      <c r="G185" s="2"/>
      <c r="H185" s="2"/>
      <c r="I185" s="45"/>
      <c r="J185" s="2"/>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4:37" ht="12.75" customHeight="1" x14ac:dyDescent="0.3">
      <c r="D186" s="2"/>
      <c r="E186" s="44"/>
      <c r="F186" s="44"/>
      <c r="G186" s="2"/>
      <c r="H186" s="2"/>
      <c r="I186" s="45"/>
      <c r="J186" s="2"/>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4:37" ht="12.75" customHeight="1" x14ac:dyDescent="0.3">
      <c r="D187" s="2"/>
      <c r="E187" s="44"/>
      <c r="F187" s="44"/>
      <c r="G187" s="2"/>
      <c r="H187" s="2"/>
      <c r="I187" s="45"/>
      <c r="J187" s="2"/>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4:37" ht="12.75" customHeight="1" x14ac:dyDescent="0.3">
      <c r="D188" s="2"/>
      <c r="E188" s="44"/>
      <c r="F188" s="44"/>
      <c r="G188" s="2"/>
      <c r="H188" s="2"/>
      <c r="I188" s="45"/>
      <c r="J188" s="2"/>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4:37" ht="12.75" customHeight="1" x14ac:dyDescent="0.3">
      <c r="D189" s="2"/>
      <c r="E189" s="44"/>
      <c r="F189" s="44"/>
      <c r="G189" s="2"/>
      <c r="H189" s="2"/>
      <c r="I189" s="45"/>
      <c r="J189" s="2"/>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4:37" ht="12.75" customHeight="1" x14ac:dyDescent="0.3">
      <c r="D190" s="2"/>
      <c r="E190" s="44"/>
      <c r="F190" s="44"/>
      <c r="G190" s="2"/>
      <c r="H190" s="2"/>
      <c r="I190" s="45"/>
      <c r="J190" s="2"/>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4:37" ht="12.75" customHeight="1" x14ac:dyDescent="0.3">
      <c r="D191" s="2"/>
      <c r="E191" s="44"/>
      <c r="F191" s="44"/>
      <c r="G191" s="2"/>
      <c r="H191" s="2"/>
      <c r="I191" s="45"/>
      <c r="J191" s="2"/>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4:37" ht="12.75" customHeight="1" x14ac:dyDescent="0.3">
      <c r="D192" s="2"/>
      <c r="E192" s="44"/>
      <c r="F192" s="44"/>
      <c r="G192" s="2"/>
      <c r="H192" s="2"/>
      <c r="I192" s="45"/>
      <c r="J192" s="2"/>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4:37" ht="12.75" customHeight="1" x14ac:dyDescent="0.3">
      <c r="D193" s="2"/>
      <c r="E193" s="44"/>
      <c r="F193" s="44"/>
      <c r="G193" s="2"/>
      <c r="H193" s="2"/>
      <c r="I193" s="45"/>
      <c r="J193" s="2"/>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4:37" ht="12.75" customHeight="1" x14ac:dyDescent="0.3">
      <c r="D194" s="2"/>
      <c r="E194" s="44"/>
      <c r="F194" s="44"/>
      <c r="G194" s="2"/>
      <c r="H194" s="2"/>
      <c r="I194" s="45"/>
      <c r="J194" s="2"/>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4:37" ht="12.75" customHeight="1" x14ac:dyDescent="0.3">
      <c r="D195" s="2"/>
      <c r="E195" s="44"/>
      <c r="F195" s="44"/>
      <c r="G195" s="2"/>
      <c r="H195" s="2"/>
      <c r="I195" s="45"/>
      <c r="J195" s="2"/>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4:37" ht="12.75" customHeight="1" x14ac:dyDescent="0.3">
      <c r="D196" s="2"/>
      <c r="E196" s="44"/>
      <c r="F196" s="44"/>
      <c r="G196" s="2"/>
      <c r="H196" s="2"/>
      <c r="I196" s="45"/>
      <c r="J196" s="2"/>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4:37" ht="12.75" customHeight="1" x14ac:dyDescent="0.3">
      <c r="D197" s="2"/>
      <c r="E197" s="44"/>
      <c r="F197" s="44"/>
      <c r="G197" s="2"/>
      <c r="H197" s="2"/>
      <c r="I197" s="45"/>
      <c r="J197" s="2"/>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4:37" ht="12.75" customHeight="1" x14ac:dyDescent="0.3">
      <c r="D198" s="2"/>
      <c r="E198" s="44"/>
      <c r="F198" s="44"/>
      <c r="G198" s="2"/>
      <c r="H198" s="2"/>
      <c r="I198" s="45"/>
      <c r="J198" s="2"/>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4:37" ht="12.75" customHeight="1" x14ac:dyDescent="0.3">
      <c r="D199" s="2"/>
      <c r="E199" s="44"/>
      <c r="F199" s="44"/>
      <c r="G199" s="2"/>
      <c r="H199" s="2"/>
      <c r="I199" s="45"/>
      <c r="J199" s="2"/>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4:37" ht="12.75" customHeight="1" x14ac:dyDescent="0.3">
      <c r="D200" s="2"/>
      <c r="E200" s="44"/>
      <c r="F200" s="44"/>
      <c r="G200" s="2"/>
      <c r="H200" s="2"/>
      <c r="I200" s="45"/>
      <c r="J200" s="2"/>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4:37" ht="12.75" customHeight="1" x14ac:dyDescent="0.3">
      <c r="D201" s="2"/>
      <c r="E201" s="44"/>
      <c r="F201" s="44"/>
      <c r="G201" s="2"/>
      <c r="H201" s="2"/>
      <c r="I201" s="45"/>
      <c r="J201" s="2"/>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4:37" ht="12.75" customHeight="1" x14ac:dyDescent="0.3">
      <c r="D202" s="2"/>
      <c r="E202" s="44"/>
      <c r="F202" s="44"/>
      <c r="G202" s="2"/>
      <c r="H202" s="2"/>
      <c r="I202" s="45"/>
      <c r="J202" s="2"/>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4:37" ht="12.75" customHeight="1" x14ac:dyDescent="0.3">
      <c r="D203" s="2"/>
      <c r="E203" s="44"/>
      <c r="F203" s="44"/>
      <c r="G203" s="2"/>
      <c r="H203" s="2"/>
      <c r="I203" s="45"/>
      <c r="J203" s="2"/>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spans="4:37" ht="12.75" customHeight="1" x14ac:dyDescent="0.3">
      <c r="D204" s="2"/>
      <c r="E204" s="44"/>
      <c r="F204" s="44"/>
      <c r="G204" s="2"/>
      <c r="H204" s="2"/>
      <c r="I204" s="45"/>
      <c r="J204" s="2"/>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spans="4:37" ht="12.75" customHeight="1" x14ac:dyDescent="0.3">
      <c r="D205" s="2"/>
      <c r="E205" s="44"/>
      <c r="F205" s="44"/>
      <c r="G205" s="2"/>
      <c r="H205" s="2"/>
      <c r="I205" s="45"/>
      <c r="J205" s="2"/>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spans="4:37" ht="12.75" customHeight="1" x14ac:dyDescent="0.3">
      <c r="D206" s="2"/>
      <c r="E206" s="44"/>
      <c r="F206" s="44"/>
      <c r="G206" s="2"/>
      <c r="H206" s="2"/>
      <c r="I206" s="45"/>
      <c r="J206" s="2"/>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spans="4:37" ht="12.75" customHeight="1" x14ac:dyDescent="0.3">
      <c r="D207" s="2"/>
      <c r="E207" s="44"/>
      <c r="F207" s="44"/>
      <c r="G207" s="2"/>
      <c r="H207" s="2"/>
      <c r="I207" s="45"/>
      <c r="J207" s="2"/>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spans="4:37" ht="12.75" customHeight="1" x14ac:dyDescent="0.3">
      <c r="D208" s="2"/>
      <c r="E208" s="44"/>
      <c r="F208" s="44"/>
      <c r="G208" s="2"/>
      <c r="H208" s="2"/>
      <c r="I208" s="45"/>
      <c r="J208" s="2"/>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spans="4:37" ht="12.75" customHeight="1" x14ac:dyDescent="0.3">
      <c r="D209" s="2"/>
      <c r="E209" s="44"/>
      <c r="F209" s="44"/>
      <c r="G209" s="2"/>
      <c r="H209" s="2"/>
      <c r="I209" s="45"/>
      <c r="J209" s="2"/>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spans="4:37" ht="12.75" customHeight="1" x14ac:dyDescent="0.3">
      <c r="D210" s="2"/>
      <c r="E210" s="44"/>
      <c r="F210" s="44"/>
      <c r="G210" s="2"/>
      <c r="H210" s="2"/>
      <c r="I210" s="45"/>
      <c r="J210" s="2"/>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spans="4:37" ht="12.75" customHeight="1" x14ac:dyDescent="0.3">
      <c r="D211" s="2"/>
      <c r="E211" s="44"/>
      <c r="F211" s="44"/>
      <c r="G211" s="2"/>
      <c r="H211" s="2"/>
      <c r="I211" s="45"/>
      <c r="J211" s="2"/>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spans="4:37" ht="12.75" customHeight="1" x14ac:dyDescent="0.3">
      <c r="D212" s="2"/>
      <c r="E212" s="44"/>
      <c r="F212" s="44"/>
      <c r="G212" s="2"/>
      <c r="H212" s="2"/>
      <c r="I212" s="45"/>
      <c r="J212" s="2"/>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spans="4:37" ht="12.75" customHeight="1" x14ac:dyDescent="0.3">
      <c r="D213" s="2"/>
      <c r="E213" s="44"/>
      <c r="F213" s="44"/>
      <c r="G213" s="2"/>
      <c r="H213" s="2"/>
      <c r="I213" s="45"/>
      <c r="J213" s="2"/>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spans="4:37" ht="12.75" customHeight="1" x14ac:dyDescent="0.3">
      <c r="D214" s="2"/>
      <c r="E214" s="44"/>
      <c r="F214" s="44"/>
      <c r="G214" s="2"/>
      <c r="H214" s="2"/>
      <c r="I214" s="45"/>
      <c r="J214" s="2"/>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spans="4:37" ht="12.75" customHeight="1" x14ac:dyDescent="0.3">
      <c r="D215" s="2"/>
      <c r="E215" s="44"/>
      <c r="F215" s="44"/>
      <c r="G215" s="2"/>
      <c r="H215" s="2"/>
      <c r="I215" s="45"/>
      <c r="J215" s="2"/>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spans="4:37" ht="12.75" customHeight="1" x14ac:dyDescent="0.3">
      <c r="D216" s="2"/>
      <c r="E216" s="44"/>
      <c r="F216" s="44"/>
      <c r="G216" s="2"/>
      <c r="H216" s="2"/>
      <c r="I216" s="45"/>
      <c r="J216" s="2"/>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spans="4:37" ht="12.75" customHeight="1" x14ac:dyDescent="0.3">
      <c r="D217" s="2"/>
      <c r="E217" s="44"/>
      <c r="F217" s="44"/>
      <c r="G217" s="2"/>
      <c r="H217" s="2"/>
      <c r="I217" s="45"/>
      <c r="J217" s="2"/>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spans="4:37" ht="12.75" customHeight="1" x14ac:dyDescent="0.3">
      <c r="D218" s="2"/>
      <c r="E218" s="44"/>
      <c r="F218" s="44"/>
      <c r="G218" s="2"/>
      <c r="H218" s="2"/>
      <c r="I218" s="45"/>
      <c r="J218" s="2"/>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spans="4:37" ht="12.75" customHeight="1" x14ac:dyDescent="0.3">
      <c r="D219" s="2"/>
      <c r="E219" s="44"/>
      <c r="F219" s="44"/>
      <c r="G219" s="2"/>
      <c r="H219" s="2"/>
      <c r="I219" s="45"/>
      <c r="J219" s="2"/>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spans="4:37" ht="12.75" customHeight="1" x14ac:dyDescent="0.3">
      <c r="D220" s="2"/>
      <c r="E220" s="44"/>
      <c r="F220" s="44"/>
      <c r="G220" s="2"/>
      <c r="H220" s="2"/>
      <c r="I220" s="45"/>
      <c r="J220" s="2"/>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spans="4:37" ht="12.75" customHeight="1" x14ac:dyDescent="0.3">
      <c r="D221" s="2"/>
      <c r="E221" s="44"/>
      <c r="F221" s="44"/>
      <c r="G221" s="2"/>
      <c r="H221" s="2"/>
      <c r="I221" s="45"/>
      <c r="J221" s="2"/>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spans="4:37" ht="12.75" customHeight="1" x14ac:dyDescent="0.3">
      <c r="D222" s="2"/>
      <c r="E222" s="44"/>
      <c r="F222" s="44"/>
      <c r="G222" s="2"/>
      <c r="H222" s="2"/>
      <c r="I222" s="45"/>
      <c r="J222" s="2"/>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spans="4:37" ht="12.75" customHeight="1" x14ac:dyDescent="0.3">
      <c r="D223" s="2"/>
      <c r="E223" s="44"/>
      <c r="F223" s="44"/>
      <c r="G223" s="2"/>
      <c r="H223" s="2"/>
      <c r="I223" s="45"/>
      <c r="J223" s="2"/>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4:37" ht="12.75" customHeight="1" x14ac:dyDescent="0.3">
      <c r="D224" s="2"/>
      <c r="E224" s="44"/>
      <c r="F224" s="44"/>
      <c r="G224" s="2"/>
      <c r="H224" s="2"/>
      <c r="I224" s="45"/>
      <c r="J224" s="2"/>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spans="4:37" ht="12.75" customHeight="1" x14ac:dyDescent="0.3">
      <c r="D225" s="2"/>
      <c r="E225" s="44"/>
      <c r="F225" s="44"/>
      <c r="G225" s="2"/>
      <c r="H225" s="2"/>
      <c r="I225" s="45"/>
      <c r="J225" s="2"/>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spans="4:37" ht="12.75" customHeight="1" x14ac:dyDescent="0.3">
      <c r="D226" s="2"/>
      <c r="E226" s="44"/>
      <c r="F226" s="44"/>
      <c r="G226" s="2"/>
      <c r="H226" s="2"/>
      <c r="I226" s="45"/>
      <c r="J226" s="2"/>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spans="4:37" ht="12.75" customHeight="1" x14ac:dyDescent="0.3">
      <c r="D227" s="2"/>
      <c r="E227" s="44"/>
      <c r="F227" s="44"/>
      <c r="G227" s="2"/>
      <c r="H227" s="2"/>
      <c r="I227" s="45"/>
      <c r="J227" s="2"/>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spans="4:37" ht="12.75" customHeight="1" x14ac:dyDescent="0.3">
      <c r="D228" s="2"/>
      <c r="E228" s="44"/>
      <c r="F228" s="44"/>
      <c r="G228" s="2"/>
      <c r="H228" s="2"/>
      <c r="I228" s="45"/>
      <c r="J228" s="2"/>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spans="4:37" ht="12.75" customHeight="1" x14ac:dyDescent="0.3">
      <c r="D229" s="2"/>
      <c r="E229" s="44"/>
      <c r="F229" s="44"/>
      <c r="G229" s="2"/>
      <c r="H229" s="2"/>
      <c r="I229" s="45"/>
      <c r="J229" s="2"/>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spans="4:37" ht="12.75" customHeight="1" x14ac:dyDescent="0.3">
      <c r="D230" s="2"/>
      <c r="E230" s="44"/>
      <c r="F230" s="44"/>
      <c r="G230" s="2"/>
      <c r="H230" s="2"/>
      <c r="I230" s="45"/>
      <c r="J230" s="2"/>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spans="4:37" ht="12.75" customHeight="1" x14ac:dyDescent="0.3">
      <c r="D231" s="2"/>
      <c r="E231" s="44"/>
      <c r="F231" s="44"/>
      <c r="G231" s="2"/>
      <c r="H231" s="2"/>
      <c r="I231" s="45"/>
      <c r="J231" s="2"/>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spans="4:37" ht="12.75" customHeight="1" x14ac:dyDescent="0.3">
      <c r="D232" s="2"/>
      <c r="E232" s="44"/>
      <c r="F232" s="44"/>
      <c r="G232" s="2"/>
      <c r="H232" s="2"/>
      <c r="I232" s="45"/>
      <c r="J232" s="2"/>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spans="4:37" ht="12.75" customHeight="1" x14ac:dyDescent="0.3">
      <c r="D233" s="2"/>
      <c r="E233" s="44"/>
      <c r="F233" s="44"/>
      <c r="G233" s="2"/>
      <c r="H233" s="2"/>
      <c r="I233" s="45"/>
      <c r="J233" s="2"/>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spans="4:37" ht="12.75" customHeight="1" x14ac:dyDescent="0.3">
      <c r="D234" s="2"/>
      <c r="E234" s="44"/>
      <c r="F234" s="44"/>
      <c r="G234" s="2"/>
      <c r="H234" s="2"/>
      <c r="I234" s="45"/>
      <c r="J234" s="2"/>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spans="4:37" ht="12.75" customHeight="1" x14ac:dyDescent="0.3">
      <c r="D235" s="2"/>
      <c r="E235" s="44"/>
      <c r="F235" s="44"/>
      <c r="G235" s="2"/>
      <c r="H235" s="2"/>
      <c r="I235" s="45"/>
      <c r="J235" s="2"/>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spans="4:37" ht="12.75" customHeight="1" x14ac:dyDescent="0.3">
      <c r="D236" s="2"/>
      <c r="E236" s="44"/>
      <c r="F236" s="44"/>
      <c r="G236" s="2"/>
      <c r="H236" s="2"/>
      <c r="I236" s="45"/>
      <c r="J236" s="2"/>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spans="4:37" ht="12.75" customHeight="1" x14ac:dyDescent="0.3">
      <c r="D237" s="2"/>
      <c r="E237" s="44"/>
      <c r="F237" s="44"/>
      <c r="G237" s="2"/>
      <c r="H237" s="2"/>
      <c r="I237" s="45"/>
      <c r="J237" s="2"/>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spans="4:37" ht="12.75" customHeight="1" x14ac:dyDescent="0.3">
      <c r="D238" s="2"/>
      <c r="E238" s="44"/>
      <c r="F238" s="44"/>
      <c r="G238" s="2"/>
      <c r="H238" s="2"/>
      <c r="I238" s="45"/>
      <c r="J238" s="2"/>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spans="4:37" ht="12.75" customHeight="1" x14ac:dyDescent="0.3">
      <c r="D239" s="2"/>
      <c r="E239" s="44"/>
      <c r="F239" s="44"/>
      <c r="G239" s="2"/>
      <c r="H239" s="2"/>
      <c r="I239" s="45"/>
      <c r="J239" s="2"/>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spans="4:37" ht="12.75" customHeight="1" x14ac:dyDescent="0.3">
      <c r="D240" s="2"/>
      <c r="E240" s="44"/>
      <c r="F240" s="44"/>
      <c r="G240" s="2"/>
      <c r="H240" s="2"/>
      <c r="I240" s="45"/>
      <c r="J240" s="2"/>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spans="4:37" ht="12.75" customHeight="1" x14ac:dyDescent="0.3">
      <c r="D241" s="2"/>
      <c r="E241" s="44"/>
      <c r="F241" s="44"/>
      <c r="G241" s="2"/>
      <c r="H241" s="2"/>
      <c r="I241" s="45"/>
      <c r="J241" s="2"/>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spans="4:37" ht="12.75" customHeight="1" x14ac:dyDescent="0.3">
      <c r="D242" s="2"/>
      <c r="E242" s="44"/>
      <c r="F242" s="44"/>
      <c r="G242" s="2"/>
      <c r="H242" s="2"/>
      <c r="I242" s="45"/>
      <c r="J242" s="2"/>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spans="4:37" ht="12.75" customHeight="1" x14ac:dyDescent="0.3">
      <c r="D243" s="2"/>
      <c r="E243" s="44"/>
      <c r="F243" s="44"/>
      <c r="G243" s="2"/>
      <c r="H243" s="2"/>
      <c r="I243" s="45"/>
      <c r="J243" s="2"/>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spans="4:37" ht="12.75" customHeight="1" x14ac:dyDescent="0.3">
      <c r="D244" s="2"/>
      <c r="E244" s="44"/>
      <c r="F244" s="44"/>
      <c r="G244" s="2"/>
      <c r="H244" s="2"/>
      <c r="I244" s="45"/>
      <c r="J244" s="2"/>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spans="4:37" ht="12.75" customHeight="1" x14ac:dyDescent="0.3">
      <c r="D245" s="2"/>
      <c r="E245" s="44"/>
      <c r="F245" s="44"/>
      <c r="G245" s="2"/>
      <c r="H245" s="2"/>
      <c r="I245" s="45"/>
      <c r="J245" s="2"/>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spans="4:37" ht="12.75" customHeight="1" x14ac:dyDescent="0.3">
      <c r="D246" s="2"/>
      <c r="E246" s="44"/>
      <c r="F246" s="44"/>
      <c r="G246" s="2"/>
      <c r="H246" s="2"/>
      <c r="I246" s="45"/>
      <c r="J246" s="2"/>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spans="4:37" ht="12.75" customHeight="1" x14ac:dyDescent="0.3">
      <c r="D247" s="2"/>
      <c r="E247" s="44"/>
      <c r="F247" s="44"/>
      <c r="G247" s="2"/>
      <c r="H247" s="2"/>
      <c r="I247" s="45"/>
      <c r="J247" s="2"/>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spans="4:37" ht="12.75" customHeight="1" x14ac:dyDescent="0.3">
      <c r="D248" s="2"/>
      <c r="E248" s="44"/>
      <c r="F248" s="44"/>
      <c r="G248" s="2"/>
      <c r="H248" s="2"/>
      <c r="I248" s="45"/>
      <c r="J248" s="2"/>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spans="4:37" ht="12.75" customHeight="1" x14ac:dyDescent="0.3">
      <c r="D249" s="2"/>
      <c r="E249" s="44"/>
      <c r="F249" s="44"/>
      <c r="G249" s="2"/>
      <c r="H249" s="2"/>
      <c r="I249" s="45"/>
      <c r="J249" s="2"/>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spans="4:37" ht="12.75" customHeight="1" x14ac:dyDescent="0.3">
      <c r="D250" s="2"/>
      <c r="E250" s="44"/>
      <c r="F250" s="44"/>
      <c r="G250" s="2"/>
      <c r="H250" s="2"/>
      <c r="I250" s="45"/>
      <c r="J250" s="2"/>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spans="4:37" ht="12.75" customHeight="1" x14ac:dyDescent="0.3">
      <c r="D251" s="2"/>
      <c r="E251" s="44"/>
      <c r="F251" s="44"/>
      <c r="G251" s="2"/>
      <c r="H251" s="2"/>
      <c r="I251" s="45"/>
      <c r="J251" s="2"/>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spans="4:37" ht="12.75" customHeight="1" x14ac:dyDescent="0.3">
      <c r="D252" s="2"/>
      <c r="E252" s="44"/>
      <c r="F252" s="44"/>
      <c r="G252" s="2"/>
      <c r="H252" s="2"/>
      <c r="I252" s="45"/>
      <c r="J252" s="2"/>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spans="4:37" ht="12.75" customHeight="1" x14ac:dyDescent="0.3">
      <c r="D253" s="2"/>
      <c r="E253" s="44"/>
      <c r="F253" s="44"/>
      <c r="G253" s="2"/>
      <c r="H253" s="2"/>
      <c r="I253" s="45"/>
      <c r="J253" s="2"/>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spans="4:37" ht="12.75" customHeight="1" x14ac:dyDescent="0.3">
      <c r="D254" s="2"/>
      <c r="E254" s="44"/>
      <c r="F254" s="44"/>
      <c r="G254" s="2"/>
      <c r="H254" s="2"/>
      <c r="I254" s="45"/>
      <c r="J254" s="2"/>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spans="4:37" ht="12.75" customHeight="1" x14ac:dyDescent="0.3">
      <c r="D255" s="2"/>
      <c r="E255" s="44"/>
      <c r="F255" s="44"/>
      <c r="G255" s="2"/>
      <c r="H255" s="2"/>
      <c r="I255" s="45"/>
      <c r="J255" s="2"/>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spans="4:37" ht="12.75" customHeight="1" x14ac:dyDescent="0.3">
      <c r="D256" s="2"/>
      <c r="E256" s="44"/>
      <c r="F256" s="44"/>
      <c r="G256" s="2"/>
      <c r="H256" s="2"/>
      <c r="I256" s="45"/>
      <c r="J256" s="2"/>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spans="4:37" ht="12.75" customHeight="1" x14ac:dyDescent="0.3">
      <c r="D257" s="2"/>
      <c r="E257" s="44"/>
      <c r="F257" s="44"/>
      <c r="G257" s="2"/>
      <c r="H257" s="2"/>
      <c r="I257" s="45"/>
      <c r="J257" s="2"/>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spans="4:37" ht="12.75" customHeight="1" x14ac:dyDescent="0.3">
      <c r="D258" s="2"/>
      <c r="E258" s="44"/>
      <c r="F258" s="44"/>
      <c r="G258" s="2"/>
      <c r="H258" s="2"/>
      <c r="I258" s="45"/>
      <c r="J258" s="2"/>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spans="4:37" ht="12.75" customHeight="1" x14ac:dyDescent="0.3">
      <c r="D259" s="2"/>
      <c r="E259" s="44"/>
      <c r="F259" s="44"/>
      <c r="G259" s="2"/>
      <c r="H259" s="2"/>
      <c r="I259" s="45"/>
      <c r="J259" s="2"/>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spans="4:37" ht="12.75" customHeight="1" x14ac:dyDescent="0.3">
      <c r="D260" s="2"/>
      <c r="E260" s="44"/>
      <c r="F260" s="44"/>
      <c r="G260" s="2"/>
      <c r="H260" s="2"/>
      <c r="I260" s="45"/>
      <c r="J260" s="2"/>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spans="4:37" ht="12.75" customHeight="1" x14ac:dyDescent="0.3">
      <c r="D261" s="2"/>
      <c r="E261" s="44"/>
      <c r="F261" s="44"/>
      <c r="G261" s="2"/>
      <c r="H261" s="2"/>
      <c r="I261" s="45"/>
      <c r="J261" s="2"/>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spans="4:37" ht="12.75" customHeight="1" x14ac:dyDescent="0.3">
      <c r="D262" s="2"/>
      <c r="E262" s="44"/>
      <c r="F262" s="44"/>
      <c r="G262" s="2"/>
      <c r="H262" s="2"/>
      <c r="I262" s="45"/>
      <c r="J262" s="2"/>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spans="4:37" ht="12.75" customHeight="1" x14ac:dyDescent="0.3">
      <c r="D263" s="2"/>
      <c r="E263" s="44"/>
      <c r="F263" s="44"/>
      <c r="G263" s="2"/>
      <c r="H263" s="2"/>
      <c r="I263" s="45"/>
      <c r="J263" s="2"/>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spans="4:37" ht="12.75" customHeight="1" x14ac:dyDescent="0.3">
      <c r="D264" s="2"/>
      <c r="E264" s="44"/>
      <c r="F264" s="44"/>
      <c r="G264" s="2"/>
      <c r="H264" s="2"/>
      <c r="I264" s="45"/>
      <c r="J264" s="2"/>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spans="4:37" ht="12.75" customHeight="1" x14ac:dyDescent="0.3">
      <c r="D265" s="2"/>
      <c r="E265" s="44"/>
      <c r="F265" s="44"/>
      <c r="G265" s="2"/>
      <c r="H265" s="2"/>
      <c r="I265" s="45"/>
      <c r="J265" s="2"/>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spans="4:37" ht="12.75" customHeight="1" x14ac:dyDescent="0.3">
      <c r="D266" s="2"/>
      <c r="E266" s="44"/>
      <c r="F266" s="44"/>
      <c r="G266" s="2"/>
      <c r="H266" s="2"/>
      <c r="I266" s="45"/>
      <c r="J266" s="2"/>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spans="4:37" ht="12.75" customHeight="1" x14ac:dyDescent="0.3">
      <c r="D267" s="2"/>
      <c r="E267" s="44"/>
      <c r="F267" s="44"/>
      <c r="G267" s="2"/>
      <c r="H267" s="2"/>
      <c r="I267" s="45"/>
      <c r="J267" s="2"/>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spans="4:37" ht="12.75" customHeight="1" x14ac:dyDescent="0.3">
      <c r="D268" s="2"/>
      <c r="E268" s="44"/>
      <c r="F268" s="44"/>
      <c r="G268" s="2"/>
      <c r="H268" s="2"/>
      <c r="I268" s="45"/>
      <c r="J268" s="2"/>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spans="4:37" ht="12.75" customHeight="1" x14ac:dyDescent="0.3">
      <c r="D269" s="2"/>
      <c r="E269" s="44"/>
      <c r="F269" s="44"/>
      <c r="G269" s="2"/>
      <c r="H269" s="2"/>
      <c r="I269" s="45"/>
      <c r="J269" s="2"/>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spans="4:37" ht="12.75" customHeight="1" x14ac:dyDescent="0.3">
      <c r="D270" s="2"/>
      <c r="E270" s="44"/>
      <c r="F270" s="44"/>
      <c r="G270" s="2"/>
      <c r="H270" s="2"/>
      <c r="I270" s="45"/>
      <c r="J270" s="2"/>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spans="4:37" ht="12.75" customHeight="1" x14ac:dyDescent="0.3">
      <c r="D271" s="2"/>
      <c r="E271" s="44"/>
      <c r="F271" s="44"/>
      <c r="G271" s="2"/>
      <c r="H271" s="2"/>
      <c r="I271" s="45"/>
      <c r="J271" s="2"/>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spans="4:37" ht="12.75" customHeight="1" x14ac:dyDescent="0.3">
      <c r="D272" s="2"/>
      <c r="E272" s="44"/>
      <c r="F272" s="44"/>
      <c r="G272" s="2"/>
      <c r="H272" s="2"/>
      <c r="I272" s="45"/>
      <c r="J272" s="2"/>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spans="4:37" ht="12.75" customHeight="1" x14ac:dyDescent="0.3">
      <c r="D273" s="2"/>
      <c r="E273" s="44"/>
      <c r="F273" s="44"/>
      <c r="G273" s="2"/>
      <c r="H273" s="2"/>
      <c r="I273" s="45"/>
      <c r="J273" s="2"/>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spans="4:37" ht="12.75" customHeight="1" x14ac:dyDescent="0.3">
      <c r="D274" s="2"/>
      <c r="E274" s="44"/>
      <c r="F274" s="44"/>
      <c r="G274" s="2"/>
      <c r="H274" s="2"/>
      <c r="I274" s="45"/>
      <c r="J274" s="2"/>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spans="4:37" ht="12.75" customHeight="1" x14ac:dyDescent="0.3">
      <c r="D275" s="2"/>
      <c r="E275" s="44"/>
      <c r="F275" s="44"/>
      <c r="G275" s="2"/>
      <c r="H275" s="2"/>
      <c r="I275" s="45"/>
      <c r="J275" s="2"/>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spans="4:37" ht="12.75" customHeight="1" x14ac:dyDescent="0.3">
      <c r="D276" s="2"/>
      <c r="E276" s="44"/>
      <c r="F276" s="44"/>
      <c r="G276" s="2"/>
      <c r="H276" s="2"/>
      <c r="I276" s="45"/>
      <c r="J276" s="2"/>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spans="4:37" ht="12.75" customHeight="1" x14ac:dyDescent="0.3">
      <c r="D277" s="2"/>
      <c r="E277" s="44"/>
      <c r="F277" s="44"/>
      <c r="G277" s="2"/>
      <c r="H277" s="2"/>
      <c r="I277" s="45"/>
      <c r="J277" s="2"/>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spans="4:37" ht="12.75" customHeight="1" x14ac:dyDescent="0.3">
      <c r="D278" s="2"/>
      <c r="E278" s="44"/>
      <c r="F278" s="44"/>
      <c r="G278" s="2"/>
      <c r="H278" s="2"/>
      <c r="I278" s="45"/>
      <c r="J278" s="2"/>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spans="4:37" ht="12.75" customHeight="1" x14ac:dyDescent="0.3">
      <c r="D279" s="2"/>
      <c r="E279" s="44"/>
      <c r="F279" s="44"/>
      <c r="G279" s="2"/>
      <c r="H279" s="2"/>
      <c r="I279" s="45"/>
      <c r="J279" s="2"/>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spans="4:37" ht="12.75" customHeight="1" x14ac:dyDescent="0.3">
      <c r="D280" s="2"/>
      <c r="E280" s="44"/>
      <c r="F280" s="44"/>
      <c r="G280" s="2"/>
      <c r="H280" s="2"/>
      <c r="I280" s="45"/>
      <c r="J280" s="2"/>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spans="4:37" ht="12.75" customHeight="1" x14ac:dyDescent="0.3">
      <c r="D281" s="2"/>
      <c r="E281" s="44"/>
      <c r="F281" s="44"/>
      <c r="G281" s="2"/>
      <c r="H281" s="2"/>
      <c r="I281" s="45"/>
      <c r="J281" s="2"/>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spans="4:37" ht="12.75" customHeight="1" x14ac:dyDescent="0.3">
      <c r="D282" s="2"/>
      <c r="E282" s="44"/>
      <c r="F282" s="44"/>
      <c r="G282" s="2"/>
      <c r="H282" s="2"/>
      <c r="I282" s="45"/>
      <c r="J282" s="2"/>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spans="4:37" ht="12.75" customHeight="1" x14ac:dyDescent="0.3">
      <c r="D283" s="2"/>
      <c r="E283" s="44"/>
      <c r="F283" s="44"/>
      <c r="G283" s="2"/>
      <c r="H283" s="2"/>
      <c r="I283" s="45"/>
      <c r="J283" s="2"/>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spans="4:37" ht="12.75" customHeight="1" x14ac:dyDescent="0.3">
      <c r="D284" s="2"/>
      <c r="E284" s="44"/>
      <c r="F284" s="44"/>
      <c r="G284" s="2"/>
      <c r="H284" s="2"/>
      <c r="I284" s="45"/>
      <c r="J284" s="2"/>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spans="4:37" ht="12.75" customHeight="1" x14ac:dyDescent="0.3">
      <c r="D285" s="2"/>
      <c r="E285" s="44"/>
      <c r="F285" s="44"/>
      <c r="G285" s="2"/>
      <c r="H285" s="2"/>
      <c r="I285" s="45"/>
      <c r="J285" s="2"/>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spans="4:37" ht="12.75" customHeight="1" x14ac:dyDescent="0.3">
      <c r="D286" s="2"/>
      <c r="E286" s="44"/>
      <c r="F286" s="44"/>
      <c r="G286" s="2"/>
      <c r="H286" s="2"/>
      <c r="I286" s="45"/>
      <c r="J286" s="2"/>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spans="4:37" ht="12.75" customHeight="1" x14ac:dyDescent="0.3">
      <c r="D287" s="2"/>
      <c r="E287" s="44"/>
      <c r="F287" s="44"/>
      <c r="G287" s="2"/>
      <c r="H287" s="2"/>
      <c r="I287" s="45"/>
      <c r="J287" s="2"/>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spans="4:37" ht="12.75" customHeight="1" x14ac:dyDescent="0.3">
      <c r="D288" s="2"/>
      <c r="E288" s="44"/>
      <c r="F288" s="44"/>
      <c r="G288" s="2"/>
      <c r="H288" s="2"/>
      <c r="I288" s="45"/>
      <c r="J288" s="2"/>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spans="4:37" ht="12.75" customHeight="1" x14ac:dyDescent="0.3">
      <c r="D289" s="2"/>
      <c r="E289" s="44"/>
      <c r="F289" s="44"/>
      <c r="G289" s="2"/>
      <c r="H289" s="2"/>
      <c r="I289" s="45"/>
      <c r="J289" s="2"/>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spans="4:37" ht="12.75" customHeight="1" x14ac:dyDescent="0.3">
      <c r="D290" s="2"/>
      <c r="E290" s="44"/>
      <c r="F290" s="44"/>
      <c r="G290" s="2"/>
      <c r="H290" s="2"/>
      <c r="I290" s="45"/>
      <c r="J290" s="2"/>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spans="4:37" ht="12.75" customHeight="1" x14ac:dyDescent="0.3">
      <c r="D291" s="2"/>
      <c r="E291" s="44"/>
      <c r="F291" s="44"/>
      <c r="G291" s="2"/>
      <c r="H291" s="2"/>
      <c r="I291" s="45"/>
      <c r="J291" s="2"/>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spans="4:37" ht="12.75" customHeight="1" x14ac:dyDescent="0.3">
      <c r="D292" s="2"/>
      <c r="E292" s="44"/>
      <c r="F292" s="44"/>
      <c r="G292" s="2"/>
      <c r="H292" s="2"/>
      <c r="I292" s="45"/>
      <c r="J292" s="2"/>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spans="4:37" ht="12.75" customHeight="1" x14ac:dyDescent="0.3">
      <c r="D293" s="2"/>
      <c r="E293" s="44"/>
      <c r="F293" s="44"/>
      <c r="G293" s="2"/>
      <c r="H293" s="2"/>
      <c r="I293" s="45"/>
      <c r="J293" s="2"/>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spans="4:37" ht="12.75" customHeight="1" x14ac:dyDescent="0.3">
      <c r="D294" s="2"/>
      <c r="E294" s="44"/>
      <c r="F294" s="44"/>
      <c r="G294" s="2"/>
      <c r="H294" s="2"/>
      <c r="I294" s="45"/>
      <c r="J294" s="2"/>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spans="4:37" ht="12.75" customHeight="1" x14ac:dyDescent="0.3">
      <c r="D295" s="2"/>
      <c r="E295" s="44"/>
      <c r="F295" s="44"/>
      <c r="G295" s="2"/>
      <c r="H295" s="2"/>
      <c r="I295" s="45"/>
      <c r="J295" s="2"/>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spans="4:37" ht="12.75" customHeight="1" x14ac:dyDescent="0.3">
      <c r="D296" s="2"/>
      <c r="E296" s="44"/>
      <c r="F296" s="44"/>
      <c r="G296" s="2"/>
      <c r="H296" s="2"/>
      <c r="I296" s="45"/>
      <c r="J296" s="2"/>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spans="4:37" ht="12.75" customHeight="1" x14ac:dyDescent="0.3">
      <c r="D297" s="2"/>
      <c r="E297" s="44"/>
      <c r="F297" s="44"/>
      <c r="G297" s="2"/>
      <c r="H297" s="2"/>
      <c r="I297" s="45"/>
      <c r="J297" s="2"/>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spans="4:37" ht="12.75" customHeight="1" x14ac:dyDescent="0.3">
      <c r="D298" s="2"/>
      <c r="E298" s="44"/>
      <c r="F298" s="44"/>
      <c r="G298" s="2"/>
      <c r="H298" s="2"/>
      <c r="I298" s="45"/>
      <c r="J298" s="2"/>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spans="4:37" ht="12.75" customHeight="1" x14ac:dyDescent="0.3">
      <c r="D299" s="2"/>
      <c r="E299" s="44"/>
      <c r="F299" s="44"/>
      <c r="G299" s="2"/>
      <c r="H299" s="2"/>
      <c r="I299" s="45"/>
      <c r="J299" s="2"/>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spans="4:37" ht="12.75" customHeight="1" x14ac:dyDescent="0.3">
      <c r="D300" s="2"/>
      <c r="E300" s="44"/>
      <c r="F300" s="44"/>
      <c r="G300" s="2"/>
      <c r="H300" s="2"/>
      <c r="I300" s="45"/>
      <c r="J300" s="2"/>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spans="4:37" ht="12.75" customHeight="1" x14ac:dyDescent="0.3">
      <c r="D301" s="2"/>
      <c r="E301" s="44"/>
      <c r="F301" s="44"/>
      <c r="G301" s="2"/>
      <c r="H301" s="2"/>
      <c r="I301" s="45"/>
      <c r="J301" s="2"/>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spans="4:37" ht="12.75" customHeight="1" x14ac:dyDescent="0.3">
      <c r="D302" s="2"/>
      <c r="E302" s="44"/>
      <c r="F302" s="44"/>
      <c r="G302" s="2"/>
      <c r="H302" s="2"/>
      <c r="I302" s="45"/>
      <c r="J302" s="2"/>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spans="4:37" ht="12.75" customHeight="1" x14ac:dyDescent="0.3">
      <c r="D303" s="2"/>
      <c r="E303" s="44"/>
      <c r="F303" s="44"/>
      <c r="G303" s="2"/>
      <c r="H303" s="2"/>
      <c r="I303" s="45"/>
      <c r="J303" s="2"/>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spans="4:37" ht="12.75" customHeight="1" x14ac:dyDescent="0.3">
      <c r="D304" s="2"/>
      <c r="E304" s="44"/>
      <c r="F304" s="44"/>
      <c r="G304" s="2"/>
      <c r="H304" s="2"/>
      <c r="I304" s="45"/>
      <c r="J304" s="2"/>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spans="4:37" ht="12.75" customHeight="1" x14ac:dyDescent="0.3">
      <c r="D305" s="2"/>
      <c r="E305" s="44"/>
      <c r="F305" s="44"/>
      <c r="G305" s="2"/>
      <c r="H305" s="2"/>
      <c r="I305" s="45"/>
      <c r="J305" s="2"/>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spans="4:37" ht="12.75" customHeight="1" x14ac:dyDescent="0.3">
      <c r="D306" s="2"/>
      <c r="E306" s="44"/>
      <c r="F306" s="44"/>
      <c r="G306" s="2"/>
      <c r="H306" s="2"/>
      <c r="I306" s="45"/>
      <c r="J306" s="2"/>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spans="4:37" ht="12.75" customHeight="1" x14ac:dyDescent="0.3">
      <c r="D307" s="2"/>
      <c r="E307" s="44"/>
      <c r="F307" s="44"/>
      <c r="G307" s="2"/>
      <c r="H307" s="2"/>
      <c r="I307" s="45"/>
      <c r="J307" s="2"/>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spans="4:37" ht="12.75" customHeight="1" x14ac:dyDescent="0.3">
      <c r="D308" s="2"/>
      <c r="E308" s="44"/>
      <c r="F308" s="44"/>
      <c r="G308" s="2"/>
      <c r="H308" s="2"/>
      <c r="I308" s="45"/>
      <c r="J308" s="2"/>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spans="4:37" ht="12.75" customHeight="1" x14ac:dyDescent="0.3">
      <c r="D309" s="2"/>
      <c r="E309" s="44"/>
      <c r="F309" s="44"/>
      <c r="G309" s="2"/>
      <c r="H309" s="2"/>
      <c r="I309" s="45"/>
      <c r="J309" s="2"/>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spans="4:37" ht="12.75" customHeight="1" x14ac:dyDescent="0.3">
      <c r="D310" s="2"/>
      <c r="E310" s="44"/>
      <c r="F310" s="44"/>
      <c r="G310" s="2"/>
      <c r="H310" s="2"/>
      <c r="I310" s="45"/>
      <c r="J310" s="2"/>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spans="4:37" ht="12.75" customHeight="1" x14ac:dyDescent="0.3">
      <c r="D311" s="2"/>
      <c r="E311" s="44"/>
      <c r="F311" s="44"/>
      <c r="G311" s="2"/>
      <c r="H311" s="2"/>
      <c r="I311" s="45"/>
      <c r="J311" s="2"/>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spans="4:37" ht="12.75" customHeight="1" x14ac:dyDescent="0.3">
      <c r="D312" s="2"/>
      <c r="E312" s="44"/>
      <c r="F312" s="44"/>
      <c r="G312" s="2"/>
      <c r="H312" s="2"/>
      <c r="I312" s="45"/>
      <c r="J312" s="2"/>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spans="4:37" ht="12.75" customHeight="1" x14ac:dyDescent="0.3">
      <c r="D313" s="2"/>
      <c r="E313" s="44"/>
      <c r="F313" s="44"/>
      <c r="G313" s="2"/>
      <c r="H313" s="2"/>
      <c r="I313" s="45"/>
      <c r="J313" s="2"/>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spans="4:37" ht="12.75" customHeight="1" x14ac:dyDescent="0.3">
      <c r="D314" s="2"/>
      <c r="E314" s="44"/>
      <c r="F314" s="44"/>
      <c r="G314" s="2"/>
      <c r="H314" s="2"/>
      <c r="I314" s="45"/>
      <c r="J314" s="2"/>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spans="4:37" ht="12.75" customHeight="1" x14ac:dyDescent="0.3">
      <c r="D315" s="2"/>
      <c r="E315" s="44"/>
      <c r="F315" s="44"/>
      <c r="G315" s="2"/>
      <c r="H315" s="2"/>
      <c r="I315" s="45"/>
      <c r="J315" s="2"/>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spans="4:37" ht="12.75" customHeight="1" x14ac:dyDescent="0.3">
      <c r="D316" s="2"/>
      <c r="E316" s="44"/>
      <c r="F316" s="44"/>
      <c r="G316" s="2"/>
      <c r="H316" s="2"/>
      <c r="I316" s="45"/>
      <c r="J316" s="2"/>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spans="4:37" ht="12.75" customHeight="1" x14ac:dyDescent="0.3">
      <c r="D317" s="2"/>
      <c r="E317" s="44"/>
      <c r="F317" s="44"/>
      <c r="G317" s="2"/>
      <c r="H317" s="2"/>
      <c r="I317" s="45"/>
      <c r="J317" s="2"/>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spans="4:37" ht="12.75" customHeight="1" x14ac:dyDescent="0.3">
      <c r="D318" s="2"/>
      <c r="E318" s="44"/>
      <c r="F318" s="44"/>
      <c r="G318" s="2"/>
      <c r="H318" s="2"/>
      <c r="I318" s="45"/>
      <c r="J318" s="2"/>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spans="4:37" ht="12.75" customHeight="1" x14ac:dyDescent="0.3">
      <c r="D319" s="2"/>
      <c r="E319" s="44"/>
      <c r="F319" s="44"/>
      <c r="G319" s="2"/>
      <c r="H319" s="2"/>
      <c r="I319" s="45"/>
      <c r="J319" s="2"/>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spans="4:37" ht="12.75" customHeight="1" x14ac:dyDescent="0.3">
      <c r="D320" s="2"/>
      <c r="E320" s="44"/>
      <c r="F320" s="44"/>
      <c r="G320" s="2"/>
      <c r="H320" s="2"/>
      <c r="I320" s="45"/>
      <c r="J320" s="2"/>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spans="4:37" ht="12.75" customHeight="1" x14ac:dyDescent="0.3">
      <c r="D321" s="2"/>
      <c r="E321" s="44"/>
      <c r="F321" s="44"/>
      <c r="G321" s="2"/>
      <c r="H321" s="2"/>
      <c r="I321" s="45"/>
      <c r="J321" s="2"/>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spans="4:37" ht="12.75" customHeight="1" x14ac:dyDescent="0.3">
      <c r="D322" s="2"/>
      <c r="E322" s="44"/>
      <c r="F322" s="44"/>
      <c r="G322" s="2"/>
      <c r="H322" s="2"/>
      <c r="I322" s="45"/>
      <c r="J322" s="2"/>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spans="4:37" ht="12.75" customHeight="1" x14ac:dyDescent="0.3">
      <c r="D323" s="2"/>
      <c r="E323" s="44"/>
      <c r="F323" s="44"/>
      <c r="G323" s="2"/>
      <c r="H323" s="2"/>
      <c r="I323" s="45"/>
      <c r="J323" s="2"/>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spans="4:37" ht="12.75" customHeight="1" x14ac:dyDescent="0.3">
      <c r="D324" s="2"/>
      <c r="E324" s="44"/>
      <c r="F324" s="44"/>
      <c r="G324" s="2"/>
      <c r="H324" s="2"/>
      <c r="I324" s="45"/>
      <c r="J324" s="2"/>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spans="4:37" ht="12.75" customHeight="1" x14ac:dyDescent="0.3">
      <c r="D325" s="2"/>
      <c r="E325" s="44"/>
      <c r="F325" s="44"/>
      <c r="G325" s="2"/>
      <c r="H325" s="2"/>
      <c r="I325" s="45"/>
      <c r="J325" s="2"/>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spans="4:37" ht="12.75" customHeight="1" x14ac:dyDescent="0.3">
      <c r="D326" s="2"/>
      <c r="E326" s="44"/>
      <c r="F326" s="44"/>
      <c r="G326" s="2"/>
      <c r="H326" s="2"/>
      <c r="I326" s="45"/>
      <c r="J326" s="2"/>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spans="4:37" ht="12.75" customHeight="1" x14ac:dyDescent="0.3">
      <c r="D327" s="2"/>
      <c r="E327" s="44"/>
      <c r="F327" s="44"/>
      <c r="G327" s="2"/>
      <c r="H327" s="2"/>
      <c r="I327" s="45"/>
      <c r="J327" s="2"/>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spans="4:37" ht="12.75" customHeight="1" x14ac:dyDescent="0.3">
      <c r="D328" s="2"/>
      <c r="E328" s="44"/>
      <c r="F328" s="44"/>
      <c r="G328" s="2"/>
      <c r="H328" s="2"/>
      <c r="I328" s="45"/>
      <c r="J328" s="2"/>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spans="4:37" ht="12.75" customHeight="1" x14ac:dyDescent="0.3">
      <c r="D329" s="2"/>
      <c r="E329" s="44"/>
      <c r="F329" s="44"/>
      <c r="G329" s="2"/>
      <c r="H329" s="2"/>
      <c r="I329" s="45"/>
      <c r="J329" s="2"/>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spans="4:37" ht="12.75" customHeight="1" x14ac:dyDescent="0.3">
      <c r="D330" s="2"/>
      <c r="E330" s="44"/>
      <c r="F330" s="44"/>
      <c r="G330" s="2"/>
      <c r="H330" s="2"/>
      <c r="I330" s="45"/>
      <c r="J330" s="2"/>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spans="4:37" ht="12.75" customHeight="1" x14ac:dyDescent="0.3">
      <c r="D331" s="2"/>
      <c r="E331" s="44"/>
      <c r="F331" s="44"/>
      <c r="G331" s="2"/>
      <c r="H331" s="2"/>
      <c r="I331" s="45"/>
      <c r="J331" s="2"/>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spans="4:37" ht="12.75" customHeight="1" x14ac:dyDescent="0.3">
      <c r="D332" s="2"/>
      <c r="E332" s="44"/>
      <c r="F332" s="44"/>
      <c r="G332" s="2"/>
      <c r="H332" s="2"/>
      <c r="I332" s="45"/>
      <c r="J332" s="2"/>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spans="4:37" ht="12.75" customHeight="1" x14ac:dyDescent="0.3">
      <c r="D333" s="2"/>
      <c r="E333" s="44"/>
      <c r="F333" s="44"/>
      <c r="G333" s="2"/>
      <c r="H333" s="2"/>
      <c r="I333" s="45"/>
      <c r="J333" s="2"/>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spans="4:37" ht="12.75" customHeight="1" x14ac:dyDescent="0.3">
      <c r="D334" s="2"/>
      <c r="E334" s="44"/>
      <c r="F334" s="44"/>
      <c r="G334" s="2"/>
      <c r="H334" s="2"/>
      <c r="I334" s="45"/>
      <c r="J334" s="2"/>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spans="4:37" ht="12.75" customHeight="1" x14ac:dyDescent="0.3">
      <c r="D335" s="2"/>
      <c r="E335" s="44"/>
      <c r="F335" s="44"/>
      <c r="G335" s="2"/>
      <c r="H335" s="2"/>
      <c r="I335" s="45"/>
      <c r="J335" s="2"/>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spans="4:37" ht="12.75" customHeight="1" x14ac:dyDescent="0.3">
      <c r="D336" s="2"/>
      <c r="E336" s="44"/>
      <c r="F336" s="44"/>
      <c r="G336" s="2"/>
      <c r="H336" s="2"/>
      <c r="I336" s="45"/>
      <c r="J336" s="2"/>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spans="4:37" ht="12.75" customHeight="1" x14ac:dyDescent="0.3">
      <c r="D337" s="2"/>
      <c r="E337" s="44"/>
      <c r="F337" s="44"/>
      <c r="G337" s="2"/>
      <c r="H337" s="2"/>
      <c r="I337" s="45"/>
      <c r="J337" s="2"/>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spans="4:37" ht="12.75" customHeight="1" x14ac:dyDescent="0.3">
      <c r="D338" s="2"/>
      <c r="E338" s="44"/>
      <c r="F338" s="44"/>
      <c r="G338" s="2"/>
      <c r="H338" s="2"/>
      <c r="I338" s="45"/>
      <c r="J338" s="2"/>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spans="4:37" ht="12.75" customHeight="1" x14ac:dyDescent="0.3">
      <c r="D339" s="2"/>
      <c r="E339" s="44"/>
      <c r="F339" s="44"/>
      <c r="G339" s="2"/>
      <c r="H339" s="2"/>
      <c r="I339" s="45"/>
      <c r="J339" s="2"/>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spans="4:37" ht="12.75" customHeight="1" x14ac:dyDescent="0.3">
      <c r="D340" s="2"/>
      <c r="E340" s="44"/>
      <c r="F340" s="44"/>
      <c r="G340" s="2"/>
      <c r="H340" s="2"/>
      <c r="I340" s="45"/>
      <c r="J340" s="2"/>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spans="4:37" ht="12.75" customHeight="1" x14ac:dyDescent="0.3">
      <c r="D341" s="2"/>
      <c r="E341" s="44"/>
      <c r="F341" s="44"/>
      <c r="G341" s="2"/>
      <c r="H341" s="2"/>
      <c r="I341" s="45"/>
      <c r="J341" s="2"/>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spans="4:37" ht="12.75" customHeight="1" x14ac:dyDescent="0.3">
      <c r="D342" s="2"/>
      <c r="E342" s="44"/>
      <c r="F342" s="44"/>
      <c r="G342" s="2"/>
      <c r="H342" s="2"/>
      <c r="I342" s="45"/>
      <c r="J342" s="2"/>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spans="4:37" ht="12.75" customHeight="1" x14ac:dyDescent="0.3">
      <c r="D343" s="2"/>
      <c r="E343" s="44"/>
      <c r="F343" s="44"/>
      <c r="G343" s="2"/>
      <c r="H343" s="2"/>
      <c r="I343" s="45"/>
      <c r="J343" s="2"/>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spans="4:37" ht="12.75" customHeight="1" x14ac:dyDescent="0.3">
      <c r="D344" s="2"/>
      <c r="E344" s="44"/>
      <c r="F344" s="44"/>
      <c r="G344" s="2"/>
      <c r="H344" s="2"/>
      <c r="I344" s="45"/>
      <c r="J344" s="2"/>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spans="4:37" ht="12.75" customHeight="1" x14ac:dyDescent="0.3">
      <c r="D345" s="2"/>
      <c r="E345" s="44"/>
      <c r="F345" s="44"/>
      <c r="G345" s="2"/>
      <c r="H345" s="2"/>
      <c r="I345" s="45"/>
      <c r="J345" s="2"/>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spans="4:37" ht="12.75" customHeight="1" x14ac:dyDescent="0.3">
      <c r="D346" s="2"/>
      <c r="E346" s="44"/>
      <c r="F346" s="44"/>
      <c r="G346" s="2"/>
      <c r="H346" s="2"/>
      <c r="I346" s="45"/>
      <c r="J346" s="2"/>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spans="4:37" ht="12.75" customHeight="1" x14ac:dyDescent="0.3">
      <c r="D347" s="2"/>
      <c r="E347" s="44"/>
      <c r="F347" s="44"/>
      <c r="G347" s="2"/>
      <c r="H347" s="2"/>
      <c r="I347" s="45"/>
      <c r="J347" s="2"/>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spans="4:37" ht="12.75" customHeight="1" x14ac:dyDescent="0.3">
      <c r="D348" s="2"/>
      <c r="E348" s="44"/>
      <c r="F348" s="44"/>
      <c r="G348" s="2"/>
      <c r="H348" s="2"/>
      <c r="I348" s="45"/>
      <c r="J348" s="2"/>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spans="4:37" ht="12.75" customHeight="1" x14ac:dyDescent="0.3">
      <c r="D349" s="2"/>
      <c r="E349" s="44"/>
      <c r="F349" s="44"/>
      <c r="G349" s="2"/>
      <c r="H349" s="2"/>
      <c r="I349" s="45"/>
      <c r="J349" s="2"/>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spans="4:37" ht="12.75" customHeight="1" x14ac:dyDescent="0.3">
      <c r="D350" s="2"/>
      <c r="E350" s="44"/>
      <c r="F350" s="44"/>
      <c r="G350" s="2"/>
      <c r="H350" s="2"/>
      <c r="I350" s="45"/>
      <c r="J350" s="2"/>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spans="4:37" ht="12.75" customHeight="1" x14ac:dyDescent="0.3">
      <c r="D351" s="2"/>
      <c r="E351" s="44"/>
      <c r="F351" s="44"/>
      <c r="G351" s="2"/>
      <c r="H351" s="2"/>
      <c r="I351" s="45"/>
      <c r="J351" s="2"/>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spans="4:37" ht="12.75" customHeight="1" x14ac:dyDescent="0.3">
      <c r="D352" s="2"/>
      <c r="E352" s="44"/>
      <c r="F352" s="44"/>
      <c r="G352" s="2"/>
      <c r="H352" s="2"/>
      <c r="I352" s="45"/>
      <c r="J352" s="2"/>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spans="4:37" ht="12.75" customHeight="1" x14ac:dyDescent="0.3">
      <c r="D353" s="2"/>
      <c r="E353" s="44"/>
      <c r="F353" s="44"/>
      <c r="G353" s="2"/>
      <c r="H353" s="2"/>
      <c r="I353" s="45"/>
      <c r="J353" s="2"/>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spans="4:37" ht="12.75" customHeight="1" x14ac:dyDescent="0.3">
      <c r="D354" s="2"/>
      <c r="E354" s="44"/>
      <c r="F354" s="44"/>
      <c r="G354" s="2"/>
      <c r="H354" s="2"/>
      <c r="I354" s="45"/>
      <c r="J354" s="2"/>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spans="4:37" ht="12.75" customHeight="1" x14ac:dyDescent="0.3">
      <c r="D355" s="2"/>
      <c r="E355" s="44"/>
      <c r="F355" s="44"/>
      <c r="G355" s="2"/>
      <c r="H355" s="2"/>
      <c r="I355" s="45"/>
      <c r="J355" s="2"/>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spans="4:37" ht="12.75" customHeight="1" x14ac:dyDescent="0.3">
      <c r="D356" s="2"/>
      <c r="E356" s="44"/>
      <c r="F356" s="44"/>
      <c r="G356" s="2"/>
      <c r="H356" s="2"/>
      <c r="I356" s="45"/>
      <c r="J356" s="2"/>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spans="4:37" ht="12.75" customHeight="1" x14ac:dyDescent="0.3">
      <c r="D357" s="2"/>
      <c r="E357" s="44"/>
      <c r="F357" s="44"/>
      <c r="G357" s="2"/>
      <c r="H357" s="2"/>
      <c r="I357" s="45"/>
      <c r="J357" s="2"/>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spans="4:37" ht="12.75" customHeight="1" x14ac:dyDescent="0.3">
      <c r="D358" s="2"/>
      <c r="E358" s="44"/>
      <c r="F358" s="44"/>
      <c r="G358" s="2"/>
      <c r="H358" s="2"/>
      <c r="I358" s="45"/>
      <c r="J358" s="2"/>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spans="4:37" ht="12.75" customHeight="1" x14ac:dyDescent="0.3">
      <c r="D359" s="2"/>
      <c r="E359" s="44"/>
      <c r="F359" s="44"/>
      <c r="G359" s="2"/>
      <c r="H359" s="2"/>
      <c r="I359" s="45"/>
      <c r="J359" s="2"/>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spans="4:37" ht="12.75" customHeight="1" x14ac:dyDescent="0.3">
      <c r="D360" s="2"/>
      <c r="E360" s="44"/>
      <c r="F360" s="44"/>
      <c r="G360" s="2"/>
      <c r="H360" s="2"/>
      <c r="I360" s="45"/>
      <c r="J360" s="2"/>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spans="4:37" ht="12.75" customHeight="1" x14ac:dyDescent="0.3">
      <c r="D361" s="2"/>
      <c r="E361" s="44"/>
      <c r="F361" s="44"/>
      <c r="G361" s="2"/>
      <c r="H361" s="2"/>
      <c r="I361" s="45"/>
      <c r="J361" s="2"/>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spans="4:37" ht="12.75" customHeight="1" x14ac:dyDescent="0.3">
      <c r="D362" s="2"/>
      <c r="E362" s="44"/>
      <c r="F362" s="44"/>
      <c r="G362" s="2"/>
      <c r="H362" s="2"/>
      <c r="I362" s="45"/>
      <c r="J362" s="2"/>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spans="4:37" ht="12.75" customHeight="1" x14ac:dyDescent="0.3">
      <c r="D363" s="2"/>
      <c r="E363" s="44"/>
      <c r="F363" s="44"/>
      <c r="G363" s="2"/>
      <c r="H363" s="2"/>
      <c r="I363" s="45"/>
      <c r="J363" s="2"/>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spans="4:37" ht="12.75" customHeight="1" x14ac:dyDescent="0.3">
      <c r="D364" s="2"/>
      <c r="E364" s="44"/>
      <c r="F364" s="44"/>
      <c r="G364" s="2"/>
      <c r="H364" s="2"/>
      <c r="I364" s="45"/>
      <c r="J364" s="2"/>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spans="4:37" ht="12.75" customHeight="1" x14ac:dyDescent="0.3">
      <c r="D365" s="2"/>
      <c r="E365" s="44"/>
      <c r="F365" s="44"/>
      <c r="G365" s="2"/>
      <c r="H365" s="2"/>
      <c r="I365" s="45"/>
      <c r="J365" s="2"/>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spans="4:37" ht="12.75" customHeight="1" x14ac:dyDescent="0.3">
      <c r="D366" s="2"/>
      <c r="E366" s="44"/>
      <c r="F366" s="44"/>
      <c r="G366" s="2"/>
      <c r="H366" s="2"/>
      <c r="I366" s="45"/>
      <c r="J366" s="2"/>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spans="4:37" ht="12.75" customHeight="1" x14ac:dyDescent="0.3">
      <c r="D367" s="2"/>
      <c r="E367" s="44"/>
      <c r="F367" s="44"/>
      <c r="G367" s="2"/>
      <c r="H367" s="2"/>
      <c r="I367" s="45"/>
      <c r="J367" s="2"/>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spans="4:37" ht="12.75" customHeight="1" x14ac:dyDescent="0.3">
      <c r="D368" s="2"/>
      <c r="E368" s="44"/>
      <c r="F368" s="44"/>
      <c r="G368" s="2"/>
      <c r="H368" s="2"/>
      <c r="I368" s="45"/>
      <c r="J368" s="2"/>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spans="4:37" ht="12.75" customHeight="1" x14ac:dyDescent="0.3">
      <c r="D369" s="2"/>
      <c r="E369" s="44"/>
      <c r="F369" s="44"/>
      <c r="G369" s="2"/>
      <c r="H369" s="2"/>
      <c r="I369" s="45"/>
      <c r="J369" s="2"/>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spans="4:37" ht="12.75" customHeight="1" x14ac:dyDescent="0.3">
      <c r="D370" s="2"/>
      <c r="E370" s="44"/>
      <c r="F370" s="44"/>
      <c r="G370" s="2"/>
      <c r="H370" s="2"/>
      <c r="I370" s="45"/>
      <c r="J370" s="2"/>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spans="4:37" ht="12.75" customHeight="1" x14ac:dyDescent="0.3">
      <c r="D371" s="2"/>
      <c r="E371" s="44"/>
      <c r="F371" s="44"/>
      <c r="G371" s="2"/>
      <c r="H371" s="2"/>
      <c r="I371" s="45"/>
      <c r="J371" s="2"/>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spans="4:37" ht="12.75" customHeight="1" x14ac:dyDescent="0.3">
      <c r="D372" s="2"/>
      <c r="E372" s="44"/>
      <c r="F372" s="44"/>
      <c r="G372" s="2"/>
      <c r="H372" s="2"/>
      <c r="I372" s="45"/>
      <c r="J372" s="2"/>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spans="4:37" ht="12.75" customHeight="1" x14ac:dyDescent="0.3">
      <c r="D373" s="2"/>
      <c r="E373" s="44"/>
      <c r="F373" s="44"/>
      <c r="G373" s="2"/>
      <c r="H373" s="2"/>
      <c r="I373" s="45"/>
      <c r="J373" s="2"/>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spans="4:37" ht="12.75" customHeight="1" x14ac:dyDescent="0.3">
      <c r="D374" s="2"/>
      <c r="E374" s="44"/>
      <c r="F374" s="44"/>
      <c r="G374" s="2"/>
      <c r="H374" s="2"/>
      <c r="I374" s="45"/>
      <c r="J374" s="2"/>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spans="4:37" ht="12.75" customHeight="1" x14ac:dyDescent="0.3">
      <c r="D375" s="2"/>
      <c r="E375" s="44"/>
      <c r="F375" s="44"/>
      <c r="G375" s="2"/>
      <c r="H375" s="2"/>
      <c r="I375" s="45"/>
      <c r="J375" s="2"/>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spans="4:37" ht="12.75" customHeight="1" x14ac:dyDescent="0.3">
      <c r="D376" s="2"/>
      <c r="E376" s="44"/>
      <c r="F376" s="44"/>
      <c r="G376" s="2"/>
      <c r="H376" s="2"/>
      <c r="I376" s="45"/>
      <c r="J376" s="2"/>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spans="4:37" ht="12.75" customHeight="1" x14ac:dyDescent="0.3">
      <c r="D377" s="2"/>
      <c r="E377" s="44"/>
      <c r="F377" s="44"/>
      <c r="G377" s="2"/>
      <c r="H377" s="2"/>
      <c r="I377" s="45"/>
      <c r="J377" s="2"/>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spans="4:37" ht="12.75" customHeight="1" x14ac:dyDescent="0.3">
      <c r="D378" s="2"/>
      <c r="E378" s="44"/>
      <c r="F378" s="44"/>
      <c r="G378" s="2"/>
      <c r="H378" s="2"/>
      <c r="I378" s="45"/>
      <c r="J378" s="2"/>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spans="4:37" ht="12.75" customHeight="1" x14ac:dyDescent="0.3">
      <c r="D379" s="2"/>
      <c r="E379" s="44"/>
      <c r="F379" s="44"/>
      <c r="G379" s="2"/>
      <c r="H379" s="2"/>
      <c r="I379" s="45"/>
      <c r="J379" s="2"/>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spans="4:37" ht="12.75" customHeight="1" x14ac:dyDescent="0.3">
      <c r="D380" s="2"/>
      <c r="E380" s="44"/>
      <c r="F380" s="44"/>
      <c r="G380" s="2"/>
      <c r="H380" s="2"/>
      <c r="I380" s="45"/>
      <c r="J380" s="2"/>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spans="4:37" ht="12.75" customHeight="1" x14ac:dyDescent="0.3">
      <c r="D381" s="2"/>
      <c r="E381" s="44"/>
      <c r="F381" s="44"/>
      <c r="G381" s="2"/>
      <c r="H381" s="2"/>
      <c r="I381" s="45"/>
      <c r="J381" s="2"/>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spans="4:37" ht="12.75" customHeight="1" x14ac:dyDescent="0.3">
      <c r="D382" s="2"/>
      <c r="E382" s="44"/>
      <c r="F382" s="44"/>
      <c r="G382" s="2"/>
      <c r="H382" s="2"/>
      <c r="I382" s="45"/>
      <c r="J382" s="2"/>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spans="4:37" ht="12.75" customHeight="1" x14ac:dyDescent="0.3">
      <c r="D383" s="2"/>
      <c r="E383" s="44"/>
      <c r="F383" s="44"/>
      <c r="G383" s="2"/>
      <c r="H383" s="2"/>
      <c r="I383" s="45"/>
      <c r="J383" s="2"/>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spans="4:37" ht="12.75" customHeight="1" x14ac:dyDescent="0.3">
      <c r="D384" s="2"/>
      <c r="E384" s="44"/>
      <c r="F384" s="44"/>
      <c r="G384" s="2"/>
      <c r="H384" s="2"/>
      <c r="I384" s="45"/>
      <c r="J384" s="2"/>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spans="4:37" ht="12.75" customHeight="1" x14ac:dyDescent="0.3">
      <c r="D385" s="2"/>
      <c r="E385" s="44"/>
      <c r="F385" s="44"/>
      <c r="G385" s="2"/>
      <c r="H385" s="2"/>
      <c r="I385" s="45"/>
      <c r="J385" s="2"/>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spans="4:37" ht="12.75" customHeight="1" x14ac:dyDescent="0.3">
      <c r="D386" s="2"/>
      <c r="E386" s="44"/>
      <c r="F386" s="44"/>
      <c r="G386" s="2"/>
      <c r="H386" s="2"/>
      <c r="I386" s="45"/>
      <c r="J386" s="2"/>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spans="4:37" ht="12.75" customHeight="1" x14ac:dyDescent="0.3">
      <c r="D387" s="2"/>
      <c r="E387" s="44"/>
      <c r="F387" s="44"/>
      <c r="G387" s="2"/>
      <c r="H387" s="2"/>
      <c r="I387" s="45"/>
      <c r="J387" s="2"/>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spans="4:37" ht="12.75" customHeight="1" x14ac:dyDescent="0.3">
      <c r="D388" s="2"/>
      <c r="E388" s="44"/>
      <c r="F388" s="44"/>
      <c r="G388" s="2"/>
      <c r="H388" s="2"/>
      <c r="I388" s="45"/>
      <c r="J388" s="2"/>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spans="4:37" ht="12.75" customHeight="1" x14ac:dyDescent="0.3">
      <c r="D389" s="2"/>
      <c r="E389" s="44"/>
      <c r="F389" s="44"/>
      <c r="G389" s="2"/>
      <c r="H389" s="2"/>
      <c r="I389" s="45"/>
      <c r="J389" s="2"/>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spans="4:37" ht="12.75" customHeight="1" x14ac:dyDescent="0.3">
      <c r="D390" s="2"/>
      <c r="E390" s="44"/>
      <c r="F390" s="44"/>
      <c r="G390" s="2"/>
      <c r="H390" s="2"/>
      <c r="I390" s="45"/>
      <c r="J390" s="2"/>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spans="4:37" ht="12.75" customHeight="1" x14ac:dyDescent="0.3">
      <c r="D391" s="2"/>
      <c r="E391" s="44"/>
      <c r="F391" s="44"/>
      <c r="G391" s="2"/>
      <c r="H391" s="2"/>
      <c r="I391" s="45"/>
      <c r="J391" s="2"/>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spans="4:37" ht="12.75" customHeight="1" x14ac:dyDescent="0.3">
      <c r="D392" s="2"/>
      <c r="E392" s="44"/>
      <c r="F392" s="44"/>
      <c r="G392" s="2"/>
      <c r="H392" s="2"/>
      <c r="I392" s="45"/>
      <c r="J392" s="2"/>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spans="4:37" ht="12.75" customHeight="1" x14ac:dyDescent="0.3">
      <c r="D393" s="2"/>
      <c r="E393" s="44"/>
      <c r="F393" s="44"/>
      <c r="G393" s="2"/>
      <c r="H393" s="2"/>
      <c r="I393" s="45"/>
      <c r="J393" s="2"/>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spans="4:37" ht="12.75" customHeight="1" x14ac:dyDescent="0.3">
      <c r="D394" s="2"/>
      <c r="E394" s="44"/>
      <c r="F394" s="44"/>
      <c r="G394" s="2"/>
      <c r="H394" s="2"/>
      <c r="I394" s="45"/>
      <c r="J394" s="2"/>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spans="4:37" ht="12.75" customHeight="1" x14ac:dyDescent="0.3">
      <c r="D395" s="2"/>
      <c r="E395" s="44"/>
      <c r="F395" s="44"/>
      <c r="G395" s="2"/>
      <c r="H395" s="2"/>
      <c r="I395" s="45"/>
      <c r="J395" s="2"/>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spans="4:37" ht="12.75" customHeight="1" x14ac:dyDescent="0.3">
      <c r="D396" s="2"/>
      <c r="E396" s="44"/>
      <c r="F396" s="44"/>
      <c r="G396" s="2"/>
      <c r="H396" s="2"/>
      <c r="I396" s="45"/>
      <c r="J396" s="2"/>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spans="4:37" ht="12.75" customHeight="1" x14ac:dyDescent="0.3">
      <c r="D397" s="2"/>
      <c r="E397" s="44"/>
      <c r="F397" s="44"/>
      <c r="G397" s="2"/>
      <c r="H397" s="2"/>
      <c r="I397" s="45"/>
      <c r="J397" s="2"/>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spans="4:37" ht="12.75" customHeight="1" x14ac:dyDescent="0.3">
      <c r="D398" s="2"/>
      <c r="E398" s="44"/>
      <c r="F398" s="44"/>
      <c r="G398" s="2"/>
      <c r="H398" s="2"/>
      <c r="I398" s="45"/>
      <c r="J398" s="2"/>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spans="4:37" ht="12.75" customHeight="1" x14ac:dyDescent="0.3">
      <c r="D399" s="2"/>
      <c r="E399" s="44"/>
      <c r="F399" s="44"/>
      <c r="G399" s="2"/>
      <c r="H399" s="2"/>
      <c r="I399" s="45"/>
      <c r="J399" s="2"/>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spans="4:37" ht="12.75" customHeight="1" x14ac:dyDescent="0.3">
      <c r="D400" s="2"/>
      <c r="E400" s="44"/>
      <c r="F400" s="44"/>
      <c r="G400" s="2"/>
      <c r="H400" s="2"/>
      <c r="I400" s="45"/>
      <c r="J400" s="2"/>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spans="4:37" ht="12.75" customHeight="1" x14ac:dyDescent="0.3">
      <c r="D401" s="2"/>
      <c r="E401" s="44"/>
      <c r="F401" s="44"/>
      <c r="G401" s="2"/>
      <c r="H401" s="2"/>
      <c r="I401" s="45"/>
      <c r="J401" s="2"/>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spans="4:37" ht="12.75" customHeight="1" x14ac:dyDescent="0.3">
      <c r="D402" s="2"/>
      <c r="E402" s="44"/>
      <c r="F402" s="44"/>
      <c r="G402" s="2"/>
      <c r="H402" s="2"/>
      <c r="I402" s="45"/>
      <c r="J402" s="2"/>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spans="4:37" ht="12.75" customHeight="1" x14ac:dyDescent="0.3">
      <c r="D403" s="2"/>
      <c r="E403" s="44"/>
      <c r="F403" s="44"/>
      <c r="G403" s="2"/>
      <c r="H403" s="2"/>
      <c r="I403" s="45"/>
      <c r="J403" s="2"/>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spans="4:37" ht="12.75" customHeight="1" x14ac:dyDescent="0.3">
      <c r="D404" s="2"/>
      <c r="E404" s="44"/>
      <c r="F404" s="44"/>
      <c r="G404" s="2"/>
      <c r="H404" s="2"/>
      <c r="I404" s="45"/>
      <c r="J404" s="2"/>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spans="4:37" ht="12.75" customHeight="1" x14ac:dyDescent="0.3">
      <c r="D405" s="2"/>
      <c r="E405" s="44"/>
      <c r="F405" s="44"/>
      <c r="G405" s="2"/>
      <c r="H405" s="2"/>
      <c r="I405" s="45"/>
      <c r="J405" s="2"/>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spans="4:37" ht="12.75" customHeight="1" x14ac:dyDescent="0.3">
      <c r="D406" s="2"/>
      <c r="E406" s="44"/>
      <c r="F406" s="44"/>
      <c r="G406" s="2"/>
      <c r="H406" s="2"/>
      <c r="I406" s="45"/>
      <c r="J406" s="2"/>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spans="4:37" ht="12.75" customHeight="1" x14ac:dyDescent="0.3">
      <c r="D407" s="2"/>
      <c r="E407" s="44"/>
      <c r="F407" s="44"/>
      <c r="G407" s="2"/>
      <c r="H407" s="2"/>
      <c r="I407" s="45"/>
      <c r="J407" s="2"/>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spans="4:37" ht="12.75" customHeight="1" x14ac:dyDescent="0.3">
      <c r="D408" s="2"/>
      <c r="E408" s="44"/>
      <c r="F408" s="44"/>
      <c r="G408" s="2"/>
      <c r="H408" s="2"/>
      <c r="I408" s="45"/>
      <c r="J408" s="2"/>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spans="4:37" ht="12.75" customHeight="1" x14ac:dyDescent="0.3">
      <c r="D409" s="2"/>
      <c r="E409" s="44"/>
      <c r="F409" s="44"/>
      <c r="G409" s="2"/>
      <c r="H409" s="2"/>
      <c r="I409" s="45"/>
      <c r="J409" s="2"/>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spans="4:37" ht="12.75" customHeight="1" x14ac:dyDescent="0.3">
      <c r="D410" s="2"/>
      <c r="E410" s="44"/>
      <c r="F410" s="44"/>
      <c r="G410" s="2"/>
      <c r="H410" s="2"/>
      <c r="I410" s="45"/>
      <c r="J410" s="2"/>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spans="4:37" ht="12.75" customHeight="1" x14ac:dyDescent="0.3">
      <c r="D411" s="2"/>
      <c r="E411" s="44"/>
      <c r="F411" s="44"/>
      <c r="G411" s="2"/>
      <c r="H411" s="2"/>
      <c r="I411" s="45"/>
      <c r="J411" s="2"/>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spans="4:37" ht="12.75" customHeight="1" x14ac:dyDescent="0.3">
      <c r="D412" s="2"/>
      <c r="E412" s="44"/>
      <c r="F412" s="44"/>
      <c r="G412" s="2"/>
      <c r="H412" s="2"/>
      <c r="I412" s="45"/>
      <c r="J412" s="2"/>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spans="4:37" ht="12.75" customHeight="1" x14ac:dyDescent="0.3">
      <c r="D413" s="2"/>
      <c r="E413" s="44"/>
      <c r="F413" s="44"/>
      <c r="G413" s="2"/>
      <c r="H413" s="2"/>
      <c r="I413" s="45"/>
      <c r="J413" s="2"/>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spans="4:37" ht="12.75" customHeight="1" x14ac:dyDescent="0.3">
      <c r="D414" s="2"/>
      <c r="E414" s="44"/>
      <c r="F414" s="44"/>
      <c r="G414" s="2"/>
      <c r="H414" s="2"/>
      <c r="I414" s="45"/>
      <c r="J414" s="2"/>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spans="4:37" ht="12.75" customHeight="1" x14ac:dyDescent="0.3">
      <c r="D415" s="2"/>
      <c r="E415" s="44"/>
      <c r="F415" s="44"/>
      <c r="G415" s="2"/>
      <c r="H415" s="2"/>
      <c r="I415" s="45"/>
      <c r="J415" s="2"/>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spans="4:37" ht="12.75" customHeight="1" x14ac:dyDescent="0.3">
      <c r="D416" s="2"/>
      <c r="E416" s="44"/>
      <c r="F416" s="44"/>
      <c r="G416" s="2"/>
      <c r="H416" s="2"/>
      <c r="I416" s="45"/>
      <c r="J416" s="2"/>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spans="4:37" ht="12.75" customHeight="1" x14ac:dyDescent="0.3">
      <c r="D417" s="2"/>
      <c r="E417" s="44"/>
      <c r="F417" s="44"/>
      <c r="G417" s="2"/>
      <c r="H417" s="2"/>
      <c r="I417" s="45"/>
      <c r="J417" s="2"/>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spans="4:37" ht="12.75" customHeight="1" x14ac:dyDescent="0.3">
      <c r="D418" s="2"/>
      <c r="E418" s="44"/>
      <c r="F418" s="44"/>
      <c r="G418" s="2"/>
      <c r="H418" s="2"/>
      <c r="I418" s="45"/>
      <c r="J418" s="2"/>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spans="4:37" ht="12.75" customHeight="1" x14ac:dyDescent="0.3">
      <c r="D419" s="2"/>
      <c r="E419" s="44"/>
      <c r="F419" s="44"/>
      <c r="G419" s="2"/>
      <c r="H419" s="2"/>
      <c r="I419" s="45"/>
      <c r="J419" s="2"/>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spans="4:37" ht="12.75" customHeight="1" x14ac:dyDescent="0.3">
      <c r="D420" s="2"/>
      <c r="E420" s="44"/>
      <c r="F420" s="44"/>
      <c r="G420" s="2"/>
      <c r="H420" s="2"/>
      <c r="I420" s="45"/>
      <c r="J420" s="2"/>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spans="4:37" ht="12.75" customHeight="1" x14ac:dyDescent="0.3">
      <c r="D421" s="2"/>
      <c r="E421" s="44"/>
      <c r="F421" s="44"/>
      <c r="G421" s="2"/>
      <c r="H421" s="2"/>
      <c r="I421" s="45"/>
      <c r="J421" s="2"/>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spans="4:37" ht="12.75" customHeight="1" x14ac:dyDescent="0.3">
      <c r="D422" s="2"/>
      <c r="E422" s="44"/>
      <c r="F422" s="44"/>
      <c r="G422" s="2"/>
      <c r="H422" s="2"/>
      <c r="I422" s="45"/>
      <c r="J422" s="2"/>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spans="4:37" ht="12.75" customHeight="1" x14ac:dyDescent="0.3">
      <c r="D423" s="2"/>
      <c r="E423" s="44"/>
      <c r="F423" s="44"/>
      <c r="G423" s="2"/>
      <c r="H423" s="2"/>
      <c r="I423" s="45"/>
      <c r="J423" s="2"/>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spans="4:37" ht="12.75" customHeight="1" x14ac:dyDescent="0.3">
      <c r="D424" s="2"/>
      <c r="E424" s="44"/>
      <c r="F424" s="44"/>
      <c r="G424" s="2"/>
      <c r="H424" s="2"/>
      <c r="I424" s="45"/>
      <c r="J424" s="2"/>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spans="4:37" ht="12.75" customHeight="1" x14ac:dyDescent="0.3">
      <c r="D425" s="2"/>
      <c r="E425" s="44"/>
      <c r="F425" s="44"/>
      <c r="G425" s="2"/>
      <c r="H425" s="2"/>
      <c r="I425" s="45"/>
      <c r="J425" s="2"/>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spans="4:37" ht="12.75" customHeight="1" x14ac:dyDescent="0.3">
      <c r="D426" s="2"/>
      <c r="E426" s="44"/>
      <c r="F426" s="44"/>
      <c r="G426" s="2"/>
      <c r="H426" s="2"/>
      <c r="I426" s="45"/>
      <c r="J426" s="2"/>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spans="4:37" ht="12.75" customHeight="1" x14ac:dyDescent="0.3">
      <c r="D427" s="2"/>
      <c r="E427" s="44"/>
      <c r="F427" s="44"/>
      <c r="G427" s="2"/>
      <c r="H427" s="2"/>
      <c r="I427" s="45"/>
      <c r="J427" s="2"/>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spans="4:37" ht="12.75" customHeight="1" x14ac:dyDescent="0.3">
      <c r="D428" s="2"/>
      <c r="E428" s="44"/>
      <c r="F428" s="44"/>
      <c r="G428" s="2"/>
      <c r="H428" s="2"/>
      <c r="I428" s="45"/>
      <c r="J428" s="2"/>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spans="4:37" ht="12.75" customHeight="1" x14ac:dyDescent="0.3">
      <c r="D429" s="2"/>
      <c r="E429" s="44"/>
      <c r="F429" s="44"/>
      <c r="G429" s="2"/>
      <c r="H429" s="2"/>
      <c r="I429" s="45"/>
      <c r="J429" s="2"/>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spans="4:37" ht="12.75" customHeight="1" x14ac:dyDescent="0.3">
      <c r="D430" s="2"/>
      <c r="E430" s="44"/>
      <c r="F430" s="44"/>
      <c r="G430" s="2"/>
      <c r="H430" s="2"/>
      <c r="I430" s="45"/>
      <c r="J430" s="2"/>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spans="4:37" ht="12.75" customHeight="1" x14ac:dyDescent="0.3">
      <c r="D431" s="2"/>
      <c r="E431" s="44"/>
      <c r="F431" s="44"/>
      <c r="G431" s="2"/>
      <c r="H431" s="2"/>
      <c r="I431" s="45"/>
      <c r="J431" s="2"/>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spans="4:37" ht="12.75" customHeight="1" x14ac:dyDescent="0.3">
      <c r="D432" s="2"/>
      <c r="E432" s="44"/>
      <c r="F432" s="44"/>
      <c r="G432" s="2"/>
      <c r="H432" s="2"/>
      <c r="I432" s="45"/>
      <c r="J432" s="2"/>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spans="4:37" ht="12.75" customHeight="1" x14ac:dyDescent="0.3">
      <c r="D433" s="2"/>
      <c r="E433" s="44"/>
      <c r="F433" s="44"/>
      <c r="G433" s="2"/>
      <c r="H433" s="2"/>
      <c r="I433" s="45"/>
      <c r="J433" s="2"/>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spans="4:37" ht="12.75" customHeight="1" x14ac:dyDescent="0.3">
      <c r="D434" s="2"/>
      <c r="E434" s="44"/>
      <c r="F434" s="44"/>
      <c r="G434" s="2"/>
      <c r="H434" s="2"/>
      <c r="I434" s="45"/>
      <c r="J434" s="2"/>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spans="4:37" ht="12.75" customHeight="1" x14ac:dyDescent="0.3">
      <c r="D435" s="2"/>
      <c r="E435" s="44"/>
      <c r="F435" s="44"/>
      <c r="G435" s="2"/>
      <c r="H435" s="2"/>
      <c r="I435" s="45"/>
      <c r="J435" s="2"/>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spans="4:37" ht="12.75" customHeight="1" x14ac:dyDescent="0.3">
      <c r="D436" s="2"/>
      <c r="E436" s="44"/>
      <c r="F436" s="44"/>
      <c r="G436" s="2"/>
      <c r="H436" s="2"/>
      <c r="I436" s="45"/>
      <c r="J436" s="2"/>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spans="4:37" ht="12.75" customHeight="1" x14ac:dyDescent="0.3">
      <c r="D437" s="2"/>
      <c r="E437" s="44"/>
      <c r="F437" s="44"/>
      <c r="G437" s="2"/>
      <c r="H437" s="2"/>
      <c r="I437" s="45"/>
      <c r="J437" s="2"/>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spans="4:37" ht="12.75" customHeight="1" x14ac:dyDescent="0.3">
      <c r="D438" s="2"/>
      <c r="E438" s="44"/>
      <c r="F438" s="44"/>
      <c r="G438" s="2"/>
      <c r="H438" s="2"/>
      <c r="I438" s="45"/>
      <c r="J438" s="2"/>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spans="4:37" ht="12.75" customHeight="1" x14ac:dyDescent="0.3">
      <c r="D439" s="2"/>
      <c r="E439" s="44"/>
      <c r="F439" s="44"/>
      <c r="G439" s="2"/>
      <c r="H439" s="2"/>
      <c r="I439" s="45"/>
      <c r="J439" s="2"/>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spans="4:37" ht="12.75" customHeight="1" x14ac:dyDescent="0.3">
      <c r="D440" s="2"/>
      <c r="E440" s="44"/>
      <c r="F440" s="44"/>
      <c r="G440" s="2"/>
      <c r="H440" s="2"/>
      <c r="I440" s="45"/>
      <c r="J440" s="2"/>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spans="4:37" ht="12.75" customHeight="1" x14ac:dyDescent="0.3">
      <c r="D441" s="2"/>
      <c r="E441" s="44"/>
      <c r="F441" s="44"/>
      <c r="G441" s="2"/>
      <c r="H441" s="2"/>
      <c r="I441" s="45"/>
      <c r="J441" s="2"/>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spans="4:37" ht="12.75" customHeight="1" x14ac:dyDescent="0.3">
      <c r="D442" s="2"/>
      <c r="E442" s="44"/>
      <c r="F442" s="44"/>
      <c r="G442" s="2"/>
      <c r="H442" s="2"/>
      <c r="I442" s="45"/>
      <c r="J442" s="2"/>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spans="4:37" ht="12.75" customHeight="1" x14ac:dyDescent="0.3">
      <c r="D443" s="2"/>
      <c r="E443" s="44"/>
      <c r="F443" s="44"/>
      <c r="G443" s="2"/>
      <c r="H443" s="2"/>
      <c r="I443" s="45"/>
      <c r="J443" s="2"/>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spans="4:37" ht="12.75" customHeight="1" x14ac:dyDescent="0.3">
      <c r="D444" s="2"/>
      <c r="E444" s="44"/>
      <c r="F444" s="44"/>
      <c r="G444" s="2"/>
      <c r="H444" s="2"/>
      <c r="I444" s="45"/>
      <c r="J444" s="2"/>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spans="4:37" ht="12.75" customHeight="1" x14ac:dyDescent="0.3">
      <c r="D445" s="2"/>
      <c r="E445" s="44"/>
      <c r="F445" s="44"/>
      <c r="G445" s="2"/>
      <c r="H445" s="2"/>
      <c r="I445" s="45"/>
      <c r="J445" s="2"/>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spans="4:37" ht="12.75" customHeight="1" x14ac:dyDescent="0.3">
      <c r="D446" s="2"/>
      <c r="E446" s="44"/>
      <c r="F446" s="44"/>
      <c r="G446" s="2"/>
      <c r="H446" s="2"/>
      <c r="I446" s="45"/>
      <c r="J446" s="2"/>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spans="4:37" ht="12.75" customHeight="1" x14ac:dyDescent="0.3">
      <c r="D447" s="2"/>
      <c r="E447" s="44"/>
      <c r="F447" s="44"/>
      <c r="G447" s="2"/>
      <c r="H447" s="2"/>
      <c r="I447" s="45"/>
      <c r="J447" s="2"/>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spans="4:37" ht="12.75" customHeight="1" x14ac:dyDescent="0.3">
      <c r="D448" s="2"/>
      <c r="E448" s="44"/>
      <c r="F448" s="44"/>
      <c r="G448" s="2"/>
      <c r="H448" s="2"/>
      <c r="I448" s="45"/>
      <c r="J448" s="2"/>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spans="4:37" ht="12.75" customHeight="1" x14ac:dyDescent="0.3">
      <c r="D449" s="2"/>
      <c r="E449" s="44"/>
      <c r="F449" s="44"/>
      <c r="G449" s="2"/>
      <c r="H449" s="2"/>
      <c r="I449" s="45"/>
      <c r="J449" s="2"/>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spans="4:37" ht="12.75" customHeight="1" x14ac:dyDescent="0.3">
      <c r="D450" s="2"/>
      <c r="E450" s="44"/>
      <c r="F450" s="44"/>
      <c r="G450" s="2"/>
      <c r="H450" s="2"/>
      <c r="I450" s="45"/>
      <c r="J450" s="2"/>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spans="4:37" ht="12.75" customHeight="1" x14ac:dyDescent="0.3">
      <c r="D451" s="2"/>
      <c r="E451" s="44"/>
      <c r="F451" s="44"/>
      <c r="G451" s="2"/>
      <c r="H451" s="2"/>
      <c r="I451" s="45"/>
      <c r="J451" s="2"/>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spans="4:37" ht="12.75" customHeight="1" x14ac:dyDescent="0.3">
      <c r="D452" s="2"/>
      <c r="E452" s="44"/>
      <c r="F452" s="44"/>
      <c r="G452" s="2"/>
      <c r="H452" s="2"/>
      <c r="I452" s="45"/>
      <c r="J452" s="2"/>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spans="4:37" ht="12.75" customHeight="1" x14ac:dyDescent="0.3">
      <c r="D453" s="2"/>
      <c r="E453" s="44"/>
      <c r="F453" s="44"/>
      <c r="G453" s="2"/>
      <c r="H453" s="2"/>
      <c r="I453" s="45"/>
      <c r="J453" s="2"/>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spans="4:37" ht="12.75" customHeight="1" x14ac:dyDescent="0.3">
      <c r="D454" s="2"/>
      <c r="E454" s="44"/>
      <c r="F454" s="44"/>
      <c r="G454" s="2"/>
      <c r="H454" s="2"/>
      <c r="I454" s="45"/>
      <c r="J454" s="2"/>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spans="4:37" ht="12.75" customHeight="1" x14ac:dyDescent="0.3">
      <c r="D455" s="2"/>
      <c r="E455" s="44"/>
      <c r="F455" s="44"/>
      <c r="G455" s="2"/>
      <c r="H455" s="2"/>
      <c r="I455" s="45"/>
      <c r="J455" s="2"/>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spans="4:37" ht="12.75" customHeight="1" x14ac:dyDescent="0.3">
      <c r="D456" s="2"/>
      <c r="E456" s="44"/>
      <c r="F456" s="44"/>
      <c r="G456" s="2"/>
      <c r="H456" s="2"/>
      <c r="I456" s="45"/>
      <c r="J456" s="2"/>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spans="4:37" ht="12.75" customHeight="1" x14ac:dyDescent="0.3">
      <c r="D457" s="2"/>
      <c r="E457" s="44"/>
      <c r="F457" s="44"/>
      <c r="G457" s="2"/>
      <c r="H457" s="2"/>
      <c r="I457" s="45"/>
      <c r="J457" s="2"/>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spans="4:37" ht="12.75" customHeight="1" x14ac:dyDescent="0.3">
      <c r="D458" s="2"/>
      <c r="E458" s="44"/>
      <c r="F458" s="44"/>
      <c r="G458" s="2"/>
      <c r="H458" s="2"/>
      <c r="I458" s="45"/>
      <c r="J458" s="2"/>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spans="4:37" ht="12.75" customHeight="1" x14ac:dyDescent="0.3">
      <c r="D459" s="2"/>
      <c r="E459" s="44"/>
      <c r="F459" s="44"/>
      <c r="G459" s="2"/>
      <c r="H459" s="2"/>
      <c r="I459" s="45"/>
      <c r="J459" s="2"/>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spans="4:37" ht="12.75" customHeight="1" x14ac:dyDescent="0.3">
      <c r="D460" s="2"/>
      <c r="E460" s="44"/>
      <c r="F460" s="44"/>
      <c r="G460" s="2"/>
      <c r="H460" s="2"/>
      <c r="I460" s="45"/>
      <c r="J460" s="2"/>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spans="4:37" ht="12.75" customHeight="1" x14ac:dyDescent="0.3">
      <c r="D461" s="2"/>
      <c r="E461" s="44"/>
      <c r="F461" s="44"/>
      <c r="G461" s="2"/>
      <c r="H461" s="2"/>
      <c r="I461" s="45"/>
      <c r="J461" s="2"/>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spans="4:37" ht="12.75" customHeight="1" x14ac:dyDescent="0.3">
      <c r="D462" s="2"/>
      <c r="E462" s="44"/>
      <c r="F462" s="44"/>
      <c r="G462" s="2"/>
      <c r="H462" s="2"/>
      <c r="I462" s="45"/>
      <c r="J462" s="2"/>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4:37" ht="12.75" customHeight="1" x14ac:dyDescent="0.3">
      <c r="D463" s="2"/>
      <c r="E463" s="44"/>
      <c r="F463" s="44"/>
      <c r="G463" s="2"/>
      <c r="H463" s="2"/>
      <c r="I463" s="45"/>
      <c r="J463" s="2"/>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4:37" ht="12.75" customHeight="1" x14ac:dyDescent="0.3">
      <c r="D464" s="2"/>
      <c r="E464" s="44"/>
      <c r="F464" s="44"/>
      <c r="G464" s="2"/>
      <c r="H464" s="2"/>
      <c r="I464" s="45"/>
      <c r="J464" s="2"/>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spans="4:37" ht="12.75" customHeight="1" x14ac:dyDescent="0.3">
      <c r="D465" s="2"/>
      <c r="E465" s="44"/>
      <c r="F465" s="44"/>
      <c r="G465" s="2"/>
      <c r="H465" s="2"/>
      <c r="I465" s="45"/>
      <c r="J465" s="2"/>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spans="4:37" ht="12.75" customHeight="1" x14ac:dyDescent="0.3">
      <c r="D466" s="2"/>
      <c r="E466" s="44"/>
      <c r="F466" s="44"/>
      <c r="G466" s="2"/>
      <c r="H466" s="2"/>
      <c r="I466" s="45"/>
      <c r="J466" s="2"/>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spans="4:37" ht="12.75" customHeight="1" x14ac:dyDescent="0.3">
      <c r="D467" s="2"/>
      <c r="E467" s="44"/>
      <c r="F467" s="44"/>
      <c r="G467" s="2"/>
      <c r="H467" s="2"/>
      <c r="I467" s="45"/>
      <c r="J467" s="2"/>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spans="4:37" ht="12.75" customHeight="1" x14ac:dyDescent="0.3">
      <c r="D468" s="2"/>
      <c r="E468" s="44"/>
      <c r="F468" s="44"/>
      <c r="G468" s="2"/>
      <c r="H468" s="2"/>
      <c r="I468" s="45"/>
      <c r="J468" s="2"/>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spans="4:37" ht="12.75" customHeight="1" x14ac:dyDescent="0.3">
      <c r="D469" s="2"/>
      <c r="E469" s="44"/>
      <c r="F469" s="44"/>
      <c r="G469" s="2"/>
      <c r="H469" s="2"/>
      <c r="I469" s="45"/>
      <c r="J469" s="2"/>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spans="4:37" ht="12.75" customHeight="1" x14ac:dyDescent="0.3">
      <c r="D470" s="2"/>
      <c r="E470" s="44"/>
      <c r="F470" s="44"/>
      <c r="G470" s="2"/>
      <c r="H470" s="2"/>
      <c r="I470" s="45"/>
      <c r="J470" s="2"/>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spans="4:37" ht="12.75" customHeight="1" x14ac:dyDescent="0.3">
      <c r="D471" s="2"/>
      <c r="E471" s="44"/>
      <c r="F471" s="44"/>
      <c r="G471" s="2"/>
      <c r="H471" s="2"/>
      <c r="I471" s="45"/>
      <c r="J471" s="2"/>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spans="4:37" ht="12.75" customHeight="1" x14ac:dyDescent="0.3">
      <c r="D472" s="2"/>
      <c r="E472" s="44"/>
      <c r="F472" s="44"/>
      <c r="G472" s="2"/>
      <c r="H472" s="2"/>
      <c r="I472" s="45"/>
      <c r="J472" s="2"/>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spans="4:37" ht="12.75" customHeight="1" x14ac:dyDescent="0.3">
      <c r="D473" s="2"/>
      <c r="E473" s="44"/>
      <c r="F473" s="44"/>
      <c r="G473" s="2"/>
      <c r="H473" s="2"/>
      <c r="I473" s="45"/>
      <c r="J473" s="2"/>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spans="4:37" ht="12.75" customHeight="1" x14ac:dyDescent="0.3">
      <c r="D474" s="2"/>
      <c r="E474" s="44"/>
      <c r="F474" s="44"/>
      <c r="G474" s="2"/>
      <c r="H474" s="2"/>
      <c r="I474" s="45"/>
      <c r="J474" s="2"/>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spans="4:37" ht="12.75" customHeight="1" x14ac:dyDescent="0.3">
      <c r="D475" s="2"/>
      <c r="E475" s="44"/>
      <c r="F475" s="44"/>
      <c r="G475" s="2"/>
      <c r="H475" s="2"/>
      <c r="I475" s="45"/>
      <c r="J475" s="2"/>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spans="4:37" ht="12.75" customHeight="1" x14ac:dyDescent="0.3">
      <c r="D476" s="2"/>
      <c r="E476" s="44"/>
      <c r="F476" s="44"/>
      <c r="G476" s="2"/>
      <c r="H476" s="2"/>
      <c r="I476" s="45"/>
      <c r="J476" s="2"/>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spans="4:37" ht="12.75" customHeight="1" x14ac:dyDescent="0.3">
      <c r="D477" s="2"/>
      <c r="E477" s="44"/>
      <c r="F477" s="44"/>
      <c r="G477" s="2"/>
      <c r="H477" s="2"/>
      <c r="I477" s="45"/>
      <c r="J477" s="2"/>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spans="4:37" ht="12.75" customHeight="1" x14ac:dyDescent="0.3">
      <c r="D478" s="2"/>
      <c r="E478" s="44"/>
      <c r="F478" s="44"/>
      <c r="G478" s="2"/>
      <c r="H478" s="2"/>
      <c r="I478" s="45"/>
      <c r="J478" s="2"/>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spans="4:37" ht="12.75" customHeight="1" x14ac:dyDescent="0.3">
      <c r="D479" s="2"/>
      <c r="E479" s="44"/>
      <c r="F479" s="44"/>
      <c r="G479" s="2"/>
      <c r="H479" s="2"/>
      <c r="I479" s="45"/>
      <c r="J479" s="2"/>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spans="4:37" ht="12.75" customHeight="1" x14ac:dyDescent="0.3">
      <c r="D480" s="2"/>
      <c r="E480" s="44"/>
      <c r="F480" s="44"/>
      <c r="G480" s="2"/>
      <c r="H480" s="2"/>
      <c r="I480" s="45"/>
      <c r="J480" s="2"/>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spans="4:37" ht="12.75" customHeight="1" x14ac:dyDescent="0.3">
      <c r="D481" s="2"/>
      <c r="E481" s="44"/>
      <c r="F481" s="44"/>
      <c r="G481" s="2"/>
      <c r="H481" s="2"/>
      <c r="I481" s="45"/>
      <c r="J481" s="2"/>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spans="4:37" ht="12.75" customHeight="1" x14ac:dyDescent="0.3">
      <c r="D482" s="2"/>
      <c r="E482" s="44"/>
      <c r="F482" s="44"/>
      <c r="G482" s="2"/>
      <c r="H482" s="2"/>
      <c r="I482" s="45"/>
      <c r="J482" s="2"/>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spans="4:37" ht="12.75" customHeight="1" x14ac:dyDescent="0.3">
      <c r="D483" s="2"/>
      <c r="E483" s="44"/>
      <c r="F483" s="44"/>
      <c r="G483" s="2"/>
      <c r="H483" s="2"/>
      <c r="I483" s="45"/>
      <c r="J483" s="2"/>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spans="4:37" ht="12.75" customHeight="1" x14ac:dyDescent="0.3">
      <c r="D484" s="2"/>
      <c r="E484" s="44"/>
      <c r="F484" s="44"/>
      <c r="G484" s="2"/>
      <c r="H484" s="2"/>
      <c r="I484" s="45"/>
      <c r="J484" s="2"/>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spans="4:37" ht="12.75" customHeight="1" x14ac:dyDescent="0.3">
      <c r="D485" s="2"/>
      <c r="E485" s="44"/>
      <c r="F485" s="44"/>
      <c r="G485" s="2"/>
      <c r="H485" s="2"/>
      <c r="I485" s="45"/>
      <c r="J485" s="2"/>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spans="4:37" ht="12.75" customHeight="1" x14ac:dyDescent="0.3">
      <c r="D486" s="2"/>
      <c r="E486" s="44"/>
      <c r="F486" s="44"/>
      <c r="G486" s="2"/>
      <c r="H486" s="2"/>
      <c r="I486" s="45"/>
      <c r="J486" s="2"/>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spans="4:37" ht="12.75" customHeight="1" x14ac:dyDescent="0.3">
      <c r="D487" s="2"/>
      <c r="E487" s="44"/>
      <c r="F487" s="44"/>
      <c r="G487" s="2"/>
      <c r="H487" s="2"/>
      <c r="I487" s="45"/>
      <c r="J487" s="2"/>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spans="4:37" ht="12.75" customHeight="1" x14ac:dyDescent="0.3">
      <c r="D488" s="2"/>
      <c r="E488" s="44"/>
      <c r="F488" s="44"/>
      <c r="G488" s="2"/>
      <c r="H488" s="2"/>
      <c r="I488" s="45"/>
      <c r="J488" s="2"/>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spans="4:37" ht="12.75" customHeight="1" x14ac:dyDescent="0.3">
      <c r="D489" s="2"/>
      <c r="E489" s="44"/>
      <c r="F489" s="44"/>
      <c r="G489" s="2"/>
      <c r="H489" s="2"/>
      <c r="I489" s="45"/>
      <c r="J489" s="2"/>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spans="4:37" ht="12.75" customHeight="1" x14ac:dyDescent="0.3">
      <c r="D490" s="2"/>
      <c r="E490" s="44"/>
      <c r="F490" s="44"/>
      <c r="G490" s="2"/>
      <c r="H490" s="2"/>
      <c r="I490" s="45"/>
      <c r="J490" s="2"/>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spans="4:37" ht="12.75" customHeight="1" x14ac:dyDescent="0.3">
      <c r="D491" s="2"/>
      <c r="E491" s="44"/>
      <c r="F491" s="44"/>
      <c r="G491" s="2"/>
      <c r="H491" s="2"/>
      <c r="I491" s="45"/>
      <c r="J491" s="2"/>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spans="4:37" ht="12.75" customHeight="1" x14ac:dyDescent="0.3">
      <c r="D492" s="2"/>
      <c r="E492" s="44"/>
      <c r="F492" s="44"/>
      <c r="G492" s="2"/>
      <c r="H492" s="2"/>
      <c r="I492" s="45"/>
      <c r="J492" s="2"/>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spans="4:37" ht="12.75" customHeight="1" x14ac:dyDescent="0.3">
      <c r="D493" s="2"/>
      <c r="E493" s="44"/>
      <c r="F493" s="44"/>
      <c r="G493" s="2"/>
      <c r="H493" s="2"/>
      <c r="I493" s="45"/>
      <c r="J493" s="2"/>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spans="4:37" ht="12.75" customHeight="1" x14ac:dyDescent="0.3">
      <c r="D494" s="2"/>
      <c r="E494" s="44"/>
      <c r="F494" s="44"/>
      <c r="G494" s="2"/>
      <c r="H494" s="2"/>
      <c r="I494" s="45"/>
      <c r="J494" s="2"/>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spans="4:37" ht="12.75" customHeight="1" x14ac:dyDescent="0.3">
      <c r="D495" s="2"/>
      <c r="E495" s="44"/>
      <c r="F495" s="44"/>
      <c r="G495" s="2"/>
      <c r="H495" s="2"/>
      <c r="I495" s="45"/>
      <c r="J495" s="2"/>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spans="4:37" ht="12.75" customHeight="1" x14ac:dyDescent="0.3">
      <c r="D496" s="2"/>
      <c r="E496" s="44"/>
      <c r="F496" s="44"/>
      <c r="G496" s="2"/>
      <c r="H496" s="2"/>
      <c r="I496" s="45"/>
      <c r="J496" s="2"/>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spans="4:37" ht="12.75" customHeight="1" x14ac:dyDescent="0.3">
      <c r="D497" s="2"/>
      <c r="E497" s="44"/>
      <c r="F497" s="44"/>
      <c r="G497" s="2"/>
      <c r="H497" s="2"/>
      <c r="I497" s="45"/>
      <c r="J497" s="2"/>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spans="4:37" ht="12.75" customHeight="1" x14ac:dyDescent="0.3">
      <c r="D498" s="2"/>
      <c r="E498" s="44"/>
      <c r="F498" s="44"/>
      <c r="G498" s="2"/>
      <c r="H498" s="2"/>
      <c r="I498" s="45"/>
      <c r="J498" s="2"/>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spans="4:37" ht="12.75" customHeight="1" x14ac:dyDescent="0.3">
      <c r="D499" s="2"/>
      <c r="E499" s="44"/>
      <c r="F499" s="44"/>
      <c r="G499" s="2"/>
      <c r="H499" s="2"/>
      <c r="I499" s="45"/>
      <c r="J499" s="2"/>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spans="4:37" ht="12.75" customHeight="1" x14ac:dyDescent="0.3">
      <c r="D500" s="2"/>
      <c r="E500" s="44"/>
      <c r="F500" s="44"/>
      <c r="G500" s="2"/>
      <c r="H500" s="2"/>
      <c r="I500" s="45"/>
      <c r="J500" s="2"/>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spans="4:37" ht="12.75" customHeight="1" x14ac:dyDescent="0.3">
      <c r="D501" s="2"/>
      <c r="E501" s="44"/>
      <c r="F501" s="44"/>
      <c r="G501" s="2"/>
      <c r="H501" s="2"/>
      <c r="I501" s="45"/>
      <c r="J501" s="2"/>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spans="4:37" ht="12.75" customHeight="1" x14ac:dyDescent="0.3">
      <c r="D502" s="2"/>
      <c r="E502" s="44"/>
      <c r="F502" s="44"/>
      <c r="G502" s="2"/>
      <c r="H502" s="2"/>
      <c r="I502" s="45"/>
      <c r="J502" s="2"/>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spans="4:37" ht="12.75" customHeight="1" x14ac:dyDescent="0.3">
      <c r="D503" s="2"/>
      <c r="E503" s="44"/>
      <c r="F503" s="44"/>
      <c r="G503" s="2"/>
      <c r="H503" s="2"/>
      <c r="I503" s="45"/>
      <c r="J503" s="2"/>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spans="4:37" ht="12.75" customHeight="1" x14ac:dyDescent="0.3">
      <c r="D504" s="2"/>
      <c r="E504" s="44"/>
      <c r="F504" s="44"/>
      <c r="G504" s="2"/>
      <c r="H504" s="2"/>
      <c r="I504" s="45"/>
      <c r="J504" s="2"/>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spans="4:37" ht="12.75" customHeight="1" x14ac:dyDescent="0.3">
      <c r="D505" s="2"/>
      <c r="E505" s="44"/>
      <c r="F505" s="44"/>
      <c r="G505" s="2"/>
      <c r="H505" s="2"/>
      <c r="I505" s="45"/>
      <c r="J505" s="2"/>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spans="4:37" ht="12.75" customHeight="1" x14ac:dyDescent="0.3">
      <c r="D506" s="2"/>
      <c r="E506" s="44"/>
      <c r="F506" s="44"/>
      <c r="G506" s="2"/>
      <c r="H506" s="2"/>
      <c r="I506" s="45"/>
      <c r="J506" s="2"/>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spans="4:37" ht="12.75" customHeight="1" x14ac:dyDescent="0.3">
      <c r="D507" s="2"/>
      <c r="E507" s="44"/>
      <c r="F507" s="44"/>
      <c r="G507" s="2"/>
      <c r="H507" s="2"/>
      <c r="I507" s="45"/>
      <c r="J507" s="2"/>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spans="4:37" ht="12.75" customHeight="1" x14ac:dyDescent="0.3">
      <c r="D508" s="2"/>
      <c r="E508" s="44"/>
      <c r="F508" s="44"/>
      <c r="G508" s="2"/>
      <c r="H508" s="2"/>
      <c r="I508" s="45"/>
      <c r="J508" s="2"/>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spans="4:37" ht="12.75" customHeight="1" x14ac:dyDescent="0.3">
      <c r="D509" s="2"/>
      <c r="E509" s="44"/>
      <c r="F509" s="44"/>
      <c r="G509" s="2"/>
      <c r="H509" s="2"/>
      <c r="I509" s="45"/>
      <c r="J509" s="2"/>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spans="4:37" ht="12.75" customHeight="1" x14ac:dyDescent="0.3">
      <c r="D510" s="2"/>
      <c r="E510" s="44"/>
      <c r="F510" s="44"/>
      <c r="G510" s="2"/>
      <c r="H510" s="2"/>
      <c r="I510" s="45"/>
      <c r="J510" s="2"/>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spans="4:37" ht="12.75" customHeight="1" x14ac:dyDescent="0.3">
      <c r="D511" s="2"/>
      <c r="E511" s="44"/>
      <c r="F511" s="44"/>
      <c r="G511" s="2"/>
      <c r="H511" s="2"/>
      <c r="I511" s="45"/>
      <c r="J511" s="2"/>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spans="4:37" ht="12.75" customHeight="1" x14ac:dyDescent="0.3">
      <c r="D512" s="2"/>
      <c r="E512" s="44"/>
      <c r="F512" s="44"/>
      <c r="G512" s="2"/>
      <c r="H512" s="2"/>
      <c r="I512" s="45"/>
      <c r="J512" s="2"/>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spans="4:37" ht="12.75" customHeight="1" x14ac:dyDescent="0.3">
      <c r="D513" s="2"/>
      <c r="E513" s="44"/>
      <c r="F513" s="44"/>
      <c r="G513" s="2"/>
      <c r="H513" s="2"/>
      <c r="I513" s="45"/>
      <c r="J513" s="2"/>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spans="4:37" ht="12.75" customHeight="1" x14ac:dyDescent="0.3">
      <c r="D514" s="2"/>
      <c r="E514" s="44"/>
      <c r="F514" s="44"/>
      <c r="G514" s="2"/>
      <c r="H514" s="2"/>
      <c r="I514" s="45"/>
      <c r="J514" s="2"/>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spans="4:37" ht="12.75" customHeight="1" x14ac:dyDescent="0.3">
      <c r="D515" s="2"/>
      <c r="E515" s="44"/>
      <c r="F515" s="44"/>
      <c r="G515" s="2"/>
      <c r="H515" s="2"/>
      <c r="I515" s="45"/>
      <c r="J515" s="2"/>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spans="4:37" ht="12.75" customHeight="1" x14ac:dyDescent="0.3">
      <c r="D516" s="2"/>
      <c r="E516" s="44"/>
      <c r="F516" s="44"/>
      <c r="G516" s="2"/>
      <c r="H516" s="2"/>
      <c r="I516" s="45"/>
      <c r="J516" s="2"/>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spans="4:37" ht="12.75" customHeight="1" x14ac:dyDescent="0.3">
      <c r="D517" s="2"/>
      <c r="E517" s="44"/>
      <c r="F517" s="44"/>
      <c r="G517" s="2"/>
      <c r="H517" s="2"/>
      <c r="I517" s="45"/>
      <c r="J517" s="2"/>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spans="4:37" ht="12.75" customHeight="1" x14ac:dyDescent="0.3">
      <c r="D518" s="2"/>
      <c r="E518" s="44"/>
      <c r="F518" s="44"/>
      <c r="G518" s="2"/>
      <c r="H518" s="2"/>
      <c r="I518" s="45"/>
      <c r="J518" s="2"/>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spans="4:37" ht="12.75" customHeight="1" x14ac:dyDescent="0.3">
      <c r="D519" s="2"/>
      <c r="E519" s="44"/>
      <c r="F519" s="44"/>
      <c r="G519" s="2"/>
      <c r="H519" s="2"/>
      <c r="I519" s="45"/>
      <c r="J519" s="2"/>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spans="4:37" ht="12.75" customHeight="1" x14ac:dyDescent="0.3">
      <c r="D520" s="2"/>
      <c r="E520" s="44"/>
      <c r="F520" s="44"/>
      <c r="G520" s="2"/>
      <c r="H520" s="2"/>
      <c r="I520" s="45"/>
      <c r="J520" s="2"/>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spans="4:37" ht="12.75" customHeight="1" x14ac:dyDescent="0.3">
      <c r="D521" s="2"/>
      <c r="E521" s="44"/>
      <c r="F521" s="44"/>
      <c r="G521" s="2"/>
      <c r="H521" s="2"/>
      <c r="I521" s="45"/>
      <c r="J521" s="2"/>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spans="4:37" ht="12.75" customHeight="1" x14ac:dyDescent="0.3">
      <c r="D522" s="2"/>
      <c r="E522" s="44"/>
      <c r="F522" s="44"/>
      <c r="G522" s="2"/>
      <c r="H522" s="2"/>
      <c r="I522" s="45"/>
      <c r="J522" s="2"/>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spans="4:37" ht="12.75" customHeight="1" x14ac:dyDescent="0.3">
      <c r="D523" s="2"/>
      <c r="E523" s="44"/>
      <c r="F523" s="44"/>
      <c r="G523" s="2"/>
      <c r="H523" s="2"/>
      <c r="I523" s="45"/>
      <c r="J523" s="2"/>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spans="4:37" ht="12.75" customHeight="1" x14ac:dyDescent="0.3">
      <c r="D524" s="2"/>
      <c r="E524" s="44"/>
      <c r="F524" s="44"/>
      <c r="G524" s="2"/>
      <c r="H524" s="2"/>
      <c r="I524" s="45"/>
      <c r="J524" s="2"/>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spans="4:37" ht="12.75" customHeight="1" x14ac:dyDescent="0.3">
      <c r="D525" s="2"/>
      <c r="E525" s="44"/>
      <c r="F525" s="44"/>
      <c r="G525" s="2"/>
      <c r="H525" s="2"/>
      <c r="I525" s="45"/>
      <c r="J525" s="2"/>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spans="4:37" ht="12.75" customHeight="1" x14ac:dyDescent="0.3">
      <c r="D526" s="2"/>
      <c r="E526" s="44"/>
      <c r="F526" s="44"/>
      <c r="G526" s="2"/>
      <c r="H526" s="2"/>
      <c r="I526" s="45"/>
      <c r="J526" s="2"/>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spans="4:37" ht="12.75" customHeight="1" x14ac:dyDescent="0.3">
      <c r="D527" s="2"/>
      <c r="E527" s="44"/>
      <c r="F527" s="44"/>
      <c r="G527" s="2"/>
      <c r="H527" s="2"/>
      <c r="I527" s="45"/>
      <c r="J527" s="2"/>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spans="4:37" ht="12.75" customHeight="1" x14ac:dyDescent="0.3">
      <c r="D528" s="2"/>
      <c r="E528" s="44"/>
      <c r="F528" s="44"/>
      <c r="G528" s="2"/>
      <c r="H528" s="2"/>
      <c r="I528" s="45"/>
      <c r="J528" s="2"/>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spans="4:37" ht="12.75" customHeight="1" x14ac:dyDescent="0.3">
      <c r="D529" s="2"/>
      <c r="E529" s="44"/>
      <c r="F529" s="44"/>
      <c r="G529" s="2"/>
      <c r="H529" s="2"/>
      <c r="I529" s="45"/>
      <c r="J529" s="2"/>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spans="4:37" ht="12.75" customHeight="1" x14ac:dyDescent="0.3">
      <c r="D530" s="2"/>
      <c r="E530" s="44"/>
      <c r="F530" s="44"/>
      <c r="G530" s="2"/>
      <c r="H530" s="2"/>
      <c r="I530" s="45"/>
      <c r="J530" s="2"/>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spans="4:37" ht="12.75" customHeight="1" x14ac:dyDescent="0.3">
      <c r="D531" s="2"/>
      <c r="E531" s="44"/>
      <c r="F531" s="44"/>
      <c r="G531" s="2"/>
      <c r="H531" s="2"/>
      <c r="I531" s="45"/>
      <c r="J531" s="2"/>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spans="4:37" ht="12.75" customHeight="1" x14ac:dyDescent="0.3">
      <c r="D532" s="2"/>
      <c r="E532" s="44"/>
      <c r="F532" s="44"/>
      <c r="G532" s="2"/>
      <c r="H532" s="2"/>
      <c r="I532" s="45"/>
      <c r="J532" s="2"/>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spans="4:37" ht="12.75" customHeight="1" x14ac:dyDescent="0.3">
      <c r="D533" s="2"/>
      <c r="E533" s="44"/>
      <c r="F533" s="44"/>
      <c r="G533" s="2"/>
      <c r="H533" s="2"/>
      <c r="I533" s="45"/>
      <c r="J533" s="2"/>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spans="4:37" ht="12.75" customHeight="1" x14ac:dyDescent="0.3">
      <c r="D534" s="2"/>
      <c r="E534" s="44"/>
      <c r="F534" s="44"/>
      <c r="G534" s="2"/>
      <c r="H534" s="2"/>
      <c r="I534" s="45"/>
      <c r="J534" s="2"/>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spans="4:37" ht="12.75" customHeight="1" x14ac:dyDescent="0.3">
      <c r="D535" s="2"/>
      <c r="E535" s="44"/>
      <c r="F535" s="44"/>
      <c r="G535" s="2"/>
      <c r="H535" s="2"/>
      <c r="I535" s="45"/>
      <c r="J535" s="2"/>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spans="4:37" ht="12.75" customHeight="1" x14ac:dyDescent="0.3">
      <c r="D536" s="2"/>
      <c r="E536" s="44"/>
      <c r="F536" s="44"/>
      <c r="G536" s="2"/>
      <c r="H536" s="2"/>
      <c r="I536" s="45"/>
      <c r="J536" s="2"/>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spans="4:37" ht="12.75" customHeight="1" x14ac:dyDescent="0.3">
      <c r="D537" s="2"/>
      <c r="E537" s="44"/>
      <c r="F537" s="44"/>
      <c r="G537" s="2"/>
      <c r="H537" s="2"/>
      <c r="I537" s="45"/>
      <c r="J537" s="2"/>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spans="4:37" ht="12.75" customHeight="1" x14ac:dyDescent="0.3">
      <c r="D538" s="2"/>
      <c r="E538" s="44"/>
      <c r="F538" s="44"/>
      <c r="G538" s="2"/>
      <c r="H538" s="2"/>
      <c r="I538" s="45"/>
      <c r="J538" s="2"/>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spans="4:37" ht="12.75" customHeight="1" x14ac:dyDescent="0.3">
      <c r="D539" s="2"/>
      <c r="E539" s="44"/>
      <c r="F539" s="44"/>
      <c r="G539" s="2"/>
      <c r="H539" s="2"/>
      <c r="I539" s="45"/>
      <c r="J539" s="2"/>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spans="4:37" ht="12.75" customHeight="1" x14ac:dyDescent="0.3">
      <c r="D540" s="2"/>
      <c r="E540" s="44"/>
      <c r="F540" s="44"/>
      <c r="G540" s="2"/>
      <c r="H540" s="2"/>
      <c r="I540" s="45"/>
      <c r="J540" s="2"/>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spans="4:37" ht="12.75" customHeight="1" x14ac:dyDescent="0.3">
      <c r="D541" s="2"/>
      <c r="E541" s="44"/>
      <c r="F541" s="44"/>
      <c r="G541" s="2"/>
      <c r="H541" s="2"/>
      <c r="I541" s="45"/>
      <c r="J541" s="2"/>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spans="4:37" ht="12.75" customHeight="1" x14ac:dyDescent="0.3">
      <c r="D542" s="2"/>
      <c r="E542" s="44"/>
      <c r="F542" s="44"/>
      <c r="G542" s="2"/>
      <c r="H542" s="2"/>
      <c r="I542" s="45"/>
      <c r="J542" s="2"/>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spans="4:37" ht="12.75" customHeight="1" x14ac:dyDescent="0.3">
      <c r="D543" s="2"/>
      <c r="E543" s="44"/>
      <c r="F543" s="44"/>
      <c r="G543" s="2"/>
      <c r="H543" s="2"/>
      <c r="I543" s="45"/>
      <c r="J543" s="2"/>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spans="4:37" ht="12.75" customHeight="1" x14ac:dyDescent="0.3">
      <c r="D544" s="2"/>
      <c r="E544" s="44"/>
      <c r="F544" s="44"/>
      <c r="G544" s="2"/>
      <c r="H544" s="2"/>
      <c r="I544" s="45"/>
      <c r="J544" s="2"/>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spans="4:37" ht="12.75" customHeight="1" x14ac:dyDescent="0.3">
      <c r="D545" s="2"/>
      <c r="E545" s="44"/>
      <c r="F545" s="44"/>
      <c r="G545" s="2"/>
      <c r="H545" s="2"/>
      <c r="I545" s="45"/>
      <c r="J545" s="2"/>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spans="4:37" ht="12.75" customHeight="1" x14ac:dyDescent="0.3">
      <c r="D546" s="2"/>
      <c r="E546" s="44"/>
      <c r="F546" s="44"/>
      <c r="G546" s="2"/>
      <c r="H546" s="2"/>
      <c r="I546" s="45"/>
      <c r="J546" s="2"/>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spans="4:37" ht="12.75" customHeight="1" x14ac:dyDescent="0.3">
      <c r="D547" s="2"/>
      <c r="E547" s="44"/>
      <c r="F547" s="44"/>
      <c r="G547" s="2"/>
      <c r="H547" s="2"/>
      <c r="I547" s="45"/>
      <c r="J547" s="2"/>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spans="4:37" ht="12.75" customHeight="1" x14ac:dyDescent="0.3">
      <c r="D548" s="2"/>
      <c r="E548" s="44"/>
      <c r="F548" s="44"/>
      <c r="G548" s="2"/>
      <c r="H548" s="2"/>
      <c r="I548" s="45"/>
      <c r="J548" s="2"/>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spans="4:37" ht="12.75" customHeight="1" x14ac:dyDescent="0.3">
      <c r="D549" s="2"/>
      <c r="E549" s="44"/>
      <c r="F549" s="44"/>
      <c r="G549" s="2"/>
      <c r="H549" s="2"/>
      <c r="I549" s="45"/>
      <c r="J549" s="2"/>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spans="4:37" ht="12.75" customHeight="1" x14ac:dyDescent="0.3">
      <c r="D550" s="2"/>
      <c r="E550" s="44"/>
      <c r="F550" s="44"/>
      <c r="G550" s="2"/>
      <c r="H550" s="2"/>
      <c r="I550" s="45"/>
      <c r="J550" s="2"/>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spans="4:37" ht="12.75" customHeight="1" x14ac:dyDescent="0.3">
      <c r="D551" s="2"/>
      <c r="E551" s="44"/>
      <c r="F551" s="44"/>
      <c r="G551" s="2"/>
      <c r="H551" s="2"/>
      <c r="I551" s="45"/>
      <c r="J551" s="2"/>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spans="4:37" ht="12.75" customHeight="1" x14ac:dyDescent="0.3">
      <c r="D552" s="2"/>
      <c r="E552" s="44"/>
      <c r="F552" s="44"/>
      <c r="G552" s="2"/>
      <c r="H552" s="2"/>
      <c r="I552" s="45"/>
      <c r="J552" s="2"/>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spans="4:37" ht="12.75" customHeight="1" x14ac:dyDescent="0.3">
      <c r="D553" s="2"/>
      <c r="E553" s="44"/>
      <c r="F553" s="44"/>
      <c r="G553" s="2"/>
      <c r="H553" s="2"/>
      <c r="I553" s="45"/>
      <c r="J553" s="2"/>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spans="4:37" ht="12.75" customHeight="1" x14ac:dyDescent="0.3">
      <c r="D554" s="2"/>
      <c r="E554" s="44"/>
      <c r="F554" s="44"/>
      <c r="G554" s="2"/>
      <c r="H554" s="2"/>
      <c r="I554" s="45"/>
      <c r="J554" s="2"/>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spans="4:37" ht="12.75" customHeight="1" x14ac:dyDescent="0.3">
      <c r="D555" s="2"/>
      <c r="E555" s="44"/>
      <c r="F555" s="44"/>
      <c r="G555" s="2"/>
      <c r="H555" s="2"/>
      <c r="I555" s="45"/>
      <c r="J555" s="2"/>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spans="4:37" ht="12.75" customHeight="1" x14ac:dyDescent="0.3">
      <c r="D556" s="2"/>
      <c r="E556" s="44"/>
      <c r="F556" s="44"/>
      <c r="G556" s="2"/>
      <c r="H556" s="2"/>
      <c r="I556" s="45"/>
      <c r="J556" s="2"/>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spans="4:37" ht="12.75" customHeight="1" x14ac:dyDescent="0.3">
      <c r="D557" s="2"/>
      <c r="E557" s="44"/>
      <c r="F557" s="44"/>
      <c r="G557" s="2"/>
      <c r="H557" s="2"/>
      <c r="I557" s="45"/>
      <c r="J557" s="2"/>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spans="4:37" ht="12.75" customHeight="1" x14ac:dyDescent="0.3">
      <c r="D558" s="2"/>
      <c r="E558" s="44"/>
      <c r="F558" s="44"/>
      <c r="G558" s="2"/>
      <c r="H558" s="2"/>
      <c r="I558" s="45"/>
      <c r="J558" s="2"/>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spans="4:37" ht="12.75" customHeight="1" x14ac:dyDescent="0.3">
      <c r="D559" s="2"/>
      <c r="E559" s="44"/>
      <c r="F559" s="44"/>
      <c r="G559" s="2"/>
      <c r="H559" s="2"/>
      <c r="I559" s="45"/>
      <c r="J559" s="2"/>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spans="4:37" ht="12.75" customHeight="1" x14ac:dyDescent="0.3">
      <c r="D560" s="2"/>
      <c r="E560" s="44"/>
      <c r="F560" s="44"/>
      <c r="G560" s="2"/>
      <c r="H560" s="2"/>
      <c r="I560" s="45"/>
      <c r="J560" s="2"/>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spans="4:37" ht="12.75" customHeight="1" x14ac:dyDescent="0.3">
      <c r="D561" s="2"/>
      <c r="E561" s="44"/>
      <c r="F561" s="44"/>
      <c r="G561" s="2"/>
      <c r="H561" s="2"/>
      <c r="I561" s="45"/>
      <c r="J561" s="2"/>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spans="4:37" ht="12.75" customHeight="1" x14ac:dyDescent="0.3">
      <c r="D562" s="2"/>
      <c r="E562" s="44"/>
      <c r="F562" s="44"/>
      <c r="G562" s="2"/>
      <c r="H562" s="2"/>
      <c r="I562" s="45"/>
      <c r="J562" s="2"/>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spans="4:37" ht="12.75" customHeight="1" x14ac:dyDescent="0.3">
      <c r="D563" s="2"/>
      <c r="E563" s="44"/>
      <c r="F563" s="44"/>
      <c r="G563" s="2"/>
      <c r="H563" s="2"/>
      <c r="I563" s="45"/>
      <c r="J563" s="2"/>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spans="4:37" ht="12.75" customHeight="1" x14ac:dyDescent="0.3">
      <c r="D564" s="2"/>
      <c r="E564" s="44"/>
      <c r="F564" s="44"/>
      <c r="G564" s="2"/>
      <c r="H564" s="2"/>
      <c r="I564" s="45"/>
      <c r="J564" s="2"/>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spans="4:37" ht="12.75" customHeight="1" x14ac:dyDescent="0.3">
      <c r="D565" s="2"/>
      <c r="E565" s="44"/>
      <c r="F565" s="44"/>
      <c r="G565" s="2"/>
      <c r="H565" s="2"/>
      <c r="I565" s="45"/>
      <c r="J565" s="2"/>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spans="4:37" ht="12.75" customHeight="1" x14ac:dyDescent="0.3">
      <c r="D566" s="2"/>
      <c r="E566" s="44"/>
      <c r="F566" s="44"/>
      <c r="G566" s="2"/>
      <c r="H566" s="2"/>
      <c r="I566" s="45"/>
      <c r="J566" s="2"/>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spans="4:37" ht="12.75" customHeight="1" x14ac:dyDescent="0.3">
      <c r="D567" s="2"/>
      <c r="E567" s="44"/>
      <c r="F567" s="44"/>
      <c r="G567" s="2"/>
      <c r="H567" s="2"/>
      <c r="I567" s="45"/>
      <c r="J567" s="2"/>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spans="4:37" ht="12.75" customHeight="1" x14ac:dyDescent="0.3">
      <c r="D568" s="2"/>
      <c r="E568" s="44"/>
      <c r="F568" s="44"/>
      <c r="G568" s="2"/>
      <c r="H568" s="2"/>
      <c r="I568" s="45"/>
      <c r="J568" s="2"/>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spans="4:37" ht="12.75" customHeight="1" x14ac:dyDescent="0.3">
      <c r="D569" s="2"/>
      <c r="E569" s="44"/>
      <c r="F569" s="44"/>
      <c r="G569" s="2"/>
      <c r="H569" s="2"/>
      <c r="I569" s="45"/>
      <c r="J569" s="2"/>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spans="4:37" ht="12.75" customHeight="1" x14ac:dyDescent="0.3">
      <c r="D570" s="2"/>
      <c r="E570" s="44"/>
      <c r="F570" s="44"/>
      <c r="G570" s="2"/>
      <c r="H570" s="2"/>
      <c r="I570" s="45"/>
      <c r="J570" s="2"/>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spans="4:37" ht="12.75" customHeight="1" x14ac:dyDescent="0.3">
      <c r="D571" s="2"/>
      <c r="E571" s="44"/>
      <c r="F571" s="44"/>
      <c r="G571" s="2"/>
      <c r="H571" s="2"/>
      <c r="I571" s="45"/>
      <c r="J571" s="2"/>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spans="4:37" ht="12.75" customHeight="1" x14ac:dyDescent="0.3">
      <c r="D572" s="2"/>
      <c r="E572" s="44"/>
      <c r="F572" s="44"/>
      <c r="G572" s="2"/>
      <c r="H572" s="2"/>
      <c r="I572" s="45"/>
      <c r="J572" s="2"/>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spans="4:37" ht="12.75" customHeight="1" x14ac:dyDescent="0.3">
      <c r="D573" s="2"/>
      <c r="E573" s="44"/>
      <c r="F573" s="44"/>
      <c r="G573" s="2"/>
      <c r="H573" s="2"/>
      <c r="I573" s="45"/>
      <c r="J573" s="2"/>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spans="4:37" ht="12.75" customHeight="1" x14ac:dyDescent="0.3">
      <c r="D574" s="2"/>
      <c r="E574" s="44"/>
      <c r="F574" s="44"/>
      <c r="G574" s="2"/>
      <c r="H574" s="2"/>
      <c r="I574" s="45"/>
      <c r="J574" s="2"/>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spans="4:37" ht="12.75" customHeight="1" x14ac:dyDescent="0.3">
      <c r="D575" s="2"/>
      <c r="E575" s="44"/>
      <c r="F575" s="44"/>
      <c r="G575" s="2"/>
      <c r="H575" s="2"/>
      <c r="I575" s="45"/>
      <c r="J575" s="2"/>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spans="4:37" ht="12.75" customHeight="1" x14ac:dyDescent="0.3">
      <c r="D576" s="2"/>
      <c r="E576" s="44"/>
      <c r="F576" s="44"/>
      <c r="G576" s="2"/>
      <c r="H576" s="2"/>
      <c r="I576" s="45"/>
      <c r="J576" s="2"/>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spans="4:37" ht="12.75" customHeight="1" x14ac:dyDescent="0.3">
      <c r="D577" s="2"/>
      <c r="E577" s="44"/>
      <c r="F577" s="44"/>
      <c r="G577" s="2"/>
      <c r="H577" s="2"/>
      <c r="I577" s="45"/>
      <c r="J577" s="2"/>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spans="4:37" ht="12.75" customHeight="1" x14ac:dyDescent="0.3">
      <c r="D578" s="2"/>
      <c r="E578" s="44"/>
      <c r="F578" s="44"/>
      <c r="G578" s="2"/>
      <c r="H578" s="2"/>
      <c r="I578" s="45"/>
      <c r="J578" s="2"/>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spans="4:37" ht="12.75" customHeight="1" x14ac:dyDescent="0.3">
      <c r="D579" s="2"/>
      <c r="E579" s="44"/>
      <c r="F579" s="44"/>
      <c r="G579" s="2"/>
      <c r="H579" s="2"/>
      <c r="I579" s="45"/>
      <c r="J579" s="2"/>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spans="4:37" ht="12.75" customHeight="1" x14ac:dyDescent="0.3">
      <c r="D580" s="2"/>
      <c r="E580" s="44"/>
      <c r="F580" s="44"/>
      <c r="G580" s="2"/>
      <c r="H580" s="2"/>
      <c r="I580" s="45"/>
      <c r="J580" s="2"/>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spans="4:37" ht="12.75" customHeight="1" x14ac:dyDescent="0.3">
      <c r="D581" s="2"/>
      <c r="E581" s="44"/>
      <c r="F581" s="44"/>
      <c r="G581" s="2"/>
      <c r="H581" s="2"/>
      <c r="I581" s="45"/>
      <c r="J581" s="2"/>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spans="4:37" ht="12.75" customHeight="1" x14ac:dyDescent="0.3">
      <c r="D582" s="2"/>
      <c r="E582" s="44"/>
      <c r="F582" s="44"/>
      <c r="G582" s="2"/>
      <c r="H582" s="2"/>
      <c r="I582" s="45"/>
      <c r="J582" s="2"/>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spans="4:37" ht="12.75" customHeight="1" x14ac:dyDescent="0.3">
      <c r="D583" s="2"/>
      <c r="E583" s="44"/>
      <c r="F583" s="44"/>
      <c r="G583" s="2"/>
      <c r="H583" s="2"/>
      <c r="I583" s="45"/>
      <c r="J583" s="2"/>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spans="4:37" ht="12.75" customHeight="1" x14ac:dyDescent="0.3">
      <c r="D584" s="2"/>
      <c r="E584" s="44"/>
      <c r="F584" s="44"/>
      <c r="G584" s="2"/>
      <c r="H584" s="2"/>
      <c r="I584" s="45"/>
      <c r="J584" s="2"/>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spans="4:37" ht="12.75" customHeight="1" x14ac:dyDescent="0.3">
      <c r="D585" s="2"/>
      <c r="E585" s="44"/>
      <c r="F585" s="44"/>
      <c r="G585" s="2"/>
      <c r="H585" s="2"/>
      <c r="I585" s="45"/>
      <c r="J585" s="2"/>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spans="4:37" ht="12.75" customHeight="1" x14ac:dyDescent="0.3">
      <c r="D586" s="2"/>
      <c r="E586" s="44"/>
      <c r="F586" s="44"/>
      <c r="G586" s="2"/>
      <c r="H586" s="2"/>
      <c r="I586" s="45"/>
      <c r="J586" s="2"/>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spans="4:37" ht="12.75" customHeight="1" x14ac:dyDescent="0.3">
      <c r="D587" s="2"/>
      <c r="E587" s="44"/>
      <c r="F587" s="44"/>
      <c r="G587" s="2"/>
      <c r="H587" s="2"/>
      <c r="I587" s="45"/>
      <c r="J587" s="2"/>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spans="4:37" ht="12.75" customHeight="1" x14ac:dyDescent="0.3">
      <c r="D588" s="2"/>
      <c r="E588" s="44"/>
      <c r="F588" s="44"/>
      <c r="G588" s="2"/>
      <c r="H588" s="2"/>
      <c r="I588" s="45"/>
      <c r="J588" s="2"/>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spans="4:37" ht="12.75" customHeight="1" x14ac:dyDescent="0.3">
      <c r="D589" s="2"/>
      <c r="E589" s="44"/>
      <c r="F589" s="44"/>
      <c r="G589" s="2"/>
      <c r="H589" s="2"/>
      <c r="I589" s="45"/>
      <c r="J589" s="2"/>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spans="4:37" ht="12.75" customHeight="1" x14ac:dyDescent="0.3">
      <c r="D590" s="2"/>
      <c r="E590" s="44"/>
      <c r="F590" s="44"/>
      <c r="G590" s="2"/>
      <c r="H590" s="2"/>
      <c r="I590" s="45"/>
      <c r="J590" s="2"/>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spans="4:37" ht="12.75" customHeight="1" x14ac:dyDescent="0.3">
      <c r="D591" s="2"/>
      <c r="E591" s="44"/>
      <c r="F591" s="44"/>
      <c r="G591" s="2"/>
      <c r="H591" s="2"/>
      <c r="I591" s="45"/>
      <c r="J591" s="2"/>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spans="4:37" ht="12.75" customHeight="1" x14ac:dyDescent="0.3">
      <c r="D592" s="2"/>
      <c r="E592" s="44"/>
      <c r="F592" s="44"/>
      <c r="G592" s="2"/>
      <c r="H592" s="2"/>
      <c r="I592" s="45"/>
      <c r="J592" s="2"/>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spans="4:37" ht="12.75" customHeight="1" x14ac:dyDescent="0.3">
      <c r="D593" s="2"/>
      <c r="E593" s="44"/>
      <c r="F593" s="44"/>
      <c r="G593" s="2"/>
      <c r="H593" s="2"/>
      <c r="I593" s="45"/>
      <c r="J593" s="2"/>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spans="4:37" ht="12.75" customHeight="1" x14ac:dyDescent="0.3">
      <c r="D594" s="2"/>
      <c r="E594" s="44"/>
      <c r="F594" s="44"/>
      <c r="G594" s="2"/>
      <c r="H594" s="2"/>
      <c r="I594" s="45"/>
      <c r="J594" s="2"/>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spans="4:37" ht="12.75" customHeight="1" x14ac:dyDescent="0.3">
      <c r="D595" s="2"/>
      <c r="E595" s="44"/>
      <c r="F595" s="44"/>
      <c r="G595" s="2"/>
      <c r="H595" s="2"/>
      <c r="I595" s="45"/>
      <c r="J595" s="2"/>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spans="4:37" ht="12.75" customHeight="1" x14ac:dyDescent="0.3">
      <c r="D596" s="2"/>
      <c r="E596" s="44"/>
      <c r="F596" s="44"/>
      <c r="G596" s="2"/>
      <c r="H596" s="2"/>
      <c r="I596" s="45"/>
      <c r="J596" s="2"/>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spans="4:37" ht="12.75" customHeight="1" x14ac:dyDescent="0.3">
      <c r="D597" s="2"/>
      <c r="E597" s="44"/>
      <c r="F597" s="44"/>
      <c r="G597" s="2"/>
      <c r="H597" s="2"/>
      <c r="I597" s="45"/>
      <c r="J597" s="2"/>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spans="4:37" ht="12.75" customHeight="1" x14ac:dyDescent="0.3">
      <c r="D598" s="2"/>
      <c r="E598" s="44"/>
      <c r="F598" s="44"/>
      <c r="G598" s="2"/>
      <c r="H598" s="2"/>
      <c r="I598" s="45"/>
      <c r="J598" s="2"/>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spans="4:37" ht="12.75" customHeight="1" x14ac:dyDescent="0.3">
      <c r="D599" s="2"/>
      <c r="E599" s="44"/>
      <c r="F599" s="44"/>
      <c r="G599" s="2"/>
      <c r="H599" s="2"/>
      <c r="I599" s="45"/>
      <c r="J599" s="2"/>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spans="4:37" ht="12.75" customHeight="1" x14ac:dyDescent="0.3">
      <c r="D600" s="2"/>
      <c r="E600" s="44"/>
      <c r="F600" s="44"/>
      <c r="G600" s="2"/>
      <c r="H600" s="2"/>
      <c r="I600" s="45"/>
      <c r="J600" s="2"/>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spans="4:37" ht="12.75" customHeight="1" x14ac:dyDescent="0.3">
      <c r="D601" s="2"/>
      <c r="E601" s="44"/>
      <c r="F601" s="44"/>
      <c r="G601" s="2"/>
      <c r="H601" s="2"/>
      <c r="I601" s="45"/>
      <c r="J601" s="2"/>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spans="4:37" ht="12.75" customHeight="1" x14ac:dyDescent="0.3">
      <c r="D602" s="2"/>
      <c r="E602" s="44"/>
      <c r="F602" s="44"/>
      <c r="G602" s="2"/>
      <c r="H602" s="2"/>
      <c r="I602" s="45"/>
      <c r="J602" s="2"/>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spans="4:37" ht="12.75" customHeight="1" x14ac:dyDescent="0.3">
      <c r="D603" s="2"/>
      <c r="E603" s="44"/>
      <c r="F603" s="44"/>
      <c r="G603" s="2"/>
      <c r="H603" s="2"/>
      <c r="I603" s="45"/>
      <c r="J603" s="2"/>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spans="4:37" ht="12.75" customHeight="1" x14ac:dyDescent="0.3">
      <c r="D604" s="2"/>
      <c r="E604" s="44"/>
      <c r="F604" s="44"/>
      <c r="G604" s="2"/>
      <c r="H604" s="2"/>
      <c r="I604" s="45"/>
      <c r="J604" s="2"/>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spans="4:37" ht="12.75" customHeight="1" x14ac:dyDescent="0.3">
      <c r="D605" s="2"/>
      <c r="E605" s="44"/>
      <c r="F605" s="44"/>
      <c r="G605" s="2"/>
      <c r="H605" s="2"/>
      <c r="I605" s="45"/>
      <c r="J605" s="2"/>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spans="4:37" ht="12.75" customHeight="1" x14ac:dyDescent="0.3">
      <c r="D606" s="2"/>
      <c r="E606" s="44"/>
      <c r="F606" s="44"/>
      <c r="G606" s="2"/>
      <c r="H606" s="2"/>
      <c r="I606" s="45"/>
      <c r="J606" s="2"/>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spans="4:37" ht="12.75" customHeight="1" x14ac:dyDescent="0.3">
      <c r="D607" s="2"/>
      <c r="E607" s="44"/>
      <c r="F607" s="44"/>
      <c r="G607" s="2"/>
      <c r="H607" s="2"/>
      <c r="I607" s="45"/>
      <c r="J607" s="2"/>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spans="4:37" ht="12.75" customHeight="1" x14ac:dyDescent="0.3">
      <c r="D608" s="2"/>
      <c r="E608" s="44"/>
      <c r="F608" s="44"/>
      <c r="G608" s="2"/>
      <c r="H608" s="2"/>
      <c r="I608" s="45"/>
      <c r="J608" s="2"/>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spans="4:37" ht="12.75" customHeight="1" x14ac:dyDescent="0.3">
      <c r="D609" s="2"/>
      <c r="E609" s="44"/>
      <c r="F609" s="44"/>
      <c r="G609" s="2"/>
      <c r="H609" s="2"/>
      <c r="I609" s="45"/>
      <c r="J609" s="2"/>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spans="4:37" ht="12.75" customHeight="1" x14ac:dyDescent="0.3">
      <c r="D610" s="2"/>
      <c r="E610" s="44"/>
      <c r="F610" s="44"/>
      <c r="G610" s="2"/>
      <c r="H610" s="2"/>
      <c r="I610" s="45"/>
      <c r="J610" s="2"/>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spans="4:37" ht="12.75" customHeight="1" x14ac:dyDescent="0.3">
      <c r="D611" s="2"/>
      <c r="E611" s="44"/>
      <c r="F611" s="44"/>
      <c r="G611" s="2"/>
      <c r="H611" s="2"/>
      <c r="I611" s="45"/>
      <c r="J611" s="2"/>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spans="4:37" ht="12.75" customHeight="1" x14ac:dyDescent="0.3">
      <c r="D612" s="2"/>
      <c r="E612" s="44"/>
      <c r="F612" s="44"/>
      <c r="G612" s="2"/>
      <c r="H612" s="2"/>
      <c r="I612" s="45"/>
      <c r="J612" s="2"/>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spans="4:37" ht="12.75" customHeight="1" x14ac:dyDescent="0.3">
      <c r="D613" s="2"/>
      <c r="E613" s="44"/>
      <c r="F613" s="44"/>
      <c r="G613" s="2"/>
      <c r="H613" s="2"/>
      <c r="I613" s="45"/>
      <c r="J613" s="2"/>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spans="4:37" ht="12.75" customHeight="1" x14ac:dyDescent="0.3">
      <c r="D614" s="2"/>
      <c r="E614" s="44"/>
      <c r="F614" s="44"/>
      <c r="G614" s="2"/>
      <c r="H614" s="2"/>
      <c r="I614" s="45"/>
      <c r="J614" s="2"/>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spans="4:37" ht="12.75" customHeight="1" x14ac:dyDescent="0.3">
      <c r="D615" s="2"/>
      <c r="E615" s="44"/>
      <c r="F615" s="44"/>
      <c r="G615" s="2"/>
      <c r="H615" s="2"/>
      <c r="I615" s="45"/>
      <c r="J615" s="2"/>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spans="4:37" ht="12.75" customHeight="1" x14ac:dyDescent="0.3">
      <c r="D616" s="2"/>
      <c r="E616" s="44"/>
      <c r="F616" s="44"/>
      <c r="G616" s="2"/>
      <c r="H616" s="2"/>
      <c r="I616" s="45"/>
      <c r="J616" s="2"/>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spans="4:37" ht="12.75" customHeight="1" x14ac:dyDescent="0.3">
      <c r="D617" s="2"/>
      <c r="E617" s="44"/>
      <c r="F617" s="44"/>
      <c r="G617" s="2"/>
      <c r="H617" s="2"/>
      <c r="I617" s="45"/>
      <c r="J617" s="2"/>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spans="4:37" ht="12.75" customHeight="1" x14ac:dyDescent="0.3">
      <c r="D618" s="2"/>
      <c r="E618" s="44"/>
      <c r="F618" s="44"/>
      <c r="G618" s="2"/>
      <c r="H618" s="2"/>
      <c r="I618" s="45"/>
      <c r="J618" s="2"/>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spans="4:37" ht="12.75" customHeight="1" x14ac:dyDescent="0.3">
      <c r="D619" s="2"/>
      <c r="E619" s="44"/>
      <c r="F619" s="44"/>
      <c r="G619" s="2"/>
      <c r="H619" s="2"/>
      <c r="I619" s="45"/>
      <c r="J619" s="2"/>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spans="4:37" ht="12.75" customHeight="1" x14ac:dyDescent="0.3">
      <c r="D620" s="2"/>
      <c r="E620" s="44"/>
      <c r="F620" s="44"/>
      <c r="G620" s="2"/>
      <c r="H620" s="2"/>
      <c r="I620" s="45"/>
      <c r="J620" s="2"/>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spans="4:37" ht="12.75" customHeight="1" x14ac:dyDescent="0.3">
      <c r="D621" s="2"/>
      <c r="E621" s="44"/>
      <c r="F621" s="44"/>
      <c r="G621" s="2"/>
      <c r="H621" s="2"/>
      <c r="I621" s="45"/>
      <c r="J621" s="2"/>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spans="4:37" ht="12.75" customHeight="1" x14ac:dyDescent="0.3">
      <c r="D622" s="2"/>
      <c r="E622" s="44"/>
      <c r="F622" s="44"/>
      <c r="G622" s="2"/>
      <c r="H622" s="2"/>
      <c r="I622" s="45"/>
      <c r="J622" s="2"/>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spans="4:37" ht="12.75" customHeight="1" x14ac:dyDescent="0.3">
      <c r="D623" s="2"/>
      <c r="E623" s="44"/>
      <c r="F623" s="44"/>
      <c r="G623" s="2"/>
      <c r="H623" s="2"/>
      <c r="I623" s="45"/>
      <c r="J623" s="2"/>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spans="4:37" ht="12.75" customHeight="1" x14ac:dyDescent="0.3">
      <c r="D624" s="2"/>
      <c r="E624" s="44"/>
      <c r="F624" s="44"/>
      <c r="G624" s="2"/>
      <c r="H624" s="2"/>
      <c r="I624" s="45"/>
      <c r="J624" s="2"/>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spans="4:37" ht="12.75" customHeight="1" x14ac:dyDescent="0.3">
      <c r="D625" s="2"/>
      <c r="E625" s="44"/>
      <c r="F625" s="44"/>
      <c r="G625" s="2"/>
      <c r="H625" s="2"/>
      <c r="I625" s="45"/>
      <c r="J625" s="2"/>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spans="4:37" ht="12.75" customHeight="1" x14ac:dyDescent="0.3">
      <c r="D626" s="2"/>
      <c r="E626" s="44"/>
      <c r="F626" s="44"/>
      <c r="G626" s="2"/>
      <c r="H626" s="2"/>
      <c r="I626" s="45"/>
      <c r="J626" s="2"/>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spans="4:37" ht="12.75" customHeight="1" x14ac:dyDescent="0.3">
      <c r="D627" s="2"/>
      <c r="E627" s="44"/>
      <c r="F627" s="44"/>
      <c r="G627" s="2"/>
      <c r="H627" s="2"/>
      <c r="I627" s="45"/>
      <c r="J627" s="2"/>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spans="4:37" ht="12.75" customHeight="1" x14ac:dyDescent="0.3">
      <c r="D628" s="2"/>
      <c r="E628" s="44"/>
      <c r="F628" s="44"/>
      <c r="G628" s="2"/>
      <c r="H628" s="2"/>
      <c r="I628" s="45"/>
      <c r="J628" s="2"/>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spans="4:37" ht="12.75" customHeight="1" x14ac:dyDescent="0.3">
      <c r="D629" s="2"/>
      <c r="E629" s="44"/>
      <c r="F629" s="44"/>
      <c r="G629" s="2"/>
      <c r="H629" s="2"/>
      <c r="I629" s="45"/>
      <c r="J629" s="2"/>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spans="4:37" ht="12.75" customHeight="1" x14ac:dyDescent="0.3">
      <c r="D630" s="2"/>
      <c r="E630" s="44"/>
      <c r="F630" s="44"/>
      <c r="G630" s="2"/>
      <c r="H630" s="2"/>
      <c r="I630" s="45"/>
      <c r="J630" s="2"/>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spans="4:37" ht="12.75" customHeight="1" x14ac:dyDescent="0.3">
      <c r="D631" s="2"/>
      <c r="E631" s="44"/>
      <c r="F631" s="44"/>
      <c r="G631" s="2"/>
      <c r="H631" s="2"/>
      <c r="I631" s="45"/>
      <c r="J631" s="2"/>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spans="4:37" ht="12.75" customHeight="1" x14ac:dyDescent="0.3">
      <c r="D632" s="2"/>
      <c r="E632" s="44"/>
      <c r="F632" s="44"/>
      <c r="G632" s="2"/>
      <c r="H632" s="2"/>
      <c r="I632" s="45"/>
      <c r="J632" s="2"/>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spans="4:37" ht="12.75" customHeight="1" x14ac:dyDescent="0.3">
      <c r="D633" s="2"/>
      <c r="E633" s="44"/>
      <c r="F633" s="44"/>
      <c r="G633" s="2"/>
      <c r="H633" s="2"/>
      <c r="I633" s="45"/>
      <c r="J633" s="2"/>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spans="4:37" ht="12.75" customHeight="1" x14ac:dyDescent="0.3">
      <c r="D634" s="2"/>
      <c r="E634" s="44"/>
      <c r="F634" s="44"/>
      <c r="G634" s="2"/>
      <c r="H634" s="2"/>
      <c r="I634" s="45"/>
      <c r="J634" s="2"/>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spans="4:37" ht="12.75" customHeight="1" x14ac:dyDescent="0.3">
      <c r="D635" s="2"/>
      <c r="E635" s="44"/>
      <c r="F635" s="44"/>
      <c r="G635" s="2"/>
      <c r="H635" s="2"/>
      <c r="I635" s="45"/>
      <c r="J635" s="2"/>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spans="4:37" ht="12.75" customHeight="1" x14ac:dyDescent="0.3">
      <c r="D636" s="2"/>
      <c r="E636" s="44"/>
      <c r="F636" s="44"/>
      <c r="G636" s="2"/>
      <c r="H636" s="2"/>
      <c r="I636" s="45"/>
      <c r="J636" s="2"/>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spans="4:37" ht="12.75" customHeight="1" x14ac:dyDescent="0.3">
      <c r="D637" s="2"/>
      <c r="E637" s="44"/>
      <c r="F637" s="44"/>
      <c r="G637" s="2"/>
      <c r="H637" s="2"/>
      <c r="I637" s="45"/>
      <c r="J637" s="2"/>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spans="4:37" ht="12.75" customHeight="1" x14ac:dyDescent="0.3">
      <c r="D638" s="2"/>
      <c r="E638" s="44"/>
      <c r="F638" s="44"/>
      <c r="G638" s="2"/>
      <c r="H638" s="2"/>
      <c r="I638" s="45"/>
      <c r="J638" s="2"/>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spans="4:37" ht="12.75" customHeight="1" x14ac:dyDescent="0.3">
      <c r="D639" s="2"/>
      <c r="E639" s="44"/>
      <c r="F639" s="44"/>
      <c r="G639" s="2"/>
      <c r="H639" s="2"/>
      <c r="I639" s="45"/>
      <c r="J639" s="2"/>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spans="4:37" ht="12.75" customHeight="1" x14ac:dyDescent="0.3">
      <c r="D640" s="2"/>
      <c r="E640" s="44"/>
      <c r="F640" s="44"/>
      <c r="G640" s="2"/>
      <c r="H640" s="2"/>
      <c r="I640" s="45"/>
      <c r="J640" s="2"/>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spans="4:37" ht="12.75" customHeight="1" x14ac:dyDescent="0.3">
      <c r="D641" s="2"/>
      <c r="E641" s="44"/>
      <c r="F641" s="44"/>
      <c r="G641" s="2"/>
      <c r="H641" s="2"/>
      <c r="I641" s="45"/>
      <c r="J641" s="2"/>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spans="4:37" ht="12.75" customHeight="1" x14ac:dyDescent="0.3">
      <c r="D642" s="2"/>
      <c r="E642" s="44"/>
      <c r="F642" s="44"/>
      <c r="G642" s="2"/>
      <c r="H642" s="2"/>
      <c r="I642" s="45"/>
      <c r="J642" s="2"/>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spans="4:37" ht="12.75" customHeight="1" x14ac:dyDescent="0.3">
      <c r="D643" s="2"/>
      <c r="E643" s="44"/>
      <c r="F643" s="44"/>
      <c r="G643" s="2"/>
      <c r="H643" s="2"/>
      <c r="I643" s="45"/>
      <c r="J643" s="2"/>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spans="4:37" ht="12.75" customHeight="1" x14ac:dyDescent="0.3">
      <c r="D644" s="2"/>
      <c r="E644" s="44"/>
      <c r="F644" s="44"/>
      <c r="G644" s="2"/>
      <c r="H644" s="2"/>
      <c r="I644" s="45"/>
      <c r="J644" s="2"/>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spans="4:37" ht="12.75" customHeight="1" x14ac:dyDescent="0.3">
      <c r="D645" s="2"/>
      <c r="E645" s="44"/>
      <c r="F645" s="44"/>
      <c r="G645" s="2"/>
      <c r="H645" s="2"/>
      <c r="I645" s="45"/>
      <c r="J645" s="2"/>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spans="4:37" ht="12.75" customHeight="1" x14ac:dyDescent="0.3">
      <c r="D646" s="2"/>
      <c r="E646" s="44"/>
      <c r="F646" s="44"/>
      <c r="G646" s="2"/>
      <c r="H646" s="2"/>
      <c r="I646" s="45"/>
      <c r="J646" s="2"/>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spans="4:37" ht="12.75" customHeight="1" x14ac:dyDescent="0.3">
      <c r="D647" s="2"/>
      <c r="E647" s="44"/>
      <c r="F647" s="44"/>
      <c r="G647" s="2"/>
      <c r="H647" s="2"/>
      <c r="I647" s="45"/>
      <c r="J647" s="2"/>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spans="4:37" ht="12.75" customHeight="1" x14ac:dyDescent="0.3">
      <c r="D648" s="2"/>
      <c r="E648" s="44"/>
      <c r="F648" s="44"/>
      <c r="G648" s="2"/>
      <c r="H648" s="2"/>
      <c r="I648" s="45"/>
      <c r="J648" s="2"/>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spans="4:37" ht="12.75" customHeight="1" x14ac:dyDescent="0.3">
      <c r="D649" s="2"/>
      <c r="E649" s="44"/>
      <c r="F649" s="44"/>
      <c r="G649" s="2"/>
      <c r="H649" s="2"/>
      <c r="I649" s="45"/>
      <c r="J649" s="2"/>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spans="4:37" ht="12.75" customHeight="1" x14ac:dyDescent="0.3">
      <c r="D650" s="2"/>
      <c r="E650" s="44"/>
      <c r="F650" s="44"/>
      <c r="G650" s="2"/>
      <c r="H650" s="2"/>
      <c r="I650" s="45"/>
      <c r="J650" s="2"/>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spans="4:37" ht="12.75" customHeight="1" x14ac:dyDescent="0.3">
      <c r="D651" s="2"/>
      <c r="E651" s="44"/>
      <c r="F651" s="44"/>
      <c r="G651" s="2"/>
      <c r="H651" s="2"/>
      <c r="I651" s="45"/>
      <c r="J651" s="2"/>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spans="4:37" ht="12.75" customHeight="1" x14ac:dyDescent="0.3">
      <c r="D652" s="2"/>
      <c r="E652" s="44"/>
      <c r="F652" s="44"/>
      <c r="G652" s="2"/>
      <c r="H652" s="2"/>
      <c r="I652" s="45"/>
      <c r="J652" s="2"/>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spans="4:37" ht="12.75" customHeight="1" x14ac:dyDescent="0.3">
      <c r="D653" s="2"/>
      <c r="E653" s="44"/>
      <c r="F653" s="44"/>
      <c r="G653" s="2"/>
      <c r="H653" s="2"/>
      <c r="I653" s="45"/>
      <c r="J653" s="2"/>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spans="4:37" ht="12.75" customHeight="1" x14ac:dyDescent="0.3">
      <c r="D654" s="2"/>
      <c r="E654" s="44"/>
      <c r="F654" s="44"/>
      <c r="G654" s="2"/>
      <c r="H654" s="2"/>
      <c r="I654" s="45"/>
      <c r="J654" s="2"/>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spans="4:37" ht="12.75" customHeight="1" x14ac:dyDescent="0.3">
      <c r="D655" s="2"/>
      <c r="E655" s="44"/>
      <c r="F655" s="44"/>
      <c r="G655" s="2"/>
      <c r="H655" s="2"/>
      <c r="I655" s="45"/>
      <c r="J655" s="2"/>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spans="4:37" ht="12.75" customHeight="1" x14ac:dyDescent="0.3">
      <c r="D656" s="2"/>
      <c r="E656" s="44"/>
      <c r="F656" s="44"/>
      <c r="G656" s="2"/>
      <c r="H656" s="2"/>
      <c r="I656" s="45"/>
      <c r="J656" s="2"/>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spans="4:37" ht="12.75" customHeight="1" x14ac:dyDescent="0.3">
      <c r="D657" s="2"/>
      <c r="E657" s="44"/>
      <c r="F657" s="44"/>
      <c r="G657" s="2"/>
      <c r="H657" s="2"/>
      <c r="I657" s="45"/>
      <c r="J657" s="2"/>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spans="4:37" ht="12.75" customHeight="1" x14ac:dyDescent="0.3">
      <c r="D658" s="2"/>
      <c r="E658" s="44"/>
      <c r="F658" s="44"/>
      <c r="G658" s="2"/>
      <c r="H658" s="2"/>
      <c r="I658" s="45"/>
      <c r="J658" s="2"/>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spans="4:37" ht="12.75" customHeight="1" x14ac:dyDescent="0.3">
      <c r="D659" s="2"/>
      <c r="E659" s="44"/>
      <c r="F659" s="44"/>
      <c r="G659" s="2"/>
      <c r="H659" s="2"/>
      <c r="I659" s="45"/>
      <c r="J659" s="2"/>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spans="4:37" ht="12.75" customHeight="1" x14ac:dyDescent="0.3">
      <c r="D660" s="2"/>
      <c r="E660" s="44"/>
      <c r="F660" s="44"/>
      <c r="G660" s="2"/>
      <c r="H660" s="2"/>
      <c r="I660" s="45"/>
      <c r="J660" s="2"/>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spans="4:37" ht="12.75" customHeight="1" x14ac:dyDescent="0.3">
      <c r="D661" s="2"/>
      <c r="E661" s="44"/>
      <c r="F661" s="44"/>
      <c r="G661" s="2"/>
      <c r="H661" s="2"/>
      <c r="I661" s="45"/>
      <c r="J661" s="2"/>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spans="4:37" ht="12.75" customHeight="1" x14ac:dyDescent="0.3">
      <c r="D662" s="2"/>
      <c r="E662" s="44"/>
      <c r="F662" s="44"/>
      <c r="G662" s="2"/>
      <c r="H662" s="2"/>
      <c r="I662" s="45"/>
      <c r="J662" s="2"/>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spans="4:37" ht="12.75" customHeight="1" x14ac:dyDescent="0.3">
      <c r="D663" s="2"/>
      <c r="E663" s="44"/>
      <c r="F663" s="44"/>
      <c r="G663" s="2"/>
      <c r="H663" s="2"/>
      <c r="I663" s="45"/>
      <c r="J663" s="2"/>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spans="4:37" ht="12.75" customHeight="1" x14ac:dyDescent="0.3">
      <c r="D664" s="2"/>
      <c r="E664" s="44"/>
      <c r="F664" s="44"/>
      <c r="G664" s="2"/>
      <c r="H664" s="2"/>
      <c r="I664" s="45"/>
      <c r="J664" s="2"/>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spans="4:37" ht="12.75" customHeight="1" x14ac:dyDescent="0.3">
      <c r="D665" s="2"/>
      <c r="E665" s="44"/>
      <c r="F665" s="44"/>
      <c r="G665" s="2"/>
      <c r="H665" s="2"/>
      <c r="I665" s="45"/>
      <c r="J665" s="2"/>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spans="4:37" ht="12.75" customHeight="1" x14ac:dyDescent="0.3">
      <c r="D666" s="2"/>
      <c r="E666" s="44"/>
      <c r="F666" s="44"/>
      <c r="G666" s="2"/>
      <c r="H666" s="2"/>
      <c r="I666" s="45"/>
      <c r="J666" s="2"/>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spans="4:37" ht="12.75" customHeight="1" x14ac:dyDescent="0.3">
      <c r="D667" s="2"/>
      <c r="E667" s="44"/>
      <c r="F667" s="44"/>
      <c r="G667" s="2"/>
      <c r="H667" s="2"/>
      <c r="I667" s="45"/>
      <c r="J667" s="2"/>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spans="4:37" ht="12.75" customHeight="1" x14ac:dyDescent="0.3">
      <c r="D668" s="2"/>
      <c r="E668" s="44"/>
      <c r="F668" s="44"/>
      <c r="G668" s="2"/>
      <c r="H668" s="2"/>
      <c r="I668" s="45"/>
      <c r="J668" s="2"/>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spans="4:37" ht="12.75" customHeight="1" x14ac:dyDescent="0.3">
      <c r="D669" s="2"/>
      <c r="E669" s="44"/>
      <c r="F669" s="44"/>
      <c r="G669" s="2"/>
      <c r="H669" s="2"/>
      <c r="I669" s="45"/>
      <c r="J669" s="2"/>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spans="4:37" ht="12.75" customHeight="1" x14ac:dyDescent="0.3">
      <c r="D670" s="2"/>
      <c r="E670" s="44"/>
      <c r="F670" s="44"/>
      <c r="G670" s="2"/>
      <c r="H670" s="2"/>
      <c r="I670" s="45"/>
      <c r="J670" s="2"/>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spans="4:37" ht="12.75" customHeight="1" x14ac:dyDescent="0.3">
      <c r="D671" s="2"/>
      <c r="E671" s="44"/>
      <c r="F671" s="44"/>
      <c r="G671" s="2"/>
      <c r="H671" s="2"/>
      <c r="I671" s="45"/>
      <c r="J671" s="2"/>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spans="4:37" ht="12.75" customHeight="1" x14ac:dyDescent="0.3">
      <c r="D672" s="2"/>
      <c r="E672" s="44"/>
      <c r="F672" s="44"/>
      <c r="G672" s="2"/>
      <c r="H672" s="2"/>
      <c r="I672" s="45"/>
      <c r="J672" s="2"/>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spans="4:37" ht="12.75" customHeight="1" x14ac:dyDescent="0.3">
      <c r="D673" s="2"/>
      <c r="E673" s="44"/>
      <c r="F673" s="44"/>
      <c r="G673" s="2"/>
      <c r="H673" s="2"/>
      <c r="I673" s="45"/>
      <c r="J673" s="2"/>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spans="4:37" ht="12.75" customHeight="1" x14ac:dyDescent="0.3">
      <c r="D674" s="2"/>
      <c r="E674" s="44"/>
      <c r="F674" s="44"/>
      <c r="G674" s="2"/>
      <c r="H674" s="2"/>
      <c r="I674" s="45"/>
      <c r="J674" s="2"/>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spans="4:37" ht="12.75" customHeight="1" x14ac:dyDescent="0.3">
      <c r="D675" s="2"/>
      <c r="E675" s="44"/>
      <c r="F675" s="44"/>
      <c r="G675" s="2"/>
      <c r="H675" s="2"/>
      <c r="I675" s="45"/>
      <c r="J675" s="2"/>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spans="4:37" ht="12.75" customHeight="1" x14ac:dyDescent="0.3">
      <c r="D676" s="2"/>
      <c r="E676" s="44"/>
      <c r="F676" s="44"/>
      <c r="G676" s="2"/>
      <c r="H676" s="2"/>
      <c r="I676" s="45"/>
      <c r="J676" s="2"/>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spans="4:37" ht="12.75" customHeight="1" x14ac:dyDescent="0.3">
      <c r="D677" s="2"/>
      <c r="E677" s="44"/>
      <c r="F677" s="44"/>
      <c r="G677" s="2"/>
      <c r="H677" s="2"/>
      <c r="I677" s="45"/>
      <c r="J677" s="2"/>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spans="4:37" ht="12.75" customHeight="1" x14ac:dyDescent="0.3">
      <c r="D678" s="2"/>
      <c r="E678" s="44"/>
      <c r="F678" s="44"/>
      <c r="G678" s="2"/>
      <c r="H678" s="2"/>
      <c r="I678" s="45"/>
      <c r="J678" s="2"/>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spans="4:37" ht="12.75" customHeight="1" x14ac:dyDescent="0.3">
      <c r="D679" s="2"/>
      <c r="E679" s="44"/>
      <c r="F679" s="44"/>
      <c r="G679" s="2"/>
      <c r="H679" s="2"/>
      <c r="I679" s="45"/>
      <c r="J679" s="2"/>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spans="4:37" ht="12.75" customHeight="1" x14ac:dyDescent="0.3">
      <c r="D680" s="2"/>
      <c r="E680" s="44"/>
      <c r="F680" s="44"/>
      <c r="G680" s="2"/>
      <c r="H680" s="2"/>
      <c r="I680" s="45"/>
      <c r="J680" s="2"/>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spans="4:37" ht="12.75" customHeight="1" x14ac:dyDescent="0.3">
      <c r="D681" s="2"/>
      <c r="E681" s="44"/>
      <c r="F681" s="44"/>
      <c r="G681" s="2"/>
      <c r="H681" s="2"/>
      <c r="I681" s="45"/>
      <c r="J681" s="2"/>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spans="4:37" ht="12.75" customHeight="1" x14ac:dyDescent="0.3">
      <c r="D682" s="2"/>
      <c r="E682" s="44"/>
      <c r="F682" s="44"/>
      <c r="G682" s="2"/>
      <c r="H682" s="2"/>
      <c r="I682" s="45"/>
      <c r="J682" s="2"/>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spans="4:37" ht="12.75" customHeight="1" x14ac:dyDescent="0.3">
      <c r="D683" s="2"/>
      <c r="E683" s="44"/>
      <c r="F683" s="44"/>
      <c r="G683" s="2"/>
      <c r="H683" s="2"/>
      <c r="I683" s="45"/>
      <c r="J683" s="2"/>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spans="4:37" ht="12.75" customHeight="1" x14ac:dyDescent="0.3">
      <c r="D684" s="2"/>
      <c r="E684" s="44"/>
      <c r="F684" s="44"/>
      <c r="G684" s="2"/>
      <c r="H684" s="2"/>
      <c r="I684" s="45"/>
      <c r="J684" s="2"/>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spans="4:37" ht="12.75" customHeight="1" x14ac:dyDescent="0.3">
      <c r="D685" s="2"/>
      <c r="E685" s="44"/>
      <c r="F685" s="44"/>
      <c r="G685" s="2"/>
      <c r="H685" s="2"/>
      <c r="I685" s="45"/>
      <c r="J685" s="2"/>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spans="4:37" ht="12.75" customHeight="1" x14ac:dyDescent="0.3">
      <c r="D686" s="2"/>
      <c r="E686" s="44"/>
      <c r="F686" s="44"/>
      <c r="G686" s="2"/>
      <c r="H686" s="2"/>
      <c r="I686" s="45"/>
      <c r="J686" s="2"/>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spans="4:37" ht="12.75" customHeight="1" x14ac:dyDescent="0.3">
      <c r="D687" s="2"/>
      <c r="E687" s="44"/>
      <c r="F687" s="44"/>
      <c r="G687" s="2"/>
      <c r="H687" s="2"/>
      <c r="I687" s="45"/>
      <c r="J687" s="2"/>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spans="4:37" ht="12.75" customHeight="1" x14ac:dyDescent="0.3">
      <c r="D688" s="2"/>
      <c r="E688" s="44"/>
      <c r="F688" s="44"/>
      <c r="G688" s="2"/>
      <c r="H688" s="2"/>
      <c r="I688" s="45"/>
      <c r="J688" s="2"/>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spans="4:37" ht="12.75" customHeight="1" x14ac:dyDescent="0.3">
      <c r="D689" s="2"/>
      <c r="E689" s="44"/>
      <c r="F689" s="44"/>
      <c r="G689" s="2"/>
      <c r="H689" s="2"/>
      <c r="I689" s="45"/>
      <c r="J689" s="2"/>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spans="4:37" ht="12.75" customHeight="1" x14ac:dyDescent="0.3">
      <c r="D690" s="2"/>
      <c r="E690" s="44"/>
      <c r="F690" s="44"/>
      <c r="G690" s="2"/>
      <c r="H690" s="2"/>
      <c r="I690" s="45"/>
      <c r="J690" s="2"/>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spans="4:37" ht="12.75" customHeight="1" x14ac:dyDescent="0.3">
      <c r="D691" s="2"/>
      <c r="E691" s="44"/>
      <c r="F691" s="44"/>
      <c r="G691" s="2"/>
      <c r="H691" s="2"/>
      <c r="I691" s="45"/>
      <c r="J691" s="2"/>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spans="4:37" ht="12.75" customHeight="1" x14ac:dyDescent="0.3">
      <c r="D692" s="2"/>
      <c r="E692" s="44"/>
      <c r="F692" s="44"/>
      <c r="G692" s="2"/>
      <c r="H692" s="2"/>
      <c r="I692" s="45"/>
      <c r="J692" s="2"/>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spans="4:37" ht="12.75" customHeight="1" x14ac:dyDescent="0.3">
      <c r="D693" s="2"/>
      <c r="E693" s="44"/>
      <c r="F693" s="44"/>
      <c r="G693" s="2"/>
      <c r="H693" s="2"/>
      <c r="I693" s="45"/>
      <c r="J693" s="2"/>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spans="4:37" ht="12.75" customHeight="1" x14ac:dyDescent="0.3">
      <c r="D694" s="2"/>
      <c r="E694" s="44"/>
      <c r="F694" s="44"/>
      <c r="G694" s="2"/>
      <c r="H694" s="2"/>
      <c r="I694" s="45"/>
      <c r="J694" s="2"/>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spans="4:37" ht="12.75" customHeight="1" x14ac:dyDescent="0.3">
      <c r="D695" s="2"/>
      <c r="E695" s="44"/>
      <c r="F695" s="44"/>
      <c r="G695" s="2"/>
      <c r="H695" s="2"/>
      <c r="I695" s="45"/>
      <c r="J695" s="2"/>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spans="4:37" ht="12.75" customHeight="1" x14ac:dyDescent="0.3">
      <c r="D696" s="2"/>
      <c r="E696" s="44"/>
      <c r="F696" s="44"/>
      <c r="G696" s="2"/>
      <c r="H696" s="2"/>
      <c r="I696" s="45"/>
      <c r="J696" s="2"/>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spans="4:37" ht="12.75" customHeight="1" x14ac:dyDescent="0.3">
      <c r="D697" s="2"/>
      <c r="E697" s="44"/>
      <c r="F697" s="44"/>
      <c r="G697" s="2"/>
      <c r="H697" s="2"/>
      <c r="I697" s="45"/>
      <c r="J697" s="2"/>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spans="4:37" ht="12.75" customHeight="1" x14ac:dyDescent="0.3">
      <c r="D698" s="2"/>
      <c r="E698" s="44"/>
      <c r="F698" s="44"/>
      <c r="G698" s="2"/>
      <c r="H698" s="2"/>
      <c r="I698" s="45"/>
      <c r="J698" s="2"/>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spans="4:37" ht="12.75" customHeight="1" x14ac:dyDescent="0.3">
      <c r="D699" s="2"/>
      <c r="E699" s="44"/>
      <c r="F699" s="44"/>
      <c r="G699" s="2"/>
      <c r="H699" s="2"/>
      <c r="I699" s="45"/>
      <c r="J699" s="2"/>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spans="4:37" ht="12.75" customHeight="1" x14ac:dyDescent="0.3">
      <c r="D700" s="2"/>
      <c r="E700" s="44"/>
      <c r="F700" s="44"/>
      <c r="G700" s="2"/>
      <c r="H700" s="2"/>
      <c r="I700" s="45"/>
      <c r="J700" s="2"/>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spans="4:37" ht="12.75" customHeight="1" x14ac:dyDescent="0.3">
      <c r="D701" s="2"/>
      <c r="E701" s="44"/>
      <c r="F701" s="44"/>
      <c r="G701" s="2"/>
      <c r="H701" s="2"/>
      <c r="I701" s="45"/>
      <c r="J701" s="2"/>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spans="4:37" ht="12.75" customHeight="1" x14ac:dyDescent="0.3">
      <c r="D702" s="2"/>
      <c r="E702" s="44"/>
      <c r="F702" s="44"/>
      <c r="G702" s="2"/>
      <c r="H702" s="2"/>
      <c r="I702" s="45"/>
      <c r="J702" s="2"/>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spans="4:37" ht="12.75" customHeight="1" x14ac:dyDescent="0.3">
      <c r="D703" s="2"/>
      <c r="E703" s="44"/>
      <c r="F703" s="44"/>
      <c r="G703" s="2"/>
      <c r="H703" s="2"/>
      <c r="I703" s="45"/>
      <c r="J703" s="2"/>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spans="4:37" ht="12.75" customHeight="1" x14ac:dyDescent="0.3">
      <c r="D704" s="2"/>
      <c r="E704" s="44"/>
      <c r="F704" s="44"/>
      <c r="G704" s="2"/>
      <c r="H704" s="2"/>
      <c r="I704" s="45"/>
      <c r="J704" s="2"/>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spans="4:37" ht="12.75" customHeight="1" x14ac:dyDescent="0.3">
      <c r="D705" s="2"/>
      <c r="E705" s="44"/>
      <c r="F705" s="44"/>
      <c r="G705" s="2"/>
      <c r="H705" s="2"/>
      <c r="I705" s="45"/>
      <c r="J705" s="2"/>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spans="4:37" ht="12.75" customHeight="1" x14ac:dyDescent="0.3">
      <c r="D706" s="2"/>
      <c r="E706" s="44"/>
      <c r="F706" s="44"/>
      <c r="G706" s="2"/>
      <c r="H706" s="2"/>
      <c r="I706" s="45"/>
      <c r="J706" s="2"/>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spans="4:37" ht="12.75" customHeight="1" x14ac:dyDescent="0.3">
      <c r="D707" s="2"/>
      <c r="E707" s="44"/>
      <c r="F707" s="44"/>
      <c r="G707" s="2"/>
      <c r="H707" s="2"/>
      <c r="I707" s="45"/>
      <c r="J707" s="2"/>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spans="4:37" ht="12.75" customHeight="1" x14ac:dyDescent="0.3">
      <c r="D708" s="2"/>
      <c r="E708" s="44"/>
      <c r="F708" s="44"/>
      <c r="G708" s="2"/>
      <c r="H708" s="2"/>
      <c r="I708" s="45"/>
      <c r="J708" s="2"/>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spans="4:37" ht="12.75" customHeight="1" x14ac:dyDescent="0.3">
      <c r="D709" s="2"/>
      <c r="E709" s="44"/>
      <c r="F709" s="44"/>
      <c r="G709" s="2"/>
      <c r="H709" s="2"/>
      <c r="I709" s="45"/>
      <c r="J709" s="2"/>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spans="4:37" ht="12.75" customHeight="1" x14ac:dyDescent="0.3">
      <c r="D710" s="2"/>
      <c r="E710" s="44"/>
      <c r="F710" s="44"/>
      <c r="G710" s="2"/>
      <c r="H710" s="2"/>
      <c r="I710" s="45"/>
      <c r="J710" s="2"/>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spans="4:37" ht="12.75" customHeight="1" x14ac:dyDescent="0.3">
      <c r="D711" s="2"/>
      <c r="E711" s="44"/>
      <c r="F711" s="44"/>
      <c r="G711" s="2"/>
      <c r="H711" s="2"/>
      <c r="I711" s="45"/>
      <c r="J711" s="2"/>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spans="4:37" ht="12.75" customHeight="1" x14ac:dyDescent="0.3">
      <c r="D712" s="2"/>
      <c r="E712" s="44"/>
      <c r="F712" s="44"/>
      <c r="G712" s="2"/>
      <c r="H712" s="2"/>
      <c r="I712" s="45"/>
      <c r="J712" s="2"/>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spans="4:37" ht="12.75" customHeight="1" x14ac:dyDescent="0.3">
      <c r="D713" s="2"/>
      <c r="E713" s="44"/>
      <c r="F713" s="44"/>
      <c r="G713" s="2"/>
      <c r="H713" s="2"/>
      <c r="I713" s="45"/>
      <c r="J713" s="2"/>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spans="4:37" ht="12.75" customHeight="1" x14ac:dyDescent="0.3">
      <c r="D714" s="2"/>
      <c r="E714" s="44"/>
      <c r="F714" s="44"/>
      <c r="G714" s="2"/>
      <c r="H714" s="2"/>
      <c r="I714" s="45"/>
      <c r="J714" s="2"/>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spans="4:37" ht="12.75" customHeight="1" x14ac:dyDescent="0.3">
      <c r="D715" s="2"/>
      <c r="E715" s="44"/>
      <c r="F715" s="44"/>
      <c r="G715" s="2"/>
      <c r="H715" s="2"/>
      <c r="I715" s="45"/>
      <c r="J715" s="2"/>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spans="4:37" ht="12.75" customHeight="1" x14ac:dyDescent="0.3">
      <c r="D716" s="2"/>
      <c r="E716" s="44"/>
      <c r="F716" s="44"/>
      <c r="G716" s="2"/>
      <c r="H716" s="2"/>
      <c r="I716" s="45"/>
      <c r="J716" s="2"/>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spans="4:37" ht="12.75" customHeight="1" x14ac:dyDescent="0.3">
      <c r="D717" s="2"/>
      <c r="E717" s="44"/>
      <c r="F717" s="44"/>
      <c r="G717" s="2"/>
      <c r="H717" s="2"/>
      <c r="I717" s="45"/>
      <c r="J717" s="2"/>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spans="4:37" ht="12.75" customHeight="1" x14ac:dyDescent="0.3">
      <c r="D718" s="2"/>
      <c r="E718" s="44"/>
      <c r="F718" s="44"/>
      <c r="G718" s="2"/>
      <c r="H718" s="2"/>
      <c r="I718" s="45"/>
      <c r="J718" s="2"/>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spans="4:37" ht="12.75" customHeight="1" x14ac:dyDescent="0.3">
      <c r="D719" s="2"/>
      <c r="E719" s="44"/>
      <c r="F719" s="44"/>
      <c r="G719" s="2"/>
      <c r="H719" s="2"/>
      <c r="I719" s="45"/>
      <c r="J719" s="2"/>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spans="4:37" ht="12.75" customHeight="1" x14ac:dyDescent="0.3">
      <c r="D720" s="2"/>
      <c r="E720" s="44"/>
      <c r="F720" s="44"/>
      <c r="G720" s="2"/>
      <c r="H720" s="2"/>
      <c r="I720" s="45"/>
      <c r="J720" s="2"/>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spans="4:37" ht="12.75" customHeight="1" x14ac:dyDescent="0.3">
      <c r="D721" s="2"/>
      <c r="E721" s="44"/>
      <c r="F721" s="44"/>
      <c r="G721" s="2"/>
      <c r="H721" s="2"/>
      <c r="I721" s="45"/>
      <c r="J721" s="2"/>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spans="4:37" ht="12.75" customHeight="1" x14ac:dyDescent="0.3">
      <c r="D722" s="2"/>
      <c r="E722" s="44"/>
      <c r="F722" s="44"/>
      <c r="G722" s="2"/>
      <c r="H722" s="2"/>
      <c r="I722" s="45"/>
      <c r="J722" s="2"/>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spans="4:37" ht="12.75" customHeight="1" x14ac:dyDescent="0.3">
      <c r="D723" s="2"/>
      <c r="E723" s="44"/>
      <c r="F723" s="44"/>
      <c r="G723" s="2"/>
      <c r="H723" s="2"/>
      <c r="I723" s="45"/>
      <c r="J723" s="2"/>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spans="4:37" ht="12.75" customHeight="1" x14ac:dyDescent="0.3">
      <c r="D724" s="2"/>
      <c r="E724" s="44"/>
      <c r="F724" s="44"/>
      <c r="G724" s="2"/>
      <c r="H724" s="2"/>
      <c r="I724" s="45"/>
      <c r="J724" s="2"/>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spans="4:37" ht="12.75" customHeight="1" x14ac:dyDescent="0.3">
      <c r="D725" s="2"/>
      <c r="E725" s="44"/>
      <c r="F725" s="44"/>
      <c r="G725" s="2"/>
      <c r="H725" s="2"/>
      <c r="I725" s="45"/>
      <c r="J725" s="2"/>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spans="4:37" ht="12.75" customHeight="1" x14ac:dyDescent="0.3">
      <c r="D726" s="2"/>
      <c r="E726" s="44"/>
      <c r="F726" s="44"/>
      <c r="G726" s="2"/>
      <c r="H726" s="2"/>
      <c r="I726" s="45"/>
      <c r="J726" s="2"/>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spans="4:37" ht="12.75" customHeight="1" x14ac:dyDescent="0.3">
      <c r="D727" s="2"/>
      <c r="E727" s="44"/>
      <c r="F727" s="44"/>
      <c r="G727" s="2"/>
      <c r="H727" s="2"/>
      <c r="I727" s="45"/>
      <c r="J727" s="2"/>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spans="4:37" ht="12.75" customHeight="1" x14ac:dyDescent="0.3">
      <c r="D728" s="2"/>
      <c r="E728" s="44"/>
      <c r="F728" s="44"/>
      <c r="G728" s="2"/>
      <c r="H728" s="2"/>
      <c r="I728" s="45"/>
      <c r="J728" s="2"/>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spans="4:37" ht="12.75" customHeight="1" x14ac:dyDescent="0.3">
      <c r="D729" s="2"/>
      <c r="E729" s="44"/>
      <c r="F729" s="44"/>
      <c r="G729" s="2"/>
      <c r="H729" s="2"/>
      <c r="I729" s="45"/>
      <c r="J729" s="2"/>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spans="4:37" ht="12.75" customHeight="1" x14ac:dyDescent="0.3">
      <c r="D730" s="2"/>
      <c r="E730" s="44"/>
      <c r="F730" s="44"/>
      <c r="G730" s="2"/>
      <c r="H730" s="2"/>
      <c r="I730" s="45"/>
      <c r="J730" s="2"/>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spans="4:37" ht="12.75" customHeight="1" x14ac:dyDescent="0.3">
      <c r="D731" s="2"/>
      <c r="E731" s="44"/>
      <c r="F731" s="44"/>
      <c r="G731" s="2"/>
      <c r="H731" s="2"/>
      <c r="I731" s="45"/>
      <c r="J731" s="2"/>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spans="4:37" ht="12.75" customHeight="1" x14ac:dyDescent="0.3">
      <c r="D732" s="2"/>
      <c r="E732" s="44"/>
      <c r="F732" s="44"/>
      <c r="G732" s="2"/>
      <c r="H732" s="2"/>
      <c r="I732" s="45"/>
      <c r="J732" s="2"/>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spans="4:37" ht="12.75" customHeight="1" x14ac:dyDescent="0.3">
      <c r="D733" s="2"/>
      <c r="E733" s="44"/>
      <c r="F733" s="44"/>
      <c r="G733" s="2"/>
      <c r="H733" s="2"/>
      <c r="I733" s="45"/>
      <c r="J733" s="2"/>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spans="4:37" ht="12.75" customHeight="1" x14ac:dyDescent="0.3">
      <c r="D734" s="2"/>
      <c r="E734" s="44"/>
      <c r="F734" s="44"/>
      <c r="G734" s="2"/>
      <c r="H734" s="2"/>
      <c r="I734" s="45"/>
      <c r="J734" s="2"/>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spans="4:37" ht="12.75" customHeight="1" x14ac:dyDescent="0.3">
      <c r="D735" s="2"/>
      <c r="E735" s="44"/>
      <c r="F735" s="44"/>
      <c r="G735" s="2"/>
      <c r="H735" s="2"/>
      <c r="I735" s="45"/>
      <c r="J735" s="2"/>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spans="4:37" ht="12.75" customHeight="1" x14ac:dyDescent="0.3">
      <c r="D736" s="2"/>
      <c r="E736" s="44"/>
      <c r="F736" s="44"/>
      <c r="G736" s="2"/>
      <c r="H736" s="2"/>
      <c r="I736" s="45"/>
      <c r="J736" s="2"/>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spans="4:37" ht="12.75" customHeight="1" x14ac:dyDescent="0.3">
      <c r="D737" s="2"/>
      <c r="E737" s="44"/>
      <c r="F737" s="44"/>
      <c r="G737" s="2"/>
      <c r="H737" s="2"/>
      <c r="I737" s="45"/>
      <c r="J737" s="2"/>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spans="4:37" ht="12.75" customHeight="1" x14ac:dyDescent="0.3">
      <c r="D738" s="2"/>
      <c r="E738" s="44"/>
      <c r="F738" s="44"/>
      <c r="G738" s="2"/>
      <c r="H738" s="2"/>
      <c r="I738" s="45"/>
      <c r="J738" s="2"/>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spans="4:37" ht="12.75" customHeight="1" x14ac:dyDescent="0.3">
      <c r="D739" s="2"/>
      <c r="E739" s="44"/>
      <c r="F739" s="44"/>
      <c r="G739" s="2"/>
      <c r="H739" s="2"/>
      <c r="I739" s="45"/>
      <c r="J739" s="2"/>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spans="4:37" ht="12.75" customHeight="1" x14ac:dyDescent="0.3">
      <c r="D740" s="2"/>
      <c r="E740" s="44"/>
      <c r="F740" s="44"/>
      <c r="G740" s="2"/>
      <c r="H740" s="2"/>
      <c r="I740" s="45"/>
      <c r="J740" s="2"/>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spans="4:37" ht="12.75" customHeight="1" x14ac:dyDescent="0.3">
      <c r="D741" s="2"/>
      <c r="E741" s="44"/>
      <c r="F741" s="44"/>
      <c r="G741" s="2"/>
      <c r="H741" s="2"/>
      <c r="I741" s="45"/>
      <c r="J741" s="2"/>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spans="4:37" ht="12.75" customHeight="1" x14ac:dyDescent="0.3">
      <c r="D742" s="2"/>
      <c r="E742" s="44"/>
      <c r="F742" s="44"/>
      <c r="G742" s="2"/>
      <c r="H742" s="2"/>
      <c r="I742" s="45"/>
      <c r="J742" s="2"/>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spans="4:37" ht="12.75" customHeight="1" x14ac:dyDescent="0.3">
      <c r="D743" s="2"/>
      <c r="E743" s="44"/>
      <c r="F743" s="44"/>
      <c r="G743" s="2"/>
      <c r="H743" s="2"/>
      <c r="I743" s="45"/>
      <c r="J743" s="2"/>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spans="4:37" ht="12.75" customHeight="1" x14ac:dyDescent="0.3">
      <c r="D744" s="2"/>
      <c r="E744" s="44"/>
      <c r="F744" s="44"/>
      <c r="G744" s="2"/>
      <c r="H744" s="2"/>
      <c r="I744" s="45"/>
      <c r="J744" s="2"/>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spans="4:37" ht="12.75" customHeight="1" x14ac:dyDescent="0.3">
      <c r="D745" s="2"/>
      <c r="E745" s="44"/>
      <c r="F745" s="44"/>
      <c r="G745" s="2"/>
      <c r="H745" s="2"/>
      <c r="I745" s="45"/>
      <c r="J745" s="2"/>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spans="4:37" ht="12.75" customHeight="1" x14ac:dyDescent="0.3">
      <c r="D746" s="2"/>
      <c r="E746" s="44"/>
      <c r="F746" s="44"/>
      <c r="G746" s="2"/>
      <c r="H746" s="2"/>
      <c r="I746" s="45"/>
      <c r="J746" s="2"/>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spans="4:37" ht="12.75" customHeight="1" x14ac:dyDescent="0.3">
      <c r="D747" s="2"/>
      <c r="E747" s="44"/>
      <c r="F747" s="44"/>
      <c r="G747" s="2"/>
      <c r="H747" s="2"/>
      <c r="I747" s="45"/>
      <c r="J747" s="2"/>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spans="4:37" ht="12.75" customHeight="1" x14ac:dyDescent="0.3">
      <c r="D748" s="2"/>
      <c r="E748" s="44"/>
      <c r="F748" s="44"/>
      <c r="G748" s="2"/>
      <c r="H748" s="2"/>
      <c r="I748" s="45"/>
      <c r="J748" s="2"/>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spans="4:37" ht="12.75" customHeight="1" x14ac:dyDescent="0.3">
      <c r="D749" s="2"/>
      <c r="E749" s="44"/>
      <c r="F749" s="44"/>
      <c r="G749" s="2"/>
      <c r="H749" s="2"/>
      <c r="I749" s="45"/>
      <c r="J749" s="2"/>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spans="4:37" ht="12.75" customHeight="1" x14ac:dyDescent="0.3">
      <c r="D750" s="2"/>
      <c r="E750" s="44"/>
      <c r="F750" s="44"/>
      <c r="G750" s="2"/>
      <c r="H750" s="2"/>
      <c r="I750" s="45"/>
      <c r="J750" s="2"/>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spans="4:37" ht="12.75" customHeight="1" x14ac:dyDescent="0.3">
      <c r="D751" s="2"/>
      <c r="E751" s="44"/>
      <c r="F751" s="44"/>
      <c r="G751" s="2"/>
      <c r="H751" s="2"/>
      <c r="I751" s="45"/>
      <c r="J751" s="2"/>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spans="4:37" ht="12.75" customHeight="1" x14ac:dyDescent="0.3">
      <c r="D752" s="2"/>
      <c r="E752" s="44"/>
      <c r="F752" s="44"/>
      <c r="G752" s="2"/>
      <c r="H752" s="2"/>
      <c r="I752" s="45"/>
      <c r="J752" s="2"/>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spans="4:37" ht="12.75" customHeight="1" x14ac:dyDescent="0.3">
      <c r="D753" s="2"/>
      <c r="E753" s="44"/>
      <c r="F753" s="44"/>
      <c r="G753" s="2"/>
      <c r="H753" s="2"/>
      <c r="I753" s="45"/>
      <c r="J753" s="2"/>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spans="4:37" ht="12.75" customHeight="1" x14ac:dyDescent="0.3">
      <c r="D754" s="2"/>
      <c r="E754" s="44"/>
      <c r="F754" s="44"/>
      <c r="G754" s="2"/>
      <c r="H754" s="2"/>
      <c r="I754" s="45"/>
      <c r="J754" s="2"/>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spans="4:37" ht="12.75" customHeight="1" x14ac:dyDescent="0.3">
      <c r="D755" s="2"/>
      <c r="E755" s="44"/>
      <c r="F755" s="44"/>
      <c r="G755" s="2"/>
      <c r="H755" s="2"/>
      <c r="I755" s="45"/>
      <c r="J755" s="2"/>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spans="4:37" ht="12.75" customHeight="1" x14ac:dyDescent="0.3">
      <c r="D756" s="2"/>
      <c r="E756" s="44"/>
      <c r="F756" s="44"/>
      <c r="G756" s="2"/>
      <c r="H756" s="2"/>
      <c r="I756" s="45"/>
      <c r="J756" s="2"/>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spans="4:37" ht="12.75" customHeight="1" x14ac:dyDescent="0.3">
      <c r="D757" s="2"/>
      <c r="E757" s="44"/>
      <c r="F757" s="44"/>
      <c r="G757" s="2"/>
      <c r="H757" s="2"/>
      <c r="I757" s="45"/>
      <c r="J757" s="2"/>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spans="4:37" ht="12.75" customHeight="1" x14ac:dyDescent="0.3">
      <c r="D758" s="2"/>
      <c r="E758" s="44"/>
      <c r="F758" s="44"/>
      <c r="G758" s="2"/>
      <c r="H758" s="2"/>
      <c r="I758" s="45"/>
      <c r="J758" s="2"/>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spans="4:37" ht="12.75" customHeight="1" x14ac:dyDescent="0.3">
      <c r="D759" s="2"/>
      <c r="E759" s="44"/>
      <c r="F759" s="44"/>
      <c r="G759" s="2"/>
      <c r="H759" s="2"/>
      <c r="I759" s="45"/>
      <c r="J759" s="2"/>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spans="4:37" ht="12.75" customHeight="1" x14ac:dyDescent="0.3">
      <c r="D760" s="2"/>
      <c r="E760" s="44"/>
      <c r="F760" s="44"/>
      <c r="G760" s="2"/>
      <c r="H760" s="2"/>
      <c r="I760" s="45"/>
      <c r="J760" s="2"/>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spans="4:37" ht="12.75" customHeight="1" x14ac:dyDescent="0.3">
      <c r="D761" s="2"/>
      <c r="E761" s="44"/>
      <c r="F761" s="44"/>
      <c r="G761" s="2"/>
      <c r="H761" s="2"/>
      <c r="I761" s="45"/>
      <c r="J761" s="2"/>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spans="4:37" ht="12.75" customHeight="1" x14ac:dyDescent="0.3">
      <c r="D762" s="2"/>
      <c r="E762" s="44"/>
      <c r="F762" s="44"/>
      <c r="G762" s="2"/>
      <c r="H762" s="2"/>
      <c r="I762" s="45"/>
      <c r="J762" s="2"/>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spans="4:37" ht="12.75" customHeight="1" x14ac:dyDescent="0.3">
      <c r="D763" s="2"/>
      <c r="E763" s="44"/>
      <c r="F763" s="44"/>
      <c r="G763" s="2"/>
      <c r="H763" s="2"/>
      <c r="I763" s="45"/>
      <c r="J763" s="2"/>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spans="4:37" ht="12.75" customHeight="1" x14ac:dyDescent="0.3">
      <c r="D764" s="2"/>
      <c r="E764" s="44"/>
      <c r="F764" s="44"/>
      <c r="G764" s="2"/>
      <c r="H764" s="2"/>
      <c r="I764" s="45"/>
      <c r="J764" s="2"/>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spans="4:37" ht="12.75" customHeight="1" x14ac:dyDescent="0.3">
      <c r="D765" s="2"/>
      <c r="E765" s="44"/>
      <c r="F765" s="44"/>
      <c r="G765" s="2"/>
      <c r="H765" s="2"/>
      <c r="I765" s="45"/>
      <c r="J765" s="2"/>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spans="4:37" ht="12.75" customHeight="1" x14ac:dyDescent="0.3">
      <c r="D766" s="2"/>
      <c r="E766" s="44"/>
      <c r="F766" s="44"/>
      <c r="G766" s="2"/>
      <c r="H766" s="2"/>
      <c r="I766" s="45"/>
      <c r="J766" s="2"/>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spans="4:37" ht="12.75" customHeight="1" x14ac:dyDescent="0.3">
      <c r="D767" s="2"/>
      <c r="E767" s="44"/>
      <c r="F767" s="44"/>
      <c r="G767" s="2"/>
      <c r="H767" s="2"/>
      <c r="I767" s="45"/>
      <c r="J767" s="2"/>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spans="4:37" ht="12.75" customHeight="1" x14ac:dyDescent="0.3">
      <c r="D768" s="2"/>
      <c r="E768" s="44"/>
      <c r="F768" s="44"/>
      <c r="G768" s="2"/>
      <c r="H768" s="2"/>
      <c r="I768" s="45"/>
      <c r="J768" s="2"/>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spans="4:37" ht="12.75" customHeight="1" x14ac:dyDescent="0.3">
      <c r="D769" s="2"/>
      <c r="E769" s="44"/>
      <c r="F769" s="44"/>
      <c r="G769" s="2"/>
      <c r="H769" s="2"/>
      <c r="I769" s="45"/>
      <c r="J769" s="2"/>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spans="4:37" ht="12.75" customHeight="1" x14ac:dyDescent="0.3">
      <c r="D770" s="2"/>
      <c r="E770" s="44"/>
      <c r="F770" s="44"/>
      <c r="G770" s="2"/>
      <c r="H770" s="2"/>
      <c r="I770" s="45"/>
      <c r="J770" s="2"/>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spans="4:37" ht="12.75" customHeight="1" x14ac:dyDescent="0.3">
      <c r="D771" s="2"/>
      <c r="E771" s="44"/>
      <c r="F771" s="44"/>
      <c r="G771" s="2"/>
      <c r="H771" s="2"/>
      <c r="I771" s="45"/>
      <c r="J771" s="2"/>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spans="4:37" ht="12.75" customHeight="1" x14ac:dyDescent="0.3">
      <c r="D772" s="2"/>
      <c r="E772" s="44"/>
      <c r="F772" s="44"/>
      <c r="G772" s="2"/>
      <c r="H772" s="2"/>
      <c r="I772" s="45"/>
      <c r="J772" s="2"/>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spans="4:37" ht="12.75" customHeight="1" x14ac:dyDescent="0.3">
      <c r="D773" s="2"/>
      <c r="E773" s="44"/>
      <c r="F773" s="44"/>
      <c r="G773" s="2"/>
      <c r="H773" s="2"/>
      <c r="I773" s="45"/>
      <c r="J773" s="2"/>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spans="4:37" ht="12.75" customHeight="1" x14ac:dyDescent="0.3">
      <c r="D774" s="2"/>
      <c r="E774" s="44"/>
      <c r="F774" s="44"/>
      <c r="G774" s="2"/>
      <c r="H774" s="2"/>
      <c r="I774" s="45"/>
      <c r="J774" s="2"/>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spans="4:37" ht="12.75" customHeight="1" x14ac:dyDescent="0.3">
      <c r="D775" s="2"/>
      <c r="E775" s="44"/>
      <c r="F775" s="44"/>
      <c r="G775" s="2"/>
      <c r="H775" s="2"/>
      <c r="I775" s="45"/>
      <c r="J775" s="2"/>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spans="4:37" ht="12.75" customHeight="1" x14ac:dyDescent="0.3">
      <c r="D776" s="2"/>
      <c r="E776" s="44"/>
      <c r="F776" s="44"/>
      <c r="G776" s="2"/>
      <c r="H776" s="2"/>
      <c r="I776" s="45"/>
      <c r="J776" s="2"/>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spans="4:37" ht="12.75" customHeight="1" x14ac:dyDescent="0.3">
      <c r="D777" s="2"/>
      <c r="E777" s="44"/>
      <c r="F777" s="44"/>
      <c r="G777" s="2"/>
      <c r="H777" s="2"/>
      <c r="I777" s="45"/>
      <c r="J777" s="2"/>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spans="4:37" ht="12.75" customHeight="1" x14ac:dyDescent="0.3">
      <c r="D778" s="2"/>
      <c r="E778" s="44"/>
      <c r="F778" s="44"/>
      <c r="G778" s="2"/>
      <c r="H778" s="2"/>
      <c r="I778" s="45"/>
      <c r="J778" s="2"/>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spans="4:37" ht="12.75" customHeight="1" x14ac:dyDescent="0.3">
      <c r="D779" s="2"/>
      <c r="E779" s="44"/>
      <c r="F779" s="44"/>
      <c r="G779" s="2"/>
      <c r="H779" s="2"/>
      <c r="I779" s="45"/>
      <c r="J779" s="2"/>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spans="4:37" ht="12.75" customHeight="1" x14ac:dyDescent="0.3">
      <c r="D780" s="2"/>
      <c r="E780" s="44"/>
      <c r="F780" s="44"/>
      <c r="G780" s="2"/>
      <c r="H780" s="2"/>
      <c r="I780" s="45"/>
      <c r="J780" s="2"/>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spans="4:37" ht="12.75" customHeight="1" x14ac:dyDescent="0.3">
      <c r="D781" s="2"/>
      <c r="E781" s="44"/>
      <c r="F781" s="44"/>
      <c r="G781" s="2"/>
      <c r="H781" s="2"/>
      <c r="I781" s="45"/>
      <c r="J781" s="2"/>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spans="4:37" ht="12.75" customHeight="1" x14ac:dyDescent="0.3">
      <c r="D782" s="2"/>
      <c r="E782" s="44"/>
      <c r="F782" s="44"/>
      <c r="G782" s="2"/>
      <c r="H782" s="2"/>
      <c r="I782" s="45"/>
      <c r="J782" s="2"/>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spans="4:37" ht="12.75" customHeight="1" x14ac:dyDescent="0.3">
      <c r="D783" s="2"/>
      <c r="E783" s="44"/>
      <c r="F783" s="44"/>
      <c r="G783" s="2"/>
      <c r="H783" s="2"/>
      <c r="I783" s="45"/>
      <c r="J783" s="2"/>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spans="4:37" ht="12.75" customHeight="1" x14ac:dyDescent="0.3">
      <c r="D784" s="2"/>
      <c r="E784" s="44"/>
      <c r="F784" s="44"/>
      <c r="G784" s="2"/>
      <c r="H784" s="2"/>
      <c r="I784" s="45"/>
      <c r="J784" s="2"/>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spans="4:37" ht="12.75" customHeight="1" x14ac:dyDescent="0.3">
      <c r="D785" s="2"/>
      <c r="E785" s="44"/>
      <c r="F785" s="44"/>
      <c r="G785" s="2"/>
      <c r="H785" s="2"/>
      <c r="I785" s="45"/>
      <c r="J785" s="2"/>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spans="4:37" ht="12.75" customHeight="1" x14ac:dyDescent="0.3">
      <c r="D786" s="2"/>
      <c r="E786" s="44"/>
      <c r="F786" s="44"/>
      <c r="G786" s="2"/>
      <c r="H786" s="2"/>
      <c r="I786" s="45"/>
      <c r="J786" s="2"/>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spans="4:37" ht="12.75" customHeight="1" x14ac:dyDescent="0.3">
      <c r="D787" s="2"/>
      <c r="E787" s="44"/>
      <c r="F787" s="44"/>
      <c r="G787" s="2"/>
      <c r="H787" s="2"/>
      <c r="I787" s="45"/>
      <c r="J787" s="2"/>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spans="4:37" ht="12.75" customHeight="1" x14ac:dyDescent="0.3">
      <c r="D788" s="2"/>
      <c r="E788" s="44"/>
      <c r="F788" s="44"/>
      <c r="G788" s="2"/>
      <c r="H788" s="2"/>
      <c r="I788" s="45"/>
      <c r="J788" s="2"/>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spans="4:37" ht="12.75" customHeight="1" x14ac:dyDescent="0.3">
      <c r="D789" s="2"/>
      <c r="E789" s="44"/>
      <c r="F789" s="44"/>
      <c r="G789" s="2"/>
      <c r="H789" s="2"/>
      <c r="I789" s="45"/>
      <c r="J789" s="2"/>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spans="4:37" ht="12.75" customHeight="1" x14ac:dyDescent="0.3">
      <c r="D790" s="2"/>
      <c r="E790" s="44"/>
      <c r="F790" s="44"/>
      <c r="G790" s="2"/>
      <c r="H790" s="2"/>
      <c r="I790" s="45"/>
      <c r="J790" s="2"/>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spans="4:37" ht="12.75" customHeight="1" x14ac:dyDescent="0.3">
      <c r="D791" s="2"/>
      <c r="E791" s="44"/>
      <c r="F791" s="44"/>
      <c r="G791" s="2"/>
      <c r="H791" s="2"/>
      <c r="I791" s="45"/>
      <c r="J791" s="2"/>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spans="4:37" ht="12.75" customHeight="1" x14ac:dyDescent="0.3">
      <c r="D792" s="2"/>
      <c r="E792" s="44"/>
      <c r="F792" s="44"/>
      <c r="G792" s="2"/>
      <c r="H792" s="2"/>
      <c r="I792" s="45"/>
      <c r="J792" s="2"/>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spans="4:37" ht="12.75" customHeight="1" x14ac:dyDescent="0.3">
      <c r="D793" s="2"/>
      <c r="E793" s="44"/>
      <c r="F793" s="44"/>
      <c r="G793" s="2"/>
      <c r="H793" s="2"/>
      <c r="I793" s="45"/>
      <c r="J793" s="2"/>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spans="4:37" ht="12.75" customHeight="1" x14ac:dyDescent="0.3">
      <c r="D794" s="2"/>
      <c r="E794" s="44"/>
      <c r="F794" s="44"/>
      <c r="G794" s="2"/>
      <c r="H794" s="2"/>
      <c r="I794" s="45"/>
      <c r="J794" s="2"/>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spans="4:37" ht="12.75" customHeight="1" x14ac:dyDescent="0.3">
      <c r="D795" s="2"/>
      <c r="E795" s="44"/>
      <c r="F795" s="44"/>
      <c r="G795" s="2"/>
      <c r="H795" s="2"/>
      <c r="I795" s="45"/>
      <c r="J795" s="2"/>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spans="4:37" ht="12.75" customHeight="1" x14ac:dyDescent="0.3">
      <c r="D796" s="2"/>
      <c r="E796" s="44"/>
      <c r="F796" s="44"/>
      <c r="G796" s="2"/>
      <c r="H796" s="2"/>
      <c r="I796" s="45"/>
      <c r="J796" s="2"/>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spans="4:37" ht="12.75" customHeight="1" x14ac:dyDescent="0.3">
      <c r="D797" s="2"/>
      <c r="E797" s="44"/>
      <c r="F797" s="44"/>
      <c r="G797" s="2"/>
      <c r="H797" s="2"/>
      <c r="I797" s="45"/>
      <c r="J797" s="2"/>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spans="4:37" ht="12.75" customHeight="1" x14ac:dyDescent="0.3">
      <c r="D798" s="2"/>
      <c r="E798" s="44"/>
      <c r="F798" s="44"/>
      <c r="G798" s="2"/>
      <c r="H798" s="2"/>
      <c r="I798" s="45"/>
      <c r="J798" s="2"/>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spans="4:37" ht="12.75" customHeight="1" x14ac:dyDescent="0.3">
      <c r="D799" s="2"/>
      <c r="E799" s="44"/>
      <c r="F799" s="44"/>
      <c r="G799" s="2"/>
      <c r="H799" s="2"/>
      <c r="I799" s="45"/>
      <c r="J799" s="2"/>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spans="4:37" ht="12.75" customHeight="1" x14ac:dyDescent="0.3">
      <c r="D800" s="2"/>
      <c r="E800" s="44"/>
      <c r="F800" s="44"/>
      <c r="G800" s="2"/>
      <c r="H800" s="2"/>
      <c r="I800" s="45"/>
      <c r="J800" s="2"/>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spans="4:37" ht="12.75" customHeight="1" x14ac:dyDescent="0.3">
      <c r="D801" s="2"/>
      <c r="E801" s="44"/>
      <c r="F801" s="44"/>
      <c r="G801" s="2"/>
      <c r="H801" s="2"/>
      <c r="I801" s="45"/>
      <c r="J801" s="2"/>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spans="4:37" ht="12.75" customHeight="1" x14ac:dyDescent="0.3">
      <c r="D802" s="2"/>
      <c r="E802" s="44"/>
      <c r="F802" s="44"/>
      <c r="G802" s="2"/>
      <c r="H802" s="2"/>
      <c r="I802" s="45"/>
      <c r="J802" s="2"/>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spans="4:37" ht="12.75" customHeight="1" x14ac:dyDescent="0.3">
      <c r="D803" s="2"/>
      <c r="E803" s="44"/>
      <c r="F803" s="44"/>
      <c r="G803" s="2"/>
      <c r="H803" s="2"/>
      <c r="I803" s="45"/>
      <c r="J803" s="2"/>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spans="4:37" ht="12.75" customHeight="1" x14ac:dyDescent="0.3">
      <c r="D804" s="2"/>
      <c r="E804" s="44"/>
      <c r="F804" s="44"/>
      <c r="G804" s="2"/>
      <c r="H804" s="2"/>
      <c r="I804" s="45"/>
      <c r="J804" s="2"/>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spans="4:37" ht="12.75" customHeight="1" x14ac:dyDescent="0.3">
      <c r="D805" s="2"/>
      <c r="E805" s="44"/>
      <c r="F805" s="44"/>
      <c r="G805" s="2"/>
      <c r="H805" s="2"/>
      <c r="I805" s="45"/>
      <c r="J805" s="2"/>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spans="4:37" ht="12.75" customHeight="1" x14ac:dyDescent="0.3">
      <c r="D806" s="2"/>
      <c r="E806" s="44"/>
      <c r="F806" s="44"/>
      <c r="G806" s="2"/>
      <c r="H806" s="2"/>
      <c r="I806" s="45"/>
      <c r="J806" s="2"/>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spans="4:37" ht="12.75" customHeight="1" x14ac:dyDescent="0.3">
      <c r="D807" s="2"/>
      <c r="E807" s="44"/>
      <c r="F807" s="44"/>
      <c r="G807" s="2"/>
      <c r="H807" s="2"/>
      <c r="I807" s="45"/>
      <c r="J807" s="2"/>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spans="4:37" ht="12.75" customHeight="1" x14ac:dyDescent="0.3">
      <c r="D808" s="2"/>
      <c r="E808" s="44"/>
      <c r="F808" s="44"/>
      <c r="G808" s="2"/>
      <c r="H808" s="2"/>
      <c r="I808" s="45"/>
      <c r="J808" s="2"/>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spans="4:37" ht="12.75" customHeight="1" x14ac:dyDescent="0.3">
      <c r="D809" s="2"/>
      <c r="E809" s="44"/>
      <c r="F809" s="44"/>
      <c r="G809" s="2"/>
      <c r="H809" s="2"/>
      <c r="I809" s="45"/>
      <c r="J809" s="2"/>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spans="4:37" ht="12.75" customHeight="1" x14ac:dyDescent="0.3">
      <c r="D810" s="2"/>
      <c r="E810" s="44"/>
      <c r="F810" s="44"/>
      <c r="G810" s="2"/>
      <c r="H810" s="2"/>
      <c r="I810" s="45"/>
      <c r="J810" s="2"/>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spans="4:37" ht="12.75" customHeight="1" x14ac:dyDescent="0.3">
      <c r="D811" s="2"/>
      <c r="E811" s="44"/>
      <c r="F811" s="44"/>
      <c r="G811" s="2"/>
      <c r="H811" s="2"/>
      <c r="I811" s="45"/>
      <c r="J811" s="2"/>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spans="4:37" ht="12.75" customHeight="1" x14ac:dyDescent="0.3">
      <c r="D812" s="2"/>
      <c r="E812" s="44"/>
      <c r="F812" s="44"/>
      <c r="G812" s="2"/>
      <c r="H812" s="2"/>
      <c r="I812" s="45"/>
      <c r="J812" s="2"/>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spans="4:37" ht="12.75" customHeight="1" x14ac:dyDescent="0.3">
      <c r="D813" s="2"/>
      <c r="E813" s="44"/>
      <c r="F813" s="44"/>
      <c r="G813" s="2"/>
      <c r="H813" s="2"/>
      <c r="I813" s="45"/>
      <c r="J813" s="2"/>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spans="4:37" ht="12.75" customHeight="1" x14ac:dyDescent="0.3">
      <c r="D814" s="2"/>
      <c r="E814" s="44"/>
      <c r="F814" s="44"/>
      <c r="G814" s="2"/>
      <c r="H814" s="2"/>
      <c r="I814" s="45"/>
      <c r="J814" s="2"/>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spans="4:37" ht="12.75" customHeight="1" x14ac:dyDescent="0.3">
      <c r="D815" s="2"/>
      <c r="E815" s="44"/>
      <c r="F815" s="44"/>
      <c r="G815" s="2"/>
      <c r="H815" s="2"/>
      <c r="I815" s="45"/>
      <c r="J815" s="2"/>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spans="4:37" ht="12.75" customHeight="1" x14ac:dyDescent="0.3">
      <c r="D816" s="2"/>
      <c r="E816" s="44"/>
      <c r="F816" s="44"/>
      <c r="G816" s="2"/>
      <c r="H816" s="2"/>
      <c r="I816" s="45"/>
      <c r="J816" s="2"/>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spans="4:37" ht="12.75" customHeight="1" x14ac:dyDescent="0.3">
      <c r="D817" s="2"/>
      <c r="E817" s="44"/>
      <c r="F817" s="44"/>
      <c r="G817" s="2"/>
      <c r="H817" s="2"/>
      <c r="I817" s="45"/>
      <c r="J817" s="2"/>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spans="4:37" ht="12.75" customHeight="1" x14ac:dyDescent="0.3">
      <c r="D818" s="2"/>
      <c r="E818" s="44"/>
      <c r="F818" s="44"/>
      <c r="G818" s="2"/>
      <c r="H818" s="2"/>
      <c r="I818" s="45"/>
      <c r="J818" s="2"/>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spans="4:37" ht="12.75" customHeight="1" x14ac:dyDescent="0.3">
      <c r="D819" s="2"/>
      <c r="E819" s="44"/>
      <c r="F819" s="44"/>
      <c r="G819" s="2"/>
      <c r="H819" s="2"/>
      <c r="I819" s="45"/>
      <c r="J819" s="2"/>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spans="4:37" ht="12.75" customHeight="1" x14ac:dyDescent="0.3">
      <c r="D820" s="2"/>
      <c r="E820" s="44"/>
      <c r="F820" s="44"/>
      <c r="G820" s="2"/>
      <c r="H820" s="2"/>
      <c r="I820" s="45"/>
      <c r="J820" s="2"/>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spans="4:37" ht="12.75" customHeight="1" x14ac:dyDescent="0.3">
      <c r="D821" s="2"/>
      <c r="E821" s="44"/>
      <c r="F821" s="44"/>
      <c r="G821" s="2"/>
      <c r="H821" s="2"/>
      <c r="I821" s="45"/>
      <c r="J821" s="2"/>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spans="4:37" ht="12.75" customHeight="1" x14ac:dyDescent="0.3">
      <c r="D822" s="2"/>
      <c r="E822" s="44"/>
      <c r="F822" s="44"/>
      <c r="G822" s="2"/>
      <c r="H822" s="2"/>
      <c r="I822" s="45"/>
      <c r="J822" s="2"/>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spans="4:37" ht="12.75" customHeight="1" x14ac:dyDescent="0.3">
      <c r="D823" s="2"/>
      <c r="E823" s="44"/>
      <c r="F823" s="44"/>
      <c r="G823" s="2"/>
      <c r="H823" s="2"/>
      <c r="I823" s="45"/>
      <c r="J823" s="2"/>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spans="4:37" ht="12.75" customHeight="1" x14ac:dyDescent="0.3">
      <c r="D824" s="2"/>
      <c r="E824" s="44"/>
      <c r="F824" s="44"/>
      <c r="G824" s="2"/>
      <c r="H824" s="2"/>
      <c r="I824" s="45"/>
      <c r="J824" s="2"/>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spans="4:37" ht="12.75" customHeight="1" x14ac:dyDescent="0.3">
      <c r="D825" s="2"/>
      <c r="E825" s="44"/>
      <c r="F825" s="44"/>
      <c r="G825" s="2"/>
      <c r="H825" s="2"/>
      <c r="I825" s="45"/>
      <c r="J825" s="2"/>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spans="4:37" ht="12.75" customHeight="1" x14ac:dyDescent="0.3">
      <c r="D826" s="2"/>
      <c r="E826" s="44"/>
      <c r="F826" s="44"/>
      <c r="G826" s="2"/>
      <c r="H826" s="2"/>
      <c r="I826" s="45"/>
      <c r="J826" s="2"/>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spans="4:37" ht="12.75" customHeight="1" x14ac:dyDescent="0.3">
      <c r="D827" s="2"/>
      <c r="E827" s="44"/>
      <c r="F827" s="44"/>
      <c r="G827" s="2"/>
      <c r="H827" s="2"/>
      <c r="I827" s="45"/>
      <c r="J827" s="2"/>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spans="4:37" ht="12.75" customHeight="1" x14ac:dyDescent="0.3">
      <c r="D828" s="2"/>
      <c r="E828" s="44"/>
      <c r="F828" s="44"/>
      <c r="G828" s="2"/>
      <c r="H828" s="2"/>
      <c r="I828" s="45"/>
      <c r="J828" s="2"/>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spans="4:37" ht="12.75" customHeight="1" x14ac:dyDescent="0.3">
      <c r="D829" s="2"/>
      <c r="E829" s="44"/>
      <c r="F829" s="44"/>
      <c r="G829" s="2"/>
      <c r="H829" s="2"/>
      <c r="I829" s="45"/>
      <c r="J829" s="2"/>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spans="4:37" ht="12.75" customHeight="1" x14ac:dyDescent="0.3">
      <c r="D830" s="2"/>
      <c r="E830" s="44"/>
      <c r="F830" s="44"/>
      <c r="G830" s="2"/>
      <c r="H830" s="2"/>
      <c r="I830" s="45"/>
      <c r="J830" s="2"/>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spans="4:37" ht="12.75" customHeight="1" x14ac:dyDescent="0.3">
      <c r="D831" s="2"/>
      <c r="E831" s="44"/>
      <c r="F831" s="44"/>
      <c r="G831" s="2"/>
      <c r="H831" s="2"/>
      <c r="I831" s="45"/>
      <c r="J831" s="2"/>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spans="4:37" ht="12.75" customHeight="1" x14ac:dyDescent="0.3">
      <c r="D832" s="2"/>
      <c r="E832" s="44"/>
      <c r="F832" s="44"/>
      <c r="G832" s="2"/>
      <c r="H832" s="2"/>
      <c r="I832" s="45"/>
      <c r="J832" s="2"/>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spans="4:37" ht="12.75" customHeight="1" x14ac:dyDescent="0.3">
      <c r="D833" s="2"/>
      <c r="E833" s="44"/>
      <c r="F833" s="44"/>
      <c r="G833" s="2"/>
      <c r="H833" s="2"/>
      <c r="I833" s="45"/>
      <c r="J833" s="2"/>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spans="4:37" ht="12.75" customHeight="1" x14ac:dyDescent="0.3">
      <c r="D834" s="2"/>
      <c r="E834" s="44"/>
      <c r="F834" s="44"/>
      <c r="G834" s="2"/>
      <c r="H834" s="2"/>
      <c r="I834" s="45"/>
      <c r="J834" s="2"/>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spans="4:37" ht="12.75" customHeight="1" x14ac:dyDescent="0.3">
      <c r="D835" s="2"/>
      <c r="E835" s="44"/>
      <c r="F835" s="44"/>
      <c r="G835" s="2"/>
      <c r="H835" s="2"/>
      <c r="I835" s="45"/>
      <c r="J835" s="2"/>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spans="4:37" ht="12.75" customHeight="1" x14ac:dyDescent="0.3">
      <c r="D836" s="2"/>
      <c r="E836" s="44"/>
      <c r="F836" s="44"/>
      <c r="G836" s="2"/>
      <c r="H836" s="2"/>
      <c r="I836" s="45"/>
      <c r="J836" s="2"/>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spans="4:37" ht="12.75" customHeight="1" x14ac:dyDescent="0.3">
      <c r="D837" s="2"/>
      <c r="E837" s="44"/>
      <c r="F837" s="44"/>
      <c r="G837" s="2"/>
      <c r="H837" s="2"/>
      <c r="I837" s="45"/>
      <c r="J837" s="2"/>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spans="4:37" ht="12.75" customHeight="1" x14ac:dyDescent="0.3">
      <c r="D838" s="2"/>
      <c r="E838" s="44"/>
      <c r="F838" s="44"/>
      <c r="G838" s="2"/>
      <c r="H838" s="2"/>
      <c r="I838" s="45"/>
      <c r="J838" s="2"/>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spans="4:37" ht="12.75" customHeight="1" x14ac:dyDescent="0.3">
      <c r="D839" s="2"/>
      <c r="E839" s="44"/>
      <c r="F839" s="44"/>
      <c r="G839" s="2"/>
      <c r="H839" s="2"/>
      <c r="I839" s="45"/>
      <c r="J839" s="2"/>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spans="4:37" ht="12.75" customHeight="1" x14ac:dyDescent="0.3">
      <c r="D840" s="2"/>
      <c r="E840" s="44"/>
      <c r="F840" s="44"/>
      <c r="G840" s="2"/>
      <c r="H840" s="2"/>
      <c r="I840" s="45"/>
      <c r="J840" s="2"/>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spans="4:37" ht="12.75" customHeight="1" x14ac:dyDescent="0.3">
      <c r="D841" s="2"/>
      <c r="E841" s="44"/>
      <c r="F841" s="44"/>
      <c r="G841" s="2"/>
      <c r="H841" s="2"/>
      <c r="I841" s="45"/>
      <c r="J841" s="2"/>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spans="4:37" ht="12.75" customHeight="1" x14ac:dyDescent="0.3">
      <c r="D842" s="2"/>
      <c r="E842" s="44"/>
      <c r="F842" s="44"/>
      <c r="G842" s="2"/>
      <c r="H842" s="2"/>
      <c r="I842" s="45"/>
      <c r="J842" s="2"/>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spans="4:37" ht="12.75" customHeight="1" x14ac:dyDescent="0.3">
      <c r="D843" s="2"/>
      <c r="E843" s="44"/>
      <c r="F843" s="44"/>
      <c r="G843" s="2"/>
      <c r="H843" s="2"/>
      <c r="I843" s="45"/>
      <c r="J843" s="2"/>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spans="4:37" ht="12.75" customHeight="1" x14ac:dyDescent="0.3">
      <c r="D844" s="2"/>
      <c r="E844" s="44"/>
      <c r="F844" s="44"/>
      <c r="G844" s="2"/>
      <c r="H844" s="2"/>
      <c r="I844" s="45"/>
      <c r="J844" s="2"/>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spans="4:37" ht="12.75" customHeight="1" x14ac:dyDescent="0.3">
      <c r="D845" s="2"/>
      <c r="E845" s="44"/>
      <c r="F845" s="44"/>
      <c r="G845" s="2"/>
      <c r="H845" s="2"/>
      <c r="I845" s="45"/>
      <c r="J845" s="2"/>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spans="4:37" ht="12.75" customHeight="1" x14ac:dyDescent="0.3">
      <c r="D846" s="2"/>
      <c r="E846" s="44"/>
      <c r="F846" s="44"/>
      <c r="G846" s="2"/>
      <c r="H846" s="2"/>
      <c r="I846" s="45"/>
      <c r="J846" s="2"/>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spans="4:37" ht="12.75" customHeight="1" x14ac:dyDescent="0.3">
      <c r="D847" s="2"/>
      <c r="E847" s="44"/>
      <c r="F847" s="44"/>
      <c r="G847" s="2"/>
      <c r="H847" s="2"/>
      <c r="I847" s="45"/>
      <c r="J847" s="2"/>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spans="4:37" ht="12.75" customHeight="1" x14ac:dyDescent="0.3">
      <c r="D848" s="2"/>
      <c r="E848" s="44"/>
      <c r="F848" s="44"/>
      <c r="G848" s="2"/>
      <c r="H848" s="2"/>
      <c r="I848" s="45"/>
      <c r="J848" s="2"/>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spans="4:37" ht="12.75" customHeight="1" x14ac:dyDescent="0.3">
      <c r="D849" s="2"/>
      <c r="E849" s="44"/>
      <c r="F849" s="44"/>
      <c r="G849" s="2"/>
      <c r="H849" s="2"/>
      <c r="I849" s="45"/>
      <c r="J849" s="2"/>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spans="4:37" ht="12.75" customHeight="1" x14ac:dyDescent="0.3">
      <c r="D850" s="2"/>
      <c r="E850" s="44"/>
      <c r="F850" s="44"/>
      <c r="G850" s="2"/>
      <c r="H850" s="2"/>
      <c r="I850" s="45"/>
      <c r="J850" s="2"/>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spans="4:37" ht="12.75" customHeight="1" x14ac:dyDescent="0.3">
      <c r="D851" s="2"/>
      <c r="E851" s="44"/>
      <c r="F851" s="44"/>
      <c r="G851" s="2"/>
      <c r="H851" s="2"/>
      <c r="I851" s="45"/>
      <c r="J851" s="2"/>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spans="4:37" ht="12.75" customHeight="1" x14ac:dyDescent="0.3">
      <c r="D852" s="2"/>
      <c r="E852" s="44"/>
      <c r="F852" s="44"/>
      <c r="G852" s="2"/>
      <c r="H852" s="2"/>
      <c r="I852" s="45"/>
      <c r="J852" s="2"/>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spans="4:37" ht="12.75" customHeight="1" x14ac:dyDescent="0.3">
      <c r="D853" s="2"/>
      <c r="E853" s="44"/>
      <c r="F853" s="44"/>
      <c r="G853" s="2"/>
      <c r="H853" s="2"/>
      <c r="I853" s="45"/>
      <c r="J853" s="2"/>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spans="4:37" ht="12.75" customHeight="1" x14ac:dyDescent="0.3">
      <c r="D854" s="2"/>
      <c r="E854" s="44"/>
      <c r="F854" s="44"/>
      <c r="G854" s="2"/>
      <c r="H854" s="2"/>
      <c r="I854" s="45"/>
      <c r="J854" s="2"/>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spans="4:37" ht="12.75" customHeight="1" x14ac:dyDescent="0.3">
      <c r="D855" s="2"/>
      <c r="E855" s="44"/>
      <c r="F855" s="44"/>
      <c r="G855" s="2"/>
      <c r="H855" s="2"/>
      <c r="I855" s="45"/>
      <c r="J855" s="2"/>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spans="4:37" ht="12.75" customHeight="1" x14ac:dyDescent="0.3">
      <c r="D856" s="2"/>
      <c r="E856" s="44"/>
      <c r="F856" s="44"/>
      <c r="G856" s="2"/>
      <c r="H856" s="2"/>
      <c r="I856" s="45"/>
      <c r="J856" s="2"/>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spans="4:37" ht="12.75" customHeight="1" x14ac:dyDescent="0.3">
      <c r="D857" s="2"/>
      <c r="E857" s="44"/>
      <c r="F857" s="44"/>
      <c r="G857" s="2"/>
      <c r="H857" s="2"/>
      <c r="I857" s="45"/>
      <c r="J857" s="2"/>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spans="4:37" ht="12.75" customHeight="1" x14ac:dyDescent="0.3">
      <c r="D858" s="2"/>
      <c r="E858" s="44"/>
      <c r="F858" s="44"/>
      <c r="G858" s="2"/>
      <c r="H858" s="2"/>
      <c r="I858" s="45"/>
      <c r="J858" s="2"/>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spans="4:37" ht="12.75" customHeight="1" x14ac:dyDescent="0.3">
      <c r="D859" s="2"/>
      <c r="E859" s="44"/>
      <c r="F859" s="44"/>
      <c r="G859" s="2"/>
      <c r="H859" s="2"/>
      <c r="I859" s="45"/>
      <c r="J859" s="2"/>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spans="4:37" ht="12.75" customHeight="1" x14ac:dyDescent="0.3">
      <c r="D860" s="2"/>
      <c r="E860" s="44"/>
      <c r="F860" s="44"/>
      <c r="G860" s="2"/>
      <c r="H860" s="2"/>
      <c r="I860" s="45"/>
      <c r="J860" s="2"/>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spans="4:37" ht="12.75" customHeight="1" x14ac:dyDescent="0.3">
      <c r="D861" s="2"/>
      <c r="E861" s="44"/>
      <c r="F861" s="44"/>
      <c r="G861" s="2"/>
      <c r="H861" s="2"/>
      <c r="I861" s="45"/>
      <c r="J861" s="2"/>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spans="4:37" ht="12.75" customHeight="1" x14ac:dyDescent="0.3">
      <c r="D862" s="2"/>
      <c r="E862" s="44"/>
      <c r="F862" s="44"/>
      <c r="G862" s="2"/>
      <c r="H862" s="2"/>
      <c r="I862" s="45"/>
      <c r="J862" s="2"/>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spans="4:37" ht="12.75" customHeight="1" x14ac:dyDescent="0.3">
      <c r="D863" s="2"/>
      <c r="E863" s="44"/>
      <c r="F863" s="44"/>
      <c r="G863" s="2"/>
      <c r="H863" s="2"/>
      <c r="I863" s="45"/>
      <c r="J863" s="2"/>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spans="4:37" ht="12.75" customHeight="1" x14ac:dyDescent="0.3">
      <c r="D864" s="2"/>
      <c r="E864" s="44"/>
      <c r="F864" s="44"/>
      <c r="G864" s="2"/>
      <c r="H864" s="2"/>
      <c r="I864" s="45"/>
      <c r="J864" s="2"/>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spans="4:37" ht="12.75" customHeight="1" x14ac:dyDescent="0.3">
      <c r="D865" s="2"/>
      <c r="E865" s="44"/>
      <c r="F865" s="44"/>
      <c r="G865" s="2"/>
      <c r="H865" s="2"/>
      <c r="I865" s="45"/>
      <c r="J865" s="2"/>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spans="4:37" ht="12.75" customHeight="1" x14ac:dyDescent="0.3">
      <c r="D866" s="2"/>
      <c r="E866" s="44"/>
      <c r="F866" s="44"/>
      <c r="G866" s="2"/>
      <c r="H866" s="2"/>
      <c r="I866" s="45"/>
      <c r="J866" s="2"/>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spans="4:37" ht="12.75" customHeight="1" x14ac:dyDescent="0.3">
      <c r="D867" s="2"/>
      <c r="E867" s="44"/>
      <c r="F867" s="44"/>
      <c r="G867" s="2"/>
      <c r="H867" s="2"/>
      <c r="I867" s="45"/>
      <c r="J867" s="2"/>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spans="4:37" ht="12.75" customHeight="1" x14ac:dyDescent="0.3">
      <c r="D868" s="2"/>
      <c r="E868" s="44"/>
      <c r="F868" s="44"/>
      <c r="G868" s="2"/>
      <c r="H868" s="2"/>
      <c r="I868" s="45"/>
      <c r="J868" s="2"/>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spans="4:37" ht="12.75" customHeight="1" x14ac:dyDescent="0.3">
      <c r="D869" s="2"/>
      <c r="E869" s="44"/>
      <c r="F869" s="44"/>
      <c r="G869" s="2"/>
      <c r="H869" s="2"/>
      <c r="I869" s="45"/>
      <c r="J869" s="2"/>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spans="4:37" ht="12.75" customHeight="1" x14ac:dyDescent="0.3">
      <c r="D870" s="2"/>
      <c r="E870" s="44"/>
      <c r="F870" s="44"/>
      <c r="G870" s="2"/>
      <c r="H870" s="2"/>
      <c r="I870" s="45"/>
      <c r="J870" s="2"/>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spans="4:37" ht="12.75" customHeight="1" x14ac:dyDescent="0.3">
      <c r="D871" s="2"/>
      <c r="E871" s="44"/>
      <c r="F871" s="44"/>
      <c r="G871" s="2"/>
      <c r="H871" s="2"/>
      <c r="I871" s="45"/>
      <c r="J871" s="2"/>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spans="4:37" ht="12.75" customHeight="1" x14ac:dyDescent="0.3">
      <c r="D872" s="2"/>
      <c r="E872" s="44"/>
      <c r="F872" s="44"/>
      <c r="G872" s="2"/>
      <c r="H872" s="2"/>
      <c r="I872" s="45"/>
      <c r="J872" s="2"/>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spans="4:37" ht="12.75" customHeight="1" x14ac:dyDescent="0.3">
      <c r="D873" s="2"/>
      <c r="E873" s="44"/>
      <c r="F873" s="44"/>
      <c r="G873" s="2"/>
      <c r="H873" s="2"/>
      <c r="I873" s="45"/>
      <c r="J873" s="2"/>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spans="4:37" ht="12.75" customHeight="1" x14ac:dyDescent="0.3">
      <c r="D874" s="2"/>
      <c r="E874" s="44"/>
      <c r="F874" s="44"/>
      <c r="G874" s="2"/>
      <c r="H874" s="2"/>
      <c r="I874" s="45"/>
      <c r="J874" s="2"/>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spans="4:37" ht="12.75" customHeight="1" x14ac:dyDescent="0.3">
      <c r="D875" s="2"/>
      <c r="E875" s="44"/>
      <c r="F875" s="44"/>
      <c r="G875" s="2"/>
      <c r="H875" s="2"/>
      <c r="I875" s="45"/>
      <c r="J875" s="2"/>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spans="4:37" ht="12.75" customHeight="1" x14ac:dyDescent="0.3">
      <c r="D876" s="2"/>
      <c r="E876" s="44"/>
      <c r="F876" s="44"/>
      <c r="G876" s="2"/>
      <c r="H876" s="2"/>
      <c r="I876" s="45"/>
      <c r="J876" s="2"/>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spans="4:37" ht="12.75" customHeight="1" x14ac:dyDescent="0.3">
      <c r="D877" s="2"/>
      <c r="E877" s="44"/>
      <c r="F877" s="44"/>
      <c r="G877" s="2"/>
      <c r="H877" s="2"/>
      <c r="I877" s="45"/>
      <c r="J877" s="2"/>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spans="4:37" ht="12.75" customHeight="1" x14ac:dyDescent="0.3">
      <c r="D878" s="2"/>
      <c r="E878" s="44"/>
      <c r="F878" s="44"/>
      <c r="G878" s="2"/>
      <c r="H878" s="2"/>
      <c r="I878" s="45"/>
      <c r="J878" s="2"/>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spans="4:37" ht="12.75" customHeight="1" x14ac:dyDescent="0.3">
      <c r="D879" s="2"/>
      <c r="E879" s="44"/>
      <c r="F879" s="44"/>
      <c r="G879" s="2"/>
      <c r="H879" s="2"/>
      <c r="I879" s="45"/>
      <c r="J879" s="2"/>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spans="4:37" ht="12.75" customHeight="1" x14ac:dyDescent="0.3">
      <c r="D880" s="2"/>
      <c r="E880" s="44"/>
      <c r="F880" s="44"/>
      <c r="G880" s="2"/>
      <c r="H880" s="2"/>
      <c r="I880" s="45"/>
      <c r="J880" s="2"/>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spans="4:37" ht="12.75" customHeight="1" x14ac:dyDescent="0.3">
      <c r="D881" s="2"/>
      <c r="E881" s="44"/>
      <c r="F881" s="44"/>
      <c r="G881" s="2"/>
      <c r="H881" s="2"/>
      <c r="I881" s="45"/>
      <c r="J881" s="2"/>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spans="4:37" ht="12.75" customHeight="1" x14ac:dyDescent="0.3">
      <c r="D882" s="2"/>
      <c r="E882" s="44"/>
      <c r="F882" s="44"/>
      <c r="G882" s="2"/>
      <c r="H882" s="2"/>
      <c r="I882" s="45"/>
      <c r="J882" s="2"/>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spans="4:37" ht="12.75" customHeight="1" x14ac:dyDescent="0.3">
      <c r="D883" s="2"/>
      <c r="E883" s="44"/>
      <c r="F883" s="44"/>
      <c r="G883" s="2"/>
      <c r="H883" s="2"/>
      <c r="I883" s="45"/>
      <c r="J883" s="2"/>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spans="4:37" ht="12.75" customHeight="1" x14ac:dyDescent="0.3">
      <c r="D884" s="2"/>
      <c r="E884" s="44"/>
      <c r="F884" s="44"/>
      <c r="G884" s="2"/>
      <c r="H884" s="2"/>
      <c r="I884" s="45"/>
      <c r="J884" s="2"/>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spans="4:37" ht="12.75" customHeight="1" x14ac:dyDescent="0.3">
      <c r="D885" s="2"/>
      <c r="E885" s="44"/>
      <c r="F885" s="44"/>
      <c r="G885" s="2"/>
      <c r="H885" s="2"/>
      <c r="I885" s="45"/>
      <c r="J885" s="2"/>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spans="4:37" ht="12.75" customHeight="1" x14ac:dyDescent="0.3">
      <c r="D886" s="2"/>
      <c r="E886" s="44"/>
      <c r="F886" s="44"/>
      <c r="G886" s="2"/>
      <c r="H886" s="2"/>
      <c r="I886" s="45"/>
      <c r="J886" s="2"/>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spans="4:37" ht="12.75" customHeight="1" x14ac:dyDescent="0.3">
      <c r="D887" s="2"/>
      <c r="E887" s="44"/>
      <c r="F887" s="44"/>
      <c r="G887" s="2"/>
      <c r="H887" s="2"/>
      <c r="I887" s="45"/>
      <c r="J887" s="2"/>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spans="4:37" ht="12.75" customHeight="1" x14ac:dyDescent="0.3">
      <c r="D888" s="2"/>
      <c r="E888" s="44"/>
      <c r="F888" s="44"/>
      <c r="G888" s="2"/>
      <c r="H888" s="2"/>
      <c r="I888" s="45"/>
      <c r="J888" s="2"/>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spans="4:37" ht="12.75" customHeight="1" x14ac:dyDescent="0.3">
      <c r="D889" s="2"/>
      <c r="E889" s="44"/>
      <c r="F889" s="44"/>
      <c r="G889" s="2"/>
      <c r="H889" s="2"/>
      <c r="I889" s="45"/>
      <c r="J889" s="2"/>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spans="4:37" ht="12.75" customHeight="1" x14ac:dyDescent="0.3">
      <c r="D890" s="2"/>
      <c r="E890" s="44"/>
      <c r="F890" s="44"/>
      <c r="G890" s="2"/>
      <c r="H890" s="2"/>
      <c r="I890" s="45"/>
      <c r="J890" s="2"/>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spans="4:37" ht="12.75" customHeight="1" x14ac:dyDescent="0.3">
      <c r="D891" s="2"/>
      <c r="E891" s="44"/>
      <c r="F891" s="44"/>
      <c r="G891" s="2"/>
      <c r="H891" s="2"/>
      <c r="I891" s="45"/>
      <c r="J891" s="2"/>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spans="4:37" ht="12.75" customHeight="1" x14ac:dyDescent="0.3">
      <c r="D892" s="2"/>
      <c r="E892" s="44"/>
      <c r="F892" s="44"/>
      <c r="G892" s="2"/>
      <c r="H892" s="2"/>
      <c r="I892" s="45"/>
      <c r="J892" s="2"/>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spans="4:37" ht="12.75" customHeight="1" x14ac:dyDescent="0.3">
      <c r="D893" s="2"/>
      <c r="E893" s="44"/>
      <c r="F893" s="44"/>
      <c r="G893" s="2"/>
      <c r="H893" s="2"/>
      <c r="I893" s="45"/>
      <c r="J893" s="2"/>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spans="4:37" ht="12.75" customHeight="1" x14ac:dyDescent="0.3">
      <c r="D894" s="2"/>
      <c r="E894" s="44"/>
      <c r="F894" s="44"/>
      <c r="G894" s="2"/>
      <c r="H894" s="2"/>
      <c r="I894" s="45"/>
      <c r="J894" s="2"/>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spans="4:37" ht="12.75" customHeight="1" x14ac:dyDescent="0.3">
      <c r="D895" s="2"/>
      <c r="E895" s="44"/>
      <c r="F895" s="44"/>
      <c r="G895" s="2"/>
      <c r="H895" s="2"/>
      <c r="I895" s="45"/>
      <c r="J895" s="2"/>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spans="4:37" ht="12.75" customHeight="1" x14ac:dyDescent="0.3">
      <c r="D896" s="2"/>
      <c r="E896" s="44"/>
      <c r="F896" s="44"/>
      <c r="G896" s="2"/>
      <c r="H896" s="2"/>
      <c r="I896" s="45"/>
      <c r="J896" s="2"/>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spans="4:37" ht="12.75" customHeight="1" x14ac:dyDescent="0.3">
      <c r="D897" s="2"/>
      <c r="E897" s="44"/>
      <c r="F897" s="44"/>
      <c r="G897" s="2"/>
      <c r="H897" s="2"/>
      <c r="I897" s="45"/>
      <c r="J897" s="2"/>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spans="4:37" ht="12.75" customHeight="1" x14ac:dyDescent="0.3">
      <c r="D898" s="2"/>
      <c r="E898" s="44"/>
      <c r="F898" s="44"/>
      <c r="G898" s="2"/>
      <c r="H898" s="2"/>
      <c r="I898" s="45"/>
      <c r="J898" s="2"/>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spans="4:37" ht="12.75" customHeight="1" x14ac:dyDescent="0.3">
      <c r="D899" s="2"/>
      <c r="E899" s="44"/>
      <c r="F899" s="44"/>
      <c r="G899" s="2"/>
      <c r="H899" s="2"/>
      <c r="I899" s="45"/>
      <c r="J899" s="2"/>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spans="4:37" ht="12.75" customHeight="1" x14ac:dyDescent="0.3">
      <c r="D900" s="2"/>
      <c r="E900" s="44"/>
      <c r="F900" s="44"/>
      <c r="G900" s="2"/>
      <c r="H900" s="2"/>
      <c r="I900" s="45"/>
      <c r="J900" s="2"/>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spans="4:37" ht="12.75" customHeight="1" x14ac:dyDescent="0.3">
      <c r="D901" s="2"/>
      <c r="E901" s="44"/>
      <c r="F901" s="44"/>
      <c r="G901" s="2"/>
      <c r="H901" s="2"/>
      <c r="I901" s="45"/>
      <c r="J901" s="2"/>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spans="4:37" ht="12.75" customHeight="1" x14ac:dyDescent="0.3">
      <c r="D902" s="2"/>
      <c r="E902" s="44"/>
      <c r="F902" s="44"/>
      <c r="G902" s="2"/>
      <c r="H902" s="2"/>
      <c r="I902" s="45"/>
      <c r="J902" s="2"/>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spans="4:37" ht="12.75" customHeight="1" x14ac:dyDescent="0.3">
      <c r="D903" s="2"/>
      <c r="E903" s="44"/>
      <c r="F903" s="44"/>
      <c r="G903" s="2"/>
      <c r="H903" s="2"/>
      <c r="I903" s="45"/>
      <c r="J903" s="2"/>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spans="4:37" ht="12.75" customHeight="1" x14ac:dyDescent="0.3">
      <c r="D904" s="2"/>
      <c r="E904" s="44"/>
      <c r="F904" s="44"/>
      <c r="G904" s="2"/>
      <c r="H904" s="2"/>
      <c r="I904" s="45"/>
      <c r="J904" s="2"/>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spans="4:37" ht="12.75" customHeight="1" x14ac:dyDescent="0.3">
      <c r="D905" s="2"/>
      <c r="E905" s="44"/>
      <c r="F905" s="44"/>
      <c r="G905" s="2"/>
      <c r="H905" s="2"/>
      <c r="I905" s="45"/>
      <c r="J905" s="2"/>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spans="4:37" ht="12.75" customHeight="1" x14ac:dyDescent="0.3">
      <c r="D906" s="2"/>
      <c r="E906" s="44"/>
      <c r="F906" s="44"/>
      <c r="G906" s="2"/>
      <c r="H906" s="2"/>
      <c r="I906" s="45"/>
      <c r="J906" s="2"/>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spans="4:37" ht="12.75" customHeight="1" x14ac:dyDescent="0.3">
      <c r="D907" s="2"/>
      <c r="E907" s="44"/>
      <c r="F907" s="44"/>
      <c r="G907" s="2"/>
      <c r="H907" s="2"/>
      <c r="I907" s="45"/>
      <c r="J907" s="2"/>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spans="4:37" ht="12.75" customHeight="1" x14ac:dyDescent="0.3">
      <c r="D908" s="2"/>
      <c r="E908" s="44"/>
      <c r="F908" s="44"/>
      <c r="G908" s="2"/>
      <c r="H908" s="2"/>
      <c r="I908" s="45"/>
      <c r="J908" s="2"/>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spans="4:37" ht="12.75" customHeight="1" x14ac:dyDescent="0.3">
      <c r="D909" s="2"/>
      <c r="E909" s="44"/>
      <c r="F909" s="44"/>
      <c r="G909" s="2"/>
      <c r="H909" s="2"/>
      <c r="I909" s="45"/>
      <c r="J909" s="2"/>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spans="4:37" ht="12.75" customHeight="1" x14ac:dyDescent="0.3">
      <c r="D910" s="2"/>
      <c r="E910" s="44"/>
      <c r="F910" s="44"/>
      <c r="G910" s="2"/>
      <c r="H910" s="2"/>
      <c r="I910" s="45"/>
      <c r="J910" s="2"/>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spans="4:37" ht="12.75" customHeight="1" x14ac:dyDescent="0.3">
      <c r="D911" s="2"/>
      <c r="E911" s="44"/>
      <c r="F911" s="44"/>
      <c r="G911" s="2"/>
      <c r="H911" s="2"/>
      <c r="I911" s="45"/>
      <c r="J911" s="2"/>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spans="4:37" ht="12.75" customHeight="1" x14ac:dyDescent="0.3">
      <c r="D912" s="2"/>
      <c r="E912" s="44"/>
      <c r="F912" s="44"/>
      <c r="G912" s="2"/>
      <c r="H912" s="2"/>
      <c r="I912" s="45"/>
      <c r="J912" s="2"/>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spans="4:37" ht="12.75" customHeight="1" x14ac:dyDescent="0.3">
      <c r="D913" s="2"/>
      <c r="E913" s="44"/>
      <c r="F913" s="44"/>
      <c r="G913" s="2"/>
      <c r="H913" s="2"/>
      <c r="I913" s="45"/>
      <c r="J913" s="2"/>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spans="4:37" ht="12.75" customHeight="1" x14ac:dyDescent="0.3">
      <c r="D914" s="2"/>
      <c r="E914" s="44"/>
      <c r="F914" s="44"/>
      <c r="G914" s="2"/>
      <c r="H914" s="2"/>
      <c r="I914" s="45"/>
      <c r="J914" s="2"/>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spans="4:37" ht="12.75" customHeight="1" x14ac:dyDescent="0.3">
      <c r="D915" s="2"/>
      <c r="E915" s="44"/>
      <c r="F915" s="44"/>
      <c r="G915" s="2"/>
      <c r="H915" s="2"/>
      <c r="I915" s="45"/>
      <c r="J915" s="2"/>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spans="4:37" ht="12.75" customHeight="1" x14ac:dyDescent="0.3">
      <c r="D916" s="2"/>
      <c r="E916" s="44"/>
      <c r="F916" s="44"/>
      <c r="G916" s="2"/>
      <c r="H916" s="2"/>
      <c r="I916" s="45"/>
      <c r="J916" s="2"/>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spans="4:37" ht="12.75" customHeight="1" x14ac:dyDescent="0.3">
      <c r="D917" s="2"/>
      <c r="E917" s="44"/>
      <c r="F917" s="44"/>
      <c r="G917" s="2"/>
      <c r="H917" s="2"/>
      <c r="I917" s="45"/>
      <c r="J917" s="2"/>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spans="4:37" ht="12.75" customHeight="1" x14ac:dyDescent="0.3">
      <c r="D918" s="2"/>
      <c r="E918" s="44"/>
      <c r="F918" s="44"/>
      <c r="G918" s="2"/>
      <c r="H918" s="2"/>
      <c r="I918" s="45"/>
      <c r="J918" s="2"/>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spans="4:37" ht="12.75" customHeight="1" x14ac:dyDescent="0.3">
      <c r="D919" s="2"/>
      <c r="E919" s="44"/>
      <c r="F919" s="44"/>
      <c r="G919" s="2"/>
      <c r="H919" s="2"/>
      <c r="I919" s="45"/>
      <c r="J919" s="2"/>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spans="4:37" ht="12.75" customHeight="1" x14ac:dyDescent="0.3">
      <c r="D920" s="2"/>
      <c r="E920" s="44"/>
      <c r="F920" s="44"/>
      <c r="G920" s="2"/>
      <c r="H920" s="2"/>
      <c r="I920" s="45"/>
      <c r="J920" s="2"/>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spans="4:37" ht="12.75" customHeight="1" x14ac:dyDescent="0.3">
      <c r="D921" s="2"/>
      <c r="E921" s="44"/>
      <c r="F921" s="44"/>
      <c r="G921" s="2"/>
      <c r="H921" s="2"/>
      <c r="I921" s="45"/>
      <c r="J921" s="2"/>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spans="4:37" ht="12.75" customHeight="1" x14ac:dyDescent="0.3">
      <c r="D922" s="2"/>
      <c r="E922" s="44"/>
      <c r="F922" s="44"/>
      <c r="G922" s="2"/>
      <c r="H922" s="2"/>
      <c r="I922" s="45"/>
      <c r="J922" s="2"/>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spans="4:37" ht="12.75" customHeight="1" x14ac:dyDescent="0.3">
      <c r="D923" s="2"/>
      <c r="E923" s="44"/>
      <c r="F923" s="44"/>
      <c r="G923" s="2"/>
      <c r="H923" s="2"/>
      <c r="I923" s="45"/>
      <c r="J923" s="2"/>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spans="4:37" ht="12.75" customHeight="1" x14ac:dyDescent="0.3">
      <c r="D924" s="2"/>
      <c r="E924" s="44"/>
      <c r="F924" s="44"/>
      <c r="G924" s="2"/>
      <c r="H924" s="2"/>
      <c r="I924" s="45"/>
      <c r="J924" s="2"/>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spans="4:37" ht="12.75" customHeight="1" x14ac:dyDescent="0.3">
      <c r="D925" s="2"/>
      <c r="E925" s="44"/>
      <c r="F925" s="44"/>
      <c r="G925" s="2"/>
      <c r="H925" s="2"/>
      <c r="I925" s="45"/>
      <c r="J925" s="2"/>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spans="4:37" ht="12.75" customHeight="1" x14ac:dyDescent="0.3">
      <c r="D926" s="2"/>
      <c r="E926" s="44"/>
      <c r="F926" s="44"/>
      <c r="G926" s="2"/>
      <c r="H926" s="2"/>
      <c r="I926" s="45"/>
      <c r="J926" s="2"/>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spans="4:37" ht="12.75" customHeight="1" x14ac:dyDescent="0.3">
      <c r="D927" s="2"/>
      <c r="E927" s="44"/>
      <c r="F927" s="44"/>
      <c r="G927" s="2"/>
      <c r="H927" s="2"/>
      <c r="I927" s="45"/>
      <c r="J927" s="2"/>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spans="4:37" ht="12.75" customHeight="1" x14ac:dyDescent="0.3">
      <c r="D928" s="2"/>
      <c r="E928" s="44"/>
      <c r="F928" s="44"/>
      <c r="G928" s="2"/>
      <c r="H928" s="2"/>
      <c r="I928" s="45"/>
      <c r="J928" s="2"/>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spans="4:37" ht="12.75" customHeight="1" x14ac:dyDescent="0.3">
      <c r="D929" s="2"/>
      <c r="E929" s="44"/>
      <c r="F929" s="44"/>
      <c r="G929" s="2"/>
      <c r="H929" s="2"/>
      <c r="I929" s="45"/>
      <c r="J929" s="2"/>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spans="4:37" ht="12.75" customHeight="1" x14ac:dyDescent="0.3">
      <c r="D930" s="2"/>
      <c r="E930" s="44"/>
      <c r="F930" s="44"/>
      <c r="G930" s="2"/>
      <c r="H930" s="2"/>
      <c r="I930" s="45"/>
      <c r="J930" s="2"/>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spans="4:37" ht="12.75" customHeight="1" x14ac:dyDescent="0.3">
      <c r="D931" s="2"/>
      <c r="E931" s="44"/>
      <c r="F931" s="44"/>
      <c r="G931" s="2"/>
      <c r="H931" s="2"/>
      <c r="I931" s="45"/>
      <c r="J931" s="2"/>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spans="4:37" ht="12.75" customHeight="1" x14ac:dyDescent="0.3">
      <c r="D932" s="2"/>
      <c r="E932" s="44"/>
      <c r="F932" s="44"/>
      <c r="G932" s="2"/>
      <c r="H932" s="2"/>
      <c r="I932" s="45"/>
      <c r="J932" s="2"/>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spans="4:37" ht="12.75" customHeight="1" x14ac:dyDescent="0.3">
      <c r="D933" s="2"/>
      <c r="E933" s="44"/>
      <c r="F933" s="44"/>
      <c r="G933" s="2"/>
      <c r="H933" s="2"/>
      <c r="I933" s="45"/>
      <c r="J933" s="2"/>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spans="4:37" ht="12.75" customHeight="1" x14ac:dyDescent="0.3">
      <c r="D934" s="2"/>
      <c r="E934" s="44"/>
      <c r="F934" s="44"/>
      <c r="G934" s="2"/>
      <c r="H934" s="2"/>
      <c r="I934" s="45"/>
      <c r="J934" s="2"/>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spans="4:37" ht="12.75" customHeight="1" x14ac:dyDescent="0.3">
      <c r="D935" s="2"/>
      <c r="E935" s="44"/>
      <c r="F935" s="44"/>
      <c r="G935" s="2"/>
      <c r="H935" s="2"/>
      <c r="I935" s="45"/>
      <c r="J935" s="2"/>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spans="4:37" ht="12.75" customHeight="1" x14ac:dyDescent="0.3">
      <c r="D936" s="2"/>
      <c r="E936" s="44"/>
      <c r="F936" s="44"/>
      <c r="G936" s="2"/>
      <c r="H936" s="2"/>
      <c r="I936" s="45"/>
      <c r="J936" s="2"/>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spans="4:37" ht="12.75" customHeight="1" x14ac:dyDescent="0.3">
      <c r="D937" s="2"/>
      <c r="E937" s="44"/>
      <c r="F937" s="44"/>
      <c r="G937" s="2"/>
      <c r="H937" s="2"/>
      <c r="I937" s="45"/>
      <c r="J937" s="2"/>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spans="4:37" ht="12.75" customHeight="1" x14ac:dyDescent="0.3">
      <c r="D938" s="2"/>
      <c r="E938" s="44"/>
      <c r="F938" s="44"/>
      <c r="G938" s="2"/>
      <c r="H938" s="2"/>
      <c r="I938" s="45"/>
      <c r="J938" s="2"/>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spans="4:37" ht="12.75" customHeight="1" x14ac:dyDescent="0.3">
      <c r="D939" s="2"/>
      <c r="E939" s="44"/>
      <c r="F939" s="44"/>
      <c r="G939" s="2"/>
      <c r="H939" s="2"/>
      <c r="I939" s="45"/>
      <c r="J939" s="2"/>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spans="4:37" ht="12.75" customHeight="1" x14ac:dyDescent="0.3">
      <c r="D940" s="2"/>
      <c r="E940" s="44"/>
      <c r="F940" s="44"/>
      <c r="G940" s="2"/>
      <c r="H940" s="2"/>
      <c r="I940" s="45"/>
      <c r="J940" s="2"/>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spans="4:37" ht="12.75" customHeight="1" x14ac:dyDescent="0.3">
      <c r="D941" s="2"/>
      <c r="E941" s="44"/>
      <c r="F941" s="44"/>
      <c r="G941" s="2"/>
      <c r="H941" s="2"/>
      <c r="I941" s="45"/>
      <c r="J941" s="2"/>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spans="4:37" ht="12.75" customHeight="1" x14ac:dyDescent="0.3">
      <c r="D942" s="2"/>
      <c r="E942" s="44"/>
      <c r="F942" s="44"/>
      <c r="G942" s="2"/>
      <c r="H942" s="2"/>
      <c r="I942" s="45"/>
      <c r="J942" s="2"/>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spans="4:37" ht="12.75" customHeight="1" x14ac:dyDescent="0.3">
      <c r="D943" s="2"/>
      <c r="E943" s="44"/>
      <c r="F943" s="44"/>
      <c r="G943" s="2"/>
      <c r="H943" s="2"/>
      <c r="I943" s="45"/>
      <c r="J943" s="2"/>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spans="4:37" ht="12.75" customHeight="1" x14ac:dyDescent="0.3">
      <c r="D944" s="2"/>
      <c r="E944" s="44"/>
      <c r="F944" s="44"/>
      <c r="G944" s="2"/>
      <c r="H944" s="2"/>
      <c r="I944" s="45"/>
      <c r="J944" s="2"/>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spans="4:37" ht="12.75" customHeight="1" x14ac:dyDescent="0.3">
      <c r="D945" s="2"/>
      <c r="E945" s="44"/>
      <c r="F945" s="44"/>
      <c r="G945" s="2"/>
      <c r="H945" s="2"/>
      <c r="I945" s="45"/>
      <c r="J945" s="2"/>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spans="4:37" ht="12.75" customHeight="1" x14ac:dyDescent="0.3">
      <c r="D946" s="2"/>
      <c r="E946" s="44"/>
      <c r="F946" s="44"/>
      <c r="G946" s="2"/>
      <c r="H946" s="2"/>
      <c r="I946" s="45"/>
      <c r="J946" s="2"/>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spans="4:37" ht="12.75" customHeight="1" x14ac:dyDescent="0.3">
      <c r="D947" s="2"/>
      <c r="E947" s="44"/>
      <c r="F947" s="44"/>
      <c r="G947" s="2"/>
      <c r="H947" s="2"/>
      <c r="I947" s="45"/>
      <c r="J947" s="2"/>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spans="4:37" ht="12.75" customHeight="1" x14ac:dyDescent="0.3">
      <c r="D948" s="2"/>
      <c r="E948" s="44"/>
      <c r="F948" s="44"/>
      <c r="G948" s="2"/>
      <c r="H948" s="2"/>
      <c r="I948" s="45"/>
      <c r="J948" s="2"/>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spans="4:37" ht="12.75" customHeight="1" x14ac:dyDescent="0.3">
      <c r="D949" s="2"/>
      <c r="E949" s="44"/>
      <c r="F949" s="44"/>
      <c r="G949" s="2"/>
      <c r="H949" s="2"/>
      <c r="I949" s="45"/>
      <c r="J949" s="2"/>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spans="4:37" ht="12.75" customHeight="1" x14ac:dyDescent="0.3">
      <c r="D950" s="2"/>
      <c r="E950" s="44"/>
      <c r="F950" s="44"/>
      <c r="G950" s="2"/>
      <c r="H950" s="2"/>
      <c r="I950" s="45"/>
      <c r="J950" s="2"/>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spans="4:37" ht="12.75" customHeight="1" x14ac:dyDescent="0.3">
      <c r="D951" s="2"/>
      <c r="E951" s="44"/>
      <c r="F951" s="44"/>
      <c r="G951" s="2"/>
      <c r="H951" s="2"/>
      <c r="I951" s="45"/>
      <c r="J951" s="2"/>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spans="4:37" ht="12.75" customHeight="1" x14ac:dyDescent="0.3">
      <c r="D952" s="2"/>
      <c r="E952" s="44"/>
      <c r="F952" s="44"/>
      <c r="G952" s="2"/>
      <c r="H952" s="2"/>
      <c r="I952" s="45"/>
      <c r="J952" s="2"/>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spans="4:37" ht="12.75" customHeight="1" x14ac:dyDescent="0.3">
      <c r="D953" s="2"/>
      <c r="E953" s="44"/>
      <c r="F953" s="44"/>
      <c r="G953" s="2"/>
      <c r="H953" s="2"/>
      <c r="I953" s="45"/>
      <c r="J953" s="2"/>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spans="4:37" ht="12.75" customHeight="1" x14ac:dyDescent="0.3">
      <c r="D954" s="2"/>
      <c r="E954" s="44"/>
      <c r="F954" s="44"/>
      <c r="G954" s="2"/>
      <c r="H954" s="2"/>
      <c r="I954" s="45"/>
      <c r="J954" s="2"/>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spans="4:37" ht="12.75" customHeight="1" x14ac:dyDescent="0.3">
      <c r="D955" s="2"/>
      <c r="E955" s="44"/>
      <c r="F955" s="44"/>
      <c r="G955" s="2"/>
      <c r="H955" s="2"/>
      <c r="I955" s="45"/>
      <c r="J955" s="2"/>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spans="4:37" ht="12.75" customHeight="1" x14ac:dyDescent="0.3">
      <c r="D956" s="2"/>
      <c r="E956" s="44"/>
      <c r="F956" s="44"/>
      <c r="G956" s="2"/>
      <c r="H956" s="2"/>
      <c r="I956" s="45"/>
      <c r="J956" s="2"/>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spans="4:37" ht="12.75" customHeight="1" x14ac:dyDescent="0.3">
      <c r="D957" s="2"/>
      <c r="E957" s="44"/>
      <c r="F957" s="44"/>
      <c r="G957" s="2"/>
      <c r="H957" s="2"/>
      <c r="I957" s="45"/>
      <c r="J957" s="2"/>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spans="4:37" ht="12.75" customHeight="1" x14ac:dyDescent="0.3">
      <c r="D958" s="2"/>
      <c r="E958" s="44"/>
      <c r="F958" s="44"/>
      <c r="G958" s="2"/>
      <c r="H958" s="2"/>
      <c r="I958" s="45"/>
      <c r="J958" s="2"/>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spans="4:37" ht="12.75" customHeight="1" x14ac:dyDescent="0.3">
      <c r="D959" s="2"/>
      <c r="E959" s="44"/>
      <c r="F959" s="44"/>
      <c r="G959" s="2"/>
      <c r="H959" s="2"/>
      <c r="I959" s="45"/>
      <c r="J959" s="2"/>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spans="4:37" ht="12.75" customHeight="1" x14ac:dyDescent="0.3">
      <c r="D960" s="2"/>
      <c r="E960" s="44"/>
      <c r="F960" s="44"/>
      <c r="G960" s="2"/>
      <c r="H960" s="2"/>
      <c r="I960" s="45"/>
      <c r="J960" s="2"/>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spans="4:37" ht="12.75" customHeight="1" x14ac:dyDescent="0.3">
      <c r="D961" s="2"/>
      <c r="E961" s="44"/>
      <c r="F961" s="44"/>
      <c r="G961" s="2"/>
      <c r="H961" s="2"/>
      <c r="I961" s="45"/>
      <c r="J961" s="2"/>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spans="4:37" ht="12.75" customHeight="1" x14ac:dyDescent="0.3">
      <c r="D962" s="2"/>
      <c r="E962" s="44"/>
      <c r="F962" s="44"/>
      <c r="G962" s="2"/>
      <c r="H962" s="2"/>
      <c r="I962" s="45"/>
      <c r="J962" s="2"/>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spans="4:37" ht="12.75" customHeight="1" x14ac:dyDescent="0.3">
      <c r="D963" s="2"/>
      <c r="E963" s="44"/>
      <c r="F963" s="44"/>
      <c r="G963" s="2"/>
      <c r="H963" s="2"/>
      <c r="I963" s="45"/>
      <c r="J963" s="2"/>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spans="4:37" ht="12.75" customHeight="1" x14ac:dyDescent="0.3">
      <c r="D964" s="2"/>
      <c r="E964" s="44"/>
      <c r="F964" s="44"/>
      <c r="G964" s="2"/>
      <c r="H964" s="2"/>
      <c r="I964" s="45"/>
      <c r="J964" s="2"/>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spans="4:37" ht="12.75" customHeight="1" x14ac:dyDescent="0.3">
      <c r="D965" s="2"/>
      <c r="E965" s="44"/>
      <c r="F965" s="44"/>
      <c r="G965" s="2"/>
      <c r="H965" s="2"/>
      <c r="I965" s="45"/>
      <c r="J965" s="2"/>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spans="4:37" ht="12.75" customHeight="1" x14ac:dyDescent="0.3">
      <c r="D966" s="2"/>
      <c r="E966" s="44"/>
      <c r="F966" s="44"/>
      <c r="G966" s="2"/>
      <c r="H966" s="2"/>
      <c r="I966" s="45"/>
      <c r="J966" s="2"/>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spans="4:37" ht="12.75" customHeight="1" x14ac:dyDescent="0.3">
      <c r="D967" s="2"/>
      <c r="E967" s="44"/>
      <c r="F967" s="44"/>
      <c r="G967" s="2"/>
      <c r="H967" s="2"/>
      <c r="I967" s="45"/>
      <c r="J967" s="2"/>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spans="4:37" ht="12.75" customHeight="1" x14ac:dyDescent="0.3">
      <c r="D968" s="2"/>
      <c r="E968" s="44"/>
      <c r="F968" s="44"/>
      <c r="G968" s="2"/>
      <c r="H968" s="2"/>
      <c r="I968" s="45"/>
      <c r="J968" s="2"/>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spans="4:37" ht="12.75" customHeight="1" x14ac:dyDescent="0.3">
      <c r="D969" s="2"/>
      <c r="E969" s="44"/>
      <c r="F969" s="44"/>
      <c r="G969" s="2"/>
      <c r="H969" s="2"/>
      <c r="I969" s="45"/>
      <c r="J969" s="2"/>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spans="4:37" ht="12.75" customHeight="1" x14ac:dyDescent="0.3">
      <c r="D970" s="2"/>
      <c r="E970" s="44"/>
      <c r="F970" s="44"/>
      <c r="G970" s="2"/>
      <c r="H970" s="2"/>
      <c r="I970" s="45"/>
      <c r="J970" s="2"/>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spans="4:37" ht="12.75" customHeight="1" x14ac:dyDescent="0.3">
      <c r="D971" s="2"/>
      <c r="E971" s="44"/>
      <c r="F971" s="44"/>
      <c r="G971" s="2"/>
      <c r="H971" s="2"/>
      <c r="I971" s="45"/>
      <c r="J971" s="2"/>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spans="4:37" ht="12.75" customHeight="1" x14ac:dyDescent="0.3">
      <c r="D972" s="2"/>
      <c r="E972" s="44"/>
      <c r="F972" s="44"/>
      <c r="G972" s="2"/>
      <c r="H972" s="2"/>
      <c r="I972" s="45"/>
      <c r="J972" s="2"/>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spans="4:37" ht="12.75" customHeight="1" x14ac:dyDescent="0.3">
      <c r="D973" s="2"/>
      <c r="E973" s="44"/>
      <c r="F973" s="44"/>
      <c r="G973" s="2"/>
      <c r="H973" s="2"/>
      <c r="I973" s="45"/>
      <c r="J973" s="2"/>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spans="4:37" ht="12.75" customHeight="1" x14ac:dyDescent="0.3">
      <c r="D974" s="2"/>
      <c r="E974" s="44"/>
      <c r="F974" s="44"/>
      <c r="G974" s="2"/>
      <c r="H974" s="2"/>
      <c r="I974" s="45"/>
      <c r="J974" s="2"/>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spans="4:37" ht="12.75" customHeight="1" x14ac:dyDescent="0.3">
      <c r="D975" s="2"/>
      <c r="E975" s="44"/>
      <c r="F975" s="44"/>
      <c r="G975" s="2"/>
      <c r="H975" s="2"/>
      <c r="I975" s="45"/>
      <c r="J975" s="2"/>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spans="4:37" ht="12.75" customHeight="1" x14ac:dyDescent="0.3">
      <c r="D976" s="2"/>
      <c r="E976" s="44"/>
      <c r="F976" s="44"/>
      <c r="G976" s="2"/>
      <c r="H976" s="2"/>
      <c r="I976" s="45"/>
      <c r="J976" s="2"/>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spans="4:37" ht="12.75" customHeight="1" x14ac:dyDescent="0.3">
      <c r="D977" s="2"/>
      <c r="E977" s="44"/>
      <c r="F977" s="44"/>
      <c r="G977" s="2"/>
      <c r="H977" s="2"/>
      <c r="I977" s="45"/>
      <c r="J977" s="2"/>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spans="4:37" ht="12.75" customHeight="1" x14ac:dyDescent="0.3">
      <c r="D978" s="2"/>
      <c r="E978" s="44"/>
      <c r="F978" s="44"/>
      <c r="G978" s="2"/>
      <c r="H978" s="2"/>
      <c r="I978" s="45"/>
      <c r="J978" s="2"/>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spans="4:37" ht="12.75" customHeight="1" x14ac:dyDescent="0.3">
      <c r="D979" s="2"/>
      <c r="E979" s="44"/>
      <c r="F979" s="44"/>
      <c r="G979" s="2"/>
      <c r="H979" s="2"/>
      <c r="I979" s="45"/>
      <c r="J979" s="2"/>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spans="4:37" ht="12.75" customHeight="1" x14ac:dyDescent="0.3">
      <c r="D980" s="2"/>
      <c r="E980" s="44"/>
      <c r="F980" s="44"/>
      <c r="G980" s="2"/>
      <c r="H980" s="2"/>
      <c r="I980" s="45"/>
      <c r="J980" s="2"/>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spans="4:37" ht="12.75" customHeight="1" x14ac:dyDescent="0.3">
      <c r="D981" s="2"/>
      <c r="E981" s="44"/>
      <c r="F981" s="44"/>
      <c r="G981" s="2"/>
      <c r="H981" s="2"/>
      <c r="I981" s="45"/>
      <c r="J981" s="2"/>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spans="4:37" ht="12.75" customHeight="1" x14ac:dyDescent="0.3">
      <c r="D982" s="2"/>
      <c r="E982" s="44"/>
      <c r="F982" s="44"/>
      <c r="G982" s="2"/>
      <c r="H982" s="2"/>
      <c r="I982" s="45"/>
      <c r="J982" s="2"/>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spans="4:37" ht="12.75" customHeight="1" x14ac:dyDescent="0.3">
      <c r="D983" s="2"/>
      <c r="E983" s="44"/>
      <c r="F983" s="44"/>
      <c r="G983" s="2"/>
      <c r="H983" s="2"/>
      <c r="I983" s="45"/>
      <c r="J983" s="2"/>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spans="4:37" ht="12.75" customHeight="1" x14ac:dyDescent="0.3">
      <c r="D984" s="2"/>
      <c r="E984" s="44"/>
      <c r="F984" s="44"/>
      <c r="G984" s="2"/>
      <c r="H984" s="2"/>
      <c r="I984" s="45"/>
      <c r="J984" s="2"/>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spans="4:37" ht="12.75" customHeight="1" x14ac:dyDescent="0.3">
      <c r="D985" s="2"/>
      <c r="E985" s="44"/>
      <c r="F985" s="44"/>
      <c r="G985" s="2"/>
      <c r="H985" s="2"/>
      <c r="I985" s="45"/>
      <c r="J985" s="2"/>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spans="4:37" ht="12.75" customHeight="1" x14ac:dyDescent="0.3">
      <c r="D986" s="2"/>
      <c r="E986" s="44"/>
      <c r="F986" s="44"/>
      <c r="G986" s="2"/>
      <c r="H986" s="2"/>
      <c r="I986" s="45"/>
      <c r="J986" s="2"/>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spans="4:37" ht="12.75" customHeight="1" x14ac:dyDescent="0.3">
      <c r="D987" s="2"/>
      <c r="E987" s="44"/>
      <c r="F987" s="44"/>
      <c r="G987" s="2"/>
      <c r="H987" s="2"/>
      <c r="I987" s="45"/>
      <c r="J987" s="2"/>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spans="4:37" ht="12.75" customHeight="1" x14ac:dyDescent="0.3">
      <c r="D988" s="2"/>
      <c r="E988" s="44"/>
      <c r="F988" s="44"/>
      <c r="G988" s="2"/>
      <c r="H988" s="2"/>
      <c r="I988" s="45"/>
      <c r="J988" s="2"/>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spans="4:37" ht="12.75" customHeight="1" x14ac:dyDescent="0.3">
      <c r="D989" s="2"/>
      <c r="E989" s="44"/>
      <c r="F989" s="44"/>
      <c r="G989" s="2"/>
      <c r="H989" s="2"/>
      <c r="I989" s="45"/>
      <c r="J989" s="2"/>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spans="4:37" ht="12.75" customHeight="1" x14ac:dyDescent="0.3">
      <c r="D990" s="2"/>
      <c r="E990" s="44"/>
      <c r="F990" s="44"/>
      <c r="G990" s="2"/>
      <c r="H990" s="2"/>
      <c r="I990" s="45"/>
      <c r="J990" s="2"/>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spans="4:37" ht="12.75" customHeight="1" x14ac:dyDescent="0.3">
      <c r="D991" s="2"/>
      <c r="E991" s="44"/>
      <c r="F991" s="44"/>
      <c r="G991" s="2"/>
      <c r="H991" s="2"/>
      <c r="I991" s="45"/>
      <c r="J991" s="2"/>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spans="4:37" ht="12.75" customHeight="1" x14ac:dyDescent="0.3">
      <c r="D992" s="2"/>
      <c r="E992" s="44"/>
      <c r="F992" s="44"/>
      <c r="G992" s="2"/>
      <c r="H992" s="2"/>
      <c r="I992" s="45"/>
      <c r="J992" s="2"/>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spans="4:37" ht="12.75" customHeight="1" x14ac:dyDescent="0.3">
      <c r="D993" s="2"/>
      <c r="E993" s="44"/>
      <c r="F993" s="44"/>
      <c r="G993" s="2"/>
      <c r="H993" s="2"/>
      <c r="I993" s="45"/>
      <c r="J993" s="2"/>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spans="4:37" ht="12.75" customHeight="1" x14ac:dyDescent="0.3">
      <c r="D994" s="2"/>
      <c r="E994" s="44"/>
      <c r="F994" s="44"/>
      <c r="G994" s="2"/>
      <c r="H994" s="2"/>
      <c r="I994" s="45"/>
      <c r="J994" s="2"/>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spans="4:37" ht="12.75" customHeight="1" x14ac:dyDescent="0.3">
      <c r="D995" s="2"/>
      <c r="E995" s="44"/>
      <c r="F995" s="44"/>
      <c r="G995" s="2"/>
      <c r="H995" s="2"/>
      <c r="I995" s="45"/>
      <c r="J995" s="2"/>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spans="4:37" ht="12.75" customHeight="1" x14ac:dyDescent="0.3">
      <c r="D996" s="2"/>
      <c r="E996" s="44"/>
      <c r="F996" s="44"/>
      <c r="G996" s="2"/>
      <c r="H996" s="2"/>
      <c r="I996" s="45"/>
      <c r="J996" s="2"/>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spans="4:37" ht="12.75" customHeight="1" x14ac:dyDescent="0.3">
      <c r="D997" s="2"/>
      <c r="E997" s="44"/>
      <c r="F997" s="44"/>
      <c r="G997" s="2"/>
      <c r="H997" s="2"/>
      <c r="I997" s="45"/>
      <c r="J997" s="2"/>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spans="4:37" ht="12.75" customHeight="1" x14ac:dyDescent="0.3">
      <c r="D998" s="2"/>
      <c r="E998" s="44"/>
      <c r="F998" s="44"/>
      <c r="G998" s="2"/>
      <c r="H998" s="2"/>
      <c r="I998" s="45"/>
      <c r="J998" s="2"/>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spans="4:37" ht="12.75" customHeight="1" x14ac:dyDescent="0.3">
      <c r="D999" s="2"/>
      <c r="E999" s="44"/>
      <c r="F999" s="44"/>
      <c r="G999" s="2"/>
      <c r="H999" s="2"/>
      <c r="I999" s="45"/>
      <c r="J999" s="2"/>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spans="4:37" ht="12.75" customHeight="1" x14ac:dyDescent="0.3">
      <c r="D1000" s="2"/>
      <c r="E1000" s="44"/>
      <c r="F1000" s="44"/>
      <c r="G1000" s="2"/>
      <c r="H1000" s="2"/>
      <c r="I1000" s="45"/>
      <c r="J1000" s="2"/>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row r="1001" spans="4:37" ht="12.75" customHeight="1" x14ac:dyDescent="0.3">
      <c r="D1001" s="2"/>
      <c r="E1001" s="44"/>
      <c r="F1001" s="44"/>
      <c r="G1001" s="2"/>
      <c r="H1001" s="2"/>
      <c r="I1001" s="45"/>
      <c r="J1001" s="2"/>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c r="AK1001" s="1"/>
    </row>
    <row r="1002" spans="4:37" ht="12.75" customHeight="1" x14ac:dyDescent="0.3">
      <c r="D1002" s="2"/>
      <c r="E1002" s="44"/>
      <c r="F1002" s="44"/>
      <c r="G1002" s="2"/>
      <c r="H1002" s="2"/>
      <c r="I1002" s="45"/>
      <c r="J1002" s="2"/>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c r="AK1002" s="1"/>
    </row>
    <row r="1003" spans="4:37" ht="12.75" customHeight="1" x14ac:dyDescent="0.3">
      <c r="D1003" s="2"/>
      <c r="E1003" s="44"/>
      <c r="F1003" s="44"/>
      <c r="G1003" s="2"/>
      <c r="H1003" s="2"/>
      <c r="I1003" s="45"/>
      <c r="J1003" s="2"/>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c r="AK1003" s="1"/>
    </row>
    <row r="1004" spans="4:37" ht="12.75" customHeight="1" x14ac:dyDescent="0.3">
      <c r="D1004" s="2"/>
      <c r="E1004" s="44"/>
      <c r="F1004" s="44"/>
      <c r="G1004" s="2"/>
      <c r="H1004" s="2"/>
      <c r="I1004" s="45"/>
      <c r="J1004" s="2"/>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c r="AK1004" s="1"/>
    </row>
    <row r="1005" spans="4:37" ht="12.75" customHeight="1" x14ac:dyDescent="0.3">
      <c r="D1005" s="2"/>
      <c r="E1005" s="44"/>
      <c r="F1005" s="44"/>
      <c r="G1005" s="2"/>
      <c r="H1005" s="2"/>
      <c r="I1005" s="45"/>
      <c r="J1005" s="2"/>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c r="AK1005" s="1"/>
    </row>
    <row r="1006" spans="4:37" ht="12.75" customHeight="1" x14ac:dyDescent="0.3">
      <c r="D1006" s="2"/>
      <c r="E1006" s="44"/>
      <c r="F1006" s="44"/>
      <c r="G1006" s="2"/>
      <c r="H1006" s="2"/>
      <c r="I1006" s="45"/>
      <c r="J1006" s="2"/>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c r="AK1006" s="1"/>
    </row>
    <row r="1007" spans="4:37" ht="12.75" customHeight="1" x14ac:dyDescent="0.3">
      <c r="D1007" s="2"/>
      <c r="E1007" s="44"/>
      <c r="F1007" s="44"/>
      <c r="G1007" s="2"/>
      <c r="H1007" s="2"/>
      <c r="I1007" s="45"/>
      <c r="J1007" s="2"/>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c r="AK1007" s="1"/>
    </row>
    <row r="1008" spans="4:37" ht="12.75" customHeight="1" x14ac:dyDescent="0.3">
      <c r="D1008" s="2"/>
      <c r="E1008" s="44"/>
      <c r="F1008" s="44"/>
      <c r="G1008" s="2"/>
      <c r="H1008" s="2"/>
      <c r="I1008" s="45"/>
      <c r="J1008" s="2"/>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c r="AK1008" s="1"/>
    </row>
    <row r="1009" spans="4:37" ht="12.75" customHeight="1" x14ac:dyDescent="0.3">
      <c r="D1009" s="2"/>
      <c r="E1009" s="44"/>
      <c r="F1009" s="44"/>
      <c r="G1009" s="2"/>
      <c r="H1009" s="2"/>
      <c r="I1009" s="45"/>
      <c r="J1009" s="2"/>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c r="AK1009" s="1"/>
    </row>
    <row r="1010" spans="4:37" ht="12.75" customHeight="1" x14ac:dyDescent="0.3">
      <c r="D1010" s="2"/>
      <c r="E1010" s="44"/>
      <c r="F1010" s="44"/>
      <c r="G1010" s="2"/>
      <c r="H1010" s="2"/>
      <c r="I1010" s="45"/>
      <c r="J1010" s="2"/>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c r="AK1010" s="1"/>
    </row>
    <row r="1011" spans="4:37" ht="12.75" customHeight="1" x14ac:dyDescent="0.3">
      <c r="D1011" s="2"/>
      <c r="E1011" s="44"/>
      <c r="F1011" s="44"/>
      <c r="G1011" s="2"/>
      <c r="H1011" s="2"/>
      <c r="I1011" s="45"/>
      <c r="J1011" s="2"/>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c r="AK1011" s="1"/>
    </row>
    <row r="1012" spans="4:37" ht="12.75" customHeight="1" x14ac:dyDescent="0.3">
      <c r="D1012" s="2"/>
      <c r="E1012" s="44"/>
      <c r="F1012" s="44"/>
      <c r="G1012" s="2"/>
      <c r="H1012" s="2"/>
      <c r="I1012" s="45"/>
      <c r="J1012" s="2"/>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c r="AK1012" s="1"/>
    </row>
    <row r="1013" spans="4:37" ht="12.75" customHeight="1" x14ac:dyDescent="0.3">
      <c r="D1013" s="2"/>
      <c r="E1013" s="44"/>
      <c r="F1013" s="44"/>
      <c r="G1013" s="2"/>
      <c r="H1013" s="2"/>
      <c r="I1013" s="45"/>
      <c r="J1013" s="2"/>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c r="AK1013" s="1"/>
    </row>
    <row r="1014" spans="4:37" ht="12.75" customHeight="1" x14ac:dyDescent="0.3">
      <c r="D1014" s="2"/>
      <c r="E1014" s="44"/>
      <c r="F1014" s="44"/>
      <c r="G1014" s="2"/>
      <c r="H1014" s="2"/>
      <c r="I1014" s="45"/>
      <c r="J1014" s="2"/>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c r="AK1014" s="1"/>
    </row>
    <row r="1015" spans="4:37" ht="12.75" customHeight="1" x14ac:dyDescent="0.3">
      <c r="D1015" s="2"/>
      <c r="E1015" s="44"/>
      <c r="F1015" s="44"/>
      <c r="G1015" s="2"/>
      <c r="H1015" s="2"/>
      <c r="I1015" s="45"/>
      <c r="J1015" s="2"/>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c r="AK1015" s="1"/>
    </row>
    <row r="1016" spans="4:37" ht="12.75" customHeight="1" x14ac:dyDescent="0.3">
      <c r="D1016" s="2"/>
      <c r="E1016" s="44"/>
      <c r="F1016" s="44"/>
      <c r="G1016" s="2"/>
      <c r="H1016" s="2"/>
      <c r="I1016" s="45"/>
      <c r="J1016" s="2"/>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c r="AK1016" s="1"/>
    </row>
    <row r="1017" spans="4:37" ht="12.75" customHeight="1" x14ac:dyDescent="0.3">
      <c r="D1017" s="2"/>
      <c r="E1017" s="44"/>
      <c r="F1017" s="44"/>
      <c r="G1017" s="2"/>
      <c r="H1017" s="2"/>
      <c r="I1017" s="45"/>
      <c r="J1017" s="2"/>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c r="AK1017" s="1"/>
    </row>
    <row r="1018" spans="4:37" ht="12.75" customHeight="1" x14ac:dyDescent="0.3">
      <c r="D1018" s="2"/>
      <c r="E1018" s="44"/>
      <c r="F1018" s="44"/>
      <c r="G1018" s="2"/>
      <c r="H1018" s="2"/>
      <c r="I1018" s="45"/>
      <c r="J1018" s="2"/>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c r="AK1018" s="1"/>
    </row>
    <row r="1019" spans="4:37" ht="12.75" customHeight="1" x14ac:dyDescent="0.3">
      <c r="D1019" s="2"/>
      <c r="E1019" s="44"/>
      <c r="F1019" s="44"/>
      <c r="G1019" s="2"/>
      <c r="H1019" s="2"/>
      <c r="I1019" s="45"/>
      <c r="J1019" s="2"/>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c r="AK1019" s="1"/>
    </row>
    <row r="1020" spans="4:37" ht="12.75" customHeight="1" x14ac:dyDescent="0.3">
      <c r="D1020" s="2"/>
      <c r="E1020" s="44"/>
      <c r="F1020" s="44"/>
      <c r="G1020" s="2"/>
      <c r="H1020" s="2"/>
      <c r="I1020" s="45"/>
      <c r="J1020" s="2"/>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c r="AK1020" s="1"/>
    </row>
    <row r="1021" spans="4:37" ht="12.75" customHeight="1" x14ac:dyDescent="0.3">
      <c r="D1021" s="2"/>
      <c r="E1021" s="44"/>
      <c r="F1021" s="44"/>
      <c r="G1021" s="2"/>
      <c r="H1021" s="2"/>
      <c r="I1021" s="45"/>
      <c r="J1021" s="2"/>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c r="AK1021" s="1"/>
    </row>
    <row r="1022" spans="4:37" ht="12.75" customHeight="1" x14ac:dyDescent="0.3">
      <c r="D1022" s="2"/>
      <c r="E1022" s="44"/>
      <c r="F1022" s="44"/>
      <c r="G1022" s="2"/>
      <c r="H1022" s="2"/>
      <c r="I1022" s="45"/>
      <c r="J1022" s="2"/>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c r="AK1022" s="1"/>
    </row>
    <row r="1023" spans="4:37" ht="12.75" customHeight="1" x14ac:dyDescent="0.3">
      <c r="D1023" s="2"/>
      <c r="E1023" s="44"/>
      <c r="F1023" s="44"/>
      <c r="G1023" s="2"/>
      <c r="H1023" s="2"/>
      <c r="I1023" s="45"/>
      <c r="J1023" s="2"/>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c r="AK1023" s="1"/>
    </row>
    <row r="1024" spans="4:37" ht="12.75" customHeight="1" x14ac:dyDescent="0.3">
      <c r="D1024" s="2"/>
      <c r="E1024" s="44"/>
      <c r="F1024" s="44"/>
      <c r="G1024" s="2"/>
      <c r="H1024" s="2"/>
      <c r="I1024" s="45"/>
      <c r="J1024" s="2"/>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c r="AK1024" s="1"/>
    </row>
    <row r="1025" spans="4:37" ht="12.75" customHeight="1" x14ac:dyDescent="0.3">
      <c r="D1025" s="2"/>
      <c r="E1025" s="44"/>
      <c r="F1025" s="44"/>
      <c r="G1025" s="2"/>
      <c r="H1025" s="2"/>
      <c r="I1025" s="45"/>
      <c r="J1025" s="2"/>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c r="AK1025" s="1"/>
    </row>
    <row r="1026" spans="4:37" ht="12.75" customHeight="1" x14ac:dyDescent="0.3">
      <c r="D1026" s="2"/>
      <c r="E1026" s="44"/>
      <c r="F1026" s="44"/>
      <c r="G1026" s="2"/>
      <c r="H1026" s="2"/>
      <c r="I1026" s="45"/>
      <c r="J1026" s="2"/>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c r="AK1026" s="1"/>
    </row>
    <row r="1027" spans="4:37" ht="12.75" customHeight="1" x14ac:dyDescent="0.3">
      <c r="D1027" s="2"/>
      <c r="E1027" s="44"/>
      <c r="F1027" s="44"/>
      <c r="G1027" s="2"/>
      <c r="H1027" s="2"/>
      <c r="I1027" s="45"/>
      <c r="J1027" s="2"/>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c r="AK1027" s="1"/>
    </row>
    <row r="1028" spans="4:37" ht="12.75" customHeight="1" x14ac:dyDescent="0.3">
      <c r="D1028" s="2"/>
      <c r="E1028" s="44"/>
      <c r="F1028" s="44"/>
      <c r="G1028" s="2"/>
      <c r="H1028" s="2"/>
      <c r="I1028" s="45"/>
      <c r="J1028" s="2"/>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c r="AK1028" s="1"/>
    </row>
  </sheetData>
  <pageMargins left="0.7" right="0.7" top="0.75" bottom="0.75" header="0.3" footer="0.3"/>
  <pageSetup paperSize="9" orientation="portrait" horizontalDpi="4294967292"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5EB46-7272-4909-8FCE-88644F64AA4E}">
  <sheetPr codeName="Sheet5"/>
  <dimension ref="A1:AZ500"/>
  <sheetViews>
    <sheetView workbookViewId="0"/>
  </sheetViews>
  <sheetFormatPr defaultColWidth="9.1640625" defaultRowHeight="12.45" x14ac:dyDescent="0.3"/>
  <cols>
    <col min="1" max="1" width="8.5" style="20" customWidth="1"/>
    <col min="2" max="2" width="49.75" style="20" customWidth="1"/>
    <col min="3" max="3" width="9.1640625" style="17"/>
    <col min="4" max="10" width="9.1640625" style="25"/>
    <col min="11" max="11" width="2.58203125" style="25" customWidth="1"/>
    <col min="12" max="18" width="9.1640625" style="30"/>
    <col min="19" max="26" width="9.1640625" style="25"/>
    <col min="27" max="27" width="2.83203125" style="25" customWidth="1"/>
    <col min="28" max="33" width="9.1640625" style="27"/>
    <col min="34" max="48" width="9.1640625" style="25"/>
    <col min="49" max="49" width="9.1640625" style="30"/>
    <col min="50" max="50" width="9.1640625" style="34"/>
    <col min="51" max="16384" width="9.1640625" style="17"/>
  </cols>
  <sheetData>
    <row r="1" spans="1:52" s="13" customFormat="1" ht="14.6" x14ac:dyDescent="0.4">
      <c r="A1" s="12" t="s">
        <v>1491</v>
      </c>
      <c r="B1" s="12" t="s">
        <v>0</v>
      </c>
      <c r="D1" s="85" t="s">
        <v>1472</v>
      </c>
      <c r="E1" s="86"/>
      <c r="F1" s="86"/>
      <c r="G1" s="86"/>
      <c r="H1" s="86"/>
      <c r="I1" s="86"/>
      <c r="J1" s="86"/>
      <c r="K1" s="14"/>
      <c r="L1" s="87" t="s">
        <v>1473</v>
      </c>
      <c r="M1" s="88"/>
      <c r="N1" s="88"/>
      <c r="O1" s="88"/>
      <c r="P1" s="88"/>
      <c r="Q1" s="88"/>
      <c r="R1" s="88"/>
      <c r="S1" s="14"/>
      <c r="T1" s="85" t="s">
        <v>1474</v>
      </c>
      <c r="U1" s="86"/>
      <c r="V1" s="86"/>
      <c r="W1" s="86"/>
      <c r="X1" s="86"/>
      <c r="Y1" s="86"/>
      <c r="Z1" s="89"/>
      <c r="AA1" s="24"/>
      <c r="AB1" s="90" t="s">
        <v>1475</v>
      </c>
      <c r="AC1" s="91"/>
      <c r="AD1" s="91"/>
      <c r="AE1" s="91"/>
      <c r="AF1" s="91"/>
      <c r="AG1" s="91"/>
      <c r="AH1" s="24"/>
      <c r="AI1" s="31" t="s">
        <v>1476</v>
      </c>
      <c r="AJ1" s="31" t="s">
        <v>1492</v>
      </c>
      <c r="AL1" s="24"/>
      <c r="AM1" s="24"/>
      <c r="AN1" s="24"/>
      <c r="AO1" s="24"/>
      <c r="AP1" s="24"/>
      <c r="AQ1" s="24"/>
      <c r="AR1" s="24"/>
      <c r="AS1" s="24"/>
      <c r="AT1" s="24"/>
      <c r="AU1" s="24"/>
      <c r="AV1" s="24"/>
      <c r="AW1" s="29"/>
      <c r="AX1" s="33"/>
    </row>
    <row r="2" spans="1:52" s="15" customFormat="1" x14ac:dyDescent="0.3">
      <c r="A2" s="12"/>
      <c r="B2" s="12"/>
      <c r="D2" s="24" t="s">
        <v>261</v>
      </c>
      <c r="E2" s="24" t="s">
        <v>34</v>
      </c>
      <c r="F2" s="24" t="s">
        <v>60</v>
      </c>
      <c r="G2" s="24" t="s">
        <v>312</v>
      </c>
      <c r="H2" s="24" t="s">
        <v>99</v>
      </c>
      <c r="I2" s="24" t="s">
        <v>505</v>
      </c>
      <c r="J2" s="28" t="s">
        <v>2</v>
      </c>
      <c r="K2" s="28"/>
      <c r="L2" s="29" t="s">
        <v>261</v>
      </c>
      <c r="M2" s="29" t="s">
        <v>34</v>
      </c>
      <c r="N2" s="29" t="s">
        <v>60</v>
      </c>
      <c r="O2" s="29" t="s">
        <v>312</v>
      </c>
      <c r="P2" s="29" t="s">
        <v>99</v>
      </c>
      <c r="Q2" s="29" t="s">
        <v>505</v>
      </c>
      <c r="R2" s="29" t="s">
        <v>2</v>
      </c>
      <c r="S2" s="28"/>
      <c r="T2" s="24" t="s">
        <v>261</v>
      </c>
      <c r="U2" s="24" t="s">
        <v>34</v>
      </c>
      <c r="V2" s="24" t="s">
        <v>60</v>
      </c>
      <c r="W2" s="24" t="s">
        <v>312</v>
      </c>
      <c r="X2" s="24" t="s">
        <v>99</v>
      </c>
      <c r="Y2" s="24" t="s">
        <v>505</v>
      </c>
      <c r="Z2" s="24" t="s">
        <v>1493</v>
      </c>
      <c r="AA2" s="14"/>
      <c r="AB2" s="26" t="s">
        <v>261</v>
      </c>
      <c r="AC2" s="26" t="s">
        <v>34</v>
      </c>
      <c r="AD2" s="26" t="s">
        <v>60</v>
      </c>
      <c r="AE2" s="26" t="s">
        <v>312</v>
      </c>
      <c r="AF2" s="26" t="s">
        <v>99</v>
      </c>
      <c r="AG2" s="26" t="s">
        <v>505</v>
      </c>
      <c r="AH2" s="24"/>
      <c r="AI2" s="31"/>
      <c r="AJ2" s="31" t="s">
        <v>1477</v>
      </c>
      <c r="AK2" s="31" t="s">
        <v>1478</v>
      </c>
      <c r="AL2" s="31" t="s">
        <v>1479</v>
      </c>
      <c r="AM2" s="31" t="s">
        <v>1480</v>
      </c>
      <c r="AN2" s="31" t="s">
        <v>1481</v>
      </c>
      <c r="AO2" s="31" t="s">
        <v>1482</v>
      </c>
      <c r="AP2" s="31" t="s">
        <v>1483</v>
      </c>
      <c r="AQ2" s="31" t="s">
        <v>1484</v>
      </c>
      <c r="AR2" s="31" t="s">
        <v>1485</v>
      </c>
      <c r="AS2" s="31" t="s">
        <v>1486</v>
      </c>
      <c r="AT2" s="31" t="s">
        <v>1487</v>
      </c>
      <c r="AU2" s="32" t="s">
        <v>1488</v>
      </c>
      <c r="AW2" s="12" t="s">
        <v>1471</v>
      </c>
      <c r="AX2" s="33" t="s">
        <v>1489</v>
      </c>
      <c r="AY2" s="13" t="s">
        <v>1</v>
      </c>
      <c r="AZ2" s="13" t="s">
        <v>1494</v>
      </c>
    </row>
    <row r="3" spans="1:52" x14ac:dyDescent="0.3">
      <c r="A3" s="16">
        <v>1</v>
      </c>
      <c r="B3" s="16" t="s">
        <v>821</v>
      </c>
      <c r="D3" s="25" t="s">
        <v>1490</v>
      </c>
      <c r="E3" s="25" t="s">
        <v>1490</v>
      </c>
      <c r="F3" s="25" t="s">
        <v>1490</v>
      </c>
      <c r="G3" s="25" t="s">
        <v>1490</v>
      </c>
      <c r="H3" s="25" t="s">
        <v>1490</v>
      </c>
      <c r="I3" s="25" t="s">
        <v>1490</v>
      </c>
      <c r="J3" s="25">
        <v>0.53333858432616899</v>
      </c>
      <c r="L3" s="30" t="s">
        <v>1490</v>
      </c>
      <c r="M3" s="30" t="s">
        <v>1490</v>
      </c>
      <c r="N3" s="30" t="s">
        <v>1490</v>
      </c>
      <c r="O3" s="30" t="s">
        <v>1490</v>
      </c>
      <c r="P3" s="30" t="s">
        <v>1490</v>
      </c>
      <c r="Q3" s="30" t="s">
        <v>1490</v>
      </c>
      <c r="R3" s="30">
        <v>15</v>
      </c>
      <c r="S3" s="30"/>
      <c r="T3" s="25" t="s">
        <v>1490</v>
      </c>
      <c r="U3" s="25" t="s">
        <v>1490</v>
      </c>
      <c r="V3" s="25" t="s">
        <v>1490</v>
      </c>
      <c r="W3" s="25" t="s">
        <v>1490</v>
      </c>
      <c r="X3" s="25" t="s">
        <v>1490</v>
      </c>
      <c r="Y3" s="25" t="s">
        <v>1490</v>
      </c>
      <c r="Z3" s="25" t="s">
        <v>1490</v>
      </c>
      <c r="AB3" s="27" t="s">
        <v>1490</v>
      </c>
      <c r="AC3" s="27" t="s">
        <v>1490</v>
      </c>
      <c r="AD3" s="27" t="s">
        <v>1490</v>
      </c>
      <c r="AE3" s="27" t="s">
        <v>1490</v>
      </c>
      <c r="AF3" s="27" t="s">
        <v>1490</v>
      </c>
      <c r="AG3" s="27" t="s">
        <v>1490</v>
      </c>
      <c r="AI3" s="25">
        <v>0.32777079594476</v>
      </c>
      <c r="AJ3" s="25">
        <v>7.7945205479452104</v>
      </c>
      <c r="AK3" s="25">
        <v>1.52054794520548</v>
      </c>
      <c r="AL3" s="25">
        <v>7.7260273972602702</v>
      </c>
      <c r="AM3" s="25">
        <v>1.65753424657534</v>
      </c>
      <c r="AN3" s="25">
        <v>7.7260273972602702</v>
      </c>
      <c r="AO3" s="25">
        <v>1.6301369863013699</v>
      </c>
      <c r="AP3" s="25">
        <v>7</v>
      </c>
      <c r="AQ3" s="25">
        <v>1.0136986301369899</v>
      </c>
      <c r="AR3" s="25">
        <v>4.9863013698630096</v>
      </c>
      <c r="AS3" s="25">
        <v>4.97260273972603</v>
      </c>
      <c r="AT3" s="25">
        <v>2.2191780821917799</v>
      </c>
      <c r="AU3" s="25">
        <v>0.94520547945205502</v>
      </c>
      <c r="AW3" s="30">
        <v>0</v>
      </c>
      <c r="AX3" s="34">
        <v>5.5</v>
      </c>
      <c r="AY3" s="14" t="s">
        <v>25</v>
      </c>
      <c r="AZ3" s="14">
        <v>1</v>
      </c>
    </row>
    <row r="4" spans="1:52" x14ac:dyDescent="0.3">
      <c r="A4" s="16">
        <v>2</v>
      </c>
      <c r="B4" s="18" t="s">
        <v>803</v>
      </c>
      <c r="D4" s="25" t="s">
        <v>1490</v>
      </c>
      <c r="E4" s="25">
        <v>0.89376538758632695</v>
      </c>
      <c r="F4" s="25" t="s">
        <v>1490</v>
      </c>
      <c r="G4" s="25" t="s">
        <v>1490</v>
      </c>
      <c r="H4" s="25" t="s">
        <v>1490</v>
      </c>
      <c r="I4" s="25" t="s">
        <v>1490</v>
      </c>
      <c r="J4" s="25">
        <v>1.86651305051477</v>
      </c>
      <c r="L4" s="30" t="s">
        <v>1490</v>
      </c>
      <c r="M4" s="30">
        <v>6</v>
      </c>
      <c r="N4" s="30" t="s">
        <v>1490</v>
      </c>
      <c r="O4" s="30" t="s">
        <v>1490</v>
      </c>
      <c r="P4" s="30" t="s">
        <v>1490</v>
      </c>
      <c r="Q4" s="30" t="s">
        <v>1490</v>
      </c>
      <c r="R4" s="30">
        <v>4</v>
      </c>
      <c r="S4" s="30"/>
      <c r="T4" s="25" t="s">
        <v>1490</v>
      </c>
      <c r="U4" s="25">
        <v>0.69241073367869999</v>
      </c>
      <c r="V4" s="25" t="s">
        <v>1490</v>
      </c>
      <c r="W4" s="25" t="s">
        <v>1490</v>
      </c>
      <c r="X4" s="25" t="s">
        <v>1490</v>
      </c>
      <c r="Y4" s="25" t="s">
        <v>1490</v>
      </c>
      <c r="Z4" s="25" t="s">
        <v>1490</v>
      </c>
      <c r="AB4" s="27" t="s">
        <v>1490</v>
      </c>
      <c r="AC4" s="27">
        <v>10</v>
      </c>
      <c r="AD4" s="27" t="s">
        <v>1490</v>
      </c>
      <c r="AE4" s="27" t="s">
        <v>1490</v>
      </c>
      <c r="AF4" s="27" t="s">
        <v>1490</v>
      </c>
      <c r="AG4" s="27" t="s">
        <v>1490</v>
      </c>
      <c r="AI4" s="25">
        <v>0.58089847317175103</v>
      </c>
      <c r="AJ4" s="25">
        <v>7.8767123287671197</v>
      </c>
      <c r="AK4" s="25">
        <v>1.3561643835616399</v>
      </c>
      <c r="AL4" s="25">
        <v>8.0136986301369895</v>
      </c>
      <c r="AM4" s="25">
        <v>1.3561643835616399</v>
      </c>
      <c r="AN4" s="25">
        <v>8</v>
      </c>
      <c r="AO4" s="25">
        <v>1.3561643835616399</v>
      </c>
      <c r="AP4" s="25">
        <v>7.1232876712328803</v>
      </c>
      <c r="AQ4" s="25">
        <v>0.79452054794520499</v>
      </c>
      <c r="AR4" s="25">
        <v>5.3972602739726003</v>
      </c>
      <c r="AS4" s="25">
        <v>5.8219178082191796</v>
      </c>
      <c r="AT4" s="25">
        <v>2.6575342465753402</v>
      </c>
      <c r="AU4" s="25">
        <v>0.83561643835616395</v>
      </c>
      <c r="AW4" s="30">
        <v>0</v>
      </c>
      <c r="AX4" s="34">
        <v>5</v>
      </c>
      <c r="AY4" s="14" t="s">
        <v>31</v>
      </c>
      <c r="AZ4" s="14">
        <v>1</v>
      </c>
    </row>
    <row r="5" spans="1:52" x14ac:dyDescent="0.3">
      <c r="A5" s="16">
        <v>3</v>
      </c>
      <c r="B5" s="16" t="s">
        <v>744</v>
      </c>
      <c r="D5" s="25" t="s">
        <v>1490</v>
      </c>
      <c r="E5" s="25">
        <v>1.2023644898985399</v>
      </c>
      <c r="F5" s="25" t="s">
        <v>1490</v>
      </c>
      <c r="G5" s="25" t="s">
        <v>1490</v>
      </c>
      <c r="H5" s="25" t="s">
        <v>1490</v>
      </c>
      <c r="I5" s="25" t="s">
        <v>1490</v>
      </c>
      <c r="J5" s="25">
        <v>1.06978437504281</v>
      </c>
      <c r="L5" s="30" t="s">
        <v>1490</v>
      </c>
      <c r="M5" s="30">
        <v>16</v>
      </c>
      <c r="N5" s="30" t="s">
        <v>1490</v>
      </c>
      <c r="O5" s="30" t="s">
        <v>1490</v>
      </c>
      <c r="P5" s="30" t="s">
        <v>1490</v>
      </c>
      <c r="Q5" s="30" t="s">
        <v>1490</v>
      </c>
      <c r="R5" s="30">
        <v>24</v>
      </c>
      <c r="S5" s="30"/>
      <c r="T5" s="25" t="s">
        <v>1490</v>
      </c>
      <c r="U5" s="25">
        <v>-0.38380452997459402</v>
      </c>
      <c r="V5" s="25" t="s">
        <v>1490</v>
      </c>
      <c r="W5" s="25" t="s">
        <v>1490</v>
      </c>
      <c r="X5" s="25" t="s">
        <v>1490</v>
      </c>
      <c r="Y5" s="25" t="s">
        <v>1490</v>
      </c>
      <c r="Z5" s="25" t="s">
        <v>1490</v>
      </c>
      <c r="AB5" s="27" t="s">
        <v>1490</v>
      </c>
      <c r="AC5" s="27">
        <v>40</v>
      </c>
      <c r="AD5" s="27" t="s">
        <v>1490</v>
      </c>
      <c r="AE5" s="27" t="s">
        <v>1490</v>
      </c>
      <c r="AF5" s="27" t="s">
        <v>1490</v>
      </c>
      <c r="AG5" s="27" t="s">
        <v>1490</v>
      </c>
      <c r="AI5" s="25">
        <v>9.8543472580203406E-2</v>
      </c>
      <c r="AJ5" s="25">
        <v>7.4246575342465801</v>
      </c>
      <c r="AK5" s="25">
        <v>1.75342465753425</v>
      </c>
      <c r="AL5" s="25">
        <v>7.4794520547945202</v>
      </c>
      <c r="AM5" s="25">
        <v>1.8082191780821899</v>
      </c>
      <c r="AN5" s="25">
        <v>7.4931506849315097</v>
      </c>
      <c r="AO5" s="25">
        <v>1.7397260273972599</v>
      </c>
      <c r="AP5" s="25">
        <v>7.3835616438356197</v>
      </c>
      <c r="AQ5" s="25">
        <v>0.76712328767123295</v>
      </c>
      <c r="AR5" s="25">
        <v>5.24657534246575</v>
      </c>
      <c r="AS5" s="25">
        <v>5.4520547945205502</v>
      </c>
      <c r="AT5" s="25">
        <v>1.93150684931507</v>
      </c>
      <c r="AU5" s="25">
        <v>1.06849315068493</v>
      </c>
      <c r="AW5" s="30">
        <v>0</v>
      </c>
      <c r="AX5" s="34">
        <v>7</v>
      </c>
      <c r="AY5" s="14" t="s">
        <v>38</v>
      </c>
      <c r="AZ5" s="14">
        <v>1</v>
      </c>
    </row>
    <row r="6" spans="1:52" x14ac:dyDescent="0.3">
      <c r="A6" s="16">
        <v>4</v>
      </c>
      <c r="B6" s="16" t="s">
        <v>790</v>
      </c>
      <c r="D6" s="25" t="s">
        <v>1490</v>
      </c>
      <c r="E6" s="25" t="s">
        <v>1490</v>
      </c>
      <c r="F6" s="25" t="s">
        <v>1490</v>
      </c>
      <c r="G6" s="25" t="s">
        <v>1490</v>
      </c>
      <c r="H6" s="25" t="s">
        <v>1490</v>
      </c>
      <c r="I6" s="25" t="s">
        <v>1490</v>
      </c>
      <c r="J6" s="25" t="s">
        <v>1490</v>
      </c>
      <c r="L6" s="30" t="s">
        <v>1490</v>
      </c>
      <c r="M6" s="30" t="s">
        <v>1490</v>
      </c>
      <c r="N6" s="30" t="s">
        <v>1490</v>
      </c>
      <c r="O6" s="30" t="s">
        <v>1490</v>
      </c>
      <c r="P6" s="30" t="s">
        <v>1490</v>
      </c>
      <c r="Q6" s="30" t="s">
        <v>1490</v>
      </c>
      <c r="R6" s="30" t="s">
        <v>1490</v>
      </c>
      <c r="S6" s="30"/>
      <c r="T6" s="25" t="s">
        <v>1490</v>
      </c>
      <c r="U6" s="25">
        <v>2.80178125386423E-2</v>
      </c>
      <c r="V6" s="25" t="s">
        <v>1490</v>
      </c>
      <c r="W6" s="25" t="s">
        <v>1490</v>
      </c>
      <c r="X6" s="25" t="s">
        <v>1490</v>
      </c>
      <c r="Y6" s="25" t="s">
        <v>1490</v>
      </c>
      <c r="Z6" s="25" t="s">
        <v>1490</v>
      </c>
      <c r="AB6" s="27" t="s">
        <v>1490</v>
      </c>
      <c r="AC6" s="27">
        <v>15</v>
      </c>
      <c r="AD6" s="27" t="s">
        <v>1490</v>
      </c>
      <c r="AE6" s="27" t="s">
        <v>1490</v>
      </c>
      <c r="AF6" s="27" t="s">
        <v>1490</v>
      </c>
      <c r="AG6" s="27" t="s">
        <v>1490</v>
      </c>
      <c r="AI6" s="25">
        <v>0.401606092287839</v>
      </c>
      <c r="AJ6" s="25">
        <v>7.4383561643835598</v>
      </c>
      <c r="AK6" s="25">
        <v>1.20547945205479</v>
      </c>
      <c r="AL6" s="25">
        <v>7.5342465753424701</v>
      </c>
      <c r="AM6" s="25">
        <v>1.45205479452055</v>
      </c>
      <c r="AN6" s="25">
        <v>7.5205479452054798</v>
      </c>
      <c r="AO6" s="25">
        <v>1.4246575342465799</v>
      </c>
      <c r="AP6" s="25">
        <v>7.6438356164383601</v>
      </c>
      <c r="AQ6" s="25">
        <v>0.65753424657534199</v>
      </c>
      <c r="AR6" s="25">
        <v>5.7260273972602702</v>
      </c>
      <c r="AS6" s="25">
        <v>5.6849315068493196</v>
      </c>
      <c r="AT6" s="25">
        <v>1.3972602739726001</v>
      </c>
      <c r="AU6" s="25">
        <v>0.76712328767123295</v>
      </c>
      <c r="AW6" s="30">
        <v>0</v>
      </c>
      <c r="AX6" s="34">
        <v>3.69</v>
      </c>
      <c r="AY6" s="14" t="s">
        <v>41</v>
      </c>
      <c r="AZ6" s="14">
        <v>0</v>
      </c>
    </row>
    <row r="7" spans="1:52" x14ac:dyDescent="0.3">
      <c r="A7" s="16">
        <v>5</v>
      </c>
      <c r="B7" s="16" t="s">
        <v>786</v>
      </c>
      <c r="D7" s="25" t="s">
        <v>1490</v>
      </c>
      <c r="E7" s="25">
        <v>0.86979072885650499</v>
      </c>
      <c r="F7" s="25" t="s">
        <v>1490</v>
      </c>
      <c r="G7" s="25" t="s">
        <v>1490</v>
      </c>
      <c r="H7" s="25" t="s">
        <v>1490</v>
      </c>
      <c r="I7" s="25" t="s">
        <v>1490</v>
      </c>
      <c r="J7" s="25">
        <v>0.66811785421435599</v>
      </c>
      <c r="L7" s="30" t="s">
        <v>1490</v>
      </c>
      <c r="M7" s="30">
        <v>11</v>
      </c>
      <c r="N7" s="30" t="s">
        <v>1490</v>
      </c>
      <c r="O7" s="30" t="s">
        <v>1490</v>
      </c>
      <c r="P7" s="30" t="s">
        <v>1490</v>
      </c>
      <c r="Q7" s="30" t="s">
        <v>1490</v>
      </c>
      <c r="R7" s="30">
        <v>11</v>
      </c>
      <c r="S7" s="30"/>
      <c r="T7" s="25" t="s">
        <v>1490</v>
      </c>
      <c r="U7" s="25">
        <v>-0.18967416113275701</v>
      </c>
      <c r="V7" s="25" t="s">
        <v>1490</v>
      </c>
      <c r="W7" s="25" t="s">
        <v>1490</v>
      </c>
      <c r="X7" s="25" t="s">
        <v>1490</v>
      </c>
      <c r="Y7" s="25" t="s">
        <v>1490</v>
      </c>
      <c r="Z7" s="25" t="s">
        <v>1490</v>
      </c>
      <c r="AB7" s="27" t="s">
        <v>1490</v>
      </c>
      <c r="AC7" s="27">
        <v>22</v>
      </c>
      <c r="AD7" s="27" t="s">
        <v>1490</v>
      </c>
      <c r="AE7" s="27" t="s">
        <v>1490</v>
      </c>
      <c r="AF7" s="27" t="s">
        <v>1490</v>
      </c>
      <c r="AG7" s="27" t="s">
        <v>1490</v>
      </c>
      <c r="AI7" s="25">
        <v>-1.3707417198696299</v>
      </c>
      <c r="AJ7" s="25">
        <v>5.6301369863013697</v>
      </c>
      <c r="AK7" s="25">
        <v>2.75342465753425</v>
      </c>
      <c r="AL7" s="25">
        <v>5.7945205479452104</v>
      </c>
      <c r="AM7" s="25">
        <v>2.9863013698630101</v>
      </c>
      <c r="AN7" s="25">
        <v>5.7671232876712297</v>
      </c>
      <c r="AO7" s="25">
        <v>2.95890410958904</v>
      </c>
      <c r="AP7" s="25">
        <v>5.7123287671232896</v>
      </c>
      <c r="AQ7" s="25">
        <v>1.7671232876712299</v>
      </c>
      <c r="AR7" s="25">
        <v>5.75342465753425</v>
      </c>
      <c r="AS7" s="25">
        <v>4.8356164383561602</v>
      </c>
      <c r="AT7" s="25">
        <v>2.10958904109589</v>
      </c>
      <c r="AU7" s="25">
        <v>1.7397260273972599</v>
      </c>
      <c r="AW7" s="30">
        <v>0</v>
      </c>
      <c r="AX7" s="34">
        <v>8.8000000000000007</v>
      </c>
      <c r="AY7" s="14" t="s">
        <v>47</v>
      </c>
      <c r="AZ7" s="14">
        <v>1</v>
      </c>
    </row>
    <row r="8" spans="1:52" x14ac:dyDescent="0.3">
      <c r="A8" s="16">
        <v>6</v>
      </c>
      <c r="B8" s="16" t="s">
        <v>734</v>
      </c>
      <c r="D8" s="25" t="s">
        <v>1490</v>
      </c>
      <c r="E8" s="25">
        <v>2.9957397366382601</v>
      </c>
      <c r="F8" s="25" t="s">
        <v>1490</v>
      </c>
      <c r="G8" s="25" t="s">
        <v>1490</v>
      </c>
      <c r="H8" s="25" t="s">
        <v>1490</v>
      </c>
      <c r="I8" s="25" t="s">
        <v>1490</v>
      </c>
      <c r="J8" s="25">
        <v>3.0095688263776799</v>
      </c>
      <c r="L8" s="30" t="s">
        <v>1490</v>
      </c>
      <c r="M8" s="30">
        <v>16</v>
      </c>
      <c r="N8" s="30" t="s">
        <v>1490</v>
      </c>
      <c r="O8" s="30" t="s">
        <v>1490</v>
      </c>
      <c r="P8" s="30" t="s">
        <v>1490</v>
      </c>
      <c r="Q8" s="30" t="s">
        <v>1490</v>
      </c>
      <c r="R8" s="30">
        <v>30</v>
      </c>
      <c r="S8" s="30"/>
      <c r="T8" s="25" t="s">
        <v>1490</v>
      </c>
      <c r="U8" s="25">
        <v>1.41705049652191</v>
      </c>
      <c r="V8" s="25" t="s">
        <v>1490</v>
      </c>
      <c r="W8" s="25" t="s">
        <v>1490</v>
      </c>
      <c r="X8" s="25" t="s">
        <v>1490</v>
      </c>
      <c r="Y8" s="25" t="s">
        <v>1490</v>
      </c>
      <c r="Z8" s="25" t="s">
        <v>1490</v>
      </c>
      <c r="AB8" s="27" t="s">
        <v>1490</v>
      </c>
      <c r="AC8" s="27">
        <v>46</v>
      </c>
      <c r="AD8" s="27" t="s">
        <v>1490</v>
      </c>
      <c r="AE8" s="27" t="s">
        <v>1490</v>
      </c>
      <c r="AF8" s="27" t="s">
        <v>1490</v>
      </c>
      <c r="AG8" s="27" t="s">
        <v>1490</v>
      </c>
      <c r="AI8" s="25">
        <v>1.4711123275306199</v>
      </c>
      <c r="AJ8" s="25">
        <v>9.0410958904109595</v>
      </c>
      <c r="AK8" s="25">
        <v>0.65753424657534199</v>
      </c>
      <c r="AL8" s="25">
        <v>9.0410958904109595</v>
      </c>
      <c r="AM8" s="25">
        <v>0.71232876712328796</v>
      </c>
      <c r="AN8" s="25">
        <v>9.0547945205479508</v>
      </c>
      <c r="AO8" s="25">
        <v>0.71232876712328796</v>
      </c>
      <c r="AP8" s="25">
        <v>8.4794520547945194</v>
      </c>
      <c r="AQ8" s="25">
        <v>0.31506849315068503</v>
      </c>
      <c r="AR8" s="25">
        <v>5.2054794520547896</v>
      </c>
      <c r="AS8" s="25">
        <v>6.6164383561643803</v>
      </c>
      <c r="AT8" s="25">
        <v>2.4520547945205502</v>
      </c>
      <c r="AU8" s="25">
        <v>0.41095890410958902</v>
      </c>
      <c r="AW8" s="30">
        <v>1</v>
      </c>
      <c r="AX8" s="34">
        <v>12</v>
      </c>
      <c r="AY8" s="14" t="s">
        <v>50</v>
      </c>
      <c r="AZ8" s="14">
        <v>0</v>
      </c>
    </row>
    <row r="9" spans="1:52" x14ac:dyDescent="0.3">
      <c r="A9" s="16">
        <v>7</v>
      </c>
      <c r="B9" s="16" t="s">
        <v>732</v>
      </c>
      <c r="D9" s="25" t="s">
        <v>1490</v>
      </c>
      <c r="E9" s="25" t="s">
        <v>1490</v>
      </c>
      <c r="F9" s="25" t="s">
        <v>1490</v>
      </c>
      <c r="G9" s="25" t="s">
        <v>1490</v>
      </c>
      <c r="H9" s="25" t="s">
        <v>1490</v>
      </c>
      <c r="I9" s="25" t="s">
        <v>1490</v>
      </c>
      <c r="J9" s="25" t="s">
        <v>1490</v>
      </c>
      <c r="L9" s="30" t="s">
        <v>1490</v>
      </c>
      <c r="M9" s="30" t="s">
        <v>1490</v>
      </c>
      <c r="N9" s="30" t="s">
        <v>1490</v>
      </c>
      <c r="O9" s="30" t="s">
        <v>1490</v>
      </c>
      <c r="P9" s="30" t="s">
        <v>1490</v>
      </c>
      <c r="Q9" s="30" t="s">
        <v>1490</v>
      </c>
      <c r="R9" s="30" t="s">
        <v>1490</v>
      </c>
      <c r="S9" s="30"/>
      <c r="T9" s="25" t="s">
        <v>1490</v>
      </c>
      <c r="U9" s="25">
        <v>1.2349545313447301</v>
      </c>
      <c r="V9" s="25" t="s">
        <v>1490</v>
      </c>
      <c r="W9" s="25" t="s">
        <v>1490</v>
      </c>
      <c r="X9" s="25" t="s">
        <v>1490</v>
      </c>
      <c r="Y9" s="25" t="s">
        <v>1490</v>
      </c>
      <c r="Z9" s="25" t="s">
        <v>1490</v>
      </c>
      <c r="AB9" s="27" t="s">
        <v>1490</v>
      </c>
      <c r="AC9" s="27">
        <v>38</v>
      </c>
      <c r="AD9" s="27" t="s">
        <v>1490</v>
      </c>
      <c r="AE9" s="27" t="s">
        <v>1490</v>
      </c>
      <c r="AF9" s="27" t="s">
        <v>1490</v>
      </c>
      <c r="AG9" s="27" t="s">
        <v>1490</v>
      </c>
      <c r="AI9" s="25">
        <v>1.2328841908942201</v>
      </c>
      <c r="AJ9" s="25">
        <v>8.5890410958904102</v>
      </c>
      <c r="AK9" s="25">
        <v>0.73972602739726001</v>
      </c>
      <c r="AL9" s="25">
        <v>8.5890410958904102</v>
      </c>
      <c r="AM9" s="25">
        <v>0.79452054794520499</v>
      </c>
      <c r="AN9" s="25">
        <v>8.5753424657534207</v>
      </c>
      <c r="AO9" s="25">
        <v>0.79452054794520499</v>
      </c>
      <c r="AP9" s="25">
        <v>8.1369863013698591</v>
      </c>
      <c r="AQ9" s="25">
        <v>0.38356164383561597</v>
      </c>
      <c r="AR9" s="25">
        <v>5.2739726027397298</v>
      </c>
      <c r="AS9" s="25">
        <v>6.1232876712328803</v>
      </c>
      <c r="AT9" s="25">
        <v>1.54794520547945</v>
      </c>
      <c r="AU9" s="25">
        <v>0.45205479452054798</v>
      </c>
      <c r="AW9" s="30">
        <v>1</v>
      </c>
      <c r="AX9" s="34">
        <v>4.5</v>
      </c>
      <c r="AY9" s="14" t="s">
        <v>50</v>
      </c>
      <c r="AZ9" s="14">
        <v>0</v>
      </c>
    </row>
    <row r="10" spans="1:52" x14ac:dyDescent="0.3">
      <c r="A10" s="16">
        <v>8</v>
      </c>
      <c r="B10" s="16" t="s">
        <v>809</v>
      </c>
      <c r="D10" s="25" t="s">
        <v>1490</v>
      </c>
      <c r="E10" s="25" t="s">
        <v>1490</v>
      </c>
      <c r="F10" s="25" t="s">
        <v>1490</v>
      </c>
      <c r="G10" s="25" t="s">
        <v>1490</v>
      </c>
      <c r="H10" s="25" t="s">
        <v>1490</v>
      </c>
      <c r="I10" s="25" t="s">
        <v>1490</v>
      </c>
      <c r="J10" s="25" t="s">
        <v>1490</v>
      </c>
      <c r="L10" s="30" t="s">
        <v>1490</v>
      </c>
      <c r="M10" s="30" t="s">
        <v>1490</v>
      </c>
      <c r="N10" s="30" t="s">
        <v>1490</v>
      </c>
      <c r="O10" s="30" t="s">
        <v>1490</v>
      </c>
      <c r="P10" s="30" t="s">
        <v>1490</v>
      </c>
      <c r="Q10" s="30" t="s">
        <v>1490</v>
      </c>
      <c r="R10" s="30" t="s">
        <v>1490</v>
      </c>
      <c r="S10" s="30"/>
      <c r="T10" s="25" t="s">
        <v>1490</v>
      </c>
      <c r="U10" s="25">
        <v>0.25974025974025999</v>
      </c>
      <c r="V10" s="25">
        <v>-0.38961038961038702</v>
      </c>
      <c r="W10" s="25" t="s">
        <v>1490</v>
      </c>
      <c r="X10" s="25" t="s">
        <v>1490</v>
      </c>
      <c r="Y10" s="25" t="s">
        <v>1490</v>
      </c>
      <c r="Z10" s="25" t="s">
        <v>1490</v>
      </c>
      <c r="AB10" s="27" t="s">
        <v>1490</v>
      </c>
      <c r="AC10" s="27">
        <v>39</v>
      </c>
      <c r="AD10" s="27">
        <v>31</v>
      </c>
      <c r="AE10" s="27" t="s">
        <v>1490</v>
      </c>
      <c r="AF10" s="27" t="s">
        <v>1490</v>
      </c>
      <c r="AG10" s="27" t="s">
        <v>1490</v>
      </c>
      <c r="AI10" s="25">
        <v>4.8157549553352802E-2</v>
      </c>
      <c r="AJ10" s="25">
        <v>7.3698630136986303</v>
      </c>
      <c r="AK10" s="25">
        <v>1.54794520547945</v>
      </c>
      <c r="AL10" s="25">
        <v>7.1232876712328803</v>
      </c>
      <c r="AM10" s="25">
        <v>1.7671232876712299</v>
      </c>
      <c r="AN10" s="25">
        <v>7.0547945205479499</v>
      </c>
      <c r="AO10" s="25">
        <v>1.75342465753425</v>
      </c>
      <c r="AP10" s="25">
        <v>7.2739726027397298</v>
      </c>
      <c r="AQ10" s="25">
        <v>1.20547945205479</v>
      </c>
      <c r="AR10" s="25">
        <v>6.3972602739726003</v>
      </c>
      <c r="AS10" s="25">
        <v>5.75342465753425</v>
      </c>
      <c r="AT10" s="25">
        <v>2.3561643835616399</v>
      </c>
      <c r="AU10" s="25">
        <v>1.16438356164384</v>
      </c>
      <c r="AW10" s="30">
        <v>0</v>
      </c>
      <c r="AX10" s="34">
        <v>11</v>
      </c>
      <c r="AY10" s="14" t="s">
        <v>57</v>
      </c>
      <c r="AZ10" s="14">
        <v>0</v>
      </c>
    </row>
    <row r="11" spans="1:52" x14ac:dyDescent="0.3">
      <c r="A11" s="16">
        <v>9</v>
      </c>
      <c r="B11" s="16" t="s">
        <v>752</v>
      </c>
      <c r="D11" s="25" t="s">
        <v>1490</v>
      </c>
      <c r="E11" s="25">
        <v>0.304655527098253</v>
      </c>
      <c r="F11" s="25" t="s">
        <v>1490</v>
      </c>
      <c r="G11" s="25" t="s">
        <v>1490</v>
      </c>
      <c r="H11" s="25" t="s">
        <v>1490</v>
      </c>
      <c r="I11" s="25" t="s">
        <v>1490</v>
      </c>
      <c r="J11" s="25">
        <v>1.3750224926635599</v>
      </c>
      <c r="L11" s="30" t="s">
        <v>1490</v>
      </c>
      <c r="M11" s="30">
        <v>27</v>
      </c>
      <c r="N11" s="30" t="s">
        <v>1490</v>
      </c>
      <c r="O11" s="30" t="s">
        <v>1490</v>
      </c>
      <c r="P11" s="30" t="s">
        <v>1490</v>
      </c>
      <c r="Q11" s="30" t="s">
        <v>1490</v>
      </c>
      <c r="R11" s="30">
        <v>25</v>
      </c>
      <c r="S11" s="30"/>
      <c r="T11" s="25" t="s">
        <v>1490</v>
      </c>
      <c r="U11" s="25">
        <v>0.75231780475954502</v>
      </c>
      <c r="V11" s="25" t="s">
        <v>1490</v>
      </c>
      <c r="W11" s="25" t="s">
        <v>1490</v>
      </c>
      <c r="X11" s="25" t="s">
        <v>1490</v>
      </c>
      <c r="Y11" s="25" t="s">
        <v>1490</v>
      </c>
      <c r="Z11" s="25" t="s">
        <v>1490</v>
      </c>
      <c r="AB11" s="27" t="s">
        <v>1490</v>
      </c>
      <c r="AC11" s="27">
        <v>52</v>
      </c>
      <c r="AD11" s="27" t="s">
        <v>1490</v>
      </c>
      <c r="AE11" s="27" t="s">
        <v>1490</v>
      </c>
      <c r="AF11" s="27" t="s">
        <v>1490</v>
      </c>
      <c r="AG11" s="27" t="s">
        <v>1490</v>
      </c>
      <c r="AI11" s="25">
        <v>1.1802428219458101</v>
      </c>
      <c r="AJ11" s="25">
        <v>8.7260273972602693</v>
      </c>
      <c r="AK11" s="25">
        <v>0.86301369863013699</v>
      </c>
      <c r="AL11" s="25">
        <v>8.6575342465753398</v>
      </c>
      <c r="AM11" s="25">
        <v>0.91780821917808197</v>
      </c>
      <c r="AN11" s="25">
        <v>8.6986301369862993</v>
      </c>
      <c r="AO11" s="25">
        <v>0.95890410958904104</v>
      </c>
      <c r="AP11" s="25">
        <v>8.3287671232876708</v>
      </c>
      <c r="AQ11" s="25">
        <v>0.41095890410958902</v>
      </c>
      <c r="AR11" s="25">
        <v>5.2191780821917799</v>
      </c>
      <c r="AS11" s="25">
        <v>6.5479452054794498</v>
      </c>
      <c r="AT11" s="25">
        <v>2.7671232876712302</v>
      </c>
      <c r="AU11" s="25">
        <v>0.56164383561643805</v>
      </c>
      <c r="AW11" s="30">
        <v>1</v>
      </c>
      <c r="AX11" s="34">
        <v>8.6999999999999993</v>
      </c>
      <c r="AY11" s="14" t="s">
        <v>62</v>
      </c>
      <c r="AZ11" s="14">
        <v>0</v>
      </c>
    </row>
    <row r="12" spans="1:52" x14ac:dyDescent="0.3">
      <c r="A12" s="16">
        <v>10</v>
      </c>
      <c r="B12" s="16" t="s">
        <v>775</v>
      </c>
      <c r="D12" s="25" t="s">
        <v>1490</v>
      </c>
      <c r="E12" s="25" t="s">
        <v>1490</v>
      </c>
      <c r="F12" s="25" t="s">
        <v>1490</v>
      </c>
      <c r="G12" s="25" t="s">
        <v>1490</v>
      </c>
      <c r="H12" s="25" t="s">
        <v>1490</v>
      </c>
      <c r="I12" s="25" t="s">
        <v>1490</v>
      </c>
      <c r="J12" s="25">
        <v>1.20040215713202</v>
      </c>
      <c r="L12" s="30" t="s">
        <v>1490</v>
      </c>
      <c r="M12" s="30" t="s">
        <v>1490</v>
      </c>
      <c r="N12" s="30" t="s">
        <v>1490</v>
      </c>
      <c r="O12" s="30" t="s">
        <v>1490</v>
      </c>
      <c r="P12" s="30" t="s">
        <v>1490</v>
      </c>
      <c r="Q12" s="30" t="s">
        <v>1490</v>
      </c>
      <c r="R12" s="30">
        <v>9</v>
      </c>
      <c r="S12" s="30"/>
      <c r="T12" s="25" t="s">
        <v>1490</v>
      </c>
      <c r="U12" s="25" t="s">
        <v>1490</v>
      </c>
      <c r="V12" s="25" t="s">
        <v>1490</v>
      </c>
      <c r="W12" s="25" t="s">
        <v>1490</v>
      </c>
      <c r="X12" s="25" t="s">
        <v>1490</v>
      </c>
      <c r="Y12" s="25" t="s">
        <v>1490</v>
      </c>
      <c r="Z12" s="25" t="s">
        <v>1490</v>
      </c>
      <c r="AB12" s="27" t="s">
        <v>1490</v>
      </c>
      <c r="AC12" s="27" t="s">
        <v>1490</v>
      </c>
      <c r="AD12" s="27" t="s">
        <v>1490</v>
      </c>
      <c r="AE12" s="27" t="s">
        <v>1490</v>
      </c>
      <c r="AF12" s="27" t="s">
        <v>1490</v>
      </c>
      <c r="AG12" s="27" t="s">
        <v>1490</v>
      </c>
      <c r="AI12" s="25">
        <v>0.91181630931302904</v>
      </c>
      <c r="AJ12" s="25">
        <v>8.0136986301369895</v>
      </c>
      <c r="AK12" s="25">
        <v>0.95890410958904104</v>
      </c>
      <c r="AL12" s="25">
        <v>8.0684931506849296</v>
      </c>
      <c r="AM12" s="25">
        <v>1.06849315068493</v>
      </c>
      <c r="AN12" s="25">
        <v>8.3698630136986303</v>
      </c>
      <c r="AO12" s="25">
        <v>0.94520547945205502</v>
      </c>
      <c r="AP12" s="25">
        <v>7.10958904109589</v>
      </c>
      <c r="AQ12" s="25">
        <v>0.63013698630137005</v>
      </c>
      <c r="AR12" s="25">
        <v>5.1780821917808204</v>
      </c>
      <c r="AS12" s="25">
        <v>5.7123287671232896</v>
      </c>
      <c r="AT12" s="25">
        <v>2.02739726027397</v>
      </c>
      <c r="AU12" s="25">
        <v>0.86301369863013699</v>
      </c>
      <c r="AW12" s="30">
        <v>0</v>
      </c>
      <c r="AX12" s="34">
        <v>19.3</v>
      </c>
      <c r="AY12" s="14" t="s">
        <v>68</v>
      </c>
      <c r="AZ12" s="14">
        <v>0</v>
      </c>
    </row>
    <row r="13" spans="1:52" x14ac:dyDescent="0.3">
      <c r="A13" s="16">
        <v>11</v>
      </c>
      <c r="B13" s="16" t="s">
        <v>823</v>
      </c>
      <c r="D13" s="25" t="s">
        <v>1490</v>
      </c>
      <c r="E13" s="25">
        <v>0.48890120703870499</v>
      </c>
      <c r="F13" s="25">
        <v>0.41354731007734602</v>
      </c>
      <c r="G13" s="25" t="s">
        <v>1490</v>
      </c>
      <c r="H13" s="25" t="s">
        <v>1490</v>
      </c>
      <c r="I13" s="25" t="s">
        <v>1490</v>
      </c>
      <c r="J13" s="25">
        <v>0.83045479853740001</v>
      </c>
      <c r="L13" s="30" t="s">
        <v>1490</v>
      </c>
      <c r="M13" s="30">
        <v>58</v>
      </c>
      <c r="N13" s="30">
        <v>33</v>
      </c>
      <c r="O13" s="30" t="s">
        <v>1490</v>
      </c>
      <c r="P13" s="30" t="s">
        <v>1490</v>
      </c>
      <c r="Q13" s="30" t="s">
        <v>1490</v>
      </c>
      <c r="R13" s="30">
        <v>54</v>
      </c>
      <c r="S13" s="30"/>
      <c r="T13" s="25" t="s">
        <v>1490</v>
      </c>
      <c r="U13" s="25">
        <v>0</v>
      </c>
      <c r="V13" s="25">
        <v>0.65486867076983801</v>
      </c>
      <c r="W13" s="25" t="s">
        <v>1490</v>
      </c>
      <c r="X13" s="25" t="s">
        <v>1490</v>
      </c>
      <c r="Y13" s="25" t="s">
        <v>1490</v>
      </c>
      <c r="Z13" s="25" t="s">
        <v>1490</v>
      </c>
      <c r="AB13" s="27" t="s">
        <v>1490</v>
      </c>
      <c r="AC13" s="27">
        <v>112</v>
      </c>
      <c r="AD13" s="27">
        <v>87</v>
      </c>
      <c r="AE13" s="27" t="s">
        <v>1490</v>
      </c>
      <c r="AF13" s="27" t="s">
        <v>1490</v>
      </c>
      <c r="AG13" s="27" t="s">
        <v>1490</v>
      </c>
      <c r="AI13" s="25">
        <v>-1.5661486154537401</v>
      </c>
      <c r="AJ13" s="25">
        <v>3.9863013698630101</v>
      </c>
      <c r="AK13" s="25">
        <v>2.3835616438356202</v>
      </c>
      <c r="AL13" s="25">
        <v>4.5068493150684903</v>
      </c>
      <c r="AM13" s="25">
        <v>2.4794520547945198</v>
      </c>
      <c r="AN13" s="25">
        <v>4.6438356164383601</v>
      </c>
      <c r="AO13" s="25">
        <v>2.3835616438356202</v>
      </c>
      <c r="AP13" s="25">
        <v>5.4657534246575299</v>
      </c>
      <c r="AQ13" s="25">
        <v>1.3287671232876701</v>
      </c>
      <c r="AR13" s="25">
        <v>5.4520547945205502</v>
      </c>
      <c r="AS13" s="25">
        <v>4.4931506849315097</v>
      </c>
      <c r="AT13" s="25">
        <v>1.65753424657534</v>
      </c>
      <c r="AU13" s="25">
        <v>1.2191780821917799</v>
      </c>
      <c r="AW13" s="30">
        <v>1</v>
      </c>
      <c r="AX13" s="34">
        <v>9</v>
      </c>
      <c r="AY13" s="14" t="s">
        <v>31</v>
      </c>
      <c r="AZ13" s="14">
        <v>1</v>
      </c>
    </row>
    <row r="14" spans="1:52" x14ac:dyDescent="0.3">
      <c r="A14" s="16">
        <v>12</v>
      </c>
      <c r="B14" s="16" t="s">
        <v>811</v>
      </c>
      <c r="D14" s="25" t="s">
        <v>1490</v>
      </c>
      <c r="E14" s="25" t="s">
        <v>1490</v>
      </c>
      <c r="F14" s="25">
        <v>0.44458843974239698</v>
      </c>
      <c r="G14" s="25" t="s">
        <v>1490</v>
      </c>
      <c r="H14" s="25" t="s">
        <v>1490</v>
      </c>
      <c r="I14" s="25" t="s">
        <v>1490</v>
      </c>
      <c r="J14" s="25">
        <v>1.3193577454132801</v>
      </c>
      <c r="L14" s="30" t="s">
        <v>1490</v>
      </c>
      <c r="M14" s="30" t="s">
        <v>1490</v>
      </c>
      <c r="N14" s="30">
        <v>23</v>
      </c>
      <c r="O14" s="30" t="s">
        <v>1490</v>
      </c>
      <c r="P14" s="30" t="s">
        <v>1490</v>
      </c>
      <c r="Q14" s="30" t="s">
        <v>1490</v>
      </c>
      <c r="R14" s="30">
        <v>42</v>
      </c>
      <c r="S14" s="30"/>
      <c r="T14" s="25" t="s">
        <v>1490</v>
      </c>
      <c r="U14" s="25" t="s">
        <v>1490</v>
      </c>
      <c r="V14" s="25">
        <v>1.4576930362525</v>
      </c>
      <c r="W14" s="25" t="s">
        <v>1490</v>
      </c>
      <c r="X14" s="25" t="s">
        <v>1490</v>
      </c>
      <c r="Y14" s="25" t="s">
        <v>1490</v>
      </c>
      <c r="Z14" s="25" t="s">
        <v>1490</v>
      </c>
      <c r="AB14" s="27" t="s">
        <v>1490</v>
      </c>
      <c r="AC14" s="27" t="s">
        <v>1490</v>
      </c>
      <c r="AD14" s="27">
        <v>65</v>
      </c>
      <c r="AE14" s="27" t="s">
        <v>1490</v>
      </c>
      <c r="AF14" s="27" t="s">
        <v>1490</v>
      </c>
      <c r="AG14" s="27" t="s">
        <v>1490</v>
      </c>
      <c r="AI14" s="25">
        <v>0.52009592069388</v>
      </c>
      <c r="AJ14" s="25">
        <v>8.2602739726027394</v>
      </c>
      <c r="AK14" s="25">
        <v>1.4246575342465799</v>
      </c>
      <c r="AL14" s="25">
        <v>8.0821917808219208</v>
      </c>
      <c r="AM14" s="25">
        <v>1.5753424657534201</v>
      </c>
      <c r="AN14" s="25">
        <v>8.1643835616438398</v>
      </c>
      <c r="AO14" s="25">
        <v>1.6986301369862999</v>
      </c>
      <c r="AP14" s="25">
        <v>7.8356164383561602</v>
      </c>
      <c r="AQ14" s="25">
        <v>1.0136986301369899</v>
      </c>
      <c r="AR14" s="25">
        <v>6.4520547945205502</v>
      </c>
      <c r="AS14" s="25">
        <v>6.9041095890411004</v>
      </c>
      <c r="AT14" s="25">
        <v>3.3287671232876699</v>
      </c>
      <c r="AU14" s="25">
        <v>1</v>
      </c>
      <c r="AW14" s="30">
        <v>0</v>
      </c>
      <c r="AX14" s="34">
        <v>5.36</v>
      </c>
      <c r="AY14" s="14" t="s">
        <v>41</v>
      </c>
      <c r="AZ14" s="14">
        <v>0</v>
      </c>
    </row>
    <row r="15" spans="1:52" x14ac:dyDescent="0.3">
      <c r="A15" s="16">
        <v>13</v>
      </c>
      <c r="B15" s="16" t="s">
        <v>754</v>
      </c>
      <c r="D15" s="25" t="s">
        <v>1490</v>
      </c>
      <c r="E15" s="25" t="s">
        <v>1490</v>
      </c>
      <c r="F15" s="25" t="s">
        <v>1490</v>
      </c>
      <c r="G15" s="25" t="s">
        <v>1490</v>
      </c>
      <c r="H15" s="25" t="s">
        <v>1490</v>
      </c>
      <c r="I15" s="25" t="s">
        <v>1490</v>
      </c>
      <c r="J15" s="25" t="s">
        <v>1490</v>
      </c>
      <c r="L15" s="30" t="s">
        <v>1490</v>
      </c>
      <c r="M15" s="30" t="s">
        <v>1490</v>
      </c>
      <c r="N15" s="30" t="s">
        <v>1490</v>
      </c>
      <c r="O15" s="30" t="s">
        <v>1490</v>
      </c>
      <c r="P15" s="30" t="s">
        <v>1490</v>
      </c>
      <c r="Q15" s="30" t="s">
        <v>1490</v>
      </c>
      <c r="R15" s="30" t="s">
        <v>1490</v>
      </c>
      <c r="S15" s="30"/>
      <c r="T15" s="25" t="s">
        <v>1490</v>
      </c>
      <c r="U15" s="25">
        <v>5.5522114221163897E-2</v>
      </c>
      <c r="V15" s="25" t="s">
        <v>1490</v>
      </c>
      <c r="W15" s="25" t="s">
        <v>1490</v>
      </c>
      <c r="X15" s="25" t="s">
        <v>1490</v>
      </c>
      <c r="Y15" s="25" t="s">
        <v>1490</v>
      </c>
      <c r="Z15" s="25" t="s">
        <v>1490</v>
      </c>
      <c r="AB15" s="27" t="s">
        <v>1490</v>
      </c>
      <c r="AC15" s="27">
        <v>122</v>
      </c>
      <c r="AD15" s="27" t="s">
        <v>1490</v>
      </c>
      <c r="AE15" s="27" t="s">
        <v>1490</v>
      </c>
      <c r="AF15" s="27" t="s">
        <v>1490</v>
      </c>
      <c r="AG15" s="27" t="s">
        <v>1490</v>
      </c>
      <c r="AI15" s="25">
        <v>0.47580506851809301</v>
      </c>
      <c r="AJ15" s="25">
        <v>7.8767123287671197</v>
      </c>
      <c r="AK15" s="25">
        <v>1.3972602739726001</v>
      </c>
      <c r="AL15" s="25">
        <v>7.9452054794520501</v>
      </c>
      <c r="AM15" s="25">
        <v>1.5616438356164399</v>
      </c>
      <c r="AN15" s="25">
        <v>7.9452054794520501</v>
      </c>
      <c r="AO15" s="25">
        <v>1.5068493150684901</v>
      </c>
      <c r="AP15" s="25">
        <v>7.8082191780821901</v>
      </c>
      <c r="AQ15" s="25">
        <v>0.90410958904109595</v>
      </c>
      <c r="AR15" s="25">
        <v>5</v>
      </c>
      <c r="AS15" s="25">
        <v>5.2054794520547896</v>
      </c>
      <c r="AT15" s="25">
        <v>2.17808219178082</v>
      </c>
      <c r="AU15" s="25">
        <v>0.95890410958904104</v>
      </c>
      <c r="AW15" s="30">
        <v>0</v>
      </c>
      <c r="AX15" s="34">
        <v>5.0999999999999996</v>
      </c>
      <c r="AY15" s="14" t="s">
        <v>31</v>
      </c>
      <c r="AZ15" s="14">
        <v>1</v>
      </c>
    </row>
    <row r="16" spans="1:52" x14ac:dyDescent="0.3">
      <c r="A16" s="16">
        <v>14</v>
      </c>
      <c r="B16" s="16" t="s">
        <v>832</v>
      </c>
      <c r="D16" s="25" t="s">
        <v>1490</v>
      </c>
      <c r="E16" s="25" t="s">
        <v>1490</v>
      </c>
      <c r="F16" s="25" t="s">
        <v>1490</v>
      </c>
      <c r="G16" s="25" t="s">
        <v>1490</v>
      </c>
      <c r="H16" s="25">
        <v>0.49105316266158</v>
      </c>
      <c r="I16" s="25">
        <v>1.11733002245224</v>
      </c>
      <c r="J16" s="25">
        <v>1.05168117336216</v>
      </c>
      <c r="L16" s="30" t="s">
        <v>1490</v>
      </c>
      <c r="M16" s="30" t="s">
        <v>1490</v>
      </c>
      <c r="N16" s="30" t="s">
        <v>1490</v>
      </c>
      <c r="O16" s="30" t="s">
        <v>1490</v>
      </c>
      <c r="P16" s="30">
        <v>32</v>
      </c>
      <c r="Q16" s="30">
        <v>54</v>
      </c>
      <c r="R16" s="30">
        <v>108</v>
      </c>
      <c r="S16" s="30"/>
      <c r="T16" s="25" t="s">
        <v>1490</v>
      </c>
      <c r="U16" s="25" t="s">
        <v>1490</v>
      </c>
      <c r="V16" s="25" t="s">
        <v>1490</v>
      </c>
      <c r="W16" s="25" t="s">
        <v>1490</v>
      </c>
      <c r="X16" s="25">
        <v>0.84640558565910295</v>
      </c>
      <c r="Y16" s="25">
        <v>-7.1629028122132093E-2</v>
      </c>
      <c r="Z16" s="25" t="s">
        <v>1490</v>
      </c>
      <c r="AB16" s="27" t="s">
        <v>1490</v>
      </c>
      <c r="AC16" s="27" t="s">
        <v>1490</v>
      </c>
      <c r="AD16" s="27" t="s">
        <v>1490</v>
      </c>
      <c r="AE16" s="27" t="s">
        <v>1490</v>
      </c>
      <c r="AF16" s="27">
        <v>86</v>
      </c>
      <c r="AG16" s="27">
        <v>108</v>
      </c>
      <c r="AI16" s="25">
        <v>-0.67536927810456904</v>
      </c>
      <c r="AJ16" s="25">
        <v>6.3561643835616399</v>
      </c>
      <c r="AK16" s="25">
        <v>2.1506849315068499</v>
      </c>
      <c r="AL16" s="25">
        <v>6.4109589041095898</v>
      </c>
      <c r="AM16" s="25">
        <v>2.31506849315068</v>
      </c>
      <c r="AN16" s="25">
        <v>6.4657534246575299</v>
      </c>
      <c r="AO16" s="25">
        <v>2.3972602739725999</v>
      </c>
      <c r="AP16" s="25">
        <v>6.75342465753425</v>
      </c>
      <c r="AQ16" s="25">
        <v>1.3972602739726001</v>
      </c>
      <c r="AR16" s="25">
        <v>5.6986301369863002</v>
      </c>
      <c r="AS16" s="25">
        <v>5.7945205479452104</v>
      </c>
      <c r="AT16" s="25">
        <v>2.20547945205479</v>
      </c>
      <c r="AU16" s="25">
        <v>1.5342465753424701</v>
      </c>
      <c r="AW16" s="30">
        <v>0</v>
      </c>
      <c r="AX16" s="34">
        <v>5.6666666666666696</v>
      </c>
      <c r="AY16" s="14" t="s">
        <v>25</v>
      </c>
      <c r="AZ16" s="14">
        <v>1</v>
      </c>
    </row>
    <row r="17" spans="1:52" x14ac:dyDescent="0.3">
      <c r="A17" s="16">
        <v>15</v>
      </c>
      <c r="B17" s="16" t="s">
        <v>787</v>
      </c>
      <c r="D17" s="25" t="s">
        <v>1490</v>
      </c>
      <c r="E17" s="25" t="s">
        <v>1490</v>
      </c>
      <c r="F17" s="25">
        <v>-4.2326429308905601E-2</v>
      </c>
      <c r="G17" s="25" t="s">
        <v>1490</v>
      </c>
      <c r="H17" s="25" t="s">
        <v>1490</v>
      </c>
      <c r="I17" s="25" t="s">
        <v>1490</v>
      </c>
      <c r="J17" s="25">
        <v>1.53563892747887</v>
      </c>
      <c r="L17" s="30" t="s">
        <v>1490</v>
      </c>
      <c r="M17" s="30" t="s">
        <v>1490</v>
      </c>
      <c r="N17" s="30">
        <v>27</v>
      </c>
      <c r="O17" s="30" t="s">
        <v>1490</v>
      </c>
      <c r="P17" s="30" t="s">
        <v>1490</v>
      </c>
      <c r="Q17" s="30" t="s">
        <v>1490</v>
      </c>
      <c r="R17" s="30">
        <v>40</v>
      </c>
      <c r="S17" s="30"/>
      <c r="T17" s="25" t="s">
        <v>1490</v>
      </c>
      <c r="U17" s="25" t="s">
        <v>1490</v>
      </c>
      <c r="V17" s="25">
        <v>1.4505218423950299</v>
      </c>
      <c r="W17" s="25" t="s">
        <v>1490</v>
      </c>
      <c r="X17" s="25" t="s">
        <v>1490</v>
      </c>
      <c r="Y17" s="25" t="s">
        <v>1490</v>
      </c>
      <c r="Z17" s="25" t="s">
        <v>1490</v>
      </c>
      <c r="AB17" s="27" t="s">
        <v>1490</v>
      </c>
      <c r="AC17" s="27" t="s">
        <v>1490</v>
      </c>
      <c r="AD17" s="27">
        <v>67</v>
      </c>
      <c r="AE17" s="27" t="s">
        <v>1490</v>
      </c>
      <c r="AF17" s="27" t="s">
        <v>1490</v>
      </c>
      <c r="AG17" s="27" t="s">
        <v>1490</v>
      </c>
      <c r="AI17" s="25">
        <v>-0.20102675508376999</v>
      </c>
      <c r="AJ17" s="25">
        <v>6.5890410958904102</v>
      </c>
      <c r="AK17" s="25">
        <v>1.79452054794521</v>
      </c>
      <c r="AL17" s="25">
        <v>7.10958904109589</v>
      </c>
      <c r="AM17" s="25">
        <v>1.9041095890410999</v>
      </c>
      <c r="AN17" s="25">
        <v>7.0547945205479499</v>
      </c>
      <c r="AO17" s="25">
        <v>1.97260273972603</v>
      </c>
      <c r="AP17" s="25">
        <v>7</v>
      </c>
      <c r="AQ17" s="25">
        <v>1.0958904109589001</v>
      </c>
      <c r="AR17" s="25">
        <v>6.24657534246575</v>
      </c>
      <c r="AS17" s="25">
        <v>5.9589041095890396</v>
      </c>
      <c r="AT17" s="25">
        <v>1.8493150684931501</v>
      </c>
      <c r="AU17" s="25">
        <v>1.2191780821917799</v>
      </c>
      <c r="AW17" s="30">
        <v>0</v>
      </c>
      <c r="AX17" s="34">
        <v>8.8000000000000007</v>
      </c>
      <c r="AY17" s="14" t="s">
        <v>47</v>
      </c>
      <c r="AZ17" s="14">
        <v>1</v>
      </c>
    </row>
    <row r="18" spans="1:52" x14ac:dyDescent="0.3">
      <c r="A18" s="16">
        <v>16</v>
      </c>
      <c r="B18" s="18" t="s">
        <v>782</v>
      </c>
      <c r="D18" s="25" t="s">
        <v>1490</v>
      </c>
      <c r="E18" s="25" t="s">
        <v>1490</v>
      </c>
      <c r="F18" s="25" t="s">
        <v>1490</v>
      </c>
      <c r="G18" s="25" t="s">
        <v>1490</v>
      </c>
      <c r="H18" s="25" t="s">
        <v>1490</v>
      </c>
      <c r="I18" s="25">
        <v>0.61509092934896703</v>
      </c>
      <c r="J18" s="25">
        <v>0.77939956769273</v>
      </c>
      <c r="L18" s="30" t="s">
        <v>1490</v>
      </c>
      <c r="M18" s="30" t="s">
        <v>1490</v>
      </c>
      <c r="N18" s="30" t="s">
        <v>1490</v>
      </c>
      <c r="O18" s="30" t="s">
        <v>1490</v>
      </c>
      <c r="P18" s="30" t="s">
        <v>1490</v>
      </c>
      <c r="Q18" s="30">
        <v>11</v>
      </c>
      <c r="R18" s="30">
        <v>23</v>
      </c>
      <c r="S18" s="30"/>
      <c r="T18" s="25" t="s">
        <v>1490</v>
      </c>
      <c r="U18" s="25" t="s">
        <v>1490</v>
      </c>
      <c r="V18" s="25" t="s">
        <v>1490</v>
      </c>
      <c r="W18" s="25" t="s">
        <v>1490</v>
      </c>
      <c r="X18" s="25" t="s">
        <v>1490</v>
      </c>
      <c r="Y18" s="25">
        <v>0.168716725585771</v>
      </c>
      <c r="Z18" s="25" t="s">
        <v>1490</v>
      </c>
      <c r="AB18" s="27" t="s">
        <v>1490</v>
      </c>
      <c r="AC18" s="27" t="s">
        <v>1490</v>
      </c>
      <c r="AD18" s="27" t="s">
        <v>1490</v>
      </c>
      <c r="AE18" s="27" t="s">
        <v>1490</v>
      </c>
      <c r="AF18" s="27" t="s">
        <v>1490</v>
      </c>
      <c r="AG18" s="27">
        <v>34</v>
      </c>
      <c r="AI18" s="25">
        <v>-1.79113636592208</v>
      </c>
      <c r="AJ18" s="25">
        <v>4.86301369863014</v>
      </c>
      <c r="AK18" s="25">
        <v>3.24657534246575</v>
      </c>
      <c r="AL18" s="25">
        <v>5.5479452054794498</v>
      </c>
      <c r="AM18" s="25">
        <v>3.4520547945205502</v>
      </c>
      <c r="AN18" s="25">
        <v>5.7123287671232896</v>
      </c>
      <c r="AO18" s="25">
        <v>3.17808219178082</v>
      </c>
      <c r="AP18" s="25">
        <v>6.0684931506849296</v>
      </c>
      <c r="AQ18" s="25">
        <v>1.47945205479452</v>
      </c>
      <c r="AR18" s="25">
        <v>6.8493150684931496</v>
      </c>
      <c r="AS18" s="25">
        <v>5.5890410958904102</v>
      </c>
      <c r="AT18" s="25">
        <v>2.0136986301369899</v>
      </c>
      <c r="AU18" s="25">
        <v>1.7123287671232901</v>
      </c>
      <c r="AW18" s="30">
        <v>0</v>
      </c>
      <c r="AX18" s="34">
        <v>7.5</v>
      </c>
      <c r="AY18" s="14" t="s">
        <v>47</v>
      </c>
      <c r="AZ18" s="14">
        <v>1</v>
      </c>
    </row>
    <row r="19" spans="1:52" x14ac:dyDescent="0.3">
      <c r="A19" s="16">
        <v>17</v>
      </c>
      <c r="B19" s="16" t="s">
        <v>814</v>
      </c>
      <c r="D19" s="25" t="s">
        <v>1490</v>
      </c>
      <c r="E19" s="25" t="s">
        <v>1490</v>
      </c>
      <c r="F19" s="25" t="s">
        <v>1490</v>
      </c>
      <c r="G19" s="25" t="s">
        <v>1490</v>
      </c>
      <c r="H19" s="25" t="s">
        <v>1490</v>
      </c>
      <c r="I19" s="25">
        <v>0.48389566078268098</v>
      </c>
      <c r="J19" s="25">
        <v>0.76831878496274097</v>
      </c>
      <c r="L19" s="30" t="s">
        <v>1490</v>
      </c>
      <c r="M19" s="30" t="s">
        <v>1490</v>
      </c>
      <c r="N19" s="30" t="s">
        <v>1490</v>
      </c>
      <c r="O19" s="30" t="s">
        <v>1490</v>
      </c>
      <c r="P19" s="30" t="s">
        <v>1490</v>
      </c>
      <c r="Q19" s="30">
        <v>26</v>
      </c>
      <c r="R19" s="30">
        <v>26</v>
      </c>
      <c r="S19" s="30"/>
      <c r="T19" s="25" t="s">
        <v>1490</v>
      </c>
      <c r="U19" s="25" t="s">
        <v>1490</v>
      </c>
      <c r="V19" s="25" t="s">
        <v>1490</v>
      </c>
      <c r="W19" s="25" t="s">
        <v>1490</v>
      </c>
      <c r="X19" s="25" t="s">
        <v>1490</v>
      </c>
      <c r="Y19" s="25">
        <v>0.89775938007718703</v>
      </c>
      <c r="Z19" s="25" t="s">
        <v>1490</v>
      </c>
      <c r="AB19" s="27" t="s">
        <v>1490</v>
      </c>
      <c r="AC19" s="27" t="s">
        <v>1490</v>
      </c>
      <c r="AD19" s="27" t="s">
        <v>1490</v>
      </c>
      <c r="AE19" s="27" t="s">
        <v>1490</v>
      </c>
      <c r="AF19" s="27" t="s">
        <v>1490</v>
      </c>
      <c r="AG19" s="27">
        <v>52</v>
      </c>
      <c r="AI19" s="25">
        <v>1.03218908177071</v>
      </c>
      <c r="AJ19" s="25">
        <v>8.0958904109588996</v>
      </c>
      <c r="AK19" s="25">
        <v>0.73972602739726001</v>
      </c>
      <c r="AL19" s="25">
        <v>7.97260273972603</v>
      </c>
      <c r="AM19" s="25">
        <v>0.86301369863013699</v>
      </c>
      <c r="AN19" s="25">
        <v>8.1917808219178099</v>
      </c>
      <c r="AO19" s="25">
        <v>0.75342465753424703</v>
      </c>
      <c r="AP19" s="25">
        <v>8.4109589041095898</v>
      </c>
      <c r="AQ19" s="25">
        <v>0.43835616438356201</v>
      </c>
      <c r="AR19" s="25">
        <v>6.4520547945205502</v>
      </c>
      <c r="AS19" s="25">
        <v>7.1780821917808204</v>
      </c>
      <c r="AT19" s="25">
        <v>1.47945205479452</v>
      </c>
      <c r="AU19" s="25">
        <v>0.52054794520547898</v>
      </c>
      <c r="AW19" s="30">
        <v>0</v>
      </c>
      <c r="AX19" s="34">
        <v>11.21</v>
      </c>
      <c r="AY19" s="14" t="s">
        <v>41</v>
      </c>
      <c r="AZ19" s="14">
        <v>0</v>
      </c>
    </row>
    <row r="20" spans="1:52" x14ac:dyDescent="0.3">
      <c r="A20" s="16">
        <v>18</v>
      </c>
      <c r="B20" s="16" t="s">
        <v>751</v>
      </c>
      <c r="D20" s="25" t="s">
        <v>1490</v>
      </c>
      <c r="E20" s="25" t="s">
        <v>1490</v>
      </c>
      <c r="F20" s="25" t="s">
        <v>1490</v>
      </c>
      <c r="G20" s="25" t="s">
        <v>1490</v>
      </c>
      <c r="H20" s="25" t="s">
        <v>1490</v>
      </c>
      <c r="I20" s="25" t="s">
        <v>1490</v>
      </c>
      <c r="J20" s="25">
        <v>1.74927527461279</v>
      </c>
      <c r="L20" s="30" t="s">
        <v>1490</v>
      </c>
      <c r="M20" s="30" t="s">
        <v>1490</v>
      </c>
      <c r="N20" s="30" t="s">
        <v>1490</v>
      </c>
      <c r="O20" s="30" t="s">
        <v>1490</v>
      </c>
      <c r="P20" s="30" t="s">
        <v>1490</v>
      </c>
      <c r="Q20" s="30" t="s">
        <v>1490</v>
      </c>
      <c r="R20" s="30">
        <v>59</v>
      </c>
      <c r="S20" s="30"/>
      <c r="T20" s="25" t="s">
        <v>1490</v>
      </c>
      <c r="U20" s="25" t="s">
        <v>1490</v>
      </c>
      <c r="V20" s="25" t="s">
        <v>1490</v>
      </c>
      <c r="W20" s="25" t="s">
        <v>1490</v>
      </c>
      <c r="X20" s="25" t="s">
        <v>1490</v>
      </c>
      <c r="Y20" s="25" t="s">
        <v>1490</v>
      </c>
      <c r="Z20" s="25" t="s">
        <v>1490</v>
      </c>
      <c r="AB20" s="27" t="s">
        <v>1490</v>
      </c>
      <c r="AC20" s="27" t="s">
        <v>1490</v>
      </c>
      <c r="AD20" s="27" t="s">
        <v>1490</v>
      </c>
      <c r="AE20" s="27" t="s">
        <v>1490</v>
      </c>
      <c r="AF20" s="27" t="s">
        <v>1490</v>
      </c>
      <c r="AG20" s="27" t="s">
        <v>1490</v>
      </c>
      <c r="AI20" s="25">
        <v>0.66451693583719096</v>
      </c>
      <c r="AJ20" s="25">
        <v>7.9863013698630096</v>
      </c>
      <c r="AK20" s="25">
        <v>1.02739726027397</v>
      </c>
      <c r="AL20" s="25">
        <v>7.8493150684931496</v>
      </c>
      <c r="AM20" s="25">
        <v>1.27397260273973</v>
      </c>
      <c r="AN20" s="25">
        <v>7.8493150684931496</v>
      </c>
      <c r="AO20" s="25">
        <v>1.3287671232876701</v>
      </c>
      <c r="AP20" s="25">
        <v>7.6164383561643803</v>
      </c>
      <c r="AQ20" s="25">
        <v>0.76712328767123295</v>
      </c>
      <c r="AR20" s="25">
        <v>6.1232876712328803</v>
      </c>
      <c r="AS20" s="25">
        <v>6.5890410958904102</v>
      </c>
      <c r="AT20" s="25">
        <v>2.3561643835616399</v>
      </c>
      <c r="AU20" s="25">
        <v>0.84931506849315097</v>
      </c>
      <c r="AW20" s="30">
        <v>0</v>
      </c>
      <c r="AX20" s="34">
        <v>5.9305084745762704</v>
      </c>
      <c r="AY20" s="14" t="s">
        <v>41</v>
      </c>
      <c r="AZ20" s="14">
        <v>0</v>
      </c>
    </row>
    <row r="21" spans="1:52" ht="12.9" x14ac:dyDescent="0.3">
      <c r="A21" s="16">
        <v>19</v>
      </c>
      <c r="B21" s="16" t="s">
        <v>747</v>
      </c>
      <c r="D21" s="25" t="s">
        <v>1490</v>
      </c>
      <c r="E21" s="25" t="s">
        <v>1490</v>
      </c>
      <c r="F21" s="25" t="s">
        <v>1490</v>
      </c>
      <c r="G21" s="25" t="s">
        <v>1490</v>
      </c>
      <c r="H21" s="25" t="s">
        <v>1490</v>
      </c>
      <c r="I21" s="25" t="s">
        <v>1490</v>
      </c>
      <c r="J21" s="25">
        <v>0.78426369210449698</v>
      </c>
      <c r="L21" s="30" t="s">
        <v>1490</v>
      </c>
      <c r="M21" s="30" t="s">
        <v>1490</v>
      </c>
      <c r="N21" s="30" t="s">
        <v>1490</v>
      </c>
      <c r="O21" s="30" t="s">
        <v>1490</v>
      </c>
      <c r="P21" s="30" t="s">
        <v>1490</v>
      </c>
      <c r="Q21" s="30" t="s">
        <v>1490</v>
      </c>
      <c r="R21" s="30">
        <v>25</v>
      </c>
      <c r="S21" s="30"/>
      <c r="T21" s="25" t="s">
        <v>1490</v>
      </c>
      <c r="U21" s="25" t="s">
        <v>1490</v>
      </c>
      <c r="V21" s="25" t="s">
        <v>1490</v>
      </c>
      <c r="W21" s="25" t="s">
        <v>1490</v>
      </c>
      <c r="X21" s="25" t="s">
        <v>1490</v>
      </c>
      <c r="Y21" s="25" t="s">
        <v>1490</v>
      </c>
      <c r="Z21" s="25" t="s">
        <v>1490</v>
      </c>
      <c r="AB21" s="27" t="s">
        <v>1490</v>
      </c>
      <c r="AC21" s="27" t="s">
        <v>1490</v>
      </c>
      <c r="AD21" s="27" t="s">
        <v>1490</v>
      </c>
      <c r="AE21" s="27" t="s">
        <v>1490</v>
      </c>
      <c r="AF21" s="27" t="s">
        <v>1490</v>
      </c>
      <c r="AG21" s="27" t="s">
        <v>1490</v>
      </c>
      <c r="AI21" s="25">
        <v>0.324893889297862</v>
      </c>
      <c r="AJ21" s="25">
        <v>7.7808219178082201</v>
      </c>
      <c r="AK21" s="25">
        <v>1.5342465753424701</v>
      </c>
      <c r="AL21" s="25">
        <v>7.8082191780821901</v>
      </c>
      <c r="AM21" s="25">
        <v>1.58904109589041</v>
      </c>
      <c r="AN21" s="25">
        <v>7.8082191780821901</v>
      </c>
      <c r="AO21" s="25">
        <v>1.7808219178082201</v>
      </c>
      <c r="AP21" s="25">
        <v>7.3287671232876699</v>
      </c>
      <c r="AQ21" s="25">
        <v>1.16438356164384</v>
      </c>
      <c r="AR21" s="25">
        <v>6.0684931506849296</v>
      </c>
      <c r="AS21" s="25">
        <v>6.3972602739726003</v>
      </c>
      <c r="AT21" s="25">
        <v>1.7397260273972599</v>
      </c>
      <c r="AU21" s="25">
        <v>0.97260273972602695</v>
      </c>
      <c r="AW21" s="30">
        <v>0</v>
      </c>
      <c r="AX21" s="34">
        <v>7.9968000000000004</v>
      </c>
      <c r="AY21" s="14" t="s">
        <v>38</v>
      </c>
      <c r="AZ21" s="14">
        <v>1</v>
      </c>
    </row>
    <row r="22" spans="1:52" x14ac:dyDescent="0.3">
      <c r="A22" s="16">
        <v>20</v>
      </c>
      <c r="B22" s="16" t="s">
        <v>746</v>
      </c>
      <c r="D22" s="25" t="s">
        <v>1490</v>
      </c>
      <c r="E22" s="25" t="s">
        <v>1490</v>
      </c>
      <c r="F22" s="25" t="s">
        <v>1490</v>
      </c>
      <c r="G22" s="25" t="s">
        <v>1490</v>
      </c>
      <c r="H22" s="25" t="s">
        <v>1490</v>
      </c>
      <c r="I22" s="25" t="s">
        <v>1490</v>
      </c>
      <c r="J22" s="25">
        <v>0.72785234852351</v>
      </c>
      <c r="L22" s="30" t="s">
        <v>1490</v>
      </c>
      <c r="M22" s="30" t="s">
        <v>1490</v>
      </c>
      <c r="N22" s="30" t="s">
        <v>1490</v>
      </c>
      <c r="O22" s="30" t="s">
        <v>1490</v>
      </c>
      <c r="P22" s="30" t="s">
        <v>1490</v>
      </c>
      <c r="Q22" s="30" t="s">
        <v>1490</v>
      </c>
      <c r="R22" s="30">
        <v>37</v>
      </c>
      <c r="S22" s="30"/>
      <c r="T22" s="25" t="s">
        <v>1490</v>
      </c>
      <c r="U22" s="25" t="s">
        <v>1490</v>
      </c>
      <c r="V22" s="25" t="s">
        <v>1490</v>
      </c>
      <c r="W22" s="25" t="s">
        <v>1490</v>
      </c>
      <c r="X22" s="25" t="s">
        <v>1490</v>
      </c>
      <c r="Y22" s="25" t="s">
        <v>1490</v>
      </c>
      <c r="Z22" s="25" t="s">
        <v>1490</v>
      </c>
      <c r="AB22" s="27" t="s">
        <v>1490</v>
      </c>
      <c r="AC22" s="27" t="s">
        <v>1490</v>
      </c>
      <c r="AD22" s="27" t="s">
        <v>1490</v>
      </c>
      <c r="AE22" s="27" t="s">
        <v>1490</v>
      </c>
      <c r="AF22" s="27" t="s">
        <v>1490</v>
      </c>
      <c r="AG22" s="27" t="s">
        <v>1490</v>
      </c>
      <c r="AI22" s="25">
        <v>-1.57274385832055E-3</v>
      </c>
      <c r="AJ22" s="25">
        <v>7.5890410958904102</v>
      </c>
      <c r="AK22" s="25">
        <v>1.8082191780821899</v>
      </c>
      <c r="AL22" s="25">
        <v>7.3561643835616399</v>
      </c>
      <c r="AM22" s="25">
        <v>1.95890410958904</v>
      </c>
      <c r="AN22" s="25">
        <v>7.4383561643835598</v>
      </c>
      <c r="AO22" s="25">
        <v>1.97260273972603</v>
      </c>
      <c r="AP22" s="25">
        <v>6.9863013698630096</v>
      </c>
      <c r="AQ22" s="25">
        <v>1.41095890410959</v>
      </c>
      <c r="AR22" s="25">
        <v>6.1780821917808204</v>
      </c>
      <c r="AS22" s="25">
        <v>6.24657534246575</v>
      </c>
      <c r="AT22" s="25">
        <v>2.17808219178082</v>
      </c>
      <c r="AU22" s="25">
        <v>1.3698630136986301</v>
      </c>
      <c r="AW22" s="30">
        <v>0</v>
      </c>
      <c r="AX22" s="34">
        <v>8.4027027027026993</v>
      </c>
      <c r="AY22" s="14" t="s">
        <v>38</v>
      </c>
      <c r="AZ22" s="14">
        <v>1</v>
      </c>
    </row>
    <row r="23" spans="1:52" x14ac:dyDescent="0.3">
      <c r="A23" s="16">
        <v>21</v>
      </c>
      <c r="B23" s="16" t="s">
        <v>745</v>
      </c>
      <c r="D23" s="25" t="s">
        <v>1490</v>
      </c>
      <c r="E23" s="25" t="s">
        <v>1490</v>
      </c>
      <c r="F23" s="25" t="s">
        <v>1490</v>
      </c>
      <c r="G23" s="25" t="s">
        <v>1490</v>
      </c>
      <c r="H23" s="25" t="s">
        <v>1490</v>
      </c>
      <c r="I23" s="25" t="s">
        <v>1490</v>
      </c>
      <c r="J23" s="25">
        <v>0.64187062502568504</v>
      </c>
      <c r="L23" s="30" t="s">
        <v>1490</v>
      </c>
      <c r="M23" s="30" t="s">
        <v>1490</v>
      </c>
      <c r="N23" s="30" t="s">
        <v>1490</v>
      </c>
      <c r="O23" s="30" t="s">
        <v>1490</v>
      </c>
      <c r="P23" s="30" t="s">
        <v>1490</v>
      </c>
      <c r="Q23" s="30" t="s">
        <v>1490</v>
      </c>
      <c r="R23" s="30">
        <v>40</v>
      </c>
      <c r="S23" s="30"/>
      <c r="T23" s="25" t="s">
        <v>1490</v>
      </c>
      <c r="U23" s="25" t="s">
        <v>1490</v>
      </c>
      <c r="V23" s="25" t="s">
        <v>1490</v>
      </c>
      <c r="W23" s="25" t="s">
        <v>1490</v>
      </c>
      <c r="X23" s="25" t="s">
        <v>1490</v>
      </c>
      <c r="Y23" s="25" t="s">
        <v>1490</v>
      </c>
      <c r="Z23" s="25" t="s">
        <v>1490</v>
      </c>
      <c r="AB23" s="27" t="s">
        <v>1490</v>
      </c>
      <c r="AC23" s="27" t="s">
        <v>1490</v>
      </c>
      <c r="AD23" s="27" t="s">
        <v>1490</v>
      </c>
      <c r="AE23" s="27" t="s">
        <v>1490</v>
      </c>
      <c r="AF23" s="27" t="s">
        <v>1490</v>
      </c>
      <c r="AG23" s="27" t="s">
        <v>1490</v>
      </c>
      <c r="AI23" s="25">
        <v>7.7021379189062406E-2</v>
      </c>
      <c r="AJ23" s="25">
        <v>7.3835616438356197</v>
      </c>
      <c r="AK23" s="25">
        <v>1.75342465753425</v>
      </c>
      <c r="AL23" s="25">
        <v>7.4657534246575299</v>
      </c>
      <c r="AM23" s="25">
        <v>1.75342465753425</v>
      </c>
      <c r="AN23" s="25">
        <v>7.4794520547945202</v>
      </c>
      <c r="AO23" s="25">
        <v>1.8493150684931501</v>
      </c>
      <c r="AP23" s="25">
        <v>7.13698630136986</v>
      </c>
      <c r="AQ23" s="25">
        <v>1.31506849315068</v>
      </c>
      <c r="AR23" s="25">
        <v>5.5753424657534199</v>
      </c>
      <c r="AS23" s="25">
        <v>5.9589041095890396</v>
      </c>
      <c r="AT23" s="25">
        <v>2.4246575342465801</v>
      </c>
      <c r="AU23" s="25">
        <v>1.31506849315068</v>
      </c>
      <c r="AW23" s="30">
        <v>0</v>
      </c>
      <c r="AX23" s="34">
        <v>7</v>
      </c>
      <c r="AY23" s="14" t="s">
        <v>38</v>
      </c>
      <c r="AZ23" s="14">
        <v>1</v>
      </c>
    </row>
    <row r="24" spans="1:52" x14ac:dyDescent="0.3">
      <c r="A24" s="16">
        <v>22</v>
      </c>
      <c r="B24" s="16" t="s">
        <v>766</v>
      </c>
      <c r="D24" s="25" t="s">
        <v>1490</v>
      </c>
      <c r="E24" s="25" t="s">
        <v>1490</v>
      </c>
      <c r="F24" s="25" t="s">
        <v>1490</v>
      </c>
      <c r="G24" s="25" t="s">
        <v>1490</v>
      </c>
      <c r="H24" s="25" t="s">
        <v>1490</v>
      </c>
      <c r="I24" s="25" t="s">
        <v>1490</v>
      </c>
      <c r="J24" s="25">
        <v>0.10288870396784</v>
      </c>
      <c r="L24" s="30" t="s">
        <v>1490</v>
      </c>
      <c r="M24" s="30" t="s">
        <v>1490</v>
      </c>
      <c r="N24" s="30" t="s">
        <v>1490</v>
      </c>
      <c r="O24" s="30" t="s">
        <v>1490</v>
      </c>
      <c r="P24" s="30" t="s">
        <v>1490</v>
      </c>
      <c r="Q24" s="30" t="s">
        <v>1490</v>
      </c>
      <c r="R24" s="30">
        <v>41</v>
      </c>
      <c r="S24" s="30"/>
      <c r="T24" s="25" t="s">
        <v>1490</v>
      </c>
      <c r="U24" s="25" t="s">
        <v>1490</v>
      </c>
      <c r="V24" s="25" t="s">
        <v>1490</v>
      </c>
      <c r="W24" s="25" t="s">
        <v>1490</v>
      </c>
      <c r="X24" s="25" t="s">
        <v>1490</v>
      </c>
      <c r="Y24" s="25" t="s">
        <v>1490</v>
      </c>
      <c r="Z24" s="25" t="s">
        <v>1490</v>
      </c>
      <c r="AB24" s="27" t="s">
        <v>1490</v>
      </c>
      <c r="AC24" s="27" t="s">
        <v>1490</v>
      </c>
      <c r="AD24" s="27" t="s">
        <v>1490</v>
      </c>
      <c r="AE24" s="27" t="s">
        <v>1490</v>
      </c>
      <c r="AF24" s="27" t="s">
        <v>1490</v>
      </c>
      <c r="AG24" s="27" t="s">
        <v>1490</v>
      </c>
      <c r="AI24" s="25">
        <v>-2.76448914286199</v>
      </c>
      <c r="AJ24" s="25">
        <v>4.3424657534246602</v>
      </c>
      <c r="AK24" s="25">
        <v>3.2191780821917799</v>
      </c>
      <c r="AL24" s="25">
        <v>3.8356164383561602</v>
      </c>
      <c r="AM24" s="25">
        <v>4.3561643835616399</v>
      </c>
      <c r="AN24" s="25">
        <v>3.8356164383561602</v>
      </c>
      <c r="AO24" s="25">
        <v>4.3013698630136998</v>
      </c>
      <c r="AP24" s="25">
        <v>5.8219178082191796</v>
      </c>
      <c r="AQ24" s="25">
        <v>1.3561643835616399</v>
      </c>
      <c r="AR24" s="25">
        <v>6.2191780821917799</v>
      </c>
      <c r="AS24" s="25">
        <v>4.9178082191780801</v>
      </c>
      <c r="AT24" s="25">
        <v>2.04109589041096</v>
      </c>
      <c r="AU24" s="25">
        <v>1.65753424657534</v>
      </c>
      <c r="AW24" s="30">
        <v>0</v>
      </c>
      <c r="AX24" s="34">
        <v>8.17</v>
      </c>
      <c r="AY24" s="14" t="s">
        <v>25</v>
      </c>
      <c r="AZ24" s="14">
        <v>1</v>
      </c>
    </row>
    <row r="25" spans="1:52" x14ac:dyDescent="0.3">
      <c r="A25" s="16">
        <v>23</v>
      </c>
      <c r="B25" s="16" t="s">
        <v>797</v>
      </c>
      <c r="D25" s="25" t="s">
        <v>1490</v>
      </c>
      <c r="E25" s="25" t="s">
        <v>1490</v>
      </c>
      <c r="F25" s="25" t="s">
        <v>1490</v>
      </c>
      <c r="G25" s="25" t="s">
        <v>1490</v>
      </c>
      <c r="H25" s="25" t="s">
        <v>1490</v>
      </c>
      <c r="I25" s="25" t="s">
        <v>1490</v>
      </c>
      <c r="J25" s="25">
        <v>0.50661065046075904</v>
      </c>
      <c r="L25" s="30" t="s">
        <v>1490</v>
      </c>
      <c r="M25" s="30" t="s">
        <v>1490</v>
      </c>
      <c r="N25" s="30" t="s">
        <v>1490</v>
      </c>
      <c r="O25" s="30" t="s">
        <v>1490</v>
      </c>
      <c r="P25" s="30" t="s">
        <v>1490</v>
      </c>
      <c r="Q25" s="30" t="s">
        <v>1490</v>
      </c>
      <c r="R25" s="30">
        <v>20</v>
      </c>
      <c r="S25" s="30"/>
      <c r="T25" s="25" t="s">
        <v>1490</v>
      </c>
      <c r="U25" s="25" t="s">
        <v>1490</v>
      </c>
      <c r="V25" s="25" t="s">
        <v>1490</v>
      </c>
      <c r="W25" s="25" t="s">
        <v>1490</v>
      </c>
      <c r="X25" s="25" t="s">
        <v>1490</v>
      </c>
      <c r="Y25" s="25" t="s">
        <v>1490</v>
      </c>
      <c r="Z25" s="25" t="s">
        <v>1490</v>
      </c>
      <c r="AB25" s="27" t="s">
        <v>1490</v>
      </c>
      <c r="AC25" s="27" t="s">
        <v>1490</v>
      </c>
      <c r="AD25" s="27" t="s">
        <v>1490</v>
      </c>
      <c r="AE25" s="27" t="s">
        <v>1490</v>
      </c>
      <c r="AF25" s="27" t="s">
        <v>1490</v>
      </c>
      <c r="AG25" s="27" t="s">
        <v>1490</v>
      </c>
      <c r="AI25" s="25">
        <v>-0.70811751261721201</v>
      </c>
      <c r="AJ25" s="25">
        <v>6.7397260273972597</v>
      </c>
      <c r="AK25" s="25">
        <v>2.2191780821917799</v>
      </c>
      <c r="AL25" s="25">
        <v>6.5753424657534199</v>
      </c>
      <c r="AM25" s="25">
        <v>2.6164383561643798</v>
      </c>
      <c r="AN25" s="25">
        <v>6.6301369863013697</v>
      </c>
      <c r="AO25" s="25">
        <v>2.5890410958904102</v>
      </c>
      <c r="AP25" s="25">
        <v>6.3150684931506804</v>
      </c>
      <c r="AQ25" s="25">
        <v>2.2328767123287698</v>
      </c>
      <c r="AR25" s="25">
        <v>5.13698630136986</v>
      </c>
      <c r="AS25" s="25">
        <v>5.5890410958904102</v>
      </c>
      <c r="AT25" s="25">
        <v>2.68493150684932</v>
      </c>
      <c r="AU25" s="25">
        <v>1.72602739726027</v>
      </c>
      <c r="AW25" s="30">
        <v>0</v>
      </c>
      <c r="AX25" s="34">
        <v>9.9499999999999993</v>
      </c>
      <c r="AY25" s="14" t="s">
        <v>41</v>
      </c>
      <c r="AZ25" s="14">
        <v>0</v>
      </c>
    </row>
    <row r="26" spans="1:52" x14ac:dyDescent="0.3">
      <c r="A26" s="16">
        <v>24</v>
      </c>
      <c r="B26" s="16" t="s">
        <v>816</v>
      </c>
      <c r="D26" s="25" t="s">
        <v>1490</v>
      </c>
      <c r="E26" s="25" t="s">
        <v>1490</v>
      </c>
      <c r="F26" s="25" t="s">
        <v>1490</v>
      </c>
      <c r="G26" s="25" t="s">
        <v>1490</v>
      </c>
      <c r="H26" s="25" t="s">
        <v>1490</v>
      </c>
      <c r="I26" s="25" t="s">
        <v>1490</v>
      </c>
      <c r="J26" s="25">
        <v>0.63187541686523896</v>
      </c>
      <c r="L26" s="30" t="s">
        <v>1490</v>
      </c>
      <c r="M26" s="30" t="s">
        <v>1490</v>
      </c>
      <c r="N26" s="30" t="s">
        <v>1490</v>
      </c>
      <c r="O26" s="30" t="s">
        <v>1490</v>
      </c>
      <c r="P26" s="30" t="s">
        <v>1490</v>
      </c>
      <c r="Q26" s="30" t="s">
        <v>1490</v>
      </c>
      <c r="R26" s="30">
        <v>29</v>
      </c>
      <c r="S26" s="30"/>
      <c r="T26" s="25" t="s">
        <v>1490</v>
      </c>
      <c r="U26" s="25" t="s">
        <v>1490</v>
      </c>
      <c r="V26" s="25" t="s">
        <v>1490</v>
      </c>
      <c r="W26" s="25" t="s">
        <v>1490</v>
      </c>
      <c r="X26" s="25" t="s">
        <v>1490</v>
      </c>
      <c r="Y26" s="25" t="s">
        <v>1490</v>
      </c>
      <c r="Z26" s="25" t="s">
        <v>1490</v>
      </c>
      <c r="AB26" s="27" t="s">
        <v>1490</v>
      </c>
      <c r="AC26" s="27" t="s">
        <v>1490</v>
      </c>
      <c r="AD26" s="27" t="s">
        <v>1490</v>
      </c>
      <c r="AE26" s="27" t="s">
        <v>1490</v>
      </c>
      <c r="AF26" s="27" t="s">
        <v>1490</v>
      </c>
      <c r="AG26" s="27" t="s">
        <v>1490</v>
      </c>
      <c r="AI26" s="25">
        <v>0.64247724314926702</v>
      </c>
      <c r="AJ26" s="25">
        <v>8.2328767123287694</v>
      </c>
      <c r="AK26" s="25">
        <v>1.3698630136986301</v>
      </c>
      <c r="AL26" s="25">
        <v>8.1917808219178099</v>
      </c>
      <c r="AM26" s="25">
        <v>1.4383561643835601</v>
      </c>
      <c r="AN26" s="25">
        <v>8.1917808219178099</v>
      </c>
      <c r="AO26" s="25">
        <v>1.41095890410959</v>
      </c>
      <c r="AP26" s="25">
        <v>8.1095890410958908</v>
      </c>
      <c r="AQ26" s="25">
        <v>0.73972602739726001</v>
      </c>
      <c r="AR26" s="25">
        <v>5.9589041095890396</v>
      </c>
      <c r="AS26" s="25">
        <v>7.0136986301369904</v>
      </c>
      <c r="AT26" s="25">
        <v>2.2876712328767099</v>
      </c>
      <c r="AU26" s="25">
        <v>0.78082191780821897</v>
      </c>
      <c r="AW26" s="30">
        <v>0</v>
      </c>
      <c r="AX26" s="34">
        <v>10.803448275862101</v>
      </c>
      <c r="AY26" s="14" t="s">
        <v>41</v>
      </c>
      <c r="AZ26" s="14">
        <v>0</v>
      </c>
    </row>
    <row r="27" spans="1:52" x14ac:dyDescent="0.3">
      <c r="A27" s="16">
        <v>25</v>
      </c>
      <c r="B27" s="16" t="s">
        <v>796</v>
      </c>
      <c r="D27" s="25" t="s">
        <v>1490</v>
      </c>
      <c r="E27" s="25" t="s">
        <v>1490</v>
      </c>
      <c r="F27" s="25" t="s">
        <v>1490</v>
      </c>
      <c r="G27" s="25" t="s">
        <v>1490</v>
      </c>
      <c r="H27" s="25" t="s">
        <v>1490</v>
      </c>
      <c r="I27" s="25" t="s">
        <v>1490</v>
      </c>
      <c r="J27" s="25">
        <v>3.5189198959202299</v>
      </c>
      <c r="L27" s="30" t="s">
        <v>1490</v>
      </c>
      <c r="M27" s="30" t="s">
        <v>1490</v>
      </c>
      <c r="N27" s="30" t="s">
        <v>1490</v>
      </c>
      <c r="O27" s="30" t="s">
        <v>1490</v>
      </c>
      <c r="P27" s="30" t="s">
        <v>1490</v>
      </c>
      <c r="Q27" s="30" t="s">
        <v>1490</v>
      </c>
      <c r="R27" s="30">
        <v>19</v>
      </c>
      <c r="S27" s="30"/>
      <c r="T27" s="25" t="s">
        <v>1490</v>
      </c>
      <c r="U27" s="25" t="s">
        <v>1490</v>
      </c>
      <c r="V27" s="25" t="s">
        <v>1490</v>
      </c>
      <c r="W27" s="25" t="s">
        <v>1490</v>
      </c>
      <c r="X27" s="25" t="s">
        <v>1490</v>
      </c>
      <c r="Y27" s="25" t="s">
        <v>1490</v>
      </c>
      <c r="Z27" s="25" t="s">
        <v>1490</v>
      </c>
      <c r="AB27" s="27" t="s">
        <v>1490</v>
      </c>
      <c r="AC27" s="27" t="s">
        <v>1490</v>
      </c>
      <c r="AD27" s="27" t="s">
        <v>1490</v>
      </c>
      <c r="AE27" s="27" t="s">
        <v>1490</v>
      </c>
      <c r="AF27" s="27" t="s">
        <v>1490</v>
      </c>
      <c r="AG27" s="27" t="s">
        <v>1490</v>
      </c>
      <c r="AI27" s="25">
        <v>1.3500264008868399</v>
      </c>
      <c r="AJ27" s="25">
        <v>8.5068493150684894</v>
      </c>
      <c r="AK27" s="25">
        <v>0.56164383561643805</v>
      </c>
      <c r="AL27" s="25">
        <v>8.6712328767123292</v>
      </c>
      <c r="AM27" s="25">
        <v>0.68493150684931503</v>
      </c>
      <c r="AN27" s="25">
        <v>8.6575342465753398</v>
      </c>
      <c r="AO27" s="25">
        <v>0.63013698630137005</v>
      </c>
      <c r="AP27" s="25">
        <v>8.2328767123287694</v>
      </c>
      <c r="AQ27" s="25">
        <v>0.28767123287671198</v>
      </c>
      <c r="AR27" s="25">
        <v>6.0684931506849296</v>
      </c>
      <c r="AS27" s="25">
        <v>6.4246575342465801</v>
      </c>
      <c r="AT27" s="25">
        <v>1.5342465753424701</v>
      </c>
      <c r="AU27" s="25">
        <v>0.31506849315068503</v>
      </c>
      <c r="AW27" s="30">
        <v>0</v>
      </c>
      <c r="AX27" s="34">
        <v>5.5</v>
      </c>
      <c r="AY27" s="14" t="s">
        <v>41</v>
      </c>
      <c r="AZ27" s="14">
        <v>0</v>
      </c>
    </row>
    <row r="28" spans="1:52" x14ac:dyDescent="0.3">
      <c r="A28" s="16">
        <v>26</v>
      </c>
      <c r="B28" s="16" t="s">
        <v>818</v>
      </c>
      <c r="D28" s="25" t="s">
        <v>1490</v>
      </c>
      <c r="E28" s="25" t="s">
        <v>1490</v>
      </c>
      <c r="F28" s="25" t="s">
        <v>1490</v>
      </c>
      <c r="G28" s="25" t="s">
        <v>1490</v>
      </c>
      <c r="H28" s="25">
        <v>-0.15579611174031599</v>
      </c>
      <c r="I28" s="25" t="s">
        <v>1490</v>
      </c>
      <c r="J28" s="25">
        <v>0.45717962688564401</v>
      </c>
      <c r="L28" s="30" t="s">
        <v>1490</v>
      </c>
      <c r="M28" s="30" t="s">
        <v>1490</v>
      </c>
      <c r="N28" s="30" t="s">
        <v>1490</v>
      </c>
      <c r="O28" s="30" t="s">
        <v>1490</v>
      </c>
      <c r="P28" s="30">
        <v>25</v>
      </c>
      <c r="Q28" s="30" t="s">
        <v>1490</v>
      </c>
      <c r="R28" s="30">
        <v>25</v>
      </c>
      <c r="S28" s="30"/>
      <c r="T28" s="25" t="s">
        <v>1490</v>
      </c>
      <c r="U28" s="25" t="s">
        <v>1490</v>
      </c>
      <c r="V28" s="25" t="s">
        <v>1490</v>
      </c>
      <c r="W28" s="25" t="s">
        <v>1490</v>
      </c>
      <c r="X28" s="25">
        <v>0.71750171204824897</v>
      </c>
      <c r="Y28" s="25" t="s">
        <v>1490</v>
      </c>
      <c r="Z28" s="25" t="s">
        <v>1490</v>
      </c>
      <c r="AB28" s="27" t="s">
        <v>1490</v>
      </c>
      <c r="AC28" s="27" t="s">
        <v>1490</v>
      </c>
      <c r="AD28" s="27" t="s">
        <v>1490</v>
      </c>
      <c r="AE28" s="27" t="s">
        <v>1490</v>
      </c>
      <c r="AF28" s="27">
        <v>50</v>
      </c>
      <c r="AG28" s="27" t="s">
        <v>1490</v>
      </c>
      <c r="AI28" s="25">
        <v>0.39483755788987401</v>
      </c>
      <c r="AJ28" s="25">
        <v>7.7260273972602702</v>
      </c>
      <c r="AK28" s="25">
        <v>1.52054794520548</v>
      </c>
      <c r="AL28" s="25">
        <v>7.9041095890411004</v>
      </c>
      <c r="AM28" s="25">
        <v>1.6027397260273999</v>
      </c>
      <c r="AN28" s="25">
        <v>7.9041095890411004</v>
      </c>
      <c r="AO28" s="25">
        <v>1.54794520547945</v>
      </c>
      <c r="AP28" s="25">
        <v>7.4520547945205502</v>
      </c>
      <c r="AQ28" s="25">
        <v>0.79452054794520499</v>
      </c>
      <c r="AR28" s="25">
        <v>5.2876712328767104</v>
      </c>
      <c r="AS28" s="25">
        <v>6.1917808219178099</v>
      </c>
      <c r="AT28" s="25">
        <v>1.8767123287671199</v>
      </c>
      <c r="AU28" s="25">
        <v>0.86301369863013699</v>
      </c>
      <c r="AW28" s="30">
        <v>0</v>
      </c>
      <c r="AX28" s="34">
        <v>8</v>
      </c>
      <c r="AY28" s="14" t="s">
        <v>25</v>
      </c>
      <c r="AZ28" s="14">
        <v>1</v>
      </c>
    </row>
    <row r="29" spans="1:52" x14ac:dyDescent="0.3">
      <c r="A29" s="16">
        <v>27</v>
      </c>
      <c r="B29" s="16" t="s">
        <v>805</v>
      </c>
      <c r="D29" s="25" t="s">
        <v>1490</v>
      </c>
      <c r="E29" s="25" t="s">
        <v>1490</v>
      </c>
      <c r="F29" s="25" t="s">
        <v>1490</v>
      </c>
      <c r="G29" s="25" t="s">
        <v>1490</v>
      </c>
      <c r="H29" s="25" t="s">
        <v>1490</v>
      </c>
      <c r="I29" s="25" t="s">
        <v>1490</v>
      </c>
      <c r="J29" s="25">
        <v>0.88750619884318005</v>
      </c>
      <c r="L29" s="30" t="s">
        <v>1490</v>
      </c>
      <c r="M29" s="30" t="s">
        <v>1490</v>
      </c>
      <c r="N29" s="30" t="s">
        <v>1490</v>
      </c>
      <c r="O29" s="30" t="s">
        <v>1490</v>
      </c>
      <c r="P29" s="30" t="s">
        <v>1490</v>
      </c>
      <c r="Q29" s="30" t="s">
        <v>1490</v>
      </c>
      <c r="R29" s="30">
        <v>58</v>
      </c>
      <c r="S29" s="30"/>
      <c r="T29" s="25" t="s">
        <v>1490</v>
      </c>
      <c r="U29" s="25" t="s">
        <v>1490</v>
      </c>
      <c r="V29" s="25" t="s">
        <v>1490</v>
      </c>
      <c r="W29" s="25" t="s">
        <v>1490</v>
      </c>
      <c r="X29" s="25" t="s">
        <v>1490</v>
      </c>
      <c r="Y29" s="25" t="s">
        <v>1490</v>
      </c>
      <c r="Z29" s="25" t="s">
        <v>1490</v>
      </c>
      <c r="AB29" s="27" t="s">
        <v>1490</v>
      </c>
      <c r="AC29" s="27" t="s">
        <v>1490</v>
      </c>
      <c r="AD29" s="27" t="s">
        <v>1490</v>
      </c>
      <c r="AE29" s="27" t="s">
        <v>1490</v>
      </c>
      <c r="AF29" s="27" t="s">
        <v>1490</v>
      </c>
      <c r="AG29" s="27" t="s">
        <v>1490</v>
      </c>
      <c r="AI29" s="25">
        <v>1.073994663411</v>
      </c>
      <c r="AJ29" s="25">
        <v>8.24657534246575</v>
      </c>
      <c r="AK29" s="25">
        <v>0.78082191780821897</v>
      </c>
      <c r="AL29" s="25">
        <v>8.3013698630137007</v>
      </c>
      <c r="AM29" s="25">
        <v>0.91780821917808197</v>
      </c>
      <c r="AN29" s="25">
        <v>8.3013698630137007</v>
      </c>
      <c r="AO29" s="25">
        <v>0.80821917808219201</v>
      </c>
      <c r="AP29" s="25">
        <v>8.1643835616438398</v>
      </c>
      <c r="AQ29" s="25">
        <v>0.38356164383561597</v>
      </c>
      <c r="AR29" s="25">
        <v>6.6438356164383601</v>
      </c>
      <c r="AS29" s="25">
        <v>6.89041095890411</v>
      </c>
      <c r="AT29" s="25">
        <v>2</v>
      </c>
      <c r="AU29" s="25">
        <v>0.42465753424657499</v>
      </c>
      <c r="AW29" s="30">
        <v>0</v>
      </c>
      <c r="AX29" s="34">
        <v>10.91</v>
      </c>
      <c r="AY29" s="14" t="s">
        <v>41</v>
      </c>
      <c r="AZ29" s="14">
        <v>0</v>
      </c>
    </row>
    <row r="30" spans="1:52" x14ac:dyDescent="0.3">
      <c r="A30" s="16">
        <v>28</v>
      </c>
      <c r="B30" s="16" t="s">
        <v>757</v>
      </c>
      <c r="D30" s="25" t="s">
        <v>1490</v>
      </c>
      <c r="E30" s="25" t="s">
        <v>1490</v>
      </c>
      <c r="F30" s="25" t="s">
        <v>1490</v>
      </c>
      <c r="G30" s="25" t="s">
        <v>1490</v>
      </c>
      <c r="H30" s="25" t="s">
        <v>1490</v>
      </c>
      <c r="I30" s="25" t="s">
        <v>1490</v>
      </c>
      <c r="J30" s="25">
        <v>0.89168386376740505</v>
      </c>
      <c r="L30" s="30" t="s">
        <v>1490</v>
      </c>
      <c r="M30" s="30" t="s">
        <v>1490</v>
      </c>
      <c r="N30" s="30" t="s">
        <v>1490</v>
      </c>
      <c r="O30" s="30" t="s">
        <v>1490</v>
      </c>
      <c r="P30" s="30" t="s">
        <v>1490</v>
      </c>
      <c r="Q30" s="30" t="s">
        <v>1490</v>
      </c>
      <c r="R30" s="30">
        <v>61</v>
      </c>
      <c r="S30" s="30"/>
      <c r="T30" s="25" t="s">
        <v>1490</v>
      </c>
      <c r="U30" s="25" t="s">
        <v>1490</v>
      </c>
      <c r="V30" s="25" t="s">
        <v>1490</v>
      </c>
      <c r="W30" s="25" t="s">
        <v>1490</v>
      </c>
      <c r="X30" s="25" t="s">
        <v>1490</v>
      </c>
      <c r="Y30" s="25" t="s">
        <v>1490</v>
      </c>
      <c r="Z30" s="25" t="s">
        <v>1490</v>
      </c>
      <c r="AB30" s="27" t="s">
        <v>1490</v>
      </c>
      <c r="AC30" s="27" t="s">
        <v>1490</v>
      </c>
      <c r="AD30" s="27" t="s">
        <v>1490</v>
      </c>
      <c r="AE30" s="27" t="s">
        <v>1490</v>
      </c>
      <c r="AF30" s="27" t="s">
        <v>1490</v>
      </c>
      <c r="AG30" s="27" t="s">
        <v>1490</v>
      </c>
      <c r="AI30" s="25">
        <v>0.589767382125438</v>
      </c>
      <c r="AJ30" s="25">
        <v>7.89041095890411</v>
      </c>
      <c r="AK30" s="25">
        <v>1.1232876712328801</v>
      </c>
      <c r="AL30" s="25">
        <v>7.8219178082191796</v>
      </c>
      <c r="AM30" s="25">
        <v>1.41095890410959</v>
      </c>
      <c r="AN30" s="25">
        <v>7.8219178082191796</v>
      </c>
      <c r="AO30" s="25">
        <v>1.3287671232876701</v>
      </c>
      <c r="AP30" s="25">
        <v>7.9589041095890396</v>
      </c>
      <c r="AQ30" s="25">
        <v>0.57534246575342496</v>
      </c>
      <c r="AR30" s="25">
        <v>5.8219178082191796</v>
      </c>
      <c r="AS30" s="25">
        <v>6.24657534246575</v>
      </c>
      <c r="AT30" s="25">
        <v>2.2602739726027399</v>
      </c>
      <c r="AU30" s="25">
        <v>0.64383561643835596</v>
      </c>
      <c r="AW30" s="30">
        <v>0</v>
      </c>
      <c r="AX30" s="34">
        <v>5.1666666666666696</v>
      </c>
      <c r="AY30" s="14" t="s">
        <v>25</v>
      </c>
      <c r="AZ30" s="14">
        <v>1</v>
      </c>
    </row>
    <row r="31" spans="1:52" x14ac:dyDescent="0.3">
      <c r="A31" s="16">
        <v>29</v>
      </c>
      <c r="B31" s="16" t="s">
        <v>815</v>
      </c>
      <c r="D31" s="25" t="s">
        <v>1490</v>
      </c>
      <c r="E31" s="25" t="s">
        <v>1490</v>
      </c>
      <c r="F31" s="25" t="s">
        <v>1490</v>
      </c>
      <c r="G31" s="25" t="s">
        <v>1490</v>
      </c>
      <c r="H31" s="25" t="s">
        <v>1490</v>
      </c>
      <c r="I31" s="25" t="s">
        <v>1490</v>
      </c>
      <c r="J31" s="25">
        <v>0.75053946343869904</v>
      </c>
      <c r="L31" s="30" t="s">
        <v>1490</v>
      </c>
      <c r="M31" s="30" t="s">
        <v>1490</v>
      </c>
      <c r="N31" s="30" t="s">
        <v>1490</v>
      </c>
      <c r="O31" s="30" t="s">
        <v>1490</v>
      </c>
      <c r="P31" s="30" t="s">
        <v>1490</v>
      </c>
      <c r="Q31" s="30" t="s">
        <v>1490</v>
      </c>
      <c r="R31" s="30">
        <v>38</v>
      </c>
      <c r="S31" s="30"/>
      <c r="T31" s="25" t="s">
        <v>1490</v>
      </c>
      <c r="U31" s="25" t="s">
        <v>1490</v>
      </c>
      <c r="V31" s="25" t="s">
        <v>1490</v>
      </c>
      <c r="W31" s="25" t="s">
        <v>1490</v>
      </c>
      <c r="X31" s="25" t="s">
        <v>1490</v>
      </c>
      <c r="Y31" s="25" t="s">
        <v>1490</v>
      </c>
      <c r="Z31" s="25" t="s">
        <v>1490</v>
      </c>
      <c r="AB31" s="27" t="s">
        <v>1490</v>
      </c>
      <c r="AC31" s="27" t="s">
        <v>1490</v>
      </c>
      <c r="AD31" s="27" t="s">
        <v>1490</v>
      </c>
      <c r="AE31" s="27" t="s">
        <v>1490</v>
      </c>
      <c r="AF31" s="27" t="s">
        <v>1490</v>
      </c>
      <c r="AG31" s="27" t="s">
        <v>1490</v>
      </c>
      <c r="AI31" s="25">
        <v>1.00254551936159</v>
      </c>
      <c r="AJ31" s="25">
        <v>8.4383561643835598</v>
      </c>
      <c r="AK31" s="25">
        <v>0.931506849315068</v>
      </c>
      <c r="AL31" s="25">
        <v>8.3835616438356197</v>
      </c>
      <c r="AM31" s="25">
        <v>1</v>
      </c>
      <c r="AN31" s="25">
        <v>8.3835616438356197</v>
      </c>
      <c r="AO31" s="25">
        <v>1.0821917808219199</v>
      </c>
      <c r="AP31" s="25">
        <v>8.3561643835616408</v>
      </c>
      <c r="AQ31" s="25">
        <v>0.64383561643835596</v>
      </c>
      <c r="AR31" s="25">
        <v>6.0410958904109604</v>
      </c>
      <c r="AS31" s="25">
        <v>6.3150684931506804</v>
      </c>
      <c r="AT31" s="25">
        <v>1.95890410958904</v>
      </c>
      <c r="AU31" s="25">
        <v>0.73972602739726001</v>
      </c>
      <c r="AW31" s="30">
        <v>0</v>
      </c>
      <c r="AX31" s="34">
        <v>8.5299999999999994</v>
      </c>
      <c r="AY31" s="14" t="s">
        <v>41</v>
      </c>
      <c r="AZ31" s="14">
        <v>0</v>
      </c>
    </row>
    <row r="32" spans="1:52" x14ac:dyDescent="0.3">
      <c r="A32" s="16">
        <v>30</v>
      </c>
      <c r="B32" s="16" t="s">
        <v>807</v>
      </c>
      <c r="D32" s="25" t="s">
        <v>1490</v>
      </c>
      <c r="E32" s="25" t="s">
        <v>1490</v>
      </c>
      <c r="F32" s="25" t="s">
        <v>1490</v>
      </c>
      <c r="G32" s="25" t="s">
        <v>1490</v>
      </c>
      <c r="H32" s="25" t="s">
        <v>1490</v>
      </c>
      <c r="I32" s="25" t="s">
        <v>1490</v>
      </c>
      <c r="J32" s="25">
        <v>1.01896078142544</v>
      </c>
      <c r="L32" s="30" t="s">
        <v>1490</v>
      </c>
      <c r="M32" s="30" t="s">
        <v>1490</v>
      </c>
      <c r="N32" s="30" t="s">
        <v>1490</v>
      </c>
      <c r="O32" s="30" t="s">
        <v>1490</v>
      </c>
      <c r="P32" s="30" t="s">
        <v>1490</v>
      </c>
      <c r="Q32" s="30" t="s">
        <v>1490</v>
      </c>
      <c r="R32" s="30">
        <v>30</v>
      </c>
      <c r="S32" s="30"/>
      <c r="T32" s="25" t="s">
        <v>1490</v>
      </c>
      <c r="U32" s="25" t="s">
        <v>1490</v>
      </c>
      <c r="V32" s="25" t="s">
        <v>1490</v>
      </c>
      <c r="W32" s="25" t="s">
        <v>1490</v>
      </c>
      <c r="X32" s="25" t="s">
        <v>1490</v>
      </c>
      <c r="Y32" s="25" t="s">
        <v>1490</v>
      </c>
      <c r="Z32" s="25" t="s">
        <v>1490</v>
      </c>
      <c r="AB32" s="27" t="s">
        <v>1490</v>
      </c>
      <c r="AC32" s="27" t="s">
        <v>1490</v>
      </c>
      <c r="AD32" s="27" t="s">
        <v>1490</v>
      </c>
      <c r="AE32" s="27" t="s">
        <v>1490</v>
      </c>
      <c r="AF32" s="27" t="s">
        <v>1490</v>
      </c>
      <c r="AG32" s="27" t="s">
        <v>1490</v>
      </c>
      <c r="AI32" s="25">
        <v>-2.3571334439470002</v>
      </c>
      <c r="AJ32" s="25">
        <v>3.6575342465753402</v>
      </c>
      <c r="AK32" s="25">
        <v>2.6438356164383601</v>
      </c>
      <c r="AL32" s="25">
        <v>3.4383561643835598</v>
      </c>
      <c r="AM32" s="25">
        <v>3.5616438356164402</v>
      </c>
      <c r="AN32" s="25">
        <v>3.4383561643835598</v>
      </c>
      <c r="AO32" s="25">
        <v>3.0547945205479499</v>
      </c>
      <c r="AP32" s="25">
        <v>6.4657534246575299</v>
      </c>
      <c r="AQ32" s="25">
        <v>1.3561643835616399</v>
      </c>
      <c r="AR32" s="25">
        <v>6.4931506849315097</v>
      </c>
      <c r="AS32" s="25">
        <v>4.7397260273972597</v>
      </c>
      <c r="AT32" s="25">
        <v>1.86301369863014</v>
      </c>
      <c r="AU32" s="25">
        <v>1.41095890410959</v>
      </c>
      <c r="AW32" s="30">
        <v>0</v>
      </c>
      <c r="AX32" s="34">
        <v>10.35</v>
      </c>
      <c r="AY32" s="14" t="s">
        <v>25</v>
      </c>
      <c r="AZ32" s="14">
        <v>1</v>
      </c>
    </row>
    <row r="33" spans="1:52" x14ac:dyDescent="0.3">
      <c r="A33" s="16">
        <v>31</v>
      </c>
      <c r="B33" s="16" t="s">
        <v>802</v>
      </c>
      <c r="D33" s="25" t="s">
        <v>1490</v>
      </c>
      <c r="E33" s="25" t="s">
        <v>1490</v>
      </c>
      <c r="F33" s="25" t="s">
        <v>1490</v>
      </c>
      <c r="G33" s="25" t="s">
        <v>1490</v>
      </c>
      <c r="H33" s="25" t="s">
        <v>1490</v>
      </c>
      <c r="I33" s="25" t="s">
        <v>1490</v>
      </c>
      <c r="J33" s="25">
        <v>0.81084231600385503</v>
      </c>
      <c r="L33" s="30" t="s">
        <v>1490</v>
      </c>
      <c r="M33" s="30" t="s">
        <v>1490</v>
      </c>
      <c r="N33" s="30" t="s">
        <v>1490</v>
      </c>
      <c r="O33" s="30" t="s">
        <v>1490</v>
      </c>
      <c r="P33" s="30" t="s">
        <v>1490</v>
      </c>
      <c r="Q33" s="30" t="s">
        <v>1490</v>
      </c>
      <c r="R33" s="30">
        <v>46</v>
      </c>
      <c r="S33" s="30"/>
      <c r="T33" s="25" t="s">
        <v>1490</v>
      </c>
      <c r="U33" s="25" t="s">
        <v>1490</v>
      </c>
      <c r="V33" s="25" t="s">
        <v>1490</v>
      </c>
      <c r="W33" s="25" t="s">
        <v>1490</v>
      </c>
      <c r="X33" s="25" t="s">
        <v>1490</v>
      </c>
      <c r="Y33" s="25" t="s">
        <v>1490</v>
      </c>
      <c r="Z33" s="25" t="s">
        <v>1490</v>
      </c>
      <c r="AB33" s="27" t="s">
        <v>1490</v>
      </c>
      <c r="AC33" s="27" t="s">
        <v>1490</v>
      </c>
      <c r="AD33" s="27" t="s">
        <v>1490</v>
      </c>
      <c r="AE33" s="27" t="s">
        <v>1490</v>
      </c>
      <c r="AF33" s="27" t="s">
        <v>1490</v>
      </c>
      <c r="AG33" s="27" t="s">
        <v>1490</v>
      </c>
      <c r="AI33" s="25">
        <v>0.37077871505611298</v>
      </c>
      <c r="AJ33" s="25">
        <v>7.75342465753425</v>
      </c>
      <c r="AK33" s="25">
        <v>1.2876712328767099</v>
      </c>
      <c r="AL33" s="25">
        <v>7.6301369863013697</v>
      </c>
      <c r="AM33" s="25">
        <v>1.5753424657534201</v>
      </c>
      <c r="AN33" s="25">
        <v>7.5890410958904102</v>
      </c>
      <c r="AO33" s="25">
        <v>1.6301369863013699</v>
      </c>
      <c r="AP33" s="25">
        <v>7.2328767123287703</v>
      </c>
      <c r="AQ33" s="25">
        <v>0.69863013698630105</v>
      </c>
      <c r="AR33" s="25">
        <v>5.3835616438356197</v>
      </c>
      <c r="AS33" s="25">
        <v>6.0136986301369904</v>
      </c>
      <c r="AT33" s="25">
        <v>2</v>
      </c>
      <c r="AU33" s="25">
        <v>0.65753424657534199</v>
      </c>
      <c r="AW33" s="30">
        <v>0</v>
      </c>
      <c r="AX33" s="34">
        <v>13.1</v>
      </c>
      <c r="AY33" s="14" t="s">
        <v>41</v>
      </c>
      <c r="AZ33" s="14">
        <v>0</v>
      </c>
    </row>
    <row r="34" spans="1:52" x14ac:dyDescent="0.3">
      <c r="A34" s="16">
        <v>32</v>
      </c>
      <c r="B34" s="16" t="s">
        <v>785</v>
      </c>
      <c r="D34" s="25" t="s">
        <v>1490</v>
      </c>
      <c r="E34" s="25" t="s">
        <v>1490</v>
      </c>
      <c r="F34" s="25" t="s">
        <v>1490</v>
      </c>
      <c r="G34" s="25" t="s">
        <v>1490</v>
      </c>
      <c r="H34" s="25" t="s">
        <v>1490</v>
      </c>
      <c r="I34" s="25" t="s">
        <v>1490</v>
      </c>
      <c r="J34" s="25">
        <v>0.48106016122988898</v>
      </c>
      <c r="L34" s="30" t="s">
        <v>1490</v>
      </c>
      <c r="M34" s="30" t="s">
        <v>1490</v>
      </c>
      <c r="N34" s="30" t="s">
        <v>1490</v>
      </c>
      <c r="O34" s="30" t="s">
        <v>1490</v>
      </c>
      <c r="P34" s="30" t="s">
        <v>1490</v>
      </c>
      <c r="Q34" s="30" t="s">
        <v>1490</v>
      </c>
      <c r="R34" s="30">
        <v>23</v>
      </c>
      <c r="S34" s="30"/>
      <c r="T34" s="25" t="s">
        <v>1490</v>
      </c>
      <c r="U34" s="25" t="s">
        <v>1490</v>
      </c>
      <c r="V34" s="25" t="s">
        <v>1490</v>
      </c>
      <c r="W34" s="25" t="s">
        <v>1490</v>
      </c>
      <c r="X34" s="25" t="s">
        <v>1490</v>
      </c>
      <c r="Y34" s="25" t="s">
        <v>1490</v>
      </c>
      <c r="Z34" s="25" t="s">
        <v>1490</v>
      </c>
      <c r="AB34" s="27" t="s">
        <v>1490</v>
      </c>
      <c r="AC34" s="27" t="s">
        <v>1490</v>
      </c>
      <c r="AD34" s="27" t="s">
        <v>1490</v>
      </c>
      <c r="AE34" s="27" t="s">
        <v>1490</v>
      </c>
      <c r="AF34" s="27" t="s">
        <v>1490</v>
      </c>
      <c r="AG34" s="27" t="s">
        <v>1490</v>
      </c>
      <c r="AI34" s="25">
        <v>0.4771594786999</v>
      </c>
      <c r="AJ34" s="25">
        <v>7.8493150684931496</v>
      </c>
      <c r="AK34" s="25">
        <v>1.4383561643835601</v>
      </c>
      <c r="AL34" s="25">
        <v>7.9178082191780801</v>
      </c>
      <c r="AM34" s="25">
        <v>1.47945205479452</v>
      </c>
      <c r="AN34" s="25">
        <v>7.9315068493150704</v>
      </c>
      <c r="AO34" s="25">
        <v>1.4931506849315099</v>
      </c>
      <c r="AP34" s="25">
        <v>7.4109589041095898</v>
      </c>
      <c r="AQ34" s="25">
        <v>0.75342465753424703</v>
      </c>
      <c r="AR34" s="25">
        <v>5.97260273972603</v>
      </c>
      <c r="AS34" s="25">
        <v>6.2191780821917799</v>
      </c>
      <c r="AT34" s="25">
        <v>1.75342465753425</v>
      </c>
      <c r="AU34" s="25">
        <v>0.90410958904109595</v>
      </c>
      <c r="AW34" s="30">
        <v>0</v>
      </c>
      <c r="AX34" s="34">
        <v>8.74</v>
      </c>
      <c r="AY34" s="14" t="s">
        <v>47</v>
      </c>
      <c r="AZ34" s="14">
        <v>1</v>
      </c>
    </row>
    <row r="35" spans="1:52" x14ac:dyDescent="0.3">
      <c r="A35" s="16">
        <v>33</v>
      </c>
      <c r="B35" s="16" t="s">
        <v>774</v>
      </c>
      <c r="D35" s="25" t="s">
        <v>1490</v>
      </c>
      <c r="E35" s="25" t="s">
        <v>1490</v>
      </c>
      <c r="F35" s="25" t="s">
        <v>1490</v>
      </c>
      <c r="G35" s="25" t="s">
        <v>1490</v>
      </c>
      <c r="H35" s="25" t="s">
        <v>1490</v>
      </c>
      <c r="I35" s="25">
        <v>0.38759000921208597</v>
      </c>
      <c r="J35" s="25">
        <v>1.2244305136509499</v>
      </c>
      <c r="L35" s="30" t="s">
        <v>1490</v>
      </c>
      <c r="M35" s="30" t="s">
        <v>1490</v>
      </c>
      <c r="N35" s="30" t="s">
        <v>1490</v>
      </c>
      <c r="O35" s="30" t="s">
        <v>1490</v>
      </c>
      <c r="P35" s="30" t="s">
        <v>1490</v>
      </c>
      <c r="Q35" s="30">
        <v>17</v>
      </c>
      <c r="R35" s="30">
        <v>17</v>
      </c>
      <c r="S35" s="30"/>
      <c r="T35" s="25" t="s">
        <v>1490</v>
      </c>
      <c r="U35" s="25" t="s">
        <v>1490</v>
      </c>
      <c r="V35" s="25" t="s">
        <v>1490</v>
      </c>
      <c r="W35" s="25" t="s">
        <v>1490</v>
      </c>
      <c r="X35" s="25" t="s">
        <v>1490</v>
      </c>
      <c r="Y35" s="25">
        <v>0.76367752666337096</v>
      </c>
      <c r="Z35" s="25" t="s">
        <v>1490</v>
      </c>
      <c r="AB35" s="27" t="s">
        <v>1490</v>
      </c>
      <c r="AC35" s="27" t="s">
        <v>1490</v>
      </c>
      <c r="AD35" s="27" t="s">
        <v>1490</v>
      </c>
      <c r="AE35" s="27" t="s">
        <v>1490</v>
      </c>
      <c r="AF35" s="27" t="s">
        <v>1490</v>
      </c>
      <c r="AG35" s="27">
        <v>34</v>
      </c>
      <c r="AI35" s="25">
        <v>0.74428421922663701</v>
      </c>
      <c r="AJ35" s="25">
        <v>8.1369863013698591</v>
      </c>
      <c r="AK35" s="25">
        <v>1.2602739726027401</v>
      </c>
      <c r="AL35" s="25">
        <v>8.1643835616438398</v>
      </c>
      <c r="AM35" s="25">
        <v>1.20547945205479</v>
      </c>
      <c r="AN35" s="25">
        <v>8.1369863013698591</v>
      </c>
      <c r="AO35" s="25">
        <v>1.20547945205479</v>
      </c>
      <c r="AP35" s="25">
        <v>6.8767123287671197</v>
      </c>
      <c r="AQ35" s="25">
        <v>0.94520547945205502</v>
      </c>
      <c r="AR35" s="25">
        <v>5.2191780821917799</v>
      </c>
      <c r="AS35" s="25">
        <v>5.3150684931506804</v>
      </c>
      <c r="AT35" s="25">
        <v>2.2191780821917799</v>
      </c>
      <c r="AU35" s="25">
        <v>1.0136986301369899</v>
      </c>
      <c r="AW35" s="30">
        <v>0</v>
      </c>
      <c r="AX35" s="34">
        <v>4.1495833333333296</v>
      </c>
      <c r="AY35" s="14" t="s">
        <v>187</v>
      </c>
      <c r="AZ35" s="14">
        <v>0</v>
      </c>
    </row>
    <row r="36" spans="1:52" x14ac:dyDescent="0.3">
      <c r="A36" s="16">
        <v>34</v>
      </c>
      <c r="B36" s="16" t="s">
        <v>781</v>
      </c>
      <c r="D36" s="25" t="s">
        <v>1490</v>
      </c>
      <c r="E36" s="25" t="s">
        <v>1490</v>
      </c>
      <c r="F36" s="25" t="s">
        <v>1490</v>
      </c>
      <c r="G36" s="25" t="s">
        <v>1490</v>
      </c>
      <c r="H36" s="25" t="s">
        <v>1490</v>
      </c>
      <c r="I36" s="25" t="s">
        <v>1490</v>
      </c>
      <c r="J36" s="25" t="s">
        <v>1490</v>
      </c>
      <c r="L36" s="30" t="s">
        <v>1490</v>
      </c>
      <c r="M36" s="30" t="s">
        <v>1490</v>
      </c>
      <c r="N36" s="30" t="s">
        <v>1490</v>
      </c>
      <c r="O36" s="30" t="s">
        <v>1490</v>
      </c>
      <c r="P36" s="30" t="s">
        <v>1490</v>
      </c>
      <c r="Q36" s="30" t="s">
        <v>1490</v>
      </c>
      <c r="R36" s="30" t="s">
        <v>1490</v>
      </c>
      <c r="S36" s="30"/>
      <c r="T36" s="25" t="s">
        <v>1490</v>
      </c>
      <c r="U36" s="25" t="s">
        <v>1490</v>
      </c>
      <c r="V36" s="25" t="s">
        <v>1490</v>
      </c>
      <c r="W36" s="25" t="s">
        <v>1490</v>
      </c>
      <c r="X36" s="25" t="s">
        <v>1490</v>
      </c>
      <c r="Y36" s="25">
        <v>-0.20283861915559501</v>
      </c>
      <c r="Z36" s="25" t="s">
        <v>1490</v>
      </c>
      <c r="AB36" s="27" t="s">
        <v>1490</v>
      </c>
      <c r="AC36" s="27" t="s">
        <v>1490</v>
      </c>
      <c r="AD36" s="27" t="s">
        <v>1490</v>
      </c>
      <c r="AE36" s="27" t="s">
        <v>1490</v>
      </c>
      <c r="AF36" s="27" t="s">
        <v>1490</v>
      </c>
      <c r="AG36" s="27">
        <v>26</v>
      </c>
      <c r="AI36" s="25">
        <v>-0.87451612334032403</v>
      </c>
      <c r="AJ36" s="25">
        <v>6.3150684931506804</v>
      </c>
      <c r="AK36" s="25">
        <v>2.3424657534246598</v>
      </c>
      <c r="AL36" s="25">
        <v>5.86301369863014</v>
      </c>
      <c r="AM36" s="25">
        <v>2.3835616438356202</v>
      </c>
      <c r="AN36" s="25">
        <v>6.10958904109589</v>
      </c>
      <c r="AO36" s="25">
        <v>2.4520547945205502</v>
      </c>
      <c r="AP36" s="25">
        <v>6.4657534246575299</v>
      </c>
      <c r="AQ36" s="25">
        <v>1.8493150684931501</v>
      </c>
      <c r="AR36" s="25">
        <v>5.5068493150684903</v>
      </c>
      <c r="AS36" s="25">
        <v>5.2602739726027403</v>
      </c>
      <c r="AT36" s="25">
        <v>2.75342465753425</v>
      </c>
      <c r="AU36" s="25">
        <v>1.9041095890410999</v>
      </c>
      <c r="AW36" s="30">
        <v>0</v>
      </c>
      <c r="AX36" s="34">
        <v>7.9</v>
      </c>
      <c r="AY36" s="14" t="s">
        <v>47</v>
      </c>
      <c r="AZ36" s="14">
        <v>1</v>
      </c>
    </row>
    <row r="37" spans="1:52" x14ac:dyDescent="0.3">
      <c r="A37" s="16">
        <v>35</v>
      </c>
      <c r="B37" s="18" t="s">
        <v>793</v>
      </c>
      <c r="D37" s="25" t="s">
        <v>1490</v>
      </c>
      <c r="E37" s="25" t="s">
        <v>1490</v>
      </c>
      <c r="F37" s="25" t="s">
        <v>1490</v>
      </c>
      <c r="G37" s="25" t="s">
        <v>1490</v>
      </c>
      <c r="H37" s="25" t="s">
        <v>1490</v>
      </c>
      <c r="I37" s="25" t="s">
        <v>1490</v>
      </c>
      <c r="J37" s="25">
        <v>0.93456247079381805</v>
      </c>
      <c r="L37" s="30" t="s">
        <v>1490</v>
      </c>
      <c r="M37" s="30" t="s">
        <v>1490</v>
      </c>
      <c r="N37" s="30" t="s">
        <v>1490</v>
      </c>
      <c r="O37" s="30" t="s">
        <v>1490</v>
      </c>
      <c r="P37" s="30" t="s">
        <v>1490</v>
      </c>
      <c r="Q37" s="30" t="s">
        <v>1490</v>
      </c>
      <c r="R37" s="30">
        <v>21</v>
      </c>
      <c r="S37" s="30"/>
      <c r="T37" s="25" t="s">
        <v>1490</v>
      </c>
      <c r="U37" s="25" t="s">
        <v>1490</v>
      </c>
      <c r="V37" s="25" t="s">
        <v>1490</v>
      </c>
      <c r="W37" s="25" t="s">
        <v>1490</v>
      </c>
      <c r="X37" s="25" t="s">
        <v>1490</v>
      </c>
      <c r="Y37" s="25" t="s">
        <v>1490</v>
      </c>
      <c r="Z37" s="25" t="s">
        <v>1490</v>
      </c>
      <c r="AB37" s="27" t="s">
        <v>1490</v>
      </c>
      <c r="AC37" s="27" t="s">
        <v>1490</v>
      </c>
      <c r="AD37" s="27" t="s">
        <v>1490</v>
      </c>
      <c r="AE37" s="27" t="s">
        <v>1490</v>
      </c>
      <c r="AF37" s="27" t="s">
        <v>1490</v>
      </c>
      <c r="AG37" s="27" t="s">
        <v>1490</v>
      </c>
      <c r="AI37" s="25">
        <v>0.41701912191528101</v>
      </c>
      <c r="AJ37" s="25">
        <v>7.89041095890411</v>
      </c>
      <c r="AK37" s="25">
        <v>1.4657534246575299</v>
      </c>
      <c r="AL37" s="25">
        <v>7.7671232876712297</v>
      </c>
      <c r="AM37" s="25">
        <v>1.54794520547945</v>
      </c>
      <c r="AN37" s="25">
        <v>7.86301369863014</v>
      </c>
      <c r="AO37" s="25">
        <v>1.5616438356164399</v>
      </c>
      <c r="AP37" s="25">
        <v>7.2054794520547896</v>
      </c>
      <c r="AQ37" s="25">
        <v>0.87671232876712302</v>
      </c>
      <c r="AR37" s="25">
        <v>5.3972602739726003</v>
      </c>
      <c r="AS37" s="25">
        <v>5.9315068493150704</v>
      </c>
      <c r="AT37" s="25">
        <v>2.8356164383561602</v>
      </c>
      <c r="AU37" s="25">
        <v>1</v>
      </c>
      <c r="AW37" s="30">
        <v>0</v>
      </c>
      <c r="AX37" s="34">
        <v>11</v>
      </c>
      <c r="AY37" s="14" t="s">
        <v>187</v>
      </c>
      <c r="AZ37" s="14">
        <v>0</v>
      </c>
    </row>
    <row r="38" spans="1:52" ht="12.9" x14ac:dyDescent="0.3">
      <c r="A38" s="16">
        <v>36</v>
      </c>
      <c r="B38" s="16" t="s">
        <v>589</v>
      </c>
      <c r="D38" s="25" t="s">
        <v>1490</v>
      </c>
      <c r="E38" s="25" t="s">
        <v>1490</v>
      </c>
      <c r="F38" s="25" t="s">
        <v>1490</v>
      </c>
      <c r="G38" s="25" t="s">
        <v>1490</v>
      </c>
      <c r="H38" s="25" t="s">
        <v>1490</v>
      </c>
      <c r="I38" s="25" t="s">
        <v>1490</v>
      </c>
      <c r="J38" s="25">
        <v>0.178046000456836</v>
      </c>
      <c r="L38" s="30" t="s">
        <v>1490</v>
      </c>
      <c r="M38" s="30" t="s">
        <v>1490</v>
      </c>
      <c r="N38" s="30" t="s">
        <v>1490</v>
      </c>
      <c r="O38" s="30" t="s">
        <v>1490</v>
      </c>
      <c r="P38" s="30" t="s">
        <v>1490</v>
      </c>
      <c r="Q38" s="30" t="s">
        <v>1490</v>
      </c>
      <c r="R38" s="30">
        <v>30</v>
      </c>
      <c r="S38" s="30"/>
      <c r="T38" s="25" t="s">
        <v>1490</v>
      </c>
      <c r="U38" s="25" t="s">
        <v>1490</v>
      </c>
      <c r="V38" s="25" t="s">
        <v>1490</v>
      </c>
      <c r="W38" s="25" t="s">
        <v>1490</v>
      </c>
      <c r="X38" s="25" t="s">
        <v>1490</v>
      </c>
      <c r="Y38" s="25" t="s">
        <v>1490</v>
      </c>
      <c r="Z38" s="25" t="s">
        <v>1490</v>
      </c>
      <c r="AB38" s="27" t="s">
        <v>1490</v>
      </c>
      <c r="AC38" s="27" t="s">
        <v>1490</v>
      </c>
      <c r="AD38" s="27" t="s">
        <v>1490</v>
      </c>
      <c r="AE38" s="27" t="s">
        <v>1490</v>
      </c>
      <c r="AF38" s="27" t="s">
        <v>1490</v>
      </c>
      <c r="AG38" s="27" t="s">
        <v>1490</v>
      </c>
      <c r="AI38" s="25">
        <v>-0.29950252872823202</v>
      </c>
      <c r="AJ38" s="25">
        <v>7.3698630136986303</v>
      </c>
      <c r="AK38" s="25">
        <v>1.93150684931507</v>
      </c>
      <c r="AL38" s="25">
        <v>7.13698630136986</v>
      </c>
      <c r="AM38" s="25">
        <v>2.3287671232876699</v>
      </c>
      <c r="AN38" s="25">
        <v>7.13698630136986</v>
      </c>
      <c r="AO38" s="25">
        <v>2.3698630136986298</v>
      </c>
      <c r="AP38" s="25">
        <v>6.8219178082191796</v>
      </c>
      <c r="AQ38" s="25">
        <v>1.34246575342466</v>
      </c>
      <c r="AR38" s="25">
        <v>5.7397260273972597</v>
      </c>
      <c r="AS38" s="25">
        <v>5.7671232876712297</v>
      </c>
      <c r="AT38" s="25">
        <v>2.13698630136986</v>
      </c>
      <c r="AU38" s="25">
        <v>1.27397260273973</v>
      </c>
      <c r="AW38" s="30">
        <v>0</v>
      </c>
      <c r="AX38" s="34">
        <v>12</v>
      </c>
      <c r="AY38" s="14" t="s">
        <v>41</v>
      </c>
      <c r="AZ38" s="14">
        <v>0</v>
      </c>
    </row>
    <row r="39" spans="1:52" x14ac:dyDescent="0.3">
      <c r="A39" s="16">
        <v>37</v>
      </c>
      <c r="B39" s="16" t="s">
        <v>812</v>
      </c>
      <c r="D39" s="25" t="s">
        <v>1490</v>
      </c>
      <c r="E39" s="25" t="s">
        <v>1490</v>
      </c>
      <c r="F39" s="25" t="s">
        <v>1490</v>
      </c>
      <c r="G39" s="25" t="s">
        <v>1490</v>
      </c>
      <c r="H39" s="25" t="s">
        <v>1490</v>
      </c>
      <c r="I39" s="25" t="s">
        <v>1490</v>
      </c>
      <c r="J39" s="25">
        <v>0.60655737704918</v>
      </c>
      <c r="L39" s="30" t="s">
        <v>1490</v>
      </c>
      <c r="M39" s="30" t="s">
        <v>1490</v>
      </c>
      <c r="N39" s="30" t="s">
        <v>1490</v>
      </c>
      <c r="O39" s="30" t="s">
        <v>1490</v>
      </c>
      <c r="P39" s="30" t="s">
        <v>1490</v>
      </c>
      <c r="Q39" s="30" t="s">
        <v>1490</v>
      </c>
      <c r="R39" s="30">
        <v>34</v>
      </c>
      <c r="S39" s="30"/>
      <c r="T39" s="25" t="s">
        <v>1490</v>
      </c>
      <c r="U39" s="25" t="s">
        <v>1490</v>
      </c>
      <c r="V39" s="25" t="s">
        <v>1490</v>
      </c>
      <c r="W39" s="25" t="s">
        <v>1490</v>
      </c>
      <c r="X39" s="25" t="s">
        <v>1490</v>
      </c>
      <c r="Y39" s="25" t="s">
        <v>1490</v>
      </c>
      <c r="Z39" s="25" t="s">
        <v>1490</v>
      </c>
      <c r="AB39" s="27" t="s">
        <v>1490</v>
      </c>
      <c r="AC39" s="27" t="s">
        <v>1490</v>
      </c>
      <c r="AD39" s="27" t="s">
        <v>1490</v>
      </c>
      <c r="AE39" s="27" t="s">
        <v>1490</v>
      </c>
      <c r="AF39" s="27" t="s">
        <v>1490</v>
      </c>
      <c r="AG39" s="27" t="s">
        <v>1490</v>
      </c>
      <c r="AI39" s="25">
        <v>0.74048795253506505</v>
      </c>
      <c r="AJ39" s="25">
        <v>8.3013698630137007</v>
      </c>
      <c r="AK39" s="25">
        <v>1.2328767123287701</v>
      </c>
      <c r="AL39" s="25">
        <v>8.24657534246575</v>
      </c>
      <c r="AM39" s="25">
        <v>1.3013698630137001</v>
      </c>
      <c r="AN39" s="25">
        <v>8.24657534246575</v>
      </c>
      <c r="AO39" s="25">
        <v>1.3698630136986301</v>
      </c>
      <c r="AP39" s="25">
        <v>7.9315068493150704</v>
      </c>
      <c r="AQ39" s="25">
        <v>0.65753424657534199</v>
      </c>
      <c r="AR39" s="25">
        <v>5.1643835616438398</v>
      </c>
      <c r="AS39" s="25">
        <v>5.4931506849315097</v>
      </c>
      <c r="AT39" s="25">
        <v>2.2328767123287698</v>
      </c>
      <c r="AU39" s="25">
        <v>0.71232876712328796</v>
      </c>
      <c r="AW39" s="30">
        <v>1</v>
      </c>
      <c r="AX39" s="34">
        <v>11.5</v>
      </c>
      <c r="AY39" s="14" t="s">
        <v>187</v>
      </c>
      <c r="AZ39" s="14">
        <v>0</v>
      </c>
    </row>
    <row r="40" spans="1:52" x14ac:dyDescent="0.3">
      <c r="A40" s="16">
        <v>38</v>
      </c>
      <c r="B40" s="16" t="s">
        <v>783</v>
      </c>
      <c r="D40" s="25" t="s">
        <v>1490</v>
      </c>
      <c r="E40" s="25" t="s">
        <v>1490</v>
      </c>
      <c r="F40" s="25" t="s">
        <v>1490</v>
      </c>
      <c r="G40" s="25" t="s">
        <v>1490</v>
      </c>
      <c r="H40" s="25" t="s">
        <v>1490</v>
      </c>
      <c r="I40" s="25" t="s">
        <v>1490</v>
      </c>
      <c r="J40" s="25" t="s">
        <v>1490</v>
      </c>
      <c r="L40" s="30" t="s">
        <v>1490</v>
      </c>
      <c r="M40" s="30" t="s">
        <v>1490</v>
      </c>
      <c r="N40" s="30" t="s">
        <v>1490</v>
      </c>
      <c r="O40" s="30" t="s">
        <v>1490</v>
      </c>
      <c r="P40" s="30" t="s">
        <v>1490</v>
      </c>
      <c r="Q40" s="30" t="s">
        <v>1490</v>
      </c>
      <c r="R40" s="30" t="s">
        <v>1490</v>
      </c>
      <c r="S40" s="30"/>
      <c r="T40" s="25" t="s">
        <v>1490</v>
      </c>
      <c r="U40" s="25">
        <v>0.15669425591463401</v>
      </c>
      <c r="V40" s="25" t="s">
        <v>1490</v>
      </c>
      <c r="W40" s="25" t="s">
        <v>1490</v>
      </c>
      <c r="X40" s="25" t="s">
        <v>1490</v>
      </c>
      <c r="Y40" s="25" t="s">
        <v>1490</v>
      </c>
      <c r="Z40" s="25" t="s">
        <v>1490</v>
      </c>
      <c r="AB40" s="27" t="s">
        <v>1490</v>
      </c>
      <c r="AC40" s="27">
        <v>31</v>
      </c>
      <c r="AD40" s="27" t="s">
        <v>1490</v>
      </c>
      <c r="AE40" s="27" t="s">
        <v>1490</v>
      </c>
      <c r="AF40" s="27" t="s">
        <v>1490</v>
      </c>
      <c r="AG40" s="27" t="s">
        <v>1490</v>
      </c>
      <c r="AI40" s="25">
        <v>-0.41838917258268199</v>
      </c>
      <c r="AJ40" s="25">
        <v>6.9178082191780801</v>
      </c>
      <c r="AK40" s="25">
        <v>1.93150684931507</v>
      </c>
      <c r="AL40" s="25">
        <v>6.7260273972602702</v>
      </c>
      <c r="AM40" s="25">
        <v>2.2602739726027399</v>
      </c>
      <c r="AN40" s="25">
        <v>6.9315068493150704</v>
      </c>
      <c r="AO40" s="25">
        <v>2.3424657534246598</v>
      </c>
      <c r="AP40" s="25">
        <v>5.8493150684931496</v>
      </c>
      <c r="AQ40" s="25">
        <v>1.47945205479452</v>
      </c>
      <c r="AR40" s="25">
        <v>5.6712328767123301</v>
      </c>
      <c r="AS40" s="25">
        <v>5.7123287671232896</v>
      </c>
      <c r="AT40" s="25">
        <v>2.2876712328767099</v>
      </c>
      <c r="AU40" s="25">
        <v>1.34246575342466</v>
      </c>
      <c r="AW40" s="30">
        <v>0</v>
      </c>
      <c r="AX40" s="34">
        <v>23.5</v>
      </c>
      <c r="AY40" s="14" t="s">
        <v>47</v>
      </c>
      <c r="AZ40" s="14">
        <v>1</v>
      </c>
    </row>
    <row r="41" spans="1:52" ht="12.9" x14ac:dyDescent="0.3">
      <c r="A41" s="16">
        <v>39</v>
      </c>
      <c r="B41" s="16" t="s">
        <v>585</v>
      </c>
      <c r="D41" s="25" t="s">
        <v>1490</v>
      </c>
      <c r="E41" s="25" t="s">
        <v>1490</v>
      </c>
      <c r="F41" s="25" t="s">
        <v>1490</v>
      </c>
      <c r="G41" s="25" t="s">
        <v>1490</v>
      </c>
      <c r="H41" s="25" t="s">
        <v>1490</v>
      </c>
      <c r="I41" s="25" t="s">
        <v>1490</v>
      </c>
      <c r="J41" s="25" t="s">
        <v>1490</v>
      </c>
      <c r="L41" s="30" t="s">
        <v>1490</v>
      </c>
      <c r="M41" s="30" t="s">
        <v>1490</v>
      </c>
      <c r="N41" s="30" t="s">
        <v>1490</v>
      </c>
      <c r="O41" s="30" t="s">
        <v>1490</v>
      </c>
      <c r="P41" s="30" t="s">
        <v>1490</v>
      </c>
      <c r="Q41" s="30" t="s">
        <v>1490</v>
      </c>
      <c r="R41" s="30" t="s">
        <v>1490</v>
      </c>
      <c r="S41" s="30"/>
      <c r="T41" s="25" t="s">
        <v>1490</v>
      </c>
      <c r="U41" s="25">
        <v>-0.434046946687139</v>
      </c>
      <c r="V41" s="25" t="s">
        <v>1490</v>
      </c>
      <c r="W41" s="25" t="s">
        <v>1490</v>
      </c>
      <c r="X41" s="25" t="s">
        <v>1490</v>
      </c>
      <c r="Y41" s="25" t="s">
        <v>1490</v>
      </c>
      <c r="Z41" s="25" t="s">
        <v>1490</v>
      </c>
      <c r="AB41" s="27" t="s">
        <v>1490</v>
      </c>
      <c r="AC41" s="27">
        <v>83</v>
      </c>
      <c r="AD41" s="27" t="s">
        <v>1490</v>
      </c>
      <c r="AE41" s="27" t="s">
        <v>1490</v>
      </c>
      <c r="AF41" s="27" t="s">
        <v>1490</v>
      </c>
      <c r="AG41" s="27" t="s">
        <v>1490</v>
      </c>
      <c r="AI41" s="25">
        <v>-0.41838917258268199</v>
      </c>
      <c r="AJ41" s="25">
        <v>6.9178082191780801</v>
      </c>
      <c r="AK41" s="25">
        <v>1.93150684931507</v>
      </c>
      <c r="AL41" s="25">
        <v>6.7260273972602702</v>
      </c>
      <c r="AM41" s="25">
        <v>2.2602739726027399</v>
      </c>
      <c r="AN41" s="25">
        <v>6.9315068493150704</v>
      </c>
      <c r="AO41" s="25">
        <v>2.3424657534246598</v>
      </c>
      <c r="AP41" s="25">
        <v>5.8493150684931496</v>
      </c>
      <c r="AQ41" s="25">
        <v>1.47945205479452</v>
      </c>
      <c r="AR41" s="25">
        <v>5.6712328767123301</v>
      </c>
      <c r="AS41" s="25">
        <v>5.7123287671232896</v>
      </c>
      <c r="AT41" s="25">
        <v>2.2876712328767099</v>
      </c>
      <c r="AU41" s="25">
        <v>1.34246575342466</v>
      </c>
      <c r="AW41" s="30">
        <v>0</v>
      </c>
      <c r="AX41" s="34">
        <v>7.8</v>
      </c>
      <c r="AY41" s="14" t="s">
        <v>47</v>
      </c>
      <c r="AZ41" s="14">
        <v>1</v>
      </c>
    </row>
    <row r="42" spans="1:52" x14ac:dyDescent="0.3">
      <c r="A42" s="16">
        <v>40</v>
      </c>
      <c r="B42" s="18" t="s">
        <v>768</v>
      </c>
      <c r="D42" s="25" t="s">
        <v>1490</v>
      </c>
      <c r="E42" s="25" t="s">
        <v>1490</v>
      </c>
      <c r="F42" s="25" t="s">
        <v>1490</v>
      </c>
      <c r="G42" s="25" t="s">
        <v>1490</v>
      </c>
      <c r="H42" s="25" t="s">
        <v>1490</v>
      </c>
      <c r="I42" s="25" t="s">
        <v>1490</v>
      </c>
      <c r="J42" s="25" t="s">
        <v>1490</v>
      </c>
      <c r="L42" s="30" t="s">
        <v>1490</v>
      </c>
      <c r="M42" s="30" t="s">
        <v>1490</v>
      </c>
      <c r="N42" s="30" t="s">
        <v>1490</v>
      </c>
      <c r="O42" s="30" t="s">
        <v>1490</v>
      </c>
      <c r="P42" s="30" t="s">
        <v>1490</v>
      </c>
      <c r="Q42" s="30" t="s">
        <v>1490</v>
      </c>
      <c r="R42" s="30" t="s">
        <v>1490</v>
      </c>
      <c r="S42" s="30"/>
      <c r="T42" s="25" t="s">
        <v>1490</v>
      </c>
      <c r="U42" s="25">
        <v>0.853677703030431</v>
      </c>
      <c r="V42" s="25" t="s">
        <v>1490</v>
      </c>
      <c r="W42" s="25" t="s">
        <v>1490</v>
      </c>
      <c r="X42" s="25" t="s">
        <v>1490</v>
      </c>
      <c r="Y42" s="25" t="s">
        <v>1490</v>
      </c>
      <c r="Z42" s="25" t="s">
        <v>1490</v>
      </c>
      <c r="AB42" s="27" t="s">
        <v>1490</v>
      </c>
      <c r="AC42" s="27">
        <v>52</v>
      </c>
      <c r="AD42" s="27" t="s">
        <v>1490</v>
      </c>
      <c r="AE42" s="27" t="s">
        <v>1490</v>
      </c>
      <c r="AF42" s="27" t="s">
        <v>1490</v>
      </c>
      <c r="AG42" s="27" t="s">
        <v>1490</v>
      </c>
      <c r="AI42" s="25">
        <v>0.96782276372452303</v>
      </c>
      <c r="AJ42" s="25">
        <v>8.4246575342465793</v>
      </c>
      <c r="AK42" s="25">
        <v>0.95890410958904104</v>
      </c>
      <c r="AL42" s="25">
        <v>8.3835616438356197</v>
      </c>
      <c r="AM42" s="25">
        <v>1.0958904109589001</v>
      </c>
      <c r="AN42" s="25">
        <v>8.3698630136986303</v>
      </c>
      <c r="AO42" s="25">
        <v>1.0958904109589001</v>
      </c>
      <c r="AP42" s="25">
        <v>7.9863013698630096</v>
      </c>
      <c r="AQ42" s="25">
        <v>0.45205479452054798</v>
      </c>
      <c r="AR42" s="25">
        <v>5.3424657534246602</v>
      </c>
      <c r="AS42" s="25">
        <v>6.24657534246575</v>
      </c>
      <c r="AT42" s="25">
        <v>2.0821917808219199</v>
      </c>
      <c r="AU42" s="25">
        <v>0.602739726027397</v>
      </c>
      <c r="AW42" s="30">
        <v>1</v>
      </c>
      <c r="AX42" s="34">
        <v>10.5</v>
      </c>
      <c r="AY42" s="14" t="s">
        <v>62</v>
      </c>
      <c r="AZ42" s="14">
        <v>0</v>
      </c>
    </row>
    <row r="43" spans="1:52" x14ac:dyDescent="0.3">
      <c r="A43" s="16">
        <v>41</v>
      </c>
      <c r="B43" s="16" t="s">
        <v>759</v>
      </c>
      <c r="D43" s="25" t="s">
        <v>1490</v>
      </c>
      <c r="E43" s="25" t="s">
        <v>1490</v>
      </c>
      <c r="F43" s="25" t="s">
        <v>1490</v>
      </c>
      <c r="G43" s="25" t="s">
        <v>1490</v>
      </c>
      <c r="H43" s="25" t="s">
        <v>1490</v>
      </c>
      <c r="I43" s="25" t="s">
        <v>1490</v>
      </c>
      <c r="J43" s="25" t="s">
        <v>1490</v>
      </c>
      <c r="L43" s="30" t="s">
        <v>1490</v>
      </c>
      <c r="M43" s="30" t="s">
        <v>1490</v>
      </c>
      <c r="N43" s="30" t="s">
        <v>1490</v>
      </c>
      <c r="O43" s="30" t="s">
        <v>1490</v>
      </c>
      <c r="P43" s="30" t="s">
        <v>1490</v>
      </c>
      <c r="Q43" s="30" t="s">
        <v>1490</v>
      </c>
      <c r="R43" s="30" t="s">
        <v>1490</v>
      </c>
      <c r="S43" s="30"/>
      <c r="T43" s="25" t="s">
        <v>1490</v>
      </c>
      <c r="U43" s="25" t="s">
        <v>1490</v>
      </c>
      <c r="V43" s="25">
        <v>0.269371320811847</v>
      </c>
      <c r="W43" s="25" t="s">
        <v>1490</v>
      </c>
      <c r="X43" s="25" t="s">
        <v>1490</v>
      </c>
      <c r="Y43" s="25" t="s">
        <v>1490</v>
      </c>
      <c r="Z43" s="25" t="s">
        <v>1490</v>
      </c>
      <c r="AB43" s="27" t="s">
        <v>1490</v>
      </c>
      <c r="AC43" s="27" t="s">
        <v>1490</v>
      </c>
      <c r="AD43" s="27">
        <v>154</v>
      </c>
      <c r="AE43" s="27" t="s">
        <v>1490</v>
      </c>
      <c r="AF43" s="27" t="s">
        <v>1490</v>
      </c>
      <c r="AG43" s="27" t="s">
        <v>1490</v>
      </c>
      <c r="AI43" s="25">
        <v>0.98295943151990295</v>
      </c>
      <c r="AJ43" s="25">
        <v>8.3698630136986303</v>
      </c>
      <c r="AK43" s="25">
        <v>0.82191780821917804</v>
      </c>
      <c r="AL43" s="25">
        <v>8.1369863013698591</v>
      </c>
      <c r="AM43" s="25">
        <v>1.0136986301369899</v>
      </c>
      <c r="AN43" s="25">
        <v>8.2328767123287694</v>
      </c>
      <c r="AO43" s="25">
        <v>1.0136986301369899</v>
      </c>
      <c r="AP43" s="25">
        <v>7.9452054794520501</v>
      </c>
      <c r="AQ43" s="25">
        <v>0.465753424657534</v>
      </c>
      <c r="AR43" s="25">
        <v>6.2602739726027403</v>
      </c>
      <c r="AS43" s="25">
        <v>6.6986301369863002</v>
      </c>
      <c r="AT43" s="25">
        <v>1.68493150684932</v>
      </c>
      <c r="AU43" s="25">
        <v>0.52054794520547898</v>
      </c>
      <c r="AW43" s="30">
        <v>0</v>
      </c>
      <c r="AX43" s="34">
        <v>19.89</v>
      </c>
      <c r="AY43" s="14" t="s">
        <v>1095</v>
      </c>
      <c r="AZ43" s="14">
        <v>1</v>
      </c>
    </row>
    <row r="44" spans="1:52" x14ac:dyDescent="0.3">
      <c r="A44" s="16">
        <v>42</v>
      </c>
      <c r="B44" s="16" t="s">
        <v>575</v>
      </c>
      <c r="D44" s="25" t="s">
        <v>1490</v>
      </c>
      <c r="E44" s="25" t="s">
        <v>1490</v>
      </c>
      <c r="F44" s="25" t="s">
        <v>1490</v>
      </c>
      <c r="G44" s="25" t="s">
        <v>1490</v>
      </c>
      <c r="H44" s="25" t="s">
        <v>1490</v>
      </c>
      <c r="I44" s="25">
        <v>1.00513592573953</v>
      </c>
      <c r="J44" s="25">
        <v>1.25226107187694</v>
      </c>
      <c r="L44" s="30" t="s">
        <v>1490</v>
      </c>
      <c r="M44" s="30" t="s">
        <v>1490</v>
      </c>
      <c r="N44" s="30" t="s">
        <v>1490</v>
      </c>
      <c r="O44" s="30" t="s">
        <v>1490</v>
      </c>
      <c r="P44" s="30" t="s">
        <v>1490</v>
      </c>
      <c r="Q44" s="30">
        <v>20</v>
      </c>
      <c r="R44" s="30">
        <v>43</v>
      </c>
      <c r="S44" s="30"/>
      <c r="T44" s="25" t="s">
        <v>1490</v>
      </c>
      <c r="U44" s="25" t="s">
        <v>1490</v>
      </c>
      <c r="V44" s="25" t="s">
        <v>1490</v>
      </c>
      <c r="W44" s="25" t="s">
        <v>1490</v>
      </c>
      <c r="X44" s="25" t="s">
        <v>1490</v>
      </c>
      <c r="Y44" s="25">
        <v>0.48849066784098799</v>
      </c>
      <c r="Z44" s="25" t="s">
        <v>1490</v>
      </c>
      <c r="AB44" s="27" t="s">
        <v>1490</v>
      </c>
      <c r="AC44" s="27" t="s">
        <v>1490</v>
      </c>
      <c r="AD44" s="27" t="s">
        <v>1490</v>
      </c>
      <c r="AE44" s="27" t="s">
        <v>1490</v>
      </c>
      <c r="AF44" s="27" t="s">
        <v>1490</v>
      </c>
      <c r="AG44" s="27">
        <v>63</v>
      </c>
      <c r="AI44" s="25">
        <v>0.31768541390149702</v>
      </c>
      <c r="AJ44" s="25">
        <v>7.9041095890411004</v>
      </c>
      <c r="AK44" s="25">
        <v>1.6986301369862999</v>
      </c>
      <c r="AL44" s="25">
        <v>7.9452054794520501</v>
      </c>
      <c r="AM44" s="25">
        <v>1.75342465753425</v>
      </c>
      <c r="AN44" s="25">
        <v>7.9315068493150704</v>
      </c>
      <c r="AO44" s="25">
        <v>1.68493150684932</v>
      </c>
      <c r="AP44" s="25">
        <v>7.0136986301369904</v>
      </c>
      <c r="AQ44" s="25">
        <v>1.52054794520548</v>
      </c>
      <c r="AR44" s="25">
        <v>5.8767123287671197</v>
      </c>
      <c r="AS44" s="25">
        <v>6.3972602739726003</v>
      </c>
      <c r="AT44" s="25">
        <v>2.6027397260274001</v>
      </c>
      <c r="AU44" s="25">
        <v>1.24657534246575</v>
      </c>
      <c r="AW44" s="30">
        <v>0</v>
      </c>
      <c r="AX44" s="34">
        <v>5.45</v>
      </c>
      <c r="AY44" s="14" t="s">
        <v>25</v>
      </c>
      <c r="AZ44" s="14">
        <v>1</v>
      </c>
    </row>
    <row r="45" spans="1:52" x14ac:dyDescent="0.3">
      <c r="A45" s="16">
        <v>43</v>
      </c>
      <c r="B45" s="16" t="s">
        <v>839</v>
      </c>
      <c r="D45" s="25" t="s">
        <v>1490</v>
      </c>
      <c r="E45" s="25">
        <v>0.87323310921818098</v>
      </c>
      <c r="F45" s="25" t="s">
        <v>1490</v>
      </c>
      <c r="G45" s="25" t="s">
        <v>1490</v>
      </c>
      <c r="H45" s="25" t="s">
        <v>1490</v>
      </c>
      <c r="I45" s="25">
        <v>0.66667151104060296</v>
      </c>
      <c r="J45" s="25">
        <v>0.69300229359533505</v>
      </c>
      <c r="L45" s="30" t="s">
        <v>1490</v>
      </c>
      <c r="M45" s="30">
        <v>19</v>
      </c>
      <c r="N45" s="30" t="s">
        <v>1490</v>
      </c>
      <c r="O45" s="30" t="s">
        <v>1490</v>
      </c>
      <c r="P45" s="30" t="s">
        <v>1490</v>
      </c>
      <c r="Q45" s="30">
        <v>20</v>
      </c>
      <c r="R45" s="30">
        <v>19</v>
      </c>
      <c r="S45" s="30"/>
      <c r="T45" s="25" t="s">
        <v>1490</v>
      </c>
      <c r="U45" s="25">
        <v>7.7209128858667098E-2</v>
      </c>
      <c r="V45" s="25" t="s">
        <v>1490</v>
      </c>
      <c r="W45" s="25" t="s">
        <v>1490</v>
      </c>
      <c r="X45" s="25" t="s">
        <v>1490</v>
      </c>
      <c r="Y45" s="25">
        <v>5.7995354070893498E-2</v>
      </c>
      <c r="Z45" s="25" t="s">
        <v>1490</v>
      </c>
      <c r="AB45" s="27" t="s">
        <v>1490</v>
      </c>
      <c r="AC45" s="27">
        <v>38</v>
      </c>
      <c r="AD45" s="27" t="s">
        <v>1490</v>
      </c>
      <c r="AE45" s="27" t="s">
        <v>1490</v>
      </c>
      <c r="AF45" s="27" t="s">
        <v>1490</v>
      </c>
      <c r="AG45" s="27">
        <v>39</v>
      </c>
      <c r="AI45" s="25">
        <v>0.158455671103132</v>
      </c>
      <c r="AJ45" s="25">
        <v>7.2328767123287703</v>
      </c>
      <c r="AK45" s="25">
        <v>1.4246575342465799</v>
      </c>
      <c r="AL45" s="25">
        <v>7.1917808219178099</v>
      </c>
      <c r="AM45" s="25">
        <v>1.61643835616438</v>
      </c>
      <c r="AN45" s="25">
        <v>7.2191780821917799</v>
      </c>
      <c r="AO45" s="25">
        <v>1.6027397260273999</v>
      </c>
      <c r="AP45" s="25">
        <v>6.6301369863013697</v>
      </c>
      <c r="AQ45" s="25">
        <v>0.86301369863013699</v>
      </c>
      <c r="AR45" s="25">
        <v>5.6849315068493196</v>
      </c>
      <c r="AS45" s="25">
        <v>5.7671232876712297</v>
      </c>
      <c r="AT45" s="25">
        <v>1.7123287671232901</v>
      </c>
      <c r="AU45" s="25">
        <v>0.78082191780821897</v>
      </c>
      <c r="AW45" s="30">
        <v>0</v>
      </c>
      <c r="AX45" s="34">
        <v>8</v>
      </c>
      <c r="AY45" s="14" t="s">
        <v>227</v>
      </c>
      <c r="AZ45" s="14">
        <v>0</v>
      </c>
    </row>
    <row r="46" spans="1:52" x14ac:dyDescent="0.3">
      <c r="A46" s="16">
        <v>44</v>
      </c>
      <c r="B46" s="16" t="s">
        <v>779</v>
      </c>
      <c r="D46" s="25" t="s">
        <v>1490</v>
      </c>
      <c r="E46" s="25" t="s">
        <v>1490</v>
      </c>
      <c r="F46" s="25" t="s">
        <v>1490</v>
      </c>
      <c r="G46" s="25" t="s">
        <v>1490</v>
      </c>
      <c r="H46" s="25" t="s">
        <v>1490</v>
      </c>
      <c r="I46" s="25" t="s">
        <v>1490</v>
      </c>
      <c r="J46" s="25">
        <v>3.8820870599889701</v>
      </c>
      <c r="L46" s="30" t="s">
        <v>1490</v>
      </c>
      <c r="M46" s="30" t="s">
        <v>1490</v>
      </c>
      <c r="N46" s="30" t="s">
        <v>1490</v>
      </c>
      <c r="O46" s="30" t="s">
        <v>1490</v>
      </c>
      <c r="P46" s="30" t="s">
        <v>1490</v>
      </c>
      <c r="Q46" s="30" t="s">
        <v>1490</v>
      </c>
      <c r="R46" s="30">
        <v>31</v>
      </c>
      <c r="S46" s="30"/>
      <c r="T46" s="25" t="s">
        <v>1490</v>
      </c>
      <c r="U46" s="25" t="s">
        <v>1490</v>
      </c>
      <c r="V46" s="25" t="s">
        <v>1490</v>
      </c>
      <c r="W46" s="25" t="s">
        <v>1490</v>
      </c>
      <c r="X46" s="25" t="s">
        <v>1490</v>
      </c>
      <c r="Y46" s="25" t="s">
        <v>1490</v>
      </c>
      <c r="Z46" s="25" t="s">
        <v>1490</v>
      </c>
      <c r="AB46" s="27" t="s">
        <v>1490</v>
      </c>
      <c r="AC46" s="27" t="s">
        <v>1490</v>
      </c>
      <c r="AD46" s="27" t="s">
        <v>1490</v>
      </c>
      <c r="AE46" s="27" t="s">
        <v>1490</v>
      </c>
      <c r="AF46" s="27" t="s">
        <v>1490</v>
      </c>
      <c r="AG46" s="27" t="s">
        <v>1490</v>
      </c>
      <c r="AI46" s="25">
        <v>0.10507055984324799</v>
      </c>
      <c r="AJ46" s="25">
        <v>7.5205479452054798</v>
      </c>
      <c r="AK46" s="25">
        <v>1.75342465753425</v>
      </c>
      <c r="AL46" s="25">
        <v>7.3972602739726003</v>
      </c>
      <c r="AM46" s="25">
        <v>1.72602739726027</v>
      </c>
      <c r="AN46" s="25">
        <v>7.4109589041095898</v>
      </c>
      <c r="AO46" s="25">
        <v>1.75342465753425</v>
      </c>
      <c r="AP46" s="25">
        <v>7.0136986301369904</v>
      </c>
      <c r="AQ46" s="25">
        <v>0.98630136986301398</v>
      </c>
      <c r="AR46" s="25">
        <v>5.9863013698630096</v>
      </c>
      <c r="AS46" s="25">
        <v>6.0136986301369904</v>
      </c>
      <c r="AT46" s="25">
        <v>2.06849315068493</v>
      </c>
      <c r="AU46" s="25">
        <v>1.10958904109589</v>
      </c>
      <c r="AW46" s="30">
        <v>0</v>
      </c>
      <c r="AX46" s="34">
        <v>11</v>
      </c>
      <c r="AY46" s="14" t="s">
        <v>68</v>
      </c>
      <c r="AZ46" s="14">
        <v>0</v>
      </c>
    </row>
    <row r="47" spans="1:52" x14ac:dyDescent="0.3">
      <c r="A47" s="16">
        <v>45</v>
      </c>
      <c r="B47" s="16" t="s">
        <v>789</v>
      </c>
      <c r="D47" s="25" t="s">
        <v>1490</v>
      </c>
      <c r="E47" s="25" t="s">
        <v>1490</v>
      </c>
      <c r="F47" s="25" t="s">
        <v>1490</v>
      </c>
      <c r="G47" s="25" t="s">
        <v>1490</v>
      </c>
      <c r="H47" s="25" t="s">
        <v>1490</v>
      </c>
      <c r="I47" s="25" t="s">
        <v>1490</v>
      </c>
      <c r="J47" s="25">
        <v>0.186965229168613</v>
      </c>
      <c r="L47" s="30" t="s">
        <v>1490</v>
      </c>
      <c r="M47" s="30" t="s">
        <v>1490</v>
      </c>
      <c r="N47" s="30" t="s">
        <v>1490</v>
      </c>
      <c r="O47" s="30" t="s">
        <v>1490</v>
      </c>
      <c r="P47" s="30" t="s">
        <v>1490</v>
      </c>
      <c r="Q47" s="30" t="s">
        <v>1490</v>
      </c>
      <c r="R47" s="30">
        <v>86</v>
      </c>
      <c r="S47" s="30"/>
      <c r="T47" s="25" t="s">
        <v>1490</v>
      </c>
      <c r="U47" s="25" t="s">
        <v>1490</v>
      </c>
      <c r="V47" s="25" t="s">
        <v>1490</v>
      </c>
      <c r="W47" s="25" t="s">
        <v>1490</v>
      </c>
      <c r="X47" s="25" t="s">
        <v>1490</v>
      </c>
      <c r="Y47" s="25" t="s">
        <v>1490</v>
      </c>
      <c r="Z47" s="25" t="s">
        <v>1490</v>
      </c>
      <c r="AB47" s="27" t="s">
        <v>1490</v>
      </c>
      <c r="AC47" s="27" t="s">
        <v>1490</v>
      </c>
      <c r="AD47" s="27" t="s">
        <v>1490</v>
      </c>
      <c r="AE47" s="27" t="s">
        <v>1490</v>
      </c>
      <c r="AF47" s="27" t="s">
        <v>1490</v>
      </c>
      <c r="AG47" s="27" t="s">
        <v>1490</v>
      </c>
      <c r="AI47" s="25">
        <v>-6.9474099054655597E-2</v>
      </c>
      <c r="AJ47" s="25">
        <v>7.0958904109588996</v>
      </c>
      <c r="AK47" s="25">
        <v>1.82191780821918</v>
      </c>
      <c r="AL47" s="25">
        <v>7.2054794520547896</v>
      </c>
      <c r="AM47" s="25">
        <v>1.79452054794521</v>
      </c>
      <c r="AN47" s="25">
        <v>7.10958904109589</v>
      </c>
      <c r="AO47" s="25">
        <v>1.8493150684931501</v>
      </c>
      <c r="AP47" s="25">
        <v>7.3698630136986303</v>
      </c>
      <c r="AQ47" s="25">
        <v>1.17808219178082</v>
      </c>
      <c r="AR47" s="25">
        <v>5.89041095890411</v>
      </c>
      <c r="AS47" s="25">
        <v>5.7945205479452104</v>
      </c>
      <c r="AT47" s="25">
        <v>2.2191780821917799</v>
      </c>
      <c r="AU47" s="25">
        <v>1.3287671232876701</v>
      </c>
      <c r="AW47" s="30">
        <v>0</v>
      </c>
      <c r="AX47" s="34">
        <v>8.7899999999999991</v>
      </c>
      <c r="AY47" s="14" t="s">
        <v>25</v>
      </c>
      <c r="AZ47" s="14">
        <v>1</v>
      </c>
    </row>
    <row r="48" spans="1:52" x14ac:dyDescent="0.3">
      <c r="A48" s="16">
        <v>46</v>
      </c>
      <c r="B48" s="16" t="s">
        <v>795</v>
      </c>
      <c r="D48" s="25" t="s">
        <v>1490</v>
      </c>
      <c r="E48" s="25" t="s">
        <v>1490</v>
      </c>
      <c r="F48" s="25" t="s">
        <v>1490</v>
      </c>
      <c r="G48" s="25" t="s">
        <v>1490</v>
      </c>
      <c r="H48" s="25" t="s">
        <v>1490</v>
      </c>
      <c r="I48" s="25" t="s">
        <v>1490</v>
      </c>
      <c r="J48" s="25">
        <v>2.6579209793976801</v>
      </c>
      <c r="L48" s="30" t="s">
        <v>1490</v>
      </c>
      <c r="M48" s="30" t="s">
        <v>1490</v>
      </c>
      <c r="N48" s="30" t="s">
        <v>1490</v>
      </c>
      <c r="O48" s="30" t="s">
        <v>1490</v>
      </c>
      <c r="P48" s="30" t="s">
        <v>1490</v>
      </c>
      <c r="Q48" s="30" t="s">
        <v>1490</v>
      </c>
      <c r="R48" s="30">
        <v>42</v>
      </c>
      <c r="S48" s="30"/>
      <c r="T48" s="25" t="s">
        <v>1490</v>
      </c>
      <c r="U48" s="25" t="s">
        <v>1490</v>
      </c>
      <c r="V48" s="25" t="s">
        <v>1490</v>
      </c>
      <c r="W48" s="25" t="s">
        <v>1490</v>
      </c>
      <c r="X48" s="25" t="s">
        <v>1490</v>
      </c>
      <c r="Y48" s="25" t="s">
        <v>1490</v>
      </c>
      <c r="Z48" s="25" t="s">
        <v>1490</v>
      </c>
      <c r="AB48" s="27" t="s">
        <v>1490</v>
      </c>
      <c r="AC48" s="27" t="s">
        <v>1490</v>
      </c>
      <c r="AD48" s="27" t="s">
        <v>1490</v>
      </c>
      <c r="AE48" s="27" t="s">
        <v>1490</v>
      </c>
      <c r="AF48" s="27" t="s">
        <v>1490</v>
      </c>
      <c r="AG48" s="27" t="s">
        <v>1490</v>
      </c>
      <c r="AI48" s="25">
        <v>0.52892805179830205</v>
      </c>
      <c r="AJ48" s="25">
        <v>7.8493150684931496</v>
      </c>
      <c r="AK48" s="25">
        <v>1.41095890410959</v>
      </c>
      <c r="AL48" s="25">
        <v>8.0410958904109595</v>
      </c>
      <c r="AM48" s="25">
        <v>1.4383561643835601</v>
      </c>
      <c r="AN48" s="25">
        <v>8.0136986301369895</v>
      </c>
      <c r="AO48" s="25">
        <v>1.45205479452055</v>
      </c>
      <c r="AP48" s="25">
        <v>7.3150684931506804</v>
      </c>
      <c r="AQ48" s="25">
        <v>0.94520547945205502</v>
      </c>
      <c r="AR48" s="25">
        <v>5.3561643835616399</v>
      </c>
      <c r="AS48" s="25">
        <v>5.4246575342465801</v>
      </c>
      <c r="AT48" s="25">
        <v>2.1643835616438398</v>
      </c>
      <c r="AU48" s="25">
        <v>0.80821917808219201</v>
      </c>
      <c r="AW48" s="30">
        <v>0</v>
      </c>
      <c r="AX48" s="34">
        <v>6.7</v>
      </c>
      <c r="AY48" s="14" t="s">
        <v>238</v>
      </c>
      <c r="AZ48" s="14">
        <v>0</v>
      </c>
    </row>
    <row r="49" spans="1:52" x14ac:dyDescent="0.3">
      <c r="A49" s="16">
        <v>47</v>
      </c>
      <c r="B49" s="16" t="s">
        <v>741</v>
      </c>
      <c r="D49" s="25" t="s">
        <v>1490</v>
      </c>
      <c r="E49" s="25" t="s">
        <v>1490</v>
      </c>
      <c r="F49" s="25" t="s">
        <v>1490</v>
      </c>
      <c r="G49" s="25" t="s">
        <v>1490</v>
      </c>
      <c r="H49" s="25" t="s">
        <v>1490</v>
      </c>
      <c r="I49" s="25" t="s">
        <v>1490</v>
      </c>
      <c r="J49" s="25">
        <v>0.35219166518857398</v>
      </c>
      <c r="L49" s="30" t="s">
        <v>1490</v>
      </c>
      <c r="M49" s="30" t="s">
        <v>1490</v>
      </c>
      <c r="N49" s="30" t="s">
        <v>1490</v>
      </c>
      <c r="O49" s="30" t="s">
        <v>1490</v>
      </c>
      <c r="P49" s="30" t="s">
        <v>1490</v>
      </c>
      <c r="Q49" s="30" t="s">
        <v>1490</v>
      </c>
      <c r="R49" s="30">
        <v>54</v>
      </c>
      <c r="S49" s="30"/>
      <c r="T49" s="25" t="s">
        <v>1490</v>
      </c>
      <c r="U49" s="25" t="s">
        <v>1490</v>
      </c>
      <c r="V49" s="25" t="s">
        <v>1490</v>
      </c>
      <c r="W49" s="25" t="s">
        <v>1490</v>
      </c>
      <c r="X49" s="25" t="s">
        <v>1490</v>
      </c>
      <c r="Y49" s="25" t="s">
        <v>1490</v>
      </c>
      <c r="Z49" s="25" t="s">
        <v>1490</v>
      </c>
      <c r="AB49" s="27" t="s">
        <v>1490</v>
      </c>
      <c r="AC49" s="27" t="s">
        <v>1490</v>
      </c>
      <c r="AD49" s="27" t="s">
        <v>1490</v>
      </c>
      <c r="AE49" s="27" t="s">
        <v>1490</v>
      </c>
      <c r="AF49" s="27" t="s">
        <v>1490</v>
      </c>
      <c r="AG49" s="27" t="s">
        <v>1490</v>
      </c>
      <c r="AI49" s="25">
        <v>0.62417922788339297</v>
      </c>
      <c r="AJ49" s="25">
        <v>8.1506849315068504</v>
      </c>
      <c r="AK49" s="25">
        <v>1.20547945205479</v>
      </c>
      <c r="AL49" s="25">
        <v>8.0547945205479508</v>
      </c>
      <c r="AM49" s="25">
        <v>1.47945205479452</v>
      </c>
      <c r="AN49" s="25">
        <v>7.9863013698630096</v>
      </c>
      <c r="AO49" s="25">
        <v>1.3972602739726001</v>
      </c>
      <c r="AP49" s="25">
        <v>8.0684931506849296</v>
      </c>
      <c r="AQ49" s="25">
        <v>0.84931506849315097</v>
      </c>
      <c r="AR49" s="25">
        <v>5.9178082191780801</v>
      </c>
      <c r="AS49" s="25">
        <v>6.3287671232876699</v>
      </c>
      <c r="AT49" s="25">
        <v>2.1506849315068499</v>
      </c>
      <c r="AU49" s="25">
        <v>0.89041095890411004</v>
      </c>
      <c r="AW49" s="30">
        <v>0</v>
      </c>
      <c r="AX49" s="34">
        <v>7.5</v>
      </c>
      <c r="AY49" s="14" t="s">
        <v>47</v>
      </c>
      <c r="AZ49" s="14">
        <v>1</v>
      </c>
    </row>
    <row r="50" spans="1:52" x14ac:dyDescent="0.3">
      <c r="A50" s="16">
        <v>48</v>
      </c>
      <c r="B50" s="16" t="s">
        <v>825</v>
      </c>
      <c r="D50" s="25" t="s">
        <v>1490</v>
      </c>
      <c r="E50" s="25" t="s">
        <v>1490</v>
      </c>
      <c r="F50" s="25" t="s">
        <v>1490</v>
      </c>
      <c r="G50" s="25" t="s">
        <v>1490</v>
      </c>
      <c r="H50" s="25" t="s">
        <v>1490</v>
      </c>
      <c r="I50" s="25" t="s">
        <v>1490</v>
      </c>
      <c r="J50" s="25">
        <v>1.5018519361691001</v>
      </c>
      <c r="L50" s="30" t="s">
        <v>1490</v>
      </c>
      <c r="M50" s="30" t="s">
        <v>1490</v>
      </c>
      <c r="N50" s="30" t="s">
        <v>1490</v>
      </c>
      <c r="O50" s="30" t="s">
        <v>1490</v>
      </c>
      <c r="P50" s="30" t="s">
        <v>1490</v>
      </c>
      <c r="Q50" s="30" t="s">
        <v>1490</v>
      </c>
      <c r="R50" s="30">
        <v>40</v>
      </c>
      <c r="S50" s="30"/>
      <c r="T50" s="25" t="s">
        <v>1490</v>
      </c>
      <c r="U50" s="25" t="s">
        <v>1490</v>
      </c>
      <c r="V50" s="25" t="s">
        <v>1490</v>
      </c>
      <c r="W50" s="25" t="s">
        <v>1490</v>
      </c>
      <c r="X50" s="25" t="s">
        <v>1490</v>
      </c>
      <c r="Y50" s="25" t="s">
        <v>1490</v>
      </c>
      <c r="Z50" s="25" t="s">
        <v>1490</v>
      </c>
      <c r="AB50" s="27" t="s">
        <v>1490</v>
      </c>
      <c r="AC50" s="27" t="s">
        <v>1490</v>
      </c>
      <c r="AD50" s="27" t="s">
        <v>1490</v>
      </c>
      <c r="AE50" s="27" t="s">
        <v>1490</v>
      </c>
      <c r="AF50" s="27" t="s">
        <v>1490</v>
      </c>
      <c r="AG50" s="27" t="s">
        <v>1490</v>
      </c>
      <c r="AI50" s="25">
        <v>0.71064986813104203</v>
      </c>
      <c r="AJ50" s="25">
        <v>8.2191780821917799</v>
      </c>
      <c r="AK50" s="25">
        <v>1.17808219178082</v>
      </c>
      <c r="AL50" s="25">
        <v>8.1506849315068504</v>
      </c>
      <c r="AM50" s="25">
        <v>1.3698630136986301</v>
      </c>
      <c r="AN50" s="25">
        <v>8.1780821917808204</v>
      </c>
      <c r="AO50" s="25">
        <v>1.3561643835616399</v>
      </c>
      <c r="AP50" s="25">
        <v>7.6301369863013697</v>
      </c>
      <c r="AQ50" s="25">
        <v>0.95890410958904104</v>
      </c>
      <c r="AR50" s="25">
        <v>6.1780821917808204</v>
      </c>
      <c r="AS50" s="25">
        <v>6.6027397260273997</v>
      </c>
      <c r="AT50" s="25">
        <v>1.7671232876712299</v>
      </c>
      <c r="AU50" s="25">
        <v>0.89041095890411004</v>
      </c>
      <c r="AW50" s="30">
        <v>0</v>
      </c>
      <c r="AX50" s="34">
        <v>5.43</v>
      </c>
      <c r="AY50" s="14" t="s">
        <v>1095</v>
      </c>
      <c r="AZ50" s="14">
        <v>1</v>
      </c>
    </row>
    <row r="51" spans="1:52" x14ac:dyDescent="0.3">
      <c r="A51" s="16">
        <v>49</v>
      </c>
      <c r="B51" s="16" t="s">
        <v>769</v>
      </c>
      <c r="D51" s="25" t="s">
        <v>1490</v>
      </c>
      <c r="E51" s="25" t="s">
        <v>1490</v>
      </c>
      <c r="F51" s="25" t="s">
        <v>1490</v>
      </c>
      <c r="G51" s="25" t="s">
        <v>1490</v>
      </c>
      <c r="H51" s="25" t="s">
        <v>1490</v>
      </c>
      <c r="I51" s="25" t="s">
        <v>1490</v>
      </c>
      <c r="J51" s="25">
        <v>0.53663651156137104</v>
      </c>
      <c r="L51" s="30" t="s">
        <v>1490</v>
      </c>
      <c r="M51" s="30" t="s">
        <v>1490</v>
      </c>
      <c r="N51" s="30" t="s">
        <v>1490</v>
      </c>
      <c r="O51" s="30" t="s">
        <v>1490</v>
      </c>
      <c r="P51" s="30" t="s">
        <v>1490</v>
      </c>
      <c r="Q51" s="30" t="s">
        <v>1490</v>
      </c>
      <c r="R51" s="30">
        <v>75</v>
      </c>
      <c r="S51" s="30"/>
      <c r="T51" s="25" t="s">
        <v>1490</v>
      </c>
      <c r="U51" s="25" t="s">
        <v>1490</v>
      </c>
      <c r="V51" s="25" t="s">
        <v>1490</v>
      </c>
      <c r="W51" s="25" t="s">
        <v>1490</v>
      </c>
      <c r="X51" s="25" t="s">
        <v>1490</v>
      </c>
      <c r="Y51" s="25" t="s">
        <v>1490</v>
      </c>
      <c r="Z51" s="25" t="s">
        <v>1490</v>
      </c>
      <c r="AB51" s="27" t="s">
        <v>1490</v>
      </c>
      <c r="AC51" s="27" t="s">
        <v>1490</v>
      </c>
      <c r="AD51" s="27" t="s">
        <v>1490</v>
      </c>
      <c r="AE51" s="27" t="s">
        <v>1490</v>
      </c>
      <c r="AF51" s="27" t="s">
        <v>1490</v>
      </c>
      <c r="AG51" s="27" t="s">
        <v>1490</v>
      </c>
      <c r="AI51" s="25">
        <v>-0.330882995215245</v>
      </c>
      <c r="AJ51" s="25">
        <v>7.1643835616438398</v>
      </c>
      <c r="AK51" s="25">
        <v>2.2739726027397298</v>
      </c>
      <c r="AL51" s="25">
        <v>7.3561643835616399</v>
      </c>
      <c r="AM51" s="25">
        <v>2.2739726027397298</v>
      </c>
      <c r="AN51" s="25">
        <v>7.4383561643835598</v>
      </c>
      <c r="AO51" s="25">
        <v>2.3424657534246598</v>
      </c>
      <c r="AP51" s="25">
        <v>6.7123287671232896</v>
      </c>
      <c r="AQ51" s="25">
        <v>1.5616438356164399</v>
      </c>
      <c r="AR51" s="25">
        <v>5.3835616438356197</v>
      </c>
      <c r="AS51" s="25">
        <v>4.5616438356164402</v>
      </c>
      <c r="AT51" s="25">
        <v>1.8493150684931501</v>
      </c>
      <c r="AU51" s="25">
        <v>1.31506849315068</v>
      </c>
      <c r="AW51" s="30">
        <v>0</v>
      </c>
      <c r="AX51" s="34">
        <v>8.4</v>
      </c>
      <c r="AY51" s="14" t="s">
        <v>255</v>
      </c>
      <c r="AZ51" s="14">
        <v>0</v>
      </c>
    </row>
    <row r="52" spans="1:52" x14ac:dyDescent="0.3">
      <c r="A52" s="16">
        <v>50</v>
      </c>
      <c r="B52" s="16" t="s">
        <v>761</v>
      </c>
      <c r="D52" s="25" t="s">
        <v>1490</v>
      </c>
      <c r="E52" s="25" t="s">
        <v>1490</v>
      </c>
      <c r="F52" s="25" t="s">
        <v>1490</v>
      </c>
      <c r="G52" s="25" t="s">
        <v>1490</v>
      </c>
      <c r="H52" s="25" t="s">
        <v>1490</v>
      </c>
      <c r="I52" s="25" t="s">
        <v>1490</v>
      </c>
      <c r="J52" s="25" t="s">
        <v>1490</v>
      </c>
      <c r="L52" s="30" t="s">
        <v>1490</v>
      </c>
      <c r="M52" s="30" t="s">
        <v>1490</v>
      </c>
      <c r="N52" s="30" t="s">
        <v>1490</v>
      </c>
      <c r="O52" s="30" t="s">
        <v>1490</v>
      </c>
      <c r="P52" s="30" t="s">
        <v>1490</v>
      </c>
      <c r="Q52" s="30" t="s">
        <v>1490</v>
      </c>
      <c r="R52" s="30" t="s">
        <v>1490</v>
      </c>
      <c r="S52" s="30"/>
      <c r="T52" s="25">
        <v>0.53342252329439599</v>
      </c>
      <c r="U52" s="25">
        <v>-0.44862622979959899</v>
      </c>
      <c r="V52" s="25">
        <v>1.1719977156599599</v>
      </c>
      <c r="W52" s="25" t="s">
        <v>1490</v>
      </c>
      <c r="X52" s="25" t="s">
        <v>1490</v>
      </c>
      <c r="Y52" s="25" t="s">
        <v>1490</v>
      </c>
      <c r="Z52" s="25" t="s">
        <v>1490</v>
      </c>
      <c r="AB52" s="27">
        <v>45</v>
      </c>
      <c r="AC52" s="27">
        <v>45</v>
      </c>
      <c r="AD52" s="27">
        <v>45</v>
      </c>
      <c r="AE52" s="27" t="s">
        <v>1490</v>
      </c>
      <c r="AF52" s="27" t="s">
        <v>1490</v>
      </c>
      <c r="AG52" s="27" t="s">
        <v>1490</v>
      </c>
      <c r="AI52" s="25">
        <v>-0.402823421095451</v>
      </c>
      <c r="AJ52" s="25">
        <v>6.9305555555555598</v>
      </c>
      <c r="AK52" s="25">
        <v>1.7916666666666701</v>
      </c>
      <c r="AL52" s="25">
        <v>6.9027777777777803</v>
      </c>
      <c r="AM52" s="25">
        <v>2.375</v>
      </c>
      <c r="AN52" s="25">
        <v>6.9027777777777803</v>
      </c>
      <c r="AO52" s="25">
        <v>2.4166666666666701</v>
      </c>
      <c r="AP52" s="25">
        <v>5.1666666666666696</v>
      </c>
      <c r="AQ52" s="25">
        <v>1.3611111111111101</v>
      </c>
      <c r="AR52" s="25">
        <v>4.8055555555555598</v>
      </c>
      <c r="AS52" s="25">
        <v>4.3888888888888902</v>
      </c>
      <c r="AT52" s="25">
        <v>1.6527777777777799</v>
      </c>
      <c r="AU52" s="25">
        <v>1.2083333333333299</v>
      </c>
      <c r="AW52" s="30">
        <v>0</v>
      </c>
      <c r="AX52" s="34">
        <v>4</v>
      </c>
      <c r="AY52" s="14" t="s">
        <v>41</v>
      </c>
      <c r="AZ52" s="14">
        <v>0</v>
      </c>
    </row>
    <row r="53" spans="1:52" x14ac:dyDescent="0.3">
      <c r="A53" s="16">
        <v>51</v>
      </c>
      <c r="B53" s="16" t="s">
        <v>765</v>
      </c>
      <c r="D53" s="25" t="s">
        <v>1490</v>
      </c>
      <c r="E53" s="25" t="s">
        <v>1490</v>
      </c>
      <c r="F53" s="25" t="s">
        <v>1490</v>
      </c>
      <c r="G53" s="25" t="s">
        <v>1490</v>
      </c>
      <c r="H53" s="25" t="s">
        <v>1490</v>
      </c>
      <c r="I53" s="25" t="s">
        <v>1490</v>
      </c>
      <c r="J53" s="25" t="s">
        <v>1490</v>
      </c>
      <c r="L53" s="30" t="s">
        <v>1490</v>
      </c>
      <c r="M53" s="30" t="s">
        <v>1490</v>
      </c>
      <c r="N53" s="30" t="s">
        <v>1490</v>
      </c>
      <c r="O53" s="30" t="s">
        <v>1490</v>
      </c>
      <c r="P53" s="30" t="s">
        <v>1490</v>
      </c>
      <c r="Q53" s="30" t="s">
        <v>1490</v>
      </c>
      <c r="R53" s="30" t="s">
        <v>1490</v>
      </c>
      <c r="S53" s="30"/>
      <c r="T53" s="25">
        <v>0.70874160878244696</v>
      </c>
      <c r="U53" s="25" t="s">
        <v>1490</v>
      </c>
      <c r="V53" s="25" t="s">
        <v>1490</v>
      </c>
      <c r="W53" s="25" t="s">
        <v>1490</v>
      </c>
      <c r="X53" s="25" t="s">
        <v>1490</v>
      </c>
      <c r="Y53" s="25">
        <v>0.63052828875546296</v>
      </c>
      <c r="Z53" s="25" t="s">
        <v>1490</v>
      </c>
      <c r="AB53" s="27">
        <v>60</v>
      </c>
      <c r="AC53" s="27" t="s">
        <v>1490</v>
      </c>
      <c r="AD53" s="27" t="s">
        <v>1490</v>
      </c>
      <c r="AE53" s="27" t="s">
        <v>1490</v>
      </c>
      <c r="AF53" s="27" t="s">
        <v>1490</v>
      </c>
      <c r="AG53" s="27">
        <v>60</v>
      </c>
      <c r="AI53" s="25">
        <v>1.05014591282236</v>
      </c>
      <c r="AJ53" s="25">
        <v>8.4383561643835598</v>
      </c>
      <c r="AK53" s="25">
        <v>0.931506849315068</v>
      </c>
      <c r="AL53" s="25">
        <v>8.5890410958904102</v>
      </c>
      <c r="AM53" s="25">
        <v>1.0547945205479501</v>
      </c>
      <c r="AN53" s="25">
        <v>8.6164383561643803</v>
      </c>
      <c r="AO53" s="25">
        <v>1.06849315068493</v>
      </c>
      <c r="AP53" s="25">
        <v>8.3013698630137007</v>
      </c>
      <c r="AQ53" s="25">
        <v>0.465753424657534</v>
      </c>
      <c r="AR53" s="25">
        <v>5.0547945205479499</v>
      </c>
      <c r="AS53" s="25">
        <v>5.8356164383561602</v>
      </c>
      <c r="AT53" s="25">
        <v>2.02739726027397</v>
      </c>
      <c r="AU53" s="25">
        <v>0.397260273972603</v>
      </c>
      <c r="AW53" s="30">
        <v>0</v>
      </c>
      <c r="AX53" s="34">
        <v>10.5</v>
      </c>
      <c r="AY53" s="14" t="s">
        <v>187</v>
      </c>
      <c r="AZ53" s="14">
        <v>0</v>
      </c>
    </row>
    <row r="54" spans="1:52" x14ac:dyDescent="0.3">
      <c r="A54" s="16">
        <v>52</v>
      </c>
      <c r="B54" s="16" t="s">
        <v>827</v>
      </c>
      <c r="D54" s="25" t="s">
        <v>1490</v>
      </c>
      <c r="E54" s="25" t="s">
        <v>1490</v>
      </c>
      <c r="F54" s="25" t="s">
        <v>1490</v>
      </c>
      <c r="G54" s="25" t="s">
        <v>1490</v>
      </c>
      <c r="H54" s="25" t="s">
        <v>1490</v>
      </c>
      <c r="I54" s="25" t="s">
        <v>1490</v>
      </c>
      <c r="J54" s="25" t="s">
        <v>1490</v>
      </c>
      <c r="L54" s="30" t="s">
        <v>1490</v>
      </c>
      <c r="M54" s="30" t="s">
        <v>1490</v>
      </c>
      <c r="N54" s="30" t="s">
        <v>1490</v>
      </c>
      <c r="O54" s="30" t="s">
        <v>1490</v>
      </c>
      <c r="P54" s="30" t="s">
        <v>1490</v>
      </c>
      <c r="Q54" s="30" t="s">
        <v>1490</v>
      </c>
      <c r="R54" s="30" t="s">
        <v>1490</v>
      </c>
      <c r="S54" s="30"/>
      <c r="T54" s="25" t="s">
        <v>1490</v>
      </c>
      <c r="U54" s="25">
        <v>1.2086612681042099</v>
      </c>
      <c r="V54" s="25" t="s">
        <v>1490</v>
      </c>
      <c r="W54" s="25" t="s">
        <v>1490</v>
      </c>
      <c r="X54" s="25" t="s">
        <v>1490</v>
      </c>
      <c r="Y54" s="25" t="s">
        <v>1490</v>
      </c>
      <c r="Z54" s="25" t="s">
        <v>1490</v>
      </c>
      <c r="AB54" s="27" t="s">
        <v>1490</v>
      </c>
      <c r="AC54" s="27">
        <v>17</v>
      </c>
      <c r="AD54" s="27" t="s">
        <v>1490</v>
      </c>
      <c r="AE54" s="27" t="s">
        <v>1490</v>
      </c>
      <c r="AF54" s="27" t="s">
        <v>1490</v>
      </c>
      <c r="AG54" s="27" t="s">
        <v>1490</v>
      </c>
      <c r="AI54" s="25">
        <v>0.62070817282205204</v>
      </c>
      <c r="AJ54" s="25">
        <v>7.9315068493150704</v>
      </c>
      <c r="AK54" s="25">
        <v>1.2602739726027401</v>
      </c>
      <c r="AL54" s="25">
        <v>8.0547945205479508</v>
      </c>
      <c r="AM54" s="25">
        <v>1.3561643835616399</v>
      </c>
      <c r="AN54" s="25">
        <v>8.0410958904109595</v>
      </c>
      <c r="AO54" s="25">
        <v>1.3698630136986301</v>
      </c>
      <c r="AP54" s="25">
        <v>7.1643835616438398</v>
      </c>
      <c r="AQ54" s="25">
        <v>0.82191780821917804</v>
      </c>
      <c r="AR54" s="25">
        <v>5.6986301369863002</v>
      </c>
      <c r="AS54" s="25">
        <v>5.75342465753425</v>
      </c>
      <c r="AT54" s="25">
        <v>1.9863013698630101</v>
      </c>
      <c r="AU54" s="25">
        <v>0.89041095890411004</v>
      </c>
      <c r="AW54" s="30">
        <v>1</v>
      </c>
      <c r="AX54" s="34">
        <v>4.5</v>
      </c>
      <c r="AY54" s="14" t="s">
        <v>68</v>
      </c>
      <c r="AZ54" s="14">
        <v>0</v>
      </c>
    </row>
    <row r="55" spans="1:52" x14ac:dyDescent="0.3">
      <c r="A55" s="16">
        <v>53</v>
      </c>
      <c r="B55" s="18" t="s">
        <v>808</v>
      </c>
      <c r="D55" s="25" t="s">
        <v>1490</v>
      </c>
      <c r="E55" s="25" t="s">
        <v>1490</v>
      </c>
      <c r="F55" s="25" t="s">
        <v>1490</v>
      </c>
      <c r="G55" s="25" t="s">
        <v>1490</v>
      </c>
      <c r="H55" s="25" t="s">
        <v>1490</v>
      </c>
      <c r="I55" s="25" t="s">
        <v>1490</v>
      </c>
      <c r="J55" s="25">
        <v>1.39839523168291</v>
      </c>
      <c r="L55" s="30" t="s">
        <v>1490</v>
      </c>
      <c r="M55" s="30" t="s">
        <v>1490</v>
      </c>
      <c r="N55" s="30" t="s">
        <v>1490</v>
      </c>
      <c r="O55" s="30" t="s">
        <v>1490</v>
      </c>
      <c r="P55" s="30" t="s">
        <v>1490</v>
      </c>
      <c r="Q55" s="30" t="s">
        <v>1490</v>
      </c>
      <c r="R55" s="30">
        <v>77</v>
      </c>
      <c r="S55" s="30"/>
      <c r="T55" s="25" t="s">
        <v>1490</v>
      </c>
      <c r="U55" s="25" t="s">
        <v>1490</v>
      </c>
      <c r="V55" s="25" t="s">
        <v>1490</v>
      </c>
      <c r="W55" s="25" t="s">
        <v>1490</v>
      </c>
      <c r="X55" s="25" t="s">
        <v>1490</v>
      </c>
      <c r="Y55" s="25" t="s">
        <v>1490</v>
      </c>
      <c r="Z55" s="25" t="s">
        <v>1490</v>
      </c>
      <c r="AB55" s="27" t="s">
        <v>1490</v>
      </c>
      <c r="AC55" s="27" t="s">
        <v>1490</v>
      </c>
      <c r="AD55" s="27" t="s">
        <v>1490</v>
      </c>
      <c r="AE55" s="27" t="s">
        <v>1490</v>
      </c>
      <c r="AF55" s="27" t="s">
        <v>1490</v>
      </c>
      <c r="AG55" s="27" t="s">
        <v>1490</v>
      </c>
      <c r="AI55" s="25">
        <v>-0.154194630149532</v>
      </c>
      <c r="AJ55" s="25">
        <v>6.9041095890411004</v>
      </c>
      <c r="AK55" s="25">
        <v>1.9041095890410999</v>
      </c>
      <c r="AL55" s="25">
        <v>7.4246575342465801</v>
      </c>
      <c r="AM55" s="25">
        <v>2.0136986301369899</v>
      </c>
      <c r="AN55" s="25">
        <v>7.3013698630136998</v>
      </c>
      <c r="AO55" s="25">
        <v>2.04109589041096</v>
      </c>
      <c r="AP55" s="25">
        <v>7.4383561643835598</v>
      </c>
      <c r="AQ55" s="25">
        <v>1.2602739726027401</v>
      </c>
      <c r="AR55" s="25">
        <v>6.2739726027397298</v>
      </c>
      <c r="AS55" s="25">
        <v>6.0136986301369904</v>
      </c>
      <c r="AT55" s="25">
        <v>2.3835616438356202</v>
      </c>
      <c r="AU55" s="25">
        <v>1.31506849315068</v>
      </c>
      <c r="AW55" s="30">
        <v>0</v>
      </c>
      <c r="AX55" s="34">
        <v>8.3324675324675308</v>
      </c>
      <c r="AY55" s="14" t="s">
        <v>25</v>
      </c>
      <c r="AZ55" s="14">
        <v>1</v>
      </c>
    </row>
    <row r="56" spans="1:52" x14ac:dyDescent="0.3">
      <c r="A56" s="16">
        <v>54</v>
      </c>
      <c r="B56" s="16" t="s">
        <v>835</v>
      </c>
      <c r="D56" s="25" t="s">
        <v>1490</v>
      </c>
      <c r="E56" s="25" t="s">
        <v>1490</v>
      </c>
      <c r="F56" s="25" t="s">
        <v>1490</v>
      </c>
      <c r="G56" s="25" t="s">
        <v>1490</v>
      </c>
      <c r="H56" s="25" t="s">
        <v>1490</v>
      </c>
      <c r="I56" s="25" t="s">
        <v>1490</v>
      </c>
      <c r="J56" s="25" t="s">
        <v>1490</v>
      </c>
      <c r="L56" s="30" t="s">
        <v>1490</v>
      </c>
      <c r="M56" s="30" t="s">
        <v>1490</v>
      </c>
      <c r="N56" s="30" t="s">
        <v>1490</v>
      </c>
      <c r="O56" s="30" t="s">
        <v>1490</v>
      </c>
      <c r="P56" s="30" t="s">
        <v>1490</v>
      </c>
      <c r="Q56" s="30" t="s">
        <v>1490</v>
      </c>
      <c r="R56" s="30" t="s">
        <v>1490</v>
      </c>
      <c r="S56" s="30"/>
      <c r="T56" s="25" t="s">
        <v>1490</v>
      </c>
      <c r="U56" s="25">
        <v>0</v>
      </c>
      <c r="V56" s="25" t="s">
        <v>1490</v>
      </c>
      <c r="W56" s="25">
        <v>-0.32711026009254801</v>
      </c>
      <c r="X56" s="25" t="s">
        <v>1490</v>
      </c>
      <c r="Y56" s="25" t="s">
        <v>1490</v>
      </c>
      <c r="Z56" s="25" t="s">
        <v>1490</v>
      </c>
      <c r="AB56" s="27" t="s">
        <v>1490</v>
      </c>
      <c r="AC56" s="27">
        <v>24</v>
      </c>
      <c r="AD56" s="27" t="s">
        <v>1490</v>
      </c>
      <c r="AE56" s="27">
        <v>24</v>
      </c>
      <c r="AF56" s="27" t="s">
        <v>1490</v>
      </c>
      <c r="AG56" s="27" t="s">
        <v>1490</v>
      </c>
      <c r="AI56" s="25">
        <v>0.43374838635680502</v>
      </c>
      <c r="AJ56" s="25">
        <v>8.1506849315068504</v>
      </c>
      <c r="AK56" s="25">
        <v>1.5616438356164399</v>
      </c>
      <c r="AL56" s="25">
        <v>7.9863013698630096</v>
      </c>
      <c r="AM56" s="25">
        <v>1.61643835616438</v>
      </c>
      <c r="AN56" s="25">
        <v>7.9315068493150704</v>
      </c>
      <c r="AO56" s="25">
        <v>1.6301369863013699</v>
      </c>
      <c r="AP56" s="25">
        <v>7.2739726027397298</v>
      </c>
      <c r="AQ56" s="25">
        <v>1.10958904109589</v>
      </c>
      <c r="AR56" s="25">
        <v>5.6438356164383601</v>
      </c>
      <c r="AS56" s="25">
        <v>6.1643835616438398</v>
      </c>
      <c r="AT56" s="25">
        <v>1.8082191780821899</v>
      </c>
      <c r="AU56" s="25">
        <v>1.1506849315068499</v>
      </c>
      <c r="AW56" s="30">
        <v>0</v>
      </c>
      <c r="AX56" s="34">
        <v>8.5</v>
      </c>
      <c r="AY56" s="14" t="s">
        <v>62</v>
      </c>
      <c r="AZ56" s="14">
        <v>0</v>
      </c>
    </row>
    <row r="57" spans="1:52" x14ac:dyDescent="0.3">
      <c r="A57" s="16">
        <v>55</v>
      </c>
      <c r="B57" s="16" t="s">
        <v>788</v>
      </c>
      <c r="D57" s="25" t="s">
        <v>1490</v>
      </c>
      <c r="E57" s="25" t="s">
        <v>1490</v>
      </c>
      <c r="F57" s="25" t="s">
        <v>1490</v>
      </c>
      <c r="G57" s="25" t="s">
        <v>1490</v>
      </c>
      <c r="H57" s="25" t="s">
        <v>1490</v>
      </c>
      <c r="I57" s="25" t="s">
        <v>1490</v>
      </c>
      <c r="J57" s="25">
        <v>6.61404195826511E-2</v>
      </c>
      <c r="L57" s="30" t="s">
        <v>1490</v>
      </c>
      <c r="M57" s="30" t="s">
        <v>1490</v>
      </c>
      <c r="N57" s="30" t="s">
        <v>1490</v>
      </c>
      <c r="O57" s="30" t="s">
        <v>1490</v>
      </c>
      <c r="P57" s="30" t="s">
        <v>1490</v>
      </c>
      <c r="Q57" s="30" t="s">
        <v>1490</v>
      </c>
      <c r="R57" s="30">
        <v>97</v>
      </c>
      <c r="S57" s="30"/>
      <c r="T57" s="25" t="s">
        <v>1490</v>
      </c>
      <c r="U57" s="25" t="s">
        <v>1490</v>
      </c>
      <c r="V57" s="25" t="s">
        <v>1490</v>
      </c>
      <c r="W57" s="25" t="s">
        <v>1490</v>
      </c>
      <c r="X57" s="25" t="s">
        <v>1490</v>
      </c>
      <c r="Y57" s="25" t="s">
        <v>1490</v>
      </c>
      <c r="Z57" s="25" t="s">
        <v>1490</v>
      </c>
      <c r="AB57" s="27" t="s">
        <v>1490</v>
      </c>
      <c r="AC57" s="27" t="s">
        <v>1490</v>
      </c>
      <c r="AD57" s="27" t="s">
        <v>1490</v>
      </c>
      <c r="AE57" s="27" t="s">
        <v>1490</v>
      </c>
      <c r="AF57" s="27" t="s">
        <v>1490</v>
      </c>
      <c r="AG57" s="27" t="s">
        <v>1490</v>
      </c>
      <c r="AI57" s="25">
        <v>-1.9149691315648401</v>
      </c>
      <c r="AJ57" s="25">
        <v>4.9178082191780801</v>
      </c>
      <c r="AK57" s="25">
        <v>2.6575342465753402</v>
      </c>
      <c r="AL57" s="25">
        <v>4.3150684931506804</v>
      </c>
      <c r="AM57" s="25">
        <v>3.10958904109589</v>
      </c>
      <c r="AN57" s="25">
        <v>4.3013698630136998</v>
      </c>
      <c r="AO57" s="25">
        <v>3.2602739726027399</v>
      </c>
      <c r="AP57" s="25">
        <v>5.75342465753425</v>
      </c>
      <c r="AQ57" s="25">
        <v>1.1506849315068499</v>
      </c>
      <c r="AR57" s="25">
        <v>5.8356164383561602</v>
      </c>
      <c r="AS57" s="25">
        <v>4.7123287671232896</v>
      </c>
      <c r="AT57" s="25">
        <v>2.17808219178082</v>
      </c>
      <c r="AU57" s="25">
        <v>1.45205479452055</v>
      </c>
      <c r="AW57" s="30">
        <v>0</v>
      </c>
      <c r="AX57" s="34">
        <v>10</v>
      </c>
      <c r="AY57" s="14" t="s">
        <v>68</v>
      </c>
      <c r="AZ57" s="14">
        <v>0</v>
      </c>
    </row>
    <row r="58" spans="1:52" x14ac:dyDescent="0.3">
      <c r="A58" s="16">
        <v>56</v>
      </c>
      <c r="B58" s="16" t="s">
        <v>576</v>
      </c>
      <c r="D58" s="25" t="s">
        <v>1490</v>
      </c>
      <c r="E58" s="25" t="s">
        <v>1490</v>
      </c>
      <c r="F58" s="25" t="s">
        <v>1490</v>
      </c>
      <c r="G58" s="25" t="s">
        <v>1490</v>
      </c>
      <c r="H58" s="25" t="s">
        <v>1490</v>
      </c>
      <c r="I58" s="25" t="s">
        <v>1490</v>
      </c>
      <c r="J58" s="25">
        <v>0.67912559478299195</v>
      </c>
      <c r="L58" s="30" t="s">
        <v>1490</v>
      </c>
      <c r="M58" s="30" t="s">
        <v>1490</v>
      </c>
      <c r="N58" s="30" t="s">
        <v>1490</v>
      </c>
      <c r="O58" s="30" t="s">
        <v>1490</v>
      </c>
      <c r="P58" s="30" t="s">
        <v>1490</v>
      </c>
      <c r="Q58" s="30" t="s">
        <v>1490</v>
      </c>
      <c r="R58" s="30">
        <v>67</v>
      </c>
      <c r="S58" s="30"/>
      <c r="T58" s="25" t="s">
        <v>1490</v>
      </c>
      <c r="U58" s="25" t="s">
        <v>1490</v>
      </c>
      <c r="V58" s="25" t="s">
        <v>1490</v>
      </c>
      <c r="W58" s="25" t="s">
        <v>1490</v>
      </c>
      <c r="X58" s="25" t="s">
        <v>1490</v>
      </c>
      <c r="Y58" s="25" t="s">
        <v>1490</v>
      </c>
      <c r="Z58" s="25" t="s">
        <v>1490</v>
      </c>
      <c r="AB58" s="27" t="s">
        <v>1490</v>
      </c>
      <c r="AC58" s="27" t="s">
        <v>1490</v>
      </c>
      <c r="AD58" s="27" t="s">
        <v>1490</v>
      </c>
      <c r="AE58" s="27" t="s">
        <v>1490</v>
      </c>
      <c r="AF58" s="27" t="s">
        <v>1490</v>
      </c>
      <c r="AG58" s="27" t="s">
        <v>1490</v>
      </c>
      <c r="AI58" s="25">
        <v>0.20522424604477499</v>
      </c>
      <c r="AJ58" s="25">
        <v>7.6438356164383601</v>
      </c>
      <c r="AK58" s="25">
        <v>1.47945205479452</v>
      </c>
      <c r="AL58" s="25">
        <v>7.6027397260273997</v>
      </c>
      <c r="AM58" s="25">
        <v>1.82191780821918</v>
      </c>
      <c r="AN58" s="25">
        <v>7.6301369863013697</v>
      </c>
      <c r="AO58" s="25">
        <v>1.8493150684931501</v>
      </c>
      <c r="AP58" s="25">
        <v>6.4794520547945202</v>
      </c>
      <c r="AQ58" s="25">
        <v>1.20547945205479</v>
      </c>
      <c r="AR58" s="25">
        <v>5.6575342465753398</v>
      </c>
      <c r="AS58" s="25">
        <v>5.5753424657534199</v>
      </c>
      <c r="AT58" s="25">
        <v>2.04109589041096</v>
      </c>
      <c r="AU58" s="25">
        <v>1.10958904109589</v>
      </c>
      <c r="AW58" s="30">
        <v>0</v>
      </c>
      <c r="AX58" s="34">
        <v>9</v>
      </c>
      <c r="AY58" s="14" t="s">
        <v>227</v>
      </c>
      <c r="AZ58" s="14">
        <v>0</v>
      </c>
    </row>
    <row r="59" spans="1:52" x14ac:dyDescent="0.3">
      <c r="A59" s="16">
        <v>57</v>
      </c>
      <c r="B59" s="16" t="s">
        <v>792</v>
      </c>
      <c r="D59" s="25" t="s">
        <v>1490</v>
      </c>
      <c r="E59" s="25" t="s">
        <v>1490</v>
      </c>
      <c r="F59" s="25" t="s">
        <v>1490</v>
      </c>
      <c r="G59" s="25" t="s">
        <v>1490</v>
      </c>
      <c r="H59" s="25" t="s">
        <v>1490</v>
      </c>
      <c r="I59" s="25" t="s">
        <v>1490</v>
      </c>
      <c r="J59" s="25">
        <v>0.457475576898275</v>
      </c>
      <c r="L59" s="30" t="s">
        <v>1490</v>
      </c>
      <c r="M59" s="30" t="s">
        <v>1490</v>
      </c>
      <c r="N59" s="30" t="s">
        <v>1490</v>
      </c>
      <c r="O59" s="30" t="s">
        <v>1490</v>
      </c>
      <c r="P59" s="30" t="s">
        <v>1490</v>
      </c>
      <c r="Q59" s="30" t="s">
        <v>1490</v>
      </c>
      <c r="R59" s="30">
        <v>42</v>
      </c>
      <c r="S59" s="30"/>
      <c r="T59" s="25" t="s">
        <v>1490</v>
      </c>
      <c r="U59" s="25" t="s">
        <v>1490</v>
      </c>
      <c r="V59" s="25" t="s">
        <v>1490</v>
      </c>
      <c r="W59" s="25" t="s">
        <v>1490</v>
      </c>
      <c r="X59" s="25" t="s">
        <v>1490</v>
      </c>
      <c r="Y59" s="25" t="s">
        <v>1490</v>
      </c>
      <c r="Z59" s="25" t="s">
        <v>1490</v>
      </c>
      <c r="AB59" s="27" t="s">
        <v>1490</v>
      </c>
      <c r="AC59" s="27" t="s">
        <v>1490</v>
      </c>
      <c r="AD59" s="27" t="s">
        <v>1490</v>
      </c>
      <c r="AE59" s="27" t="s">
        <v>1490</v>
      </c>
      <c r="AF59" s="27" t="s">
        <v>1490</v>
      </c>
      <c r="AG59" s="27" t="s">
        <v>1490</v>
      </c>
      <c r="AI59" s="25">
        <v>-0.89066777023794597</v>
      </c>
      <c r="AJ59" s="25">
        <v>5</v>
      </c>
      <c r="AK59" s="25">
        <v>1.6301369863013699</v>
      </c>
      <c r="AL59" s="25">
        <v>5</v>
      </c>
      <c r="AM59" s="25">
        <v>1.97260273972603</v>
      </c>
      <c r="AN59" s="25">
        <v>5.0821917808219199</v>
      </c>
      <c r="AO59" s="25">
        <v>1.8767123287671199</v>
      </c>
      <c r="AP59" s="25">
        <v>4.6849315068493196</v>
      </c>
      <c r="AQ59" s="25">
        <v>1.2191780821917799</v>
      </c>
      <c r="AR59" s="25">
        <v>3.17808219178082</v>
      </c>
      <c r="AS59" s="25">
        <v>3.2876712328767099</v>
      </c>
      <c r="AT59" s="25">
        <v>2.5479452054794498</v>
      </c>
      <c r="AU59" s="25">
        <v>1.34246575342466</v>
      </c>
      <c r="AW59" s="30">
        <v>0</v>
      </c>
      <c r="AX59" s="34">
        <v>7</v>
      </c>
      <c r="AY59" s="14" t="s">
        <v>31</v>
      </c>
      <c r="AZ59" s="14">
        <v>1</v>
      </c>
    </row>
    <row r="60" spans="1:52" x14ac:dyDescent="0.3">
      <c r="A60" s="16">
        <v>58</v>
      </c>
      <c r="B60" s="16" t="s">
        <v>577</v>
      </c>
      <c r="D60" s="25" t="s">
        <v>1490</v>
      </c>
      <c r="E60" s="25" t="s">
        <v>1490</v>
      </c>
      <c r="F60" s="25" t="s">
        <v>1490</v>
      </c>
      <c r="G60" s="25" t="s">
        <v>1490</v>
      </c>
      <c r="H60" s="25" t="s">
        <v>1490</v>
      </c>
      <c r="I60" s="25" t="s">
        <v>1490</v>
      </c>
      <c r="J60" s="25">
        <v>0.52493438320209995</v>
      </c>
      <c r="L60" s="30" t="s">
        <v>1490</v>
      </c>
      <c r="M60" s="30" t="s">
        <v>1490</v>
      </c>
      <c r="N60" s="30" t="s">
        <v>1490</v>
      </c>
      <c r="O60" s="30" t="s">
        <v>1490</v>
      </c>
      <c r="P60" s="30" t="s">
        <v>1490</v>
      </c>
      <c r="Q60" s="30" t="s">
        <v>1490</v>
      </c>
      <c r="R60" s="30">
        <v>36</v>
      </c>
      <c r="S60" s="30"/>
      <c r="T60" s="25" t="s">
        <v>1490</v>
      </c>
      <c r="U60" s="25" t="s">
        <v>1490</v>
      </c>
      <c r="V60" s="25" t="s">
        <v>1490</v>
      </c>
      <c r="W60" s="25" t="s">
        <v>1490</v>
      </c>
      <c r="X60" s="25" t="s">
        <v>1490</v>
      </c>
      <c r="Y60" s="25" t="s">
        <v>1490</v>
      </c>
      <c r="Z60" s="25" t="s">
        <v>1490</v>
      </c>
      <c r="AB60" s="27" t="s">
        <v>1490</v>
      </c>
      <c r="AC60" s="27" t="s">
        <v>1490</v>
      </c>
      <c r="AD60" s="27" t="s">
        <v>1490</v>
      </c>
      <c r="AE60" s="27" t="s">
        <v>1490</v>
      </c>
      <c r="AF60" s="27" t="s">
        <v>1490</v>
      </c>
      <c r="AG60" s="27" t="s">
        <v>1490</v>
      </c>
      <c r="AI60" s="25">
        <v>0.76586797555139396</v>
      </c>
      <c r="AJ60" s="25">
        <v>8.1369863013698591</v>
      </c>
      <c r="AK60" s="25">
        <v>1.10958904109589</v>
      </c>
      <c r="AL60" s="25">
        <v>8.1643835616438398</v>
      </c>
      <c r="AM60" s="25">
        <v>1.2602739726027401</v>
      </c>
      <c r="AN60" s="25">
        <v>8.1643835616438398</v>
      </c>
      <c r="AO60" s="25">
        <v>1.24657534246575</v>
      </c>
      <c r="AP60" s="25">
        <v>7.75342465753425</v>
      </c>
      <c r="AQ60" s="25">
        <v>0.90410958904109595</v>
      </c>
      <c r="AR60" s="25">
        <v>5.7671232876712297</v>
      </c>
      <c r="AS60" s="25">
        <v>6.5068493150684903</v>
      </c>
      <c r="AT60" s="25">
        <v>2.0547945205479499</v>
      </c>
      <c r="AU60" s="25">
        <v>0.89041095890411004</v>
      </c>
      <c r="AW60" s="30">
        <v>0</v>
      </c>
      <c r="AX60" s="34">
        <v>6.7233333333333301</v>
      </c>
      <c r="AY60" s="14" t="s">
        <v>41</v>
      </c>
      <c r="AZ60" s="14">
        <v>0</v>
      </c>
    </row>
    <row r="61" spans="1:52" x14ac:dyDescent="0.3">
      <c r="A61" s="16">
        <v>59</v>
      </c>
      <c r="B61" s="16" t="s">
        <v>740</v>
      </c>
      <c r="D61" s="25" t="s">
        <v>1490</v>
      </c>
      <c r="E61" s="25" t="s">
        <v>1490</v>
      </c>
      <c r="F61" s="25" t="s">
        <v>1490</v>
      </c>
      <c r="G61" s="25" t="s">
        <v>1490</v>
      </c>
      <c r="H61" s="25" t="s">
        <v>1490</v>
      </c>
      <c r="I61" s="25" t="s">
        <v>1490</v>
      </c>
      <c r="J61" s="25" t="s">
        <v>1490</v>
      </c>
      <c r="L61" s="30" t="s">
        <v>1490</v>
      </c>
      <c r="M61" s="30" t="s">
        <v>1490</v>
      </c>
      <c r="N61" s="30" t="s">
        <v>1490</v>
      </c>
      <c r="O61" s="30" t="s">
        <v>1490</v>
      </c>
      <c r="P61" s="30" t="s">
        <v>1490</v>
      </c>
      <c r="Q61" s="30" t="s">
        <v>1490</v>
      </c>
      <c r="R61" s="30" t="s">
        <v>1490</v>
      </c>
      <c r="S61" s="30"/>
      <c r="T61" s="25" t="s">
        <v>1490</v>
      </c>
      <c r="U61" s="25">
        <v>-0.28907511142806203</v>
      </c>
      <c r="V61" s="25" t="s">
        <v>1490</v>
      </c>
      <c r="W61" s="25" t="s">
        <v>1490</v>
      </c>
      <c r="X61" s="25" t="s">
        <v>1490</v>
      </c>
      <c r="Y61" s="25" t="s">
        <v>1490</v>
      </c>
      <c r="Z61" s="25" t="s">
        <v>1490</v>
      </c>
      <c r="AB61" s="27" t="s">
        <v>1490</v>
      </c>
      <c r="AC61" s="27">
        <v>36</v>
      </c>
      <c r="AD61" s="27" t="s">
        <v>1490</v>
      </c>
      <c r="AE61" s="27" t="s">
        <v>1490</v>
      </c>
      <c r="AF61" s="27" t="s">
        <v>1490</v>
      </c>
      <c r="AG61" s="27" t="s">
        <v>1490</v>
      </c>
      <c r="AI61" s="25">
        <v>-1.7715714128271201</v>
      </c>
      <c r="AJ61" s="25">
        <v>5.9041095890411004</v>
      </c>
      <c r="AK61" s="25">
        <v>3.0547945205479499</v>
      </c>
      <c r="AL61" s="25">
        <v>5.3698630136986303</v>
      </c>
      <c r="AM61" s="25">
        <v>3.5616438356164402</v>
      </c>
      <c r="AN61" s="25">
        <v>5.4246575342465801</v>
      </c>
      <c r="AO61" s="25">
        <v>3.5616438356164402</v>
      </c>
      <c r="AP61" s="25">
        <v>6.4520547945205502</v>
      </c>
      <c r="AQ61" s="25">
        <v>1.20547945205479</v>
      </c>
      <c r="AR61" s="25">
        <v>5.5753424657534199</v>
      </c>
      <c r="AS61" s="25">
        <v>5.3972602739726003</v>
      </c>
      <c r="AT61" s="25">
        <v>3.3287671232876699</v>
      </c>
      <c r="AU61" s="25">
        <v>1.8082191780821899</v>
      </c>
      <c r="AW61" s="30">
        <v>1</v>
      </c>
      <c r="AX61" s="34">
        <v>20.024999999999999</v>
      </c>
      <c r="AY61" s="14" t="s">
        <v>288</v>
      </c>
      <c r="AZ61" s="14">
        <v>1</v>
      </c>
    </row>
    <row r="62" spans="1:52" x14ac:dyDescent="0.3">
      <c r="A62" s="16">
        <v>60</v>
      </c>
      <c r="B62" s="18" t="s">
        <v>830</v>
      </c>
      <c r="D62" s="25" t="s">
        <v>1490</v>
      </c>
      <c r="E62" s="25" t="s">
        <v>1490</v>
      </c>
      <c r="F62" s="25" t="s">
        <v>1490</v>
      </c>
      <c r="G62" s="25" t="s">
        <v>1490</v>
      </c>
      <c r="H62" s="25" t="s">
        <v>1490</v>
      </c>
      <c r="I62" s="25" t="s">
        <v>1490</v>
      </c>
      <c r="J62" s="25" t="s">
        <v>1490</v>
      </c>
      <c r="L62" s="30" t="s">
        <v>1490</v>
      </c>
      <c r="M62" s="30" t="s">
        <v>1490</v>
      </c>
      <c r="N62" s="30" t="s">
        <v>1490</v>
      </c>
      <c r="O62" s="30" t="s">
        <v>1490</v>
      </c>
      <c r="P62" s="30" t="s">
        <v>1490</v>
      </c>
      <c r="Q62" s="30" t="s">
        <v>1490</v>
      </c>
      <c r="R62" s="30" t="s">
        <v>1490</v>
      </c>
      <c r="S62" s="30"/>
      <c r="T62" s="25" t="s">
        <v>1490</v>
      </c>
      <c r="U62" s="25">
        <v>9.3149449220098102E-2</v>
      </c>
      <c r="V62" s="25" t="s">
        <v>1490</v>
      </c>
      <c r="W62" s="25" t="s">
        <v>1490</v>
      </c>
      <c r="X62" s="25" t="s">
        <v>1490</v>
      </c>
      <c r="Y62" s="25">
        <v>-0.15952546884943</v>
      </c>
      <c r="Z62" s="25" t="s">
        <v>1490</v>
      </c>
      <c r="AB62" s="27" t="s">
        <v>1490</v>
      </c>
      <c r="AC62" s="27">
        <v>44</v>
      </c>
      <c r="AD62" s="27" t="s">
        <v>1490</v>
      </c>
      <c r="AE62" s="27" t="s">
        <v>1490</v>
      </c>
      <c r="AF62" s="27" t="s">
        <v>1490</v>
      </c>
      <c r="AG62" s="27">
        <v>46</v>
      </c>
      <c r="AI62" s="25">
        <v>-3.4893458145880101</v>
      </c>
      <c r="AJ62" s="25">
        <v>2.9466666666666699</v>
      </c>
      <c r="AK62" s="25">
        <v>3.8</v>
      </c>
      <c r="AL62" s="25">
        <v>3.10666666666667</v>
      </c>
      <c r="AM62" s="25">
        <v>4.9066666666666698</v>
      </c>
      <c r="AN62" s="25">
        <v>3.1733333333333298</v>
      </c>
      <c r="AO62" s="25">
        <v>4.6933333333333298</v>
      </c>
      <c r="AP62" s="25">
        <v>3.8533333333333299</v>
      </c>
      <c r="AQ62" s="25">
        <v>1.62666666666667</v>
      </c>
      <c r="AR62" s="25">
        <v>5.7733333333333299</v>
      </c>
      <c r="AS62" s="25">
        <v>4.5466666666666704</v>
      </c>
      <c r="AT62" s="25">
        <v>1.88</v>
      </c>
      <c r="AU62" s="25">
        <v>1.56</v>
      </c>
      <c r="AW62" s="30">
        <v>1</v>
      </c>
      <c r="AX62" s="34">
        <v>5.6370771144278597</v>
      </c>
      <c r="AY62" s="14" t="s">
        <v>25</v>
      </c>
      <c r="AZ62" s="14">
        <v>1</v>
      </c>
    </row>
    <row r="63" spans="1:52" x14ac:dyDescent="0.3">
      <c r="A63" s="16">
        <v>61</v>
      </c>
      <c r="B63" s="16" t="s">
        <v>791</v>
      </c>
      <c r="D63" s="25" t="s">
        <v>1490</v>
      </c>
      <c r="E63" s="25" t="s">
        <v>1490</v>
      </c>
      <c r="F63" s="25" t="s">
        <v>1490</v>
      </c>
      <c r="G63" s="25" t="s">
        <v>1490</v>
      </c>
      <c r="H63" s="25" t="s">
        <v>1490</v>
      </c>
      <c r="I63" s="25" t="s">
        <v>1490</v>
      </c>
      <c r="J63" s="25">
        <v>1.6905081089747001</v>
      </c>
      <c r="L63" s="30" t="s">
        <v>1490</v>
      </c>
      <c r="M63" s="30" t="s">
        <v>1490</v>
      </c>
      <c r="N63" s="30" t="s">
        <v>1490</v>
      </c>
      <c r="O63" s="30" t="s">
        <v>1490</v>
      </c>
      <c r="P63" s="30" t="s">
        <v>1490</v>
      </c>
      <c r="Q63" s="30" t="s">
        <v>1490</v>
      </c>
      <c r="R63" s="30">
        <v>14</v>
      </c>
      <c r="S63" s="30"/>
      <c r="T63" s="25" t="s">
        <v>1490</v>
      </c>
      <c r="U63" s="25" t="s">
        <v>1490</v>
      </c>
      <c r="V63" s="25" t="s">
        <v>1490</v>
      </c>
      <c r="W63" s="25" t="s">
        <v>1490</v>
      </c>
      <c r="X63" s="25" t="s">
        <v>1490</v>
      </c>
      <c r="Y63" s="25" t="s">
        <v>1490</v>
      </c>
      <c r="Z63" s="25" t="s">
        <v>1490</v>
      </c>
      <c r="AB63" s="27" t="s">
        <v>1490</v>
      </c>
      <c r="AC63" s="27" t="s">
        <v>1490</v>
      </c>
      <c r="AD63" s="27" t="s">
        <v>1490</v>
      </c>
      <c r="AE63" s="27" t="s">
        <v>1490</v>
      </c>
      <c r="AF63" s="27" t="s">
        <v>1490</v>
      </c>
      <c r="AG63" s="27" t="s">
        <v>1490</v>
      </c>
      <c r="AI63" s="25">
        <v>1.1783151043091999</v>
      </c>
      <c r="AJ63" s="25">
        <v>8.5205479452054806</v>
      </c>
      <c r="AK63" s="25">
        <v>0.75342465753424703</v>
      </c>
      <c r="AL63" s="25">
        <v>8.4383561643835598</v>
      </c>
      <c r="AM63" s="25">
        <v>0.80821917808219201</v>
      </c>
      <c r="AN63" s="25">
        <v>8.4246575342465793</v>
      </c>
      <c r="AO63" s="25">
        <v>0.79452054794520499</v>
      </c>
      <c r="AP63" s="25">
        <v>8.1643835616438398</v>
      </c>
      <c r="AQ63" s="25">
        <v>0.43835616438356201</v>
      </c>
      <c r="AR63" s="25">
        <v>5.9178082191780801</v>
      </c>
      <c r="AS63" s="25">
        <v>6.6164383561643803</v>
      </c>
      <c r="AT63" s="25">
        <v>1.58904109589041</v>
      </c>
      <c r="AU63" s="25">
        <v>0.45205479452054798</v>
      </c>
      <c r="AW63" s="30">
        <v>0</v>
      </c>
      <c r="AX63" s="34">
        <v>4.8600000000000003</v>
      </c>
      <c r="AY63" s="14" t="s">
        <v>41</v>
      </c>
      <c r="AZ63" s="14">
        <v>0</v>
      </c>
    </row>
    <row r="64" spans="1:52" x14ac:dyDescent="0.3">
      <c r="A64" s="16">
        <v>62</v>
      </c>
      <c r="B64" s="16" t="s">
        <v>756</v>
      </c>
      <c r="D64" s="25" t="s">
        <v>1490</v>
      </c>
      <c r="E64" s="25" t="s">
        <v>1490</v>
      </c>
      <c r="F64" s="25" t="s">
        <v>1490</v>
      </c>
      <c r="G64" s="25" t="s">
        <v>1490</v>
      </c>
      <c r="H64" s="25" t="s">
        <v>1490</v>
      </c>
      <c r="I64" s="25" t="s">
        <v>1490</v>
      </c>
      <c r="J64" s="25">
        <v>0.86342152390406701</v>
      </c>
      <c r="L64" s="30" t="s">
        <v>1490</v>
      </c>
      <c r="M64" s="30" t="s">
        <v>1490</v>
      </c>
      <c r="N64" s="30" t="s">
        <v>1490</v>
      </c>
      <c r="O64" s="30" t="s">
        <v>1490</v>
      </c>
      <c r="P64" s="30" t="s">
        <v>1490</v>
      </c>
      <c r="Q64" s="30" t="s">
        <v>1490</v>
      </c>
      <c r="R64" s="30">
        <v>94</v>
      </c>
      <c r="S64" s="30"/>
      <c r="T64" s="25" t="s">
        <v>1490</v>
      </c>
      <c r="U64" s="25" t="s">
        <v>1490</v>
      </c>
      <c r="V64" s="25" t="s">
        <v>1490</v>
      </c>
      <c r="W64" s="25" t="s">
        <v>1490</v>
      </c>
      <c r="X64" s="25" t="s">
        <v>1490</v>
      </c>
      <c r="Y64" s="25" t="s">
        <v>1490</v>
      </c>
      <c r="Z64" s="25" t="s">
        <v>1490</v>
      </c>
      <c r="AB64" s="27" t="s">
        <v>1490</v>
      </c>
      <c r="AC64" s="27" t="s">
        <v>1490</v>
      </c>
      <c r="AD64" s="27" t="s">
        <v>1490</v>
      </c>
      <c r="AE64" s="27" t="s">
        <v>1490</v>
      </c>
      <c r="AF64" s="27" t="s">
        <v>1490</v>
      </c>
      <c r="AG64" s="27" t="s">
        <v>1490</v>
      </c>
      <c r="AI64" s="25">
        <v>-1.6974506577120301</v>
      </c>
      <c r="AJ64" s="25">
        <v>5.3972602739726003</v>
      </c>
      <c r="AK64" s="25">
        <v>2.79452054794521</v>
      </c>
      <c r="AL64" s="25">
        <v>4.9863013698630096</v>
      </c>
      <c r="AM64" s="25">
        <v>3.1232876712328799</v>
      </c>
      <c r="AN64" s="25">
        <v>5.0958904109588996</v>
      </c>
      <c r="AO64" s="25">
        <v>3.24657534246575</v>
      </c>
      <c r="AP64" s="25">
        <v>5.6986301369863002</v>
      </c>
      <c r="AQ64" s="25">
        <v>1.2328767123287701</v>
      </c>
      <c r="AR64" s="25">
        <v>6</v>
      </c>
      <c r="AS64" s="25">
        <v>5.2739726027397298</v>
      </c>
      <c r="AT64" s="25">
        <v>1.79452054794521</v>
      </c>
      <c r="AU64" s="25">
        <v>1.41095890410959</v>
      </c>
      <c r="AW64" s="30">
        <v>0</v>
      </c>
      <c r="AX64" s="34">
        <v>5.2679078014184402</v>
      </c>
      <c r="AY64" s="14" t="s">
        <v>25</v>
      </c>
      <c r="AZ64" s="14">
        <v>1</v>
      </c>
    </row>
    <row r="65" spans="1:52" x14ac:dyDescent="0.3">
      <c r="A65" s="16">
        <v>63</v>
      </c>
      <c r="B65" s="16" t="s">
        <v>739</v>
      </c>
      <c r="D65" s="25" t="s">
        <v>1490</v>
      </c>
      <c r="E65" s="25" t="s">
        <v>1490</v>
      </c>
      <c r="F65" s="25" t="s">
        <v>1490</v>
      </c>
      <c r="G65" s="25" t="s">
        <v>1490</v>
      </c>
      <c r="H65" s="25" t="s">
        <v>1490</v>
      </c>
      <c r="I65" s="25">
        <v>-0.83675274665698796</v>
      </c>
      <c r="J65" s="25">
        <v>-0.80565465176812701</v>
      </c>
      <c r="L65" s="30" t="s">
        <v>1490</v>
      </c>
      <c r="M65" s="30" t="s">
        <v>1490</v>
      </c>
      <c r="N65" s="30" t="s">
        <v>1490</v>
      </c>
      <c r="O65" s="30" t="s">
        <v>1490</v>
      </c>
      <c r="P65" s="30" t="s">
        <v>1490</v>
      </c>
      <c r="Q65" s="30">
        <v>21</v>
      </c>
      <c r="R65" s="30">
        <v>42</v>
      </c>
      <c r="S65" s="30"/>
      <c r="T65" s="25" t="s">
        <v>1490</v>
      </c>
      <c r="U65" s="25" t="s">
        <v>1490</v>
      </c>
      <c r="V65" s="25" t="s">
        <v>1490</v>
      </c>
      <c r="W65" s="25" t="s">
        <v>1490</v>
      </c>
      <c r="X65" s="25" t="s">
        <v>1490</v>
      </c>
      <c r="Y65" s="25">
        <v>-0.195364265369976</v>
      </c>
      <c r="Z65" s="25" t="s">
        <v>1490</v>
      </c>
      <c r="AB65" s="27" t="s">
        <v>1490</v>
      </c>
      <c r="AC65" s="27" t="s">
        <v>1490</v>
      </c>
      <c r="AD65" s="27" t="s">
        <v>1490</v>
      </c>
      <c r="AE65" s="27" t="s">
        <v>1490</v>
      </c>
      <c r="AF65" s="27" t="s">
        <v>1490</v>
      </c>
      <c r="AG65" s="27">
        <v>63</v>
      </c>
      <c r="AI65" s="25">
        <v>-1.2527712733240499</v>
      </c>
      <c r="AJ65" s="25">
        <v>5.6986301369863002</v>
      </c>
      <c r="AK65" s="25">
        <v>2.3972602739725999</v>
      </c>
      <c r="AL65" s="25">
        <v>5.5479452054794498</v>
      </c>
      <c r="AM65" s="25">
        <v>2.79452054794521</v>
      </c>
      <c r="AN65" s="25">
        <v>5.4109589041095898</v>
      </c>
      <c r="AO65" s="25">
        <v>2.7260273972602702</v>
      </c>
      <c r="AP65" s="25">
        <v>5.9041095890411004</v>
      </c>
      <c r="AQ65" s="25">
        <v>1.54794520547945</v>
      </c>
      <c r="AR65" s="25">
        <v>6.2602739726027403</v>
      </c>
      <c r="AS65" s="25">
        <v>5.75342465753425</v>
      </c>
      <c r="AT65" s="25">
        <v>2.4246575342465801</v>
      </c>
      <c r="AU65" s="25">
        <v>1.5753424657534201</v>
      </c>
      <c r="AW65" s="30">
        <v>0</v>
      </c>
      <c r="AX65" s="34">
        <v>13.74</v>
      </c>
      <c r="AY65" s="14" t="s">
        <v>38</v>
      </c>
      <c r="AZ65" s="14">
        <v>1</v>
      </c>
    </row>
    <row r="66" spans="1:52" ht="12.9" x14ac:dyDescent="0.3">
      <c r="A66" s="16">
        <v>64</v>
      </c>
      <c r="B66" s="16" t="s">
        <v>586</v>
      </c>
      <c r="D66" s="25" t="s">
        <v>1490</v>
      </c>
      <c r="E66" s="25" t="s">
        <v>1490</v>
      </c>
      <c r="F66" s="25" t="s">
        <v>1490</v>
      </c>
      <c r="G66" s="25" t="s">
        <v>1490</v>
      </c>
      <c r="H66" s="25" t="s">
        <v>1490</v>
      </c>
      <c r="I66" s="25" t="s">
        <v>1490</v>
      </c>
      <c r="J66" s="25">
        <v>-1.43347828836792</v>
      </c>
      <c r="L66" s="30" t="s">
        <v>1490</v>
      </c>
      <c r="M66" s="30" t="s">
        <v>1490</v>
      </c>
      <c r="N66" s="30" t="s">
        <v>1490</v>
      </c>
      <c r="O66" s="30" t="s">
        <v>1490</v>
      </c>
      <c r="P66" s="30" t="s">
        <v>1490</v>
      </c>
      <c r="Q66" s="30" t="s">
        <v>1490</v>
      </c>
      <c r="R66" s="30">
        <v>18</v>
      </c>
      <c r="S66" s="30"/>
      <c r="T66" s="25" t="s">
        <v>1490</v>
      </c>
      <c r="U66" s="25" t="s">
        <v>1490</v>
      </c>
      <c r="V66" s="25" t="s">
        <v>1490</v>
      </c>
      <c r="W66" s="25" t="s">
        <v>1490</v>
      </c>
      <c r="X66" s="25" t="s">
        <v>1490</v>
      </c>
      <c r="Y66" s="25" t="s">
        <v>1490</v>
      </c>
      <c r="Z66" s="25" t="s">
        <v>1490</v>
      </c>
      <c r="AB66" s="27" t="s">
        <v>1490</v>
      </c>
      <c r="AC66" s="27" t="s">
        <v>1490</v>
      </c>
      <c r="AD66" s="27" t="s">
        <v>1490</v>
      </c>
      <c r="AE66" s="27" t="s">
        <v>1490</v>
      </c>
      <c r="AF66" s="27" t="s">
        <v>1490</v>
      </c>
      <c r="AG66" s="27" t="s">
        <v>1490</v>
      </c>
      <c r="AI66" s="25">
        <v>-1.2527712733240499</v>
      </c>
      <c r="AJ66" s="25">
        <v>5.6986301369863002</v>
      </c>
      <c r="AK66" s="25">
        <v>2.3972602739725999</v>
      </c>
      <c r="AL66" s="25">
        <v>5.5479452054794498</v>
      </c>
      <c r="AM66" s="25">
        <v>2.79452054794521</v>
      </c>
      <c r="AN66" s="25">
        <v>5.4109589041095898</v>
      </c>
      <c r="AO66" s="25">
        <v>2.7260273972602702</v>
      </c>
      <c r="AP66" s="25">
        <v>5.9041095890411004</v>
      </c>
      <c r="AQ66" s="25">
        <v>1.54794520547945</v>
      </c>
      <c r="AR66" s="25">
        <v>6.2602739726027403</v>
      </c>
      <c r="AS66" s="25">
        <v>5.75342465753425</v>
      </c>
      <c r="AT66" s="25">
        <v>2.4246575342465801</v>
      </c>
      <c r="AU66" s="25">
        <v>1.5753424657534201</v>
      </c>
      <c r="AW66" s="30">
        <v>0</v>
      </c>
      <c r="AX66" s="34">
        <v>13.78</v>
      </c>
      <c r="AY66" s="14" t="s">
        <v>38</v>
      </c>
      <c r="AZ66" s="14">
        <v>1</v>
      </c>
    </row>
    <row r="67" spans="1:52" x14ac:dyDescent="0.3">
      <c r="A67" s="16">
        <v>65</v>
      </c>
      <c r="B67" s="18" t="s">
        <v>833</v>
      </c>
      <c r="D67" s="25" t="s">
        <v>1490</v>
      </c>
      <c r="E67" s="25">
        <v>7.5881683218854801E-2</v>
      </c>
      <c r="F67" s="25" t="s">
        <v>1490</v>
      </c>
      <c r="G67" s="25" t="s">
        <v>1490</v>
      </c>
      <c r="H67" s="25" t="s">
        <v>1490</v>
      </c>
      <c r="I67" s="25" t="s">
        <v>1490</v>
      </c>
      <c r="J67" s="25">
        <v>8.0728343730893895E-2</v>
      </c>
      <c r="L67" s="30" t="s">
        <v>1490</v>
      </c>
      <c r="M67" s="30">
        <v>31</v>
      </c>
      <c r="N67" s="30" t="s">
        <v>1490</v>
      </c>
      <c r="O67" s="30" t="s">
        <v>1490</v>
      </c>
      <c r="P67" s="30" t="s">
        <v>1490</v>
      </c>
      <c r="Q67" s="30" t="s">
        <v>1490</v>
      </c>
      <c r="R67" s="30">
        <v>32</v>
      </c>
      <c r="S67" s="30"/>
      <c r="T67" s="25" t="s">
        <v>1490</v>
      </c>
      <c r="U67" s="25">
        <v>0.15406112635362401</v>
      </c>
      <c r="V67" s="25" t="s">
        <v>1490</v>
      </c>
      <c r="W67" s="25" t="s">
        <v>1490</v>
      </c>
      <c r="X67" s="25" t="s">
        <v>1490</v>
      </c>
      <c r="Y67" s="25" t="s">
        <v>1490</v>
      </c>
      <c r="Z67" s="25" t="s">
        <v>1490</v>
      </c>
      <c r="AB67" s="27" t="s">
        <v>1490</v>
      </c>
      <c r="AC67" s="27">
        <v>63</v>
      </c>
      <c r="AD67" s="27" t="s">
        <v>1490</v>
      </c>
      <c r="AE67" s="27" t="s">
        <v>1490</v>
      </c>
      <c r="AF67" s="27" t="s">
        <v>1490</v>
      </c>
      <c r="AG67" s="27" t="s">
        <v>1490</v>
      </c>
      <c r="AI67" s="25">
        <v>1.04086546113094</v>
      </c>
      <c r="AJ67" s="25">
        <v>8.3561643835616408</v>
      </c>
      <c r="AK67" s="25">
        <v>0.82191780821917804</v>
      </c>
      <c r="AL67" s="25">
        <v>8.2876712328767095</v>
      </c>
      <c r="AM67" s="25">
        <v>0.931506849315068</v>
      </c>
      <c r="AN67" s="25">
        <v>8.2876712328767095</v>
      </c>
      <c r="AO67" s="25">
        <v>0.94520547945205502</v>
      </c>
      <c r="AP67" s="25">
        <v>7.5753424657534199</v>
      </c>
      <c r="AQ67" s="25">
        <v>0.67123287671232901</v>
      </c>
      <c r="AR67" s="25">
        <v>5.7945205479452104</v>
      </c>
      <c r="AS67" s="25">
        <v>6.75342465753425</v>
      </c>
      <c r="AT67" s="25">
        <v>1.8493150684931501</v>
      </c>
      <c r="AU67" s="25">
        <v>0.61643835616438403</v>
      </c>
      <c r="AW67" s="30">
        <v>0</v>
      </c>
      <c r="AX67" s="34">
        <v>10.5</v>
      </c>
      <c r="AY67" s="14" t="s">
        <v>62</v>
      </c>
      <c r="AZ67" s="14">
        <v>0</v>
      </c>
    </row>
    <row r="68" spans="1:52" x14ac:dyDescent="0.3">
      <c r="A68" s="16">
        <v>66</v>
      </c>
      <c r="B68" s="16" t="s">
        <v>578</v>
      </c>
      <c r="D68" s="25" t="s">
        <v>1490</v>
      </c>
      <c r="E68" s="25" t="s">
        <v>1490</v>
      </c>
      <c r="F68" s="25" t="s">
        <v>1490</v>
      </c>
      <c r="G68" s="25" t="s">
        <v>1490</v>
      </c>
      <c r="H68" s="25" t="s">
        <v>1490</v>
      </c>
      <c r="I68" s="25" t="s">
        <v>1490</v>
      </c>
      <c r="J68" s="25">
        <v>1.44686994686995</v>
      </c>
      <c r="L68" s="30" t="s">
        <v>1490</v>
      </c>
      <c r="M68" s="30" t="s">
        <v>1490</v>
      </c>
      <c r="N68" s="30" t="s">
        <v>1490</v>
      </c>
      <c r="O68" s="30" t="s">
        <v>1490</v>
      </c>
      <c r="P68" s="30" t="s">
        <v>1490</v>
      </c>
      <c r="Q68" s="30" t="s">
        <v>1490</v>
      </c>
      <c r="R68" s="30">
        <v>9</v>
      </c>
      <c r="S68" s="30"/>
      <c r="T68" s="25" t="s">
        <v>1490</v>
      </c>
      <c r="U68" s="25" t="s">
        <v>1490</v>
      </c>
      <c r="V68" s="25" t="s">
        <v>1490</v>
      </c>
      <c r="W68" s="25" t="s">
        <v>1490</v>
      </c>
      <c r="X68" s="25" t="s">
        <v>1490</v>
      </c>
      <c r="Y68" s="25" t="s">
        <v>1490</v>
      </c>
      <c r="Z68" s="25" t="s">
        <v>1490</v>
      </c>
      <c r="AB68" s="27" t="s">
        <v>1490</v>
      </c>
      <c r="AC68" s="27" t="s">
        <v>1490</v>
      </c>
      <c r="AD68" s="27" t="s">
        <v>1490</v>
      </c>
      <c r="AE68" s="27" t="s">
        <v>1490</v>
      </c>
      <c r="AF68" s="27" t="s">
        <v>1490</v>
      </c>
      <c r="AG68" s="27" t="s">
        <v>1490</v>
      </c>
      <c r="AI68" s="25">
        <v>0.63708890697512899</v>
      </c>
      <c r="AJ68" s="25">
        <v>8.0136986301369895</v>
      </c>
      <c r="AK68" s="25">
        <v>1.16438356164384</v>
      </c>
      <c r="AL68" s="25">
        <v>7.8493150684931496</v>
      </c>
      <c r="AM68" s="25">
        <v>1.2876712328767099</v>
      </c>
      <c r="AN68" s="25">
        <v>7.9315068493150704</v>
      </c>
      <c r="AO68" s="25">
        <v>1.34246575342466</v>
      </c>
      <c r="AP68" s="25">
        <v>7.6986301369863002</v>
      </c>
      <c r="AQ68" s="25">
        <v>0.71232876712328796</v>
      </c>
      <c r="AR68" s="25">
        <v>4.3835616438356197</v>
      </c>
      <c r="AS68" s="25">
        <v>5.3013698630136998</v>
      </c>
      <c r="AT68" s="25">
        <v>2.82191780821918</v>
      </c>
      <c r="AU68" s="25">
        <v>0.79452054794520499</v>
      </c>
      <c r="AW68" s="30">
        <v>0</v>
      </c>
      <c r="AX68" s="34">
        <v>1.7</v>
      </c>
      <c r="AY68" s="14" t="s">
        <v>41</v>
      </c>
      <c r="AZ68" s="14">
        <v>0</v>
      </c>
    </row>
    <row r="69" spans="1:52" x14ac:dyDescent="0.3">
      <c r="A69" s="16">
        <v>67</v>
      </c>
      <c r="B69" s="16" t="s">
        <v>762</v>
      </c>
      <c r="D69" s="25" t="s">
        <v>1490</v>
      </c>
      <c r="E69" s="25" t="s">
        <v>1490</v>
      </c>
      <c r="F69" s="25" t="s">
        <v>1490</v>
      </c>
      <c r="G69" s="25" t="s">
        <v>1490</v>
      </c>
      <c r="H69" s="25" t="s">
        <v>1490</v>
      </c>
      <c r="I69" s="25" t="s">
        <v>1490</v>
      </c>
      <c r="J69" s="25" t="s">
        <v>1490</v>
      </c>
      <c r="L69" s="30" t="s">
        <v>1490</v>
      </c>
      <c r="M69" s="30" t="s">
        <v>1490</v>
      </c>
      <c r="N69" s="30" t="s">
        <v>1490</v>
      </c>
      <c r="O69" s="30" t="s">
        <v>1490</v>
      </c>
      <c r="P69" s="30" t="s">
        <v>1490</v>
      </c>
      <c r="Q69" s="30" t="s">
        <v>1490</v>
      </c>
      <c r="R69" s="30" t="s">
        <v>1490</v>
      </c>
      <c r="S69" s="30"/>
      <c r="T69" s="25" t="s">
        <v>1490</v>
      </c>
      <c r="U69" s="25" t="s">
        <v>1490</v>
      </c>
      <c r="V69" s="25" t="s">
        <v>1490</v>
      </c>
      <c r="W69" s="25">
        <v>0.39250735958198901</v>
      </c>
      <c r="X69" s="25" t="s">
        <v>1490</v>
      </c>
      <c r="Y69" s="25" t="s">
        <v>1490</v>
      </c>
      <c r="Z69" s="25" t="s">
        <v>1490</v>
      </c>
      <c r="AB69" s="27" t="s">
        <v>1490</v>
      </c>
      <c r="AC69" s="27" t="s">
        <v>1490</v>
      </c>
      <c r="AD69" s="27" t="s">
        <v>1490</v>
      </c>
      <c r="AE69" s="27">
        <v>18</v>
      </c>
      <c r="AF69" s="27" t="s">
        <v>1490</v>
      </c>
      <c r="AG69" s="27" t="s">
        <v>1490</v>
      </c>
      <c r="AI69" s="25">
        <v>0.87848333500169995</v>
      </c>
      <c r="AJ69" s="25">
        <v>8.2328767123287694</v>
      </c>
      <c r="AK69" s="25">
        <v>0.97260273972602695</v>
      </c>
      <c r="AL69" s="25">
        <v>8.2328767123287694</v>
      </c>
      <c r="AM69" s="25">
        <v>1.1232876712328801</v>
      </c>
      <c r="AN69" s="25">
        <v>8.2191780821917799</v>
      </c>
      <c r="AO69" s="25">
        <v>1.16438356164384</v>
      </c>
      <c r="AP69" s="25">
        <v>7.3287671232876699</v>
      </c>
      <c r="AQ69" s="25">
        <v>0.71232876712328796</v>
      </c>
      <c r="AR69" s="25">
        <v>6.0684931506849296</v>
      </c>
      <c r="AS69" s="25">
        <v>6.4931506849315097</v>
      </c>
      <c r="AT69" s="25">
        <v>1.6438356164383601</v>
      </c>
      <c r="AU69" s="25">
        <v>0.71232876712328796</v>
      </c>
      <c r="AW69" s="30">
        <v>0</v>
      </c>
      <c r="AX69" s="34">
        <v>10.28</v>
      </c>
      <c r="AY69" s="14" t="s">
        <v>1095</v>
      </c>
      <c r="AZ69" s="14">
        <v>1</v>
      </c>
    </row>
    <row r="70" spans="1:52" x14ac:dyDescent="0.3">
      <c r="A70" s="16">
        <v>68</v>
      </c>
      <c r="B70" s="18" t="s">
        <v>778</v>
      </c>
      <c r="D70" s="25" t="s">
        <v>1490</v>
      </c>
      <c r="E70" s="25" t="s">
        <v>1490</v>
      </c>
      <c r="F70" s="25" t="s">
        <v>1490</v>
      </c>
      <c r="G70" s="25" t="s">
        <v>1490</v>
      </c>
      <c r="H70" s="25" t="s">
        <v>1490</v>
      </c>
      <c r="I70" s="25" t="s">
        <v>1490</v>
      </c>
      <c r="J70" s="25">
        <v>6.2500000000000097E-2</v>
      </c>
      <c r="L70" s="30" t="s">
        <v>1490</v>
      </c>
      <c r="M70" s="30" t="s">
        <v>1490</v>
      </c>
      <c r="N70" s="30" t="s">
        <v>1490</v>
      </c>
      <c r="O70" s="30" t="s">
        <v>1490</v>
      </c>
      <c r="P70" s="30" t="s">
        <v>1490</v>
      </c>
      <c r="Q70" s="30" t="s">
        <v>1490</v>
      </c>
      <c r="R70" s="30">
        <v>228</v>
      </c>
      <c r="S70" s="30"/>
      <c r="T70" s="25" t="s">
        <v>1490</v>
      </c>
      <c r="U70" s="25" t="s">
        <v>1490</v>
      </c>
      <c r="V70" s="25" t="s">
        <v>1490</v>
      </c>
      <c r="W70" s="25" t="s">
        <v>1490</v>
      </c>
      <c r="X70" s="25" t="s">
        <v>1490</v>
      </c>
      <c r="Y70" s="25" t="s">
        <v>1490</v>
      </c>
      <c r="Z70" s="25" t="s">
        <v>1490</v>
      </c>
      <c r="AB70" s="27" t="s">
        <v>1490</v>
      </c>
      <c r="AC70" s="27" t="s">
        <v>1490</v>
      </c>
      <c r="AD70" s="27" t="s">
        <v>1490</v>
      </c>
      <c r="AE70" s="27" t="s">
        <v>1490</v>
      </c>
      <c r="AF70" s="27" t="s">
        <v>1490</v>
      </c>
      <c r="AG70" s="27" t="s">
        <v>1490</v>
      </c>
      <c r="AI70" s="25">
        <v>-0.38439937094287802</v>
      </c>
      <c r="AJ70" s="25">
        <v>7.0958904109588996</v>
      </c>
      <c r="AK70" s="25">
        <v>2.0547945205479499</v>
      </c>
      <c r="AL70" s="25">
        <v>7.02739726027397</v>
      </c>
      <c r="AM70" s="25">
        <v>2.1506849315068499</v>
      </c>
      <c r="AN70" s="25">
        <v>6.89041095890411</v>
      </c>
      <c r="AO70" s="25">
        <v>2.4109589041095898</v>
      </c>
      <c r="AP70" s="25">
        <v>7.1232876712328803</v>
      </c>
      <c r="AQ70" s="25">
        <v>1.3287671232876701</v>
      </c>
      <c r="AR70" s="25">
        <v>6</v>
      </c>
      <c r="AS70" s="25">
        <v>5.89041095890411</v>
      </c>
      <c r="AT70" s="25">
        <v>2.4109589041095898</v>
      </c>
      <c r="AU70" s="25">
        <v>1.4246575342465799</v>
      </c>
      <c r="AW70" s="30">
        <v>0</v>
      </c>
      <c r="AX70" s="34">
        <v>8.8903508771929793</v>
      </c>
      <c r="AY70" s="14" t="s">
        <v>68</v>
      </c>
      <c r="AZ70" s="14">
        <v>0</v>
      </c>
    </row>
    <row r="71" spans="1:52" x14ac:dyDescent="0.3">
      <c r="A71" s="16">
        <v>69</v>
      </c>
      <c r="B71" s="16" t="s">
        <v>834</v>
      </c>
      <c r="D71" s="25" t="s">
        <v>1490</v>
      </c>
      <c r="E71" s="25" t="s">
        <v>1490</v>
      </c>
      <c r="F71" s="25" t="s">
        <v>1490</v>
      </c>
      <c r="G71" s="25" t="s">
        <v>1490</v>
      </c>
      <c r="H71" s="25" t="s">
        <v>1490</v>
      </c>
      <c r="I71" s="25" t="s">
        <v>1490</v>
      </c>
      <c r="J71" s="25" t="s">
        <v>1490</v>
      </c>
      <c r="L71" s="30" t="s">
        <v>1490</v>
      </c>
      <c r="M71" s="30" t="s">
        <v>1490</v>
      </c>
      <c r="N71" s="30" t="s">
        <v>1490</v>
      </c>
      <c r="O71" s="30" t="s">
        <v>1490</v>
      </c>
      <c r="P71" s="30" t="s">
        <v>1490</v>
      </c>
      <c r="Q71" s="30" t="s">
        <v>1490</v>
      </c>
      <c r="R71" s="30" t="s">
        <v>1490</v>
      </c>
      <c r="S71" s="30"/>
      <c r="T71" s="25" t="s">
        <v>1490</v>
      </c>
      <c r="U71" s="25">
        <v>1.6154412586587299</v>
      </c>
      <c r="V71" s="25" t="s">
        <v>1490</v>
      </c>
      <c r="W71" s="25" t="s">
        <v>1490</v>
      </c>
      <c r="X71" s="25" t="s">
        <v>1490</v>
      </c>
      <c r="Y71" s="25" t="s">
        <v>1490</v>
      </c>
      <c r="Z71" s="25" t="s">
        <v>1490</v>
      </c>
      <c r="AB71" s="27" t="s">
        <v>1490</v>
      </c>
      <c r="AC71" s="27">
        <v>64</v>
      </c>
      <c r="AD71" s="27" t="s">
        <v>1490</v>
      </c>
      <c r="AE71" s="27" t="s">
        <v>1490</v>
      </c>
      <c r="AF71" s="27" t="s">
        <v>1490</v>
      </c>
      <c r="AG71" s="27" t="s">
        <v>1490</v>
      </c>
      <c r="AI71" s="25">
        <v>0.845258087188825</v>
      </c>
      <c r="AJ71" s="25">
        <v>8.3698630136986303</v>
      </c>
      <c r="AK71" s="25">
        <v>1.13698630136986</v>
      </c>
      <c r="AL71" s="25">
        <v>8.3561643835616408</v>
      </c>
      <c r="AM71" s="25">
        <v>1.2191780821917799</v>
      </c>
      <c r="AN71" s="25">
        <v>8.3561643835616408</v>
      </c>
      <c r="AO71" s="25">
        <v>1.2602739726027401</v>
      </c>
      <c r="AP71" s="25">
        <v>8.1780821917808204</v>
      </c>
      <c r="AQ71" s="25">
        <v>0.78082191780821897</v>
      </c>
      <c r="AR71" s="25">
        <v>5.6164383561643803</v>
      </c>
      <c r="AS71" s="25">
        <v>6.9178082191780801</v>
      </c>
      <c r="AT71" s="25">
        <v>2.2739726027397298</v>
      </c>
      <c r="AU71" s="25">
        <v>0.80821917808219201</v>
      </c>
      <c r="AW71" s="30">
        <v>1</v>
      </c>
      <c r="AX71" s="34">
        <v>8.5</v>
      </c>
      <c r="AY71" s="14" t="s">
        <v>62</v>
      </c>
      <c r="AZ71" s="14">
        <v>0</v>
      </c>
    </row>
    <row r="72" spans="1:52" x14ac:dyDescent="0.3">
      <c r="A72" s="16">
        <v>70</v>
      </c>
      <c r="B72" s="16" t="s">
        <v>1219</v>
      </c>
      <c r="D72" s="25" t="s">
        <v>1490</v>
      </c>
      <c r="E72" s="25" t="s">
        <v>1490</v>
      </c>
      <c r="F72" s="25" t="s">
        <v>1490</v>
      </c>
      <c r="G72" s="25" t="s">
        <v>1490</v>
      </c>
      <c r="H72" s="25" t="s">
        <v>1490</v>
      </c>
      <c r="I72" s="25" t="s">
        <v>1490</v>
      </c>
      <c r="J72" s="25" t="s">
        <v>1490</v>
      </c>
      <c r="L72" s="30" t="s">
        <v>1490</v>
      </c>
      <c r="M72" s="30" t="s">
        <v>1490</v>
      </c>
      <c r="N72" s="30" t="s">
        <v>1490</v>
      </c>
      <c r="O72" s="30" t="s">
        <v>1490</v>
      </c>
      <c r="P72" s="30" t="s">
        <v>1490</v>
      </c>
      <c r="Q72" s="30" t="s">
        <v>1490</v>
      </c>
      <c r="R72" s="30" t="s">
        <v>1490</v>
      </c>
      <c r="S72" s="30"/>
      <c r="T72" s="25" t="s">
        <v>1490</v>
      </c>
      <c r="U72" s="25">
        <v>-0.35306835733152497</v>
      </c>
      <c r="V72" s="25" t="s">
        <v>1490</v>
      </c>
      <c r="W72" s="25" t="s">
        <v>1490</v>
      </c>
      <c r="X72" s="25" t="s">
        <v>1490</v>
      </c>
      <c r="Y72" s="25" t="s">
        <v>1490</v>
      </c>
      <c r="Z72" s="25" t="s">
        <v>1490</v>
      </c>
      <c r="AB72" s="27" t="s">
        <v>1490</v>
      </c>
      <c r="AC72" s="27">
        <v>138</v>
      </c>
      <c r="AD72" s="27" t="s">
        <v>1490</v>
      </c>
      <c r="AE72" s="27" t="s">
        <v>1490</v>
      </c>
      <c r="AF72" s="27" t="s">
        <v>1490</v>
      </c>
      <c r="AG72" s="27" t="s">
        <v>1490</v>
      </c>
      <c r="AI72" s="25">
        <v>-0.41648877972898701</v>
      </c>
      <c r="AJ72" s="25">
        <v>7.3835616438356197</v>
      </c>
      <c r="AK72" s="25">
        <v>2.06849315068493</v>
      </c>
      <c r="AL72" s="25">
        <v>7.13698630136986</v>
      </c>
      <c r="AM72" s="25">
        <v>2.4657534246575299</v>
      </c>
      <c r="AN72" s="25">
        <v>7.1506849315068504</v>
      </c>
      <c r="AO72" s="25">
        <v>2.6164383561643798</v>
      </c>
      <c r="AP72" s="25">
        <v>7.3013698630136998</v>
      </c>
      <c r="AQ72" s="25">
        <v>1.34246575342466</v>
      </c>
      <c r="AR72" s="25">
        <v>5.8219178082191796</v>
      </c>
      <c r="AS72" s="25">
        <v>6.02739726027397</v>
      </c>
      <c r="AT72" s="25">
        <v>2.8767123287671201</v>
      </c>
      <c r="AU72" s="25">
        <v>1.2191780821917799</v>
      </c>
      <c r="AW72" s="30">
        <v>0</v>
      </c>
      <c r="AX72" s="34">
        <v>20</v>
      </c>
      <c r="AY72" s="14" t="s">
        <v>224</v>
      </c>
      <c r="AZ72" s="14">
        <v>1</v>
      </c>
    </row>
    <row r="73" spans="1:52" x14ac:dyDescent="0.3">
      <c r="A73" s="16">
        <v>71</v>
      </c>
      <c r="B73" s="16" t="s">
        <v>738</v>
      </c>
      <c r="D73" s="25" t="s">
        <v>1490</v>
      </c>
      <c r="E73" s="25" t="s">
        <v>1490</v>
      </c>
      <c r="F73" s="25" t="s">
        <v>1490</v>
      </c>
      <c r="G73" s="25" t="s">
        <v>1490</v>
      </c>
      <c r="H73" s="25">
        <v>0.47651807146962799</v>
      </c>
      <c r="I73" s="25" t="s">
        <v>1490</v>
      </c>
      <c r="J73" s="25">
        <v>0.79932905873766402</v>
      </c>
      <c r="L73" s="30" t="s">
        <v>1490</v>
      </c>
      <c r="M73" s="30" t="s">
        <v>1490</v>
      </c>
      <c r="N73" s="30" t="s">
        <v>1490</v>
      </c>
      <c r="O73" s="30" t="s">
        <v>1490</v>
      </c>
      <c r="P73" s="30">
        <v>19</v>
      </c>
      <c r="Q73" s="30" t="s">
        <v>1490</v>
      </c>
      <c r="R73" s="30">
        <v>37</v>
      </c>
      <c r="S73" s="30"/>
      <c r="T73" s="25" t="s">
        <v>1490</v>
      </c>
      <c r="U73" s="25" t="s">
        <v>1490</v>
      </c>
      <c r="V73" s="25" t="s">
        <v>1490</v>
      </c>
      <c r="W73" s="25" t="s">
        <v>1490</v>
      </c>
      <c r="X73" s="25">
        <v>-9.7124947003668596E-2</v>
      </c>
      <c r="Y73" s="25" t="s">
        <v>1490</v>
      </c>
      <c r="Z73" s="25" t="s">
        <v>1490</v>
      </c>
      <c r="AB73" s="27" t="s">
        <v>1490</v>
      </c>
      <c r="AC73" s="27" t="s">
        <v>1490</v>
      </c>
      <c r="AD73" s="27" t="s">
        <v>1490</v>
      </c>
      <c r="AE73" s="27" t="s">
        <v>1490</v>
      </c>
      <c r="AF73" s="27">
        <v>56</v>
      </c>
      <c r="AG73" s="27" t="s">
        <v>1490</v>
      </c>
      <c r="AI73" s="25">
        <v>0.82978171622279095</v>
      </c>
      <c r="AJ73" s="25">
        <v>8.2328767123287694</v>
      </c>
      <c r="AK73" s="25">
        <v>1.02739726027397</v>
      </c>
      <c r="AL73" s="25">
        <v>8.1643835616438398</v>
      </c>
      <c r="AM73" s="25">
        <v>1.17808219178082</v>
      </c>
      <c r="AN73" s="25">
        <v>8.1369863013698591</v>
      </c>
      <c r="AO73" s="25">
        <v>1.17808219178082</v>
      </c>
      <c r="AP73" s="25">
        <v>8.1095890410958908</v>
      </c>
      <c r="AQ73" s="25">
        <v>0.65753424657534199</v>
      </c>
      <c r="AR73" s="25">
        <v>5.7671232876712297</v>
      </c>
      <c r="AS73" s="25">
        <v>6.6986301369863002</v>
      </c>
      <c r="AT73" s="25">
        <v>2.3013698630136998</v>
      </c>
      <c r="AU73" s="25">
        <v>0.68493150684931503</v>
      </c>
      <c r="AW73" s="30">
        <v>0</v>
      </c>
      <c r="AX73" s="34">
        <v>7.8741071428571399</v>
      </c>
      <c r="AY73" s="14" t="s">
        <v>38</v>
      </c>
      <c r="AZ73" s="14">
        <v>1</v>
      </c>
    </row>
    <row r="74" spans="1:52" x14ac:dyDescent="0.3">
      <c r="A74" s="16">
        <v>72</v>
      </c>
      <c r="B74" s="16" t="s">
        <v>579</v>
      </c>
      <c r="D74" s="25" t="s">
        <v>1490</v>
      </c>
      <c r="E74" s="25" t="s">
        <v>1490</v>
      </c>
      <c r="F74" s="25" t="s">
        <v>1490</v>
      </c>
      <c r="G74" s="25" t="s">
        <v>1490</v>
      </c>
      <c r="H74" s="25" t="s">
        <v>1490</v>
      </c>
      <c r="I74" s="25" t="s">
        <v>1490</v>
      </c>
      <c r="J74" s="25" t="s">
        <v>1490</v>
      </c>
      <c r="L74" s="30" t="s">
        <v>1490</v>
      </c>
      <c r="M74" s="30" t="s">
        <v>1490</v>
      </c>
      <c r="N74" s="30" t="s">
        <v>1490</v>
      </c>
      <c r="O74" s="30" t="s">
        <v>1490</v>
      </c>
      <c r="P74" s="30" t="s">
        <v>1490</v>
      </c>
      <c r="Q74" s="30" t="s">
        <v>1490</v>
      </c>
      <c r="R74" s="30" t="s">
        <v>1490</v>
      </c>
      <c r="S74" s="30"/>
      <c r="T74" s="25" t="s">
        <v>1490</v>
      </c>
      <c r="U74" s="25">
        <v>0.66840993127785697</v>
      </c>
      <c r="V74" s="25" t="s">
        <v>1490</v>
      </c>
      <c r="W74" s="25" t="s">
        <v>1490</v>
      </c>
      <c r="X74" s="25" t="s">
        <v>1490</v>
      </c>
      <c r="Y74" s="25" t="s">
        <v>1490</v>
      </c>
      <c r="Z74" s="25" t="s">
        <v>1490</v>
      </c>
      <c r="AB74" s="27" t="s">
        <v>1490</v>
      </c>
      <c r="AC74" s="27">
        <v>59</v>
      </c>
      <c r="AD74" s="27" t="s">
        <v>1490</v>
      </c>
      <c r="AE74" s="27" t="s">
        <v>1490</v>
      </c>
      <c r="AF74" s="27" t="s">
        <v>1490</v>
      </c>
      <c r="AG74" s="27" t="s">
        <v>1490</v>
      </c>
      <c r="AI74" s="25">
        <v>1.99466812287751E-2</v>
      </c>
      <c r="AJ74" s="25">
        <v>7.24657534246575</v>
      </c>
      <c r="AK74" s="25">
        <v>1.5753424657534201</v>
      </c>
      <c r="AL74" s="25">
        <v>7.24657534246575</v>
      </c>
      <c r="AM74" s="25">
        <v>1.9041095890410999</v>
      </c>
      <c r="AN74" s="25">
        <v>7.24657534246575</v>
      </c>
      <c r="AO74" s="25">
        <v>1.82191780821918</v>
      </c>
      <c r="AP74" s="25">
        <v>6.6438356164383601</v>
      </c>
      <c r="AQ74" s="25">
        <v>1.2876712328767099</v>
      </c>
      <c r="AR74" s="25">
        <v>5.4246575342465801</v>
      </c>
      <c r="AS74" s="25">
        <v>5.2876712328767104</v>
      </c>
      <c r="AT74" s="25">
        <v>2.1506849315068499</v>
      </c>
      <c r="AU74" s="25">
        <v>1.3013698630137001</v>
      </c>
      <c r="AW74" s="30">
        <v>0</v>
      </c>
      <c r="AX74" s="34">
        <v>22</v>
      </c>
      <c r="AY74" s="14" t="s">
        <v>68</v>
      </c>
      <c r="AZ74" s="14">
        <v>0</v>
      </c>
    </row>
    <row r="75" spans="1:52" x14ac:dyDescent="0.3">
      <c r="A75" s="16">
        <v>73</v>
      </c>
      <c r="B75" s="16" t="s">
        <v>784</v>
      </c>
      <c r="D75" s="25" t="s">
        <v>1490</v>
      </c>
      <c r="E75" s="25">
        <v>0.89</v>
      </c>
      <c r="F75" s="25" t="s">
        <v>1490</v>
      </c>
      <c r="G75" s="25" t="s">
        <v>1490</v>
      </c>
      <c r="H75" s="25" t="s">
        <v>1490</v>
      </c>
      <c r="I75" s="25" t="s">
        <v>1490</v>
      </c>
      <c r="J75" s="25">
        <v>0.58434782608695701</v>
      </c>
      <c r="L75" s="30" t="s">
        <v>1490</v>
      </c>
      <c r="M75" s="30">
        <v>11</v>
      </c>
      <c r="N75" s="30" t="s">
        <v>1490</v>
      </c>
      <c r="O75" s="30" t="s">
        <v>1490</v>
      </c>
      <c r="P75" s="30" t="s">
        <v>1490</v>
      </c>
      <c r="Q75" s="30" t="s">
        <v>1490</v>
      </c>
      <c r="R75" s="30">
        <v>46</v>
      </c>
      <c r="S75" s="30"/>
      <c r="T75" s="25" t="s">
        <v>1490</v>
      </c>
      <c r="U75" s="25">
        <v>-0.30166666666666703</v>
      </c>
      <c r="V75" s="25" t="s">
        <v>1490</v>
      </c>
      <c r="W75" s="25" t="s">
        <v>1490</v>
      </c>
      <c r="X75" s="25" t="s">
        <v>1490</v>
      </c>
      <c r="Y75" s="25" t="s">
        <v>1490</v>
      </c>
      <c r="Z75" s="25" t="s">
        <v>1490</v>
      </c>
      <c r="AB75" s="27" t="s">
        <v>1490</v>
      </c>
      <c r="AC75" s="27">
        <v>57</v>
      </c>
      <c r="AD75" s="27" t="s">
        <v>1490</v>
      </c>
      <c r="AE75" s="27" t="s">
        <v>1490</v>
      </c>
      <c r="AF75" s="27" t="s">
        <v>1490</v>
      </c>
      <c r="AG75" s="27" t="s">
        <v>1490</v>
      </c>
      <c r="AI75" s="25">
        <v>-0.73373111210966202</v>
      </c>
      <c r="AJ75" s="25">
        <v>6.6027397260273997</v>
      </c>
      <c r="AK75" s="25">
        <v>2.3561643835616399</v>
      </c>
      <c r="AL75" s="25">
        <v>6.6301369863013697</v>
      </c>
      <c r="AM75" s="25">
        <v>2.5890410958904102</v>
      </c>
      <c r="AN75" s="25">
        <v>6.6301369863013697</v>
      </c>
      <c r="AO75" s="25">
        <v>2.5205479452054802</v>
      </c>
      <c r="AP75" s="25">
        <v>7.24657534246575</v>
      </c>
      <c r="AQ75" s="25">
        <v>1.52054794520548</v>
      </c>
      <c r="AR75" s="25">
        <v>6.5205479452054798</v>
      </c>
      <c r="AS75" s="25">
        <v>6.3150684931506804</v>
      </c>
      <c r="AT75" s="25">
        <v>2.6712328767123301</v>
      </c>
      <c r="AU75" s="25">
        <v>1.4931506849315099</v>
      </c>
      <c r="AW75" s="30">
        <v>0</v>
      </c>
      <c r="AX75" s="34">
        <v>7.5</v>
      </c>
      <c r="AY75" s="14" t="s">
        <v>47</v>
      </c>
      <c r="AZ75" s="14">
        <v>1</v>
      </c>
    </row>
    <row r="76" spans="1:52" x14ac:dyDescent="0.3">
      <c r="A76" s="16">
        <v>74</v>
      </c>
      <c r="B76" s="16" t="s">
        <v>580</v>
      </c>
      <c r="D76" s="25" t="s">
        <v>1490</v>
      </c>
      <c r="E76" s="25" t="s">
        <v>1490</v>
      </c>
      <c r="F76" s="25" t="s">
        <v>1490</v>
      </c>
      <c r="G76" s="25" t="s">
        <v>1490</v>
      </c>
      <c r="H76" s="25" t="s">
        <v>1490</v>
      </c>
      <c r="I76" s="25" t="s">
        <v>1490</v>
      </c>
      <c r="J76" s="25" t="s">
        <v>1490</v>
      </c>
      <c r="L76" s="30" t="s">
        <v>1490</v>
      </c>
      <c r="M76" s="30" t="s">
        <v>1490</v>
      </c>
      <c r="N76" s="30" t="s">
        <v>1490</v>
      </c>
      <c r="O76" s="30" t="s">
        <v>1490</v>
      </c>
      <c r="P76" s="30" t="s">
        <v>1490</v>
      </c>
      <c r="Q76" s="30" t="s">
        <v>1490</v>
      </c>
      <c r="R76" s="30" t="s">
        <v>1490</v>
      </c>
      <c r="S76" s="30"/>
      <c r="T76" s="25" t="s">
        <v>1490</v>
      </c>
      <c r="U76" s="25">
        <v>-0.84974507836524704</v>
      </c>
      <c r="V76" s="25" t="s">
        <v>1490</v>
      </c>
      <c r="W76" s="25" t="s">
        <v>1490</v>
      </c>
      <c r="X76" s="25" t="s">
        <v>1490</v>
      </c>
      <c r="Y76" s="25" t="s">
        <v>1490</v>
      </c>
      <c r="Z76" s="25" t="s">
        <v>1490</v>
      </c>
      <c r="AB76" s="27" t="s">
        <v>1490</v>
      </c>
      <c r="AC76" s="27">
        <v>40</v>
      </c>
      <c r="AD76" s="27" t="s">
        <v>1490</v>
      </c>
      <c r="AE76" s="27" t="s">
        <v>1490</v>
      </c>
      <c r="AF76" s="27" t="s">
        <v>1490</v>
      </c>
      <c r="AG76" s="27" t="s">
        <v>1490</v>
      </c>
      <c r="AI76" s="25">
        <v>8.2476640900609299E-2</v>
      </c>
      <c r="AJ76" s="25">
        <v>7.5205479452054798</v>
      </c>
      <c r="AK76" s="25">
        <v>1.8493150684931501</v>
      </c>
      <c r="AL76" s="25">
        <v>7.5890410958904102</v>
      </c>
      <c r="AM76" s="25">
        <v>1.83561643835616</v>
      </c>
      <c r="AN76" s="25">
        <v>7.5890410958904102</v>
      </c>
      <c r="AO76" s="25">
        <v>1.8493150684931501</v>
      </c>
      <c r="AP76" s="25">
        <v>7.0136986301369904</v>
      </c>
      <c r="AQ76" s="25">
        <v>1</v>
      </c>
      <c r="AR76" s="25">
        <v>4.9589041095890396</v>
      </c>
      <c r="AS76" s="25">
        <v>4.6986301369863002</v>
      </c>
      <c r="AT76" s="25">
        <v>2.2191780821917799</v>
      </c>
      <c r="AU76" s="25">
        <v>1.1506849315068499</v>
      </c>
      <c r="AW76" s="30">
        <v>0</v>
      </c>
      <c r="AX76" s="34">
        <v>20.5</v>
      </c>
      <c r="AY76" s="14" t="s">
        <v>68</v>
      </c>
      <c r="AZ76" s="14">
        <v>0</v>
      </c>
    </row>
    <row r="77" spans="1:52" x14ac:dyDescent="0.3">
      <c r="A77" s="16">
        <v>75</v>
      </c>
      <c r="B77" s="16" t="s">
        <v>581</v>
      </c>
      <c r="D77" s="25" t="s">
        <v>1490</v>
      </c>
      <c r="E77" s="25" t="s">
        <v>1490</v>
      </c>
      <c r="F77" s="25" t="s">
        <v>1490</v>
      </c>
      <c r="G77" s="25" t="s">
        <v>1490</v>
      </c>
      <c r="H77" s="25" t="s">
        <v>1490</v>
      </c>
      <c r="I77" s="25" t="s">
        <v>1490</v>
      </c>
      <c r="J77" s="25" t="s">
        <v>1490</v>
      </c>
      <c r="L77" s="30" t="s">
        <v>1490</v>
      </c>
      <c r="M77" s="30" t="s">
        <v>1490</v>
      </c>
      <c r="N77" s="30" t="s">
        <v>1490</v>
      </c>
      <c r="O77" s="30" t="s">
        <v>1490</v>
      </c>
      <c r="P77" s="30" t="s">
        <v>1490</v>
      </c>
      <c r="Q77" s="30" t="s">
        <v>1490</v>
      </c>
      <c r="R77" s="30" t="s">
        <v>1490</v>
      </c>
      <c r="S77" s="30"/>
      <c r="T77" s="25" t="s">
        <v>1490</v>
      </c>
      <c r="U77" s="25">
        <v>1.97802397662829E-2</v>
      </c>
      <c r="V77" s="25" t="s">
        <v>1490</v>
      </c>
      <c r="W77" s="25" t="s">
        <v>1490</v>
      </c>
      <c r="X77" s="25" t="s">
        <v>1490</v>
      </c>
      <c r="Y77" s="25" t="s">
        <v>1490</v>
      </c>
      <c r="Z77" s="25" t="s">
        <v>1490</v>
      </c>
      <c r="AB77" s="27" t="s">
        <v>1490</v>
      </c>
      <c r="AC77" s="27">
        <v>40</v>
      </c>
      <c r="AD77" s="27" t="s">
        <v>1490</v>
      </c>
      <c r="AE77" s="27" t="s">
        <v>1490</v>
      </c>
      <c r="AF77" s="27" t="s">
        <v>1490</v>
      </c>
      <c r="AG77" s="27" t="s">
        <v>1490</v>
      </c>
      <c r="AI77" s="25">
        <v>7.8908041050518105E-3</v>
      </c>
      <c r="AJ77" s="25">
        <v>7.3972602739726003</v>
      </c>
      <c r="AK77" s="25">
        <v>1.7397260273972599</v>
      </c>
      <c r="AL77" s="25">
        <v>7.2602739726027403</v>
      </c>
      <c r="AM77" s="25">
        <v>1.82191780821918</v>
      </c>
      <c r="AN77" s="25">
        <v>7.24657534246575</v>
      </c>
      <c r="AO77" s="25">
        <v>1.86301369863014</v>
      </c>
      <c r="AP77" s="25">
        <v>6.9178082191780801</v>
      </c>
      <c r="AQ77" s="25">
        <v>1.1232876712328801</v>
      </c>
      <c r="AR77" s="25">
        <v>5.7397260273972597</v>
      </c>
      <c r="AS77" s="25">
        <v>6.0410958904109604</v>
      </c>
      <c r="AT77" s="25">
        <v>2.2602739726027399</v>
      </c>
      <c r="AU77" s="25">
        <v>1.2191780821917799</v>
      </c>
      <c r="AW77" s="30">
        <v>0</v>
      </c>
      <c r="AX77" s="34">
        <v>20.5</v>
      </c>
      <c r="AY77" s="14" t="s">
        <v>68</v>
      </c>
      <c r="AZ77" s="14">
        <v>0</v>
      </c>
    </row>
    <row r="78" spans="1:52" x14ac:dyDescent="0.3">
      <c r="A78" s="16">
        <v>76</v>
      </c>
      <c r="B78" s="18" t="s">
        <v>1634</v>
      </c>
      <c r="D78" s="25" t="s">
        <v>1490</v>
      </c>
      <c r="E78" s="25">
        <v>0.65649739823530195</v>
      </c>
      <c r="F78" s="25" t="s">
        <v>1490</v>
      </c>
      <c r="G78" s="25" t="s">
        <v>1490</v>
      </c>
      <c r="H78" s="25" t="s">
        <v>1490</v>
      </c>
      <c r="I78" s="25" t="s">
        <v>1490</v>
      </c>
      <c r="J78" s="25">
        <v>0.30533598397434503</v>
      </c>
      <c r="L78" s="30" t="s">
        <v>1490</v>
      </c>
      <c r="M78" s="30">
        <v>14</v>
      </c>
      <c r="N78" s="30" t="s">
        <v>1490</v>
      </c>
      <c r="O78" s="30" t="s">
        <v>1490</v>
      </c>
      <c r="P78" s="30" t="s">
        <v>1490</v>
      </c>
      <c r="Q78" s="30" t="s">
        <v>1490</v>
      </c>
      <c r="R78" s="30">
        <v>14</v>
      </c>
      <c r="S78" s="30"/>
      <c r="T78" s="25" t="s">
        <v>1490</v>
      </c>
      <c r="U78" s="25">
        <v>-0.13218947668040801</v>
      </c>
      <c r="V78" s="25" t="s">
        <v>1490</v>
      </c>
      <c r="W78" s="25" t="s">
        <v>1490</v>
      </c>
      <c r="X78" s="25" t="s">
        <v>1490</v>
      </c>
      <c r="Y78" s="25" t="s">
        <v>1490</v>
      </c>
      <c r="Z78" s="25" t="s">
        <v>1490</v>
      </c>
      <c r="AB78" s="27" t="s">
        <v>1490</v>
      </c>
      <c r="AC78" s="27">
        <v>28</v>
      </c>
      <c r="AD78" s="27" t="s">
        <v>1490</v>
      </c>
      <c r="AE78" s="27" t="s">
        <v>1490</v>
      </c>
      <c r="AF78" s="27" t="s">
        <v>1490</v>
      </c>
      <c r="AG78" s="27" t="s">
        <v>1490</v>
      </c>
      <c r="AI78" s="25">
        <v>-1.30078071072081</v>
      </c>
      <c r="AJ78" s="25">
        <v>6.5205479452054798</v>
      </c>
      <c r="AK78" s="25">
        <v>2.5068493150684898</v>
      </c>
      <c r="AL78" s="25">
        <v>5.9863013698630096</v>
      </c>
      <c r="AM78" s="25">
        <v>3.3835616438356202</v>
      </c>
      <c r="AN78" s="25">
        <v>5.9863013698630096</v>
      </c>
      <c r="AO78" s="25">
        <v>3.31506849315068</v>
      </c>
      <c r="AP78" s="25">
        <v>6.7260273972602702</v>
      </c>
      <c r="AQ78" s="25">
        <v>1.2191780821917799</v>
      </c>
      <c r="AR78" s="25">
        <v>5.1506849315068504</v>
      </c>
      <c r="AS78" s="25">
        <v>5.5205479452054798</v>
      </c>
      <c r="AT78" s="25">
        <v>2.75342465753425</v>
      </c>
      <c r="AU78" s="25">
        <v>1.38356164383562</v>
      </c>
      <c r="AW78" s="30">
        <v>0</v>
      </c>
      <c r="AX78" s="34">
        <v>8.5</v>
      </c>
      <c r="AY78" s="14" t="s">
        <v>47</v>
      </c>
      <c r="AZ78" s="14">
        <v>1</v>
      </c>
    </row>
    <row r="79" spans="1:52" ht="12.9" x14ac:dyDescent="0.3">
      <c r="A79" s="16">
        <v>77</v>
      </c>
      <c r="B79" s="16" t="s">
        <v>588</v>
      </c>
      <c r="D79" s="25" t="s">
        <v>1490</v>
      </c>
      <c r="E79" s="25" t="s">
        <v>1490</v>
      </c>
      <c r="F79" s="25" t="s">
        <v>1490</v>
      </c>
      <c r="G79" s="25" t="s">
        <v>1490</v>
      </c>
      <c r="H79" s="25" t="s">
        <v>1490</v>
      </c>
      <c r="I79" s="25" t="s">
        <v>1490</v>
      </c>
      <c r="J79" s="25">
        <v>0.555310544705507</v>
      </c>
      <c r="L79" s="30" t="s">
        <v>1490</v>
      </c>
      <c r="M79" s="30" t="s">
        <v>1490</v>
      </c>
      <c r="N79" s="30" t="s">
        <v>1490</v>
      </c>
      <c r="O79" s="30" t="s">
        <v>1490</v>
      </c>
      <c r="P79" s="30" t="s">
        <v>1490</v>
      </c>
      <c r="Q79" s="30" t="s">
        <v>1490</v>
      </c>
      <c r="R79" s="30">
        <v>58</v>
      </c>
      <c r="S79" s="30"/>
      <c r="T79" s="25" t="s">
        <v>1490</v>
      </c>
      <c r="U79" s="25" t="s">
        <v>1490</v>
      </c>
      <c r="V79" s="25" t="s">
        <v>1490</v>
      </c>
      <c r="W79" s="25" t="s">
        <v>1490</v>
      </c>
      <c r="X79" s="25" t="s">
        <v>1490</v>
      </c>
      <c r="Y79" s="25" t="s">
        <v>1490</v>
      </c>
      <c r="Z79" s="25" t="s">
        <v>1490</v>
      </c>
      <c r="AB79" s="27" t="s">
        <v>1490</v>
      </c>
      <c r="AC79" s="27" t="s">
        <v>1490</v>
      </c>
      <c r="AD79" s="27" t="s">
        <v>1490</v>
      </c>
      <c r="AE79" s="27" t="s">
        <v>1490</v>
      </c>
      <c r="AF79" s="27" t="s">
        <v>1490</v>
      </c>
      <c r="AG79" s="27" t="s">
        <v>1490</v>
      </c>
      <c r="AI79" s="25">
        <v>-0.90210660885903804</v>
      </c>
      <c r="AJ79" s="25">
        <v>5.7808219178082201</v>
      </c>
      <c r="AK79" s="25">
        <v>2.02739726027397</v>
      </c>
      <c r="AL79" s="25">
        <v>5.5753424657534199</v>
      </c>
      <c r="AM79" s="25">
        <v>2.1643835616438398</v>
      </c>
      <c r="AN79" s="25">
        <v>5.4931506849315097</v>
      </c>
      <c r="AO79" s="25">
        <v>2.31506849315068</v>
      </c>
      <c r="AP79" s="25">
        <v>6.2054794520547896</v>
      </c>
      <c r="AQ79" s="25">
        <v>1</v>
      </c>
      <c r="AR79" s="25">
        <v>5.3013698630136998</v>
      </c>
      <c r="AS79" s="25">
        <v>5.0136986301369904</v>
      </c>
      <c r="AT79" s="25">
        <v>1.6438356164383601</v>
      </c>
      <c r="AU79" s="25">
        <v>1.0958904109589001</v>
      </c>
      <c r="AW79" s="30">
        <v>0</v>
      </c>
      <c r="AX79" s="34">
        <v>3.5272988505747098</v>
      </c>
      <c r="AY79" s="14" t="s">
        <v>25</v>
      </c>
      <c r="AZ79" s="14">
        <v>1</v>
      </c>
    </row>
    <row r="80" spans="1:52" x14ac:dyDescent="0.3">
      <c r="A80" s="16">
        <v>78</v>
      </c>
      <c r="B80" s="16" t="s">
        <v>755</v>
      </c>
      <c r="D80" s="25" t="s">
        <v>1490</v>
      </c>
      <c r="E80" s="25" t="s">
        <v>1490</v>
      </c>
      <c r="F80" s="25" t="s">
        <v>1490</v>
      </c>
      <c r="G80" s="25" t="s">
        <v>1490</v>
      </c>
      <c r="H80" s="25" t="s">
        <v>1490</v>
      </c>
      <c r="I80" s="25" t="s">
        <v>1490</v>
      </c>
      <c r="J80" s="25">
        <v>0.47760854460577101</v>
      </c>
      <c r="L80" s="30" t="s">
        <v>1490</v>
      </c>
      <c r="M80" s="30" t="s">
        <v>1490</v>
      </c>
      <c r="N80" s="30" t="s">
        <v>1490</v>
      </c>
      <c r="O80" s="30" t="s">
        <v>1490</v>
      </c>
      <c r="P80" s="30" t="s">
        <v>1490</v>
      </c>
      <c r="Q80" s="30" t="s">
        <v>1490</v>
      </c>
      <c r="R80" s="30">
        <v>56</v>
      </c>
      <c r="S80" s="30"/>
      <c r="T80" s="25" t="s">
        <v>1490</v>
      </c>
      <c r="U80" s="25" t="s">
        <v>1490</v>
      </c>
      <c r="V80" s="25" t="s">
        <v>1490</v>
      </c>
      <c r="W80" s="25" t="s">
        <v>1490</v>
      </c>
      <c r="X80" s="25" t="s">
        <v>1490</v>
      </c>
      <c r="Y80" s="25" t="s">
        <v>1490</v>
      </c>
      <c r="Z80" s="25" t="s">
        <v>1490</v>
      </c>
      <c r="AB80" s="27" t="s">
        <v>1490</v>
      </c>
      <c r="AC80" s="27" t="s">
        <v>1490</v>
      </c>
      <c r="AD80" s="27" t="s">
        <v>1490</v>
      </c>
      <c r="AE80" s="27" t="s">
        <v>1490</v>
      </c>
      <c r="AF80" s="27" t="s">
        <v>1490</v>
      </c>
      <c r="AG80" s="27" t="s">
        <v>1490</v>
      </c>
      <c r="AI80" s="25">
        <v>-1.1011841643790901</v>
      </c>
      <c r="AJ80" s="25">
        <v>5.8219178082191796</v>
      </c>
      <c r="AK80" s="25">
        <v>2.2739726027397298</v>
      </c>
      <c r="AL80" s="25">
        <v>5.4657534246575299</v>
      </c>
      <c r="AM80" s="25">
        <v>2.5068493150684898</v>
      </c>
      <c r="AN80" s="25">
        <v>5.5205479452054798</v>
      </c>
      <c r="AO80" s="25">
        <v>2.5616438356164402</v>
      </c>
      <c r="AP80" s="25">
        <v>6.0547945205479499</v>
      </c>
      <c r="AQ80" s="25">
        <v>1.2602739726027401</v>
      </c>
      <c r="AR80" s="25">
        <v>6.2876712328767104</v>
      </c>
      <c r="AS80" s="25">
        <v>6</v>
      </c>
      <c r="AT80" s="25">
        <v>1.75342465753425</v>
      </c>
      <c r="AU80" s="25">
        <v>1.06849315068493</v>
      </c>
      <c r="AW80" s="30">
        <v>0</v>
      </c>
      <c r="AX80" s="34">
        <v>5.5</v>
      </c>
      <c r="AY80" s="14" t="s">
        <v>25</v>
      </c>
      <c r="AZ80" s="14">
        <v>1</v>
      </c>
    </row>
    <row r="81" spans="1:52" x14ac:dyDescent="0.3">
      <c r="A81" s="16">
        <v>79</v>
      </c>
      <c r="B81" s="16" t="s">
        <v>770</v>
      </c>
      <c r="D81" s="25" t="s">
        <v>1490</v>
      </c>
      <c r="E81" s="25" t="s">
        <v>1490</v>
      </c>
      <c r="F81" s="25" t="s">
        <v>1490</v>
      </c>
      <c r="G81" s="25" t="s">
        <v>1490</v>
      </c>
      <c r="H81" s="25" t="s">
        <v>1490</v>
      </c>
      <c r="I81" s="25" t="s">
        <v>1490</v>
      </c>
      <c r="J81" s="25">
        <v>1.1069924374440401</v>
      </c>
      <c r="L81" s="30" t="s">
        <v>1490</v>
      </c>
      <c r="M81" s="30" t="s">
        <v>1490</v>
      </c>
      <c r="N81" s="30" t="s">
        <v>1490</v>
      </c>
      <c r="O81" s="30" t="s">
        <v>1490</v>
      </c>
      <c r="P81" s="30" t="s">
        <v>1490</v>
      </c>
      <c r="Q81" s="30" t="s">
        <v>1490</v>
      </c>
      <c r="R81" s="30">
        <v>30</v>
      </c>
      <c r="S81" s="30"/>
      <c r="T81" s="25" t="s">
        <v>1490</v>
      </c>
      <c r="U81" s="25" t="s">
        <v>1490</v>
      </c>
      <c r="V81" s="25" t="s">
        <v>1490</v>
      </c>
      <c r="W81" s="25" t="s">
        <v>1490</v>
      </c>
      <c r="X81" s="25" t="s">
        <v>1490</v>
      </c>
      <c r="Y81" s="25" t="s">
        <v>1490</v>
      </c>
      <c r="Z81" s="25" t="s">
        <v>1490</v>
      </c>
      <c r="AB81" s="27" t="s">
        <v>1490</v>
      </c>
      <c r="AC81" s="27" t="s">
        <v>1490</v>
      </c>
      <c r="AD81" s="27" t="s">
        <v>1490</v>
      </c>
      <c r="AE81" s="27" t="s">
        <v>1490</v>
      </c>
      <c r="AF81" s="27" t="s">
        <v>1490</v>
      </c>
      <c r="AG81" s="27" t="s">
        <v>1490</v>
      </c>
      <c r="AI81" s="25">
        <v>0.88779263359403304</v>
      </c>
      <c r="AJ81" s="25">
        <v>8.3698630136986303</v>
      </c>
      <c r="AK81" s="25">
        <v>1.0136986301369899</v>
      </c>
      <c r="AL81" s="25">
        <v>8.2191780821917799</v>
      </c>
      <c r="AM81" s="25">
        <v>1.17808219178082</v>
      </c>
      <c r="AN81" s="25">
        <v>8.3150684931506795</v>
      </c>
      <c r="AO81" s="25">
        <v>1.1506849315068499</v>
      </c>
      <c r="AP81" s="25">
        <v>7.3561643835616399</v>
      </c>
      <c r="AQ81" s="25">
        <v>0.63013698630137005</v>
      </c>
      <c r="AR81" s="25">
        <v>5.9452054794520501</v>
      </c>
      <c r="AS81" s="25">
        <v>6.8082191780821901</v>
      </c>
      <c r="AT81" s="25">
        <v>2.2739726027397298</v>
      </c>
      <c r="AU81" s="25">
        <v>0.64383561643835596</v>
      </c>
      <c r="AW81" s="30">
        <v>0</v>
      </c>
      <c r="AX81" s="34">
        <v>2.5</v>
      </c>
      <c r="AY81" s="14" t="s">
        <v>62</v>
      </c>
      <c r="AZ81" s="14">
        <v>0</v>
      </c>
    </row>
    <row r="82" spans="1:52" x14ac:dyDescent="0.3">
      <c r="A82" s="16">
        <v>80</v>
      </c>
      <c r="B82" s="18" t="s">
        <v>801</v>
      </c>
      <c r="D82" s="25" t="s">
        <v>1490</v>
      </c>
      <c r="E82" s="25" t="s">
        <v>1490</v>
      </c>
      <c r="F82" s="25" t="s">
        <v>1490</v>
      </c>
      <c r="G82" s="25" t="s">
        <v>1490</v>
      </c>
      <c r="H82" s="25" t="s">
        <v>1490</v>
      </c>
      <c r="I82" s="25" t="s">
        <v>1490</v>
      </c>
      <c r="J82" s="25">
        <v>0.67544375254869504</v>
      </c>
      <c r="L82" s="30" t="s">
        <v>1490</v>
      </c>
      <c r="M82" s="30" t="s">
        <v>1490</v>
      </c>
      <c r="N82" s="30" t="s">
        <v>1490</v>
      </c>
      <c r="O82" s="30" t="s">
        <v>1490</v>
      </c>
      <c r="P82" s="30" t="s">
        <v>1490</v>
      </c>
      <c r="Q82" s="30" t="s">
        <v>1490</v>
      </c>
      <c r="R82" s="30">
        <v>72</v>
      </c>
      <c r="S82" s="30"/>
      <c r="T82" s="25" t="s">
        <v>1490</v>
      </c>
      <c r="U82" s="25" t="s">
        <v>1490</v>
      </c>
      <c r="V82" s="25" t="s">
        <v>1490</v>
      </c>
      <c r="W82" s="25" t="s">
        <v>1490</v>
      </c>
      <c r="X82" s="25" t="s">
        <v>1490</v>
      </c>
      <c r="Y82" s="25" t="s">
        <v>1490</v>
      </c>
      <c r="Z82" s="25" t="s">
        <v>1490</v>
      </c>
      <c r="AB82" s="27" t="s">
        <v>1490</v>
      </c>
      <c r="AC82" s="27" t="s">
        <v>1490</v>
      </c>
      <c r="AD82" s="27" t="s">
        <v>1490</v>
      </c>
      <c r="AE82" s="27" t="s">
        <v>1490</v>
      </c>
      <c r="AF82" s="27" t="s">
        <v>1490</v>
      </c>
      <c r="AG82" s="27" t="s">
        <v>1490</v>
      </c>
      <c r="AI82" s="25">
        <v>-7.5135278604887598E-2</v>
      </c>
      <c r="AJ82" s="25">
        <v>7.3066666666666702</v>
      </c>
      <c r="AK82" s="25">
        <v>1.86666666666667</v>
      </c>
      <c r="AL82" s="25">
        <v>7.4666666666666703</v>
      </c>
      <c r="AM82" s="25">
        <v>2.0133333333333301</v>
      </c>
      <c r="AN82" s="25">
        <v>7.4</v>
      </c>
      <c r="AO82" s="25">
        <v>2.0533333333333301</v>
      </c>
      <c r="AP82" s="25">
        <v>6.9066666666666698</v>
      </c>
      <c r="AQ82" s="25">
        <v>1.28</v>
      </c>
      <c r="AR82" s="25">
        <v>6.0933333333333302</v>
      </c>
      <c r="AS82" s="25">
        <v>6.2</v>
      </c>
      <c r="AT82" s="25">
        <v>2.37333333333333</v>
      </c>
      <c r="AU82" s="25">
        <v>1.24</v>
      </c>
      <c r="AW82" s="30">
        <v>0</v>
      </c>
      <c r="AX82" s="34">
        <v>11.25</v>
      </c>
      <c r="AY82" s="14" t="s">
        <v>41</v>
      </c>
      <c r="AZ82" s="14">
        <v>0</v>
      </c>
    </row>
    <row r="83" spans="1:52" x14ac:dyDescent="0.3">
      <c r="A83" s="16">
        <v>81</v>
      </c>
      <c r="B83" s="18" t="s">
        <v>743</v>
      </c>
      <c r="D83" s="25" t="s">
        <v>1490</v>
      </c>
      <c r="E83" s="25" t="s">
        <v>1490</v>
      </c>
      <c r="F83" s="25" t="s">
        <v>1490</v>
      </c>
      <c r="G83" s="25" t="s">
        <v>1490</v>
      </c>
      <c r="H83" s="25" t="s">
        <v>1490</v>
      </c>
      <c r="I83" s="25" t="s">
        <v>1490</v>
      </c>
      <c r="J83" s="25">
        <v>0.62581318118319895</v>
      </c>
      <c r="L83" s="30" t="s">
        <v>1490</v>
      </c>
      <c r="M83" s="30" t="s">
        <v>1490</v>
      </c>
      <c r="N83" s="30" t="s">
        <v>1490</v>
      </c>
      <c r="O83" s="30" t="s">
        <v>1490</v>
      </c>
      <c r="P83" s="30" t="s">
        <v>1490</v>
      </c>
      <c r="Q83" s="30" t="s">
        <v>1490</v>
      </c>
      <c r="R83" s="30">
        <v>47</v>
      </c>
      <c r="S83" s="30"/>
      <c r="T83" s="25" t="s">
        <v>1490</v>
      </c>
      <c r="U83" s="25" t="s">
        <v>1490</v>
      </c>
      <c r="V83" s="25" t="s">
        <v>1490</v>
      </c>
      <c r="W83" s="25" t="s">
        <v>1490</v>
      </c>
      <c r="X83" s="25" t="s">
        <v>1490</v>
      </c>
      <c r="Y83" s="25" t="s">
        <v>1490</v>
      </c>
      <c r="Z83" s="25" t="s">
        <v>1490</v>
      </c>
      <c r="AB83" s="27" t="s">
        <v>1490</v>
      </c>
      <c r="AC83" s="27" t="s">
        <v>1490</v>
      </c>
      <c r="AD83" s="27" t="s">
        <v>1490</v>
      </c>
      <c r="AE83" s="27" t="s">
        <v>1490</v>
      </c>
      <c r="AF83" s="27" t="s">
        <v>1490</v>
      </c>
      <c r="AG83" s="27" t="s">
        <v>1490</v>
      </c>
      <c r="AI83" s="25">
        <v>-0.43282697202799603</v>
      </c>
      <c r="AJ83" s="25">
        <v>7.0136986301369904</v>
      </c>
      <c r="AK83" s="25">
        <v>2.1506849315068499</v>
      </c>
      <c r="AL83" s="25">
        <v>6.97260273972603</v>
      </c>
      <c r="AM83" s="25">
        <v>2.3424657534246598</v>
      </c>
      <c r="AN83" s="25">
        <v>7.0547945205479499</v>
      </c>
      <c r="AO83" s="25">
        <v>2.3424657534246598</v>
      </c>
      <c r="AP83" s="25">
        <v>6.8493150684931496</v>
      </c>
      <c r="AQ83" s="25">
        <v>1.47945205479452</v>
      </c>
      <c r="AR83" s="25">
        <v>5.0821917808219199</v>
      </c>
      <c r="AS83" s="25">
        <v>5.2191780821917799</v>
      </c>
      <c r="AT83" s="25">
        <v>3.2876712328767099</v>
      </c>
      <c r="AU83" s="25">
        <v>1.4931506849315099</v>
      </c>
      <c r="AW83" s="30">
        <v>0</v>
      </c>
      <c r="AX83" s="34">
        <v>8.5</v>
      </c>
      <c r="AY83" s="14" t="s">
        <v>357</v>
      </c>
      <c r="AZ83" s="14">
        <v>1</v>
      </c>
    </row>
    <row r="84" spans="1:52" x14ac:dyDescent="0.3">
      <c r="A84" s="16">
        <v>82</v>
      </c>
      <c r="B84" s="16" t="s">
        <v>817</v>
      </c>
      <c r="D84" s="25" t="s">
        <v>1490</v>
      </c>
      <c r="E84" s="25" t="s">
        <v>1490</v>
      </c>
      <c r="F84" s="25" t="s">
        <v>1490</v>
      </c>
      <c r="G84" s="25" t="s">
        <v>1490</v>
      </c>
      <c r="H84" s="25" t="s">
        <v>1490</v>
      </c>
      <c r="I84" s="25" t="s">
        <v>1490</v>
      </c>
      <c r="J84" s="25">
        <v>0.51632653542937101</v>
      </c>
      <c r="L84" s="30" t="s">
        <v>1490</v>
      </c>
      <c r="M84" s="30" t="s">
        <v>1490</v>
      </c>
      <c r="N84" s="30" t="s">
        <v>1490</v>
      </c>
      <c r="O84" s="30" t="s">
        <v>1490</v>
      </c>
      <c r="P84" s="30" t="s">
        <v>1490</v>
      </c>
      <c r="Q84" s="30" t="s">
        <v>1490</v>
      </c>
      <c r="R84" s="30">
        <v>28</v>
      </c>
      <c r="S84" s="30"/>
      <c r="T84" s="25" t="s">
        <v>1490</v>
      </c>
      <c r="U84" s="25" t="s">
        <v>1490</v>
      </c>
      <c r="V84" s="25" t="s">
        <v>1490</v>
      </c>
      <c r="W84" s="25" t="s">
        <v>1490</v>
      </c>
      <c r="X84" s="25" t="s">
        <v>1490</v>
      </c>
      <c r="Y84" s="25" t="s">
        <v>1490</v>
      </c>
      <c r="Z84" s="25" t="s">
        <v>1490</v>
      </c>
      <c r="AB84" s="27" t="s">
        <v>1490</v>
      </c>
      <c r="AC84" s="27" t="s">
        <v>1490</v>
      </c>
      <c r="AD84" s="27" t="s">
        <v>1490</v>
      </c>
      <c r="AE84" s="27" t="s">
        <v>1490</v>
      </c>
      <c r="AF84" s="27" t="s">
        <v>1490</v>
      </c>
      <c r="AG84" s="27" t="s">
        <v>1490</v>
      </c>
      <c r="AI84" s="25">
        <v>0.84519190599473604</v>
      </c>
      <c r="AJ84" s="25">
        <v>8.1369863013698591</v>
      </c>
      <c r="AK84" s="25">
        <v>1.10958904109589</v>
      </c>
      <c r="AL84" s="25">
        <v>8.1369863013698591</v>
      </c>
      <c r="AM84" s="25">
        <v>1.0547945205479501</v>
      </c>
      <c r="AN84" s="25">
        <v>8.1506849315068504</v>
      </c>
      <c r="AO84" s="25">
        <v>1.06849315068493</v>
      </c>
      <c r="AP84" s="25">
        <v>7.6849315068493196</v>
      </c>
      <c r="AQ84" s="25">
        <v>0.64383561643835596</v>
      </c>
      <c r="AR84" s="25">
        <v>5.8493150684931496</v>
      </c>
      <c r="AS84" s="25">
        <v>6.4657534246575299</v>
      </c>
      <c r="AT84" s="25">
        <v>1.68493150684932</v>
      </c>
      <c r="AU84" s="25">
        <v>0.71232876712328796</v>
      </c>
      <c r="AW84" s="30">
        <v>0</v>
      </c>
      <c r="AX84" s="34">
        <v>9.25</v>
      </c>
      <c r="AY84" s="14" t="s">
        <v>41</v>
      </c>
      <c r="AZ84" s="14">
        <v>0</v>
      </c>
    </row>
    <row r="85" spans="1:52" x14ac:dyDescent="0.3">
      <c r="A85" s="16">
        <v>83</v>
      </c>
      <c r="B85" s="16" t="s">
        <v>753</v>
      </c>
      <c r="D85" s="25" t="s">
        <v>1490</v>
      </c>
      <c r="E85" s="25" t="s">
        <v>1490</v>
      </c>
      <c r="F85" s="25" t="s">
        <v>1490</v>
      </c>
      <c r="G85" s="25" t="s">
        <v>1490</v>
      </c>
      <c r="H85" s="25" t="s">
        <v>1490</v>
      </c>
      <c r="I85" s="25" t="s">
        <v>1490</v>
      </c>
      <c r="J85" s="25">
        <v>0.61721339984836798</v>
      </c>
      <c r="L85" s="30" t="s">
        <v>1490</v>
      </c>
      <c r="M85" s="30" t="s">
        <v>1490</v>
      </c>
      <c r="N85" s="30" t="s">
        <v>1490</v>
      </c>
      <c r="O85" s="30" t="s">
        <v>1490</v>
      </c>
      <c r="P85" s="30" t="s">
        <v>1490</v>
      </c>
      <c r="Q85" s="30" t="s">
        <v>1490</v>
      </c>
      <c r="R85" s="30">
        <v>3</v>
      </c>
      <c r="S85" s="30"/>
      <c r="T85" s="25" t="s">
        <v>1490</v>
      </c>
      <c r="U85" s="25" t="s">
        <v>1490</v>
      </c>
      <c r="V85" s="25" t="s">
        <v>1490</v>
      </c>
      <c r="W85" s="25" t="s">
        <v>1490</v>
      </c>
      <c r="X85" s="25" t="s">
        <v>1490</v>
      </c>
      <c r="Y85" s="25" t="s">
        <v>1490</v>
      </c>
      <c r="Z85" s="25" t="s">
        <v>1490</v>
      </c>
      <c r="AB85" s="27" t="s">
        <v>1490</v>
      </c>
      <c r="AC85" s="27" t="s">
        <v>1490</v>
      </c>
      <c r="AD85" s="27" t="s">
        <v>1490</v>
      </c>
      <c r="AE85" s="27" t="s">
        <v>1490</v>
      </c>
      <c r="AF85" s="27" t="s">
        <v>1490</v>
      </c>
      <c r="AG85" s="27" t="s">
        <v>1490</v>
      </c>
      <c r="AI85" s="25">
        <v>0.154524680874147</v>
      </c>
      <c r="AJ85" s="25">
        <v>7.3013698630136998</v>
      </c>
      <c r="AK85" s="25">
        <v>1.3561643835616399</v>
      </c>
      <c r="AL85" s="25">
        <v>7.4657534246575299</v>
      </c>
      <c r="AM85" s="25">
        <v>1.75342465753425</v>
      </c>
      <c r="AN85" s="25">
        <v>7.1506849315068504</v>
      </c>
      <c r="AO85" s="25">
        <v>1.72602739726027</v>
      </c>
      <c r="AP85" s="25">
        <v>7.2876712328767104</v>
      </c>
      <c r="AQ85" s="25">
        <v>1.13698630136986</v>
      </c>
      <c r="AR85" s="25">
        <v>6.3287671232876699</v>
      </c>
      <c r="AS85" s="25">
        <v>6.5479452054794498</v>
      </c>
      <c r="AT85" s="25">
        <v>2.1232876712328799</v>
      </c>
      <c r="AU85" s="25">
        <v>1.0136986301369899</v>
      </c>
      <c r="AW85" s="30">
        <v>0</v>
      </c>
      <c r="AX85" s="34">
        <v>10.6666666666667</v>
      </c>
      <c r="AY85" s="14" t="s">
        <v>31</v>
      </c>
      <c r="AZ85" s="14">
        <v>1</v>
      </c>
    </row>
    <row r="86" spans="1:52" x14ac:dyDescent="0.3">
      <c r="A86" s="16">
        <v>84</v>
      </c>
      <c r="B86" s="16" t="s">
        <v>819</v>
      </c>
      <c r="D86" s="25" t="s">
        <v>1490</v>
      </c>
      <c r="E86" s="25" t="s">
        <v>1490</v>
      </c>
      <c r="F86" s="25" t="s">
        <v>1490</v>
      </c>
      <c r="G86" s="25" t="s">
        <v>1490</v>
      </c>
      <c r="H86" s="25">
        <v>0.20368003940618801</v>
      </c>
      <c r="I86" s="25" t="s">
        <v>1490</v>
      </c>
      <c r="J86" s="25">
        <v>0.63919616604235197</v>
      </c>
      <c r="L86" s="30" t="s">
        <v>1490</v>
      </c>
      <c r="M86" s="30" t="s">
        <v>1490</v>
      </c>
      <c r="N86" s="30" t="s">
        <v>1490</v>
      </c>
      <c r="O86" s="30" t="s">
        <v>1490</v>
      </c>
      <c r="P86" s="30">
        <v>18</v>
      </c>
      <c r="Q86" s="30" t="s">
        <v>1490</v>
      </c>
      <c r="R86" s="30">
        <v>19</v>
      </c>
      <c r="S86" s="30"/>
      <c r="T86" s="25" t="s">
        <v>1490</v>
      </c>
      <c r="U86" s="25" t="s">
        <v>1490</v>
      </c>
      <c r="V86" s="25" t="s">
        <v>1490</v>
      </c>
      <c r="W86" s="25" t="s">
        <v>1490</v>
      </c>
      <c r="X86" s="25">
        <v>0.32116224943794902</v>
      </c>
      <c r="Y86" s="25" t="s">
        <v>1490</v>
      </c>
      <c r="Z86" s="25" t="s">
        <v>1490</v>
      </c>
      <c r="AB86" s="27" t="s">
        <v>1490</v>
      </c>
      <c r="AC86" s="27" t="s">
        <v>1490</v>
      </c>
      <c r="AD86" s="27" t="s">
        <v>1490</v>
      </c>
      <c r="AE86" s="27" t="s">
        <v>1490</v>
      </c>
      <c r="AF86" s="27">
        <v>37</v>
      </c>
      <c r="AG86" s="27" t="s">
        <v>1490</v>
      </c>
      <c r="AI86" s="25">
        <v>0.40840239673501999</v>
      </c>
      <c r="AJ86" s="25">
        <v>7.8356164383561602</v>
      </c>
      <c r="AK86" s="25">
        <v>1.45205479452055</v>
      </c>
      <c r="AL86" s="25">
        <v>7.6575342465753398</v>
      </c>
      <c r="AM86" s="25">
        <v>1.45205479452055</v>
      </c>
      <c r="AN86" s="25">
        <v>7.6301369863013697</v>
      </c>
      <c r="AO86" s="25">
        <v>1.47945205479452</v>
      </c>
      <c r="AP86" s="25">
        <v>7.75342465753425</v>
      </c>
      <c r="AQ86" s="25">
        <v>0.97260273972602695</v>
      </c>
      <c r="AR86" s="25">
        <v>5.7808219178082201</v>
      </c>
      <c r="AS86" s="25">
        <v>6.3013698630136998</v>
      </c>
      <c r="AT86" s="25">
        <v>2.13698630136986</v>
      </c>
      <c r="AU86" s="25">
        <v>1.0136986301369899</v>
      </c>
      <c r="AW86" s="30">
        <v>0</v>
      </c>
      <c r="AX86" s="34">
        <v>7.8808333333333298</v>
      </c>
      <c r="AY86" s="14" t="s">
        <v>25</v>
      </c>
      <c r="AZ86" s="14">
        <v>1</v>
      </c>
    </row>
    <row r="87" spans="1:52" x14ac:dyDescent="0.3">
      <c r="A87" s="16">
        <v>85</v>
      </c>
      <c r="B87" s="16" t="s">
        <v>582</v>
      </c>
      <c r="D87" s="25" t="s">
        <v>1490</v>
      </c>
      <c r="E87" s="25" t="s">
        <v>1490</v>
      </c>
      <c r="F87" s="25" t="s">
        <v>1490</v>
      </c>
      <c r="G87" s="25" t="s">
        <v>1490</v>
      </c>
      <c r="H87" s="25" t="s">
        <v>1490</v>
      </c>
      <c r="I87" s="25" t="s">
        <v>1490</v>
      </c>
      <c r="J87" s="25">
        <v>1.64336805092577</v>
      </c>
      <c r="L87" s="30" t="s">
        <v>1490</v>
      </c>
      <c r="M87" s="30" t="s">
        <v>1490</v>
      </c>
      <c r="N87" s="30" t="s">
        <v>1490</v>
      </c>
      <c r="O87" s="30" t="s">
        <v>1490</v>
      </c>
      <c r="P87" s="30" t="s">
        <v>1490</v>
      </c>
      <c r="Q87" s="30" t="s">
        <v>1490</v>
      </c>
      <c r="R87" s="30">
        <v>40</v>
      </c>
      <c r="S87" s="30"/>
      <c r="T87" s="25" t="s">
        <v>1490</v>
      </c>
      <c r="U87" s="25" t="s">
        <v>1490</v>
      </c>
      <c r="V87" s="25" t="s">
        <v>1490</v>
      </c>
      <c r="W87" s="25" t="s">
        <v>1490</v>
      </c>
      <c r="X87" s="25" t="s">
        <v>1490</v>
      </c>
      <c r="Y87" s="25" t="s">
        <v>1490</v>
      </c>
      <c r="Z87" s="25" t="s">
        <v>1490</v>
      </c>
      <c r="AB87" s="27" t="s">
        <v>1490</v>
      </c>
      <c r="AC87" s="27" t="s">
        <v>1490</v>
      </c>
      <c r="AD87" s="27" t="s">
        <v>1490</v>
      </c>
      <c r="AE87" s="27" t="s">
        <v>1490</v>
      </c>
      <c r="AF87" s="27" t="s">
        <v>1490</v>
      </c>
      <c r="AG87" s="27" t="s">
        <v>1490</v>
      </c>
      <c r="AI87" s="25">
        <v>0.120048753830734</v>
      </c>
      <c r="AJ87" s="25">
        <v>7.3698630136986303</v>
      </c>
      <c r="AK87" s="25">
        <v>1.5616438356164399</v>
      </c>
      <c r="AL87" s="25">
        <v>7.3561643835616399</v>
      </c>
      <c r="AM87" s="25">
        <v>1.7671232876712299</v>
      </c>
      <c r="AN87" s="25">
        <v>7.3835616438356197</v>
      </c>
      <c r="AO87" s="25">
        <v>1.7397260273972599</v>
      </c>
      <c r="AP87" s="25">
        <v>7.2328767123287703</v>
      </c>
      <c r="AQ87" s="25">
        <v>1.0958904109589001</v>
      </c>
      <c r="AR87" s="25">
        <v>6.86301369863014</v>
      </c>
      <c r="AS87" s="25">
        <v>6.6575342465753398</v>
      </c>
      <c r="AT87" s="25">
        <v>2.31506849315068</v>
      </c>
      <c r="AU87" s="25">
        <v>1.04109589041096</v>
      </c>
      <c r="AW87" s="30">
        <v>0</v>
      </c>
      <c r="AX87" s="34">
        <v>5.9212499999999997</v>
      </c>
      <c r="AY87" s="14" t="s">
        <v>41</v>
      </c>
      <c r="AZ87" s="14">
        <v>0</v>
      </c>
    </row>
    <row r="88" spans="1:52" x14ac:dyDescent="0.3">
      <c r="A88" s="16">
        <v>86</v>
      </c>
      <c r="B88" s="16" t="s">
        <v>735</v>
      </c>
      <c r="D88" s="25" t="s">
        <v>1490</v>
      </c>
      <c r="E88" s="25" t="s">
        <v>1490</v>
      </c>
      <c r="F88" s="25" t="s">
        <v>1490</v>
      </c>
      <c r="G88" s="25" t="s">
        <v>1490</v>
      </c>
      <c r="H88" s="25" t="s">
        <v>1490</v>
      </c>
      <c r="I88" s="25" t="s">
        <v>1490</v>
      </c>
      <c r="J88" s="25">
        <v>1.5403258398701201</v>
      </c>
      <c r="L88" s="30" t="s">
        <v>1490</v>
      </c>
      <c r="M88" s="30" t="s">
        <v>1490</v>
      </c>
      <c r="N88" s="30" t="s">
        <v>1490</v>
      </c>
      <c r="O88" s="30" t="s">
        <v>1490</v>
      </c>
      <c r="P88" s="30" t="s">
        <v>1490</v>
      </c>
      <c r="Q88" s="30" t="s">
        <v>1490</v>
      </c>
      <c r="R88" s="30">
        <v>101</v>
      </c>
      <c r="S88" s="30"/>
      <c r="T88" s="25" t="s">
        <v>1490</v>
      </c>
      <c r="U88" s="25" t="s">
        <v>1490</v>
      </c>
      <c r="V88" s="25" t="s">
        <v>1490</v>
      </c>
      <c r="W88" s="25" t="s">
        <v>1490</v>
      </c>
      <c r="X88" s="25" t="s">
        <v>1490</v>
      </c>
      <c r="Y88" s="25" t="s">
        <v>1490</v>
      </c>
      <c r="Z88" s="25" t="s">
        <v>1490</v>
      </c>
      <c r="AB88" s="27" t="s">
        <v>1490</v>
      </c>
      <c r="AC88" s="27" t="s">
        <v>1490</v>
      </c>
      <c r="AD88" s="27" t="s">
        <v>1490</v>
      </c>
      <c r="AE88" s="27" t="s">
        <v>1490</v>
      </c>
      <c r="AF88" s="27" t="s">
        <v>1490</v>
      </c>
      <c r="AG88" s="27" t="s">
        <v>1490</v>
      </c>
      <c r="AI88" s="25">
        <v>1.0372151383447199</v>
      </c>
      <c r="AJ88" s="25">
        <v>8.5205479452054806</v>
      </c>
      <c r="AK88" s="25">
        <v>0.91780821917808197</v>
      </c>
      <c r="AL88" s="25">
        <v>8.3972602739726003</v>
      </c>
      <c r="AM88" s="25">
        <v>1</v>
      </c>
      <c r="AN88" s="25">
        <v>8.3835616438356197</v>
      </c>
      <c r="AO88" s="25">
        <v>1</v>
      </c>
      <c r="AP88" s="25">
        <v>8.4246575342465793</v>
      </c>
      <c r="AQ88" s="25">
        <v>0.54794520547945202</v>
      </c>
      <c r="AR88" s="25">
        <v>6.4383561643835598</v>
      </c>
      <c r="AS88" s="25">
        <v>7.0821917808219199</v>
      </c>
      <c r="AT88" s="25">
        <v>2.10958904109589</v>
      </c>
      <c r="AU88" s="25">
        <v>0.56164383561643805</v>
      </c>
      <c r="AW88" s="30">
        <v>1</v>
      </c>
      <c r="AX88" s="34">
        <v>15</v>
      </c>
      <c r="AY88" s="14" t="s">
        <v>62</v>
      </c>
      <c r="AZ88" s="14">
        <v>0</v>
      </c>
    </row>
    <row r="89" spans="1:52" x14ac:dyDescent="0.3">
      <c r="A89" s="16">
        <v>87</v>
      </c>
      <c r="B89" s="16" t="s">
        <v>763</v>
      </c>
      <c r="D89" s="25" t="s">
        <v>1490</v>
      </c>
      <c r="E89" s="25" t="s">
        <v>1490</v>
      </c>
      <c r="F89" s="25" t="s">
        <v>1490</v>
      </c>
      <c r="G89" s="25" t="s">
        <v>1490</v>
      </c>
      <c r="H89" s="25" t="s">
        <v>1490</v>
      </c>
      <c r="I89" s="25" t="s">
        <v>1490</v>
      </c>
      <c r="J89" s="25">
        <v>9.6640976647017596E-2</v>
      </c>
      <c r="L89" s="30" t="s">
        <v>1490</v>
      </c>
      <c r="M89" s="30" t="s">
        <v>1490</v>
      </c>
      <c r="N89" s="30" t="s">
        <v>1490</v>
      </c>
      <c r="O89" s="30" t="s">
        <v>1490</v>
      </c>
      <c r="P89" s="30" t="s">
        <v>1490</v>
      </c>
      <c r="Q89" s="30" t="s">
        <v>1490</v>
      </c>
      <c r="R89" s="30">
        <v>58</v>
      </c>
      <c r="S89" s="30"/>
      <c r="T89" s="25" t="s">
        <v>1490</v>
      </c>
      <c r="U89" s="25" t="s">
        <v>1490</v>
      </c>
      <c r="V89" s="25" t="s">
        <v>1490</v>
      </c>
      <c r="W89" s="25" t="s">
        <v>1490</v>
      </c>
      <c r="X89" s="25" t="s">
        <v>1490</v>
      </c>
      <c r="Y89" s="25" t="s">
        <v>1490</v>
      </c>
      <c r="Z89" s="25" t="s">
        <v>1490</v>
      </c>
      <c r="AB89" s="27" t="s">
        <v>1490</v>
      </c>
      <c r="AC89" s="27" t="s">
        <v>1490</v>
      </c>
      <c r="AD89" s="27" t="s">
        <v>1490</v>
      </c>
      <c r="AE89" s="27" t="s">
        <v>1490</v>
      </c>
      <c r="AF89" s="27" t="s">
        <v>1490</v>
      </c>
      <c r="AG89" s="27" t="s">
        <v>1490</v>
      </c>
      <c r="AI89" s="25">
        <v>-0.171666416346064</v>
      </c>
      <c r="AJ89" s="25">
        <v>7.3287671232876699</v>
      </c>
      <c r="AK89" s="25">
        <v>2.02739726027397</v>
      </c>
      <c r="AL89" s="25">
        <v>7.3561643835616399</v>
      </c>
      <c r="AM89" s="25">
        <v>2.06849315068493</v>
      </c>
      <c r="AN89" s="25">
        <v>7.3013698630136998</v>
      </c>
      <c r="AO89" s="25">
        <v>2.13698630136986</v>
      </c>
      <c r="AP89" s="25">
        <v>6.8767123287671197</v>
      </c>
      <c r="AQ89" s="25">
        <v>1.58904109589041</v>
      </c>
      <c r="AR89" s="25">
        <v>5.6849315068493196</v>
      </c>
      <c r="AS89" s="25">
        <v>5.8767123287671197</v>
      </c>
      <c r="AT89" s="25">
        <v>2.6027397260274001</v>
      </c>
      <c r="AU89" s="25">
        <v>1.5753424657534201</v>
      </c>
      <c r="AW89" s="30">
        <v>0</v>
      </c>
      <c r="AX89" s="34">
        <v>7.58</v>
      </c>
      <c r="AY89" s="14" t="s">
        <v>38</v>
      </c>
      <c r="AZ89" s="14">
        <v>1</v>
      </c>
    </row>
    <row r="90" spans="1:52" x14ac:dyDescent="0.3">
      <c r="A90" s="16">
        <v>88</v>
      </c>
      <c r="B90" s="16" t="s">
        <v>824</v>
      </c>
      <c r="D90" s="25" t="s">
        <v>1490</v>
      </c>
      <c r="E90" s="25" t="s">
        <v>1490</v>
      </c>
      <c r="F90" s="25" t="s">
        <v>1490</v>
      </c>
      <c r="G90" s="25" t="s">
        <v>1490</v>
      </c>
      <c r="H90" s="25" t="s">
        <v>1490</v>
      </c>
      <c r="I90" s="25" t="s">
        <v>1490</v>
      </c>
      <c r="J90" s="25">
        <v>1.24849084173614</v>
      </c>
      <c r="L90" s="30" t="s">
        <v>1490</v>
      </c>
      <c r="M90" s="30" t="s">
        <v>1490</v>
      </c>
      <c r="N90" s="30" t="s">
        <v>1490</v>
      </c>
      <c r="O90" s="30" t="s">
        <v>1490</v>
      </c>
      <c r="P90" s="30" t="s">
        <v>1490</v>
      </c>
      <c r="Q90" s="30" t="s">
        <v>1490</v>
      </c>
      <c r="R90" s="30">
        <v>37</v>
      </c>
      <c r="S90" s="30"/>
      <c r="T90" s="25" t="s">
        <v>1490</v>
      </c>
      <c r="U90" s="25" t="s">
        <v>1490</v>
      </c>
      <c r="V90" s="25" t="s">
        <v>1490</v>
      </c>
      <c r="W90" s="25" t="s">
        <v>1490</v>
      </c>
      <c r="X90" s="25" t="s">
        <v>1490</v>
      </c>
      <c r="Y90" s="25" t="s">
        <v>1490</v>
      </c>
      <c r="Z90" s="25" t="s">
        <v>1490</v>
      </c>
      <c r="AB90" s="27" t="s">
        <v>1490</v>
      </c>
      <c r="AC90" s="27" t="s">
        <v>1490</v>
      </c>
      <c r="AD90" s="27" t="s">
        <v>1490</v>
      </c>
      <c r="AE90" s="27" t="s">
        <v>1490</v>
      </c>
      <c r="AF90" s="27" t="s">
        <v>1490</v>
      </c>
      <c r="AG90" s="27" t="s">
        <v>1490</v>
      </c>
      <c r="AI90" s="25">
        <v>0.25712361209781598</v>
      </c>
      <c r="AJ90" s="25">
        <v>7.4931506849315097</v>
      </c>
      <c r="AK90" s="25">
        <v>1.4657534246575299</v>
      </c>
      <c r="AL90" s="25">
        <v>7.2876712328767104</v>
      </c>
      <c r="AM90" s="25">
        <v>1.5342465753424701</v>
      </c>
      <c r="AN90" s="25">
        <v>7.3013698630136998</v>
      </c>
      <c r="AO90" s="25">
        <v>1.45205479452055</v>
      </c>
      <c r="AP90" s="25">
        <v>7.2739726027397298</v>
      </c>
      <c r="AQ90" s="25">
        <v>1.0821917808219199</v>
      </c>
      <c r="AR90" s="25">
        <v>5.5616438356164402</v>
      </c>
      <c r="AS90" s="25">
        <v>5.2739726027397298</v>
      </c>
      <c r="AT90" s="25">
        <v>2.0958904109589001</v>
      </c>
      <c r="AU90" s="25">
        <v>0.931506849315068</v>
      </c>
      <c r="AW90" s="30">
        <v>0</v>
      </c>
      <c r="AX90" s="34">
        <v>26.3783783783784</v>
      </c>
      <c r="AY90" s="14" t="s">
        <v>41</v>
      </c>
      <c r="AZ90" s="14">
        <v>0</v>
      </c>
    </row>
    <row r="91" spans="1:52" x14ac:dyDescent="0.3">
      <c r="A91" s="16">
        <v>89</v>
      </c>
      <c r="B91" s="16" t="s">
        <v>798</v>
      </c>
      <c r="D91" s="25" t="s">
        <v>1490</v>
      </c>
      <c r="E91" s="25" t="s">
        <v>1490</v>
      </c>
      <c r="F91" s="25" t="s">
        <v>1490</v>
      </c>
      <c r="G91" s="25" t="s">
        <v>1490</v>
      </c>
      <c r="H91" s="25" t="s">
        <v>1490</v>
      </c>
      <c r="I91" s="25" t="s">
        <v>1490</v>
      </c>
      <c r="J91" s="25">
        <v>2.39814150591324</v>
      </c>
      <c r="L91" s="30" t="s">
        <v>1490</v>
      </c>
      <c r="M91" s="30" t="s">
        <v>1490</v>
      </c>
      <c r="N91" s="30" t="s">
        <v>1490</v>
      </c>
      <c r="O91" s="30" t="s">
        <v>1490</v>
      </c>
      <c r="P91" s="30" t="s">
        <v>1490</v>
      </c>
      <c r="Q91" s="30" t="s">
        <v>1490</v>
      </c>
      <c r="R91" s="30">
        <v>2</v>
      </c>
      <c r="S91" s="30"/>
      <c r="T91" s="25" t="s">
        <v>1490</v>
      </c>
      <c r="U91" s="25" t="s">
        <v>1490</v>
      </c>
      <c r="V91" s="25" t="s">
        <v>1490</v>
      </c>
      <c r="W91" s="25" t="s">
        <v>1490</v>
      </c>
      <c r="X91" s="25" t="s">
        <v>1490</v>
      </c>
      <c r="Y91" s="25" t="s">
        <v>1490</v>
      </c>
      <c r="Z91" s="25" t="s">
        <v>1490</v>
      </c>
      <c r="AB91" s="27" t="s">
        <v>1490</v>
      </c>
      <c r="AC91" s="27" t="s">
        <v>1490</v>
      </c>
      <c r="AD91" s="27" t="s">
        <v>1490</v>
      </c>
      <c r="AE91" s="27" t="s">
        <v>1490</v>
      </c>
      <c r="AF91" s="27" t="s">
        <v>1490</v>
      </c>
      <c r="AG91" s="27" t="s">
        <v>1490</v>
      </c>
      <c r="AI91" s="25">
        <v>0.49798772988274398</v>
      </c>
      <c r="AJ91" s="25">
        <v>7.8493150684931496</v>
      </c>
      <c r="AK91" s="25">
        <v>1.3561643835616399</v>
      </c>
      <c r="AL91" s="25">
        <v>8</v>
      </c>
      <c r="AM91" s="25">
        <v>1.5068493150684901</v>
      </c>
      <c r="AN91" s="25">
        <v>7.9863013698630096</v>
      </c>
      <c r="AO91" s="25">
        <v>1.54794520547945</v>
      </c>
      <c r="AP91" s="25">
        <v>7.3972602739726003</v>
      </c>
      <c r="AQ91" s="25">
        <v>0.75342465753424703</v>
      </c>
      <c r="AR91" s="25">
        <v>6.02739726027397</v>
      </c>
      <c r="AS91" s="25">
        <v>6.3561643835616399</v>
      </c>
      <c r="AT91" s="25">
        <v>1.93150684931507</v>
      </c>
      <c r="AU91" s="25">
        <v>0.84931506849315097</v>
      </c>
      <c r="AW91" s="30">
        <v>1</v>
      </c>
      <c r="AX91" s="34">
        <v>9</v>
      </c>
      <c r="AY91" s="14" t="s">
        <v>62</v>
      </c>
      <c r="AZ91" s="14">
        <v>0</v>
      </c>
    </row>
    <row r="92" spans="1:52" x14ac:dyDescent="0.3">
      <c r="A92" s="16">
        <v>90</v>
      </c>
      <c r="B92" s="16" t="s">
        <v>804</v>
      </c>
      <c r="D92" s="25" t="s">
        <v>1490</v>
      </c>
      <c r="E92" s="25" t="s">
        <v>1490</v>
      </c>
      <c r="F92" s="25" t="s">
        <v>1490</v>
      </c>
      <c r="G92" s="25" t="s">
        <v>1490</v>
      </c>
      <c r="H92" s="25" t="s">
        <v>1490</v>
      </c>
      <c r="I92" s="25" t="s">
        <v>1490</v>
      </c>
      <c r="J92" s="25">
        <v>1.25226027033146</v>
      </c>
      <c r="L92" s="30" t="s">
        <v>1490</v>
      </c>
      <c r="M92" s="30" t="s">
        <v>1490</v>
      </c>
      <c r="N92" s="30" t="s">
        <v>1490</v>
      </c>
      <c r="O92" s="30" t="s">
        <v>1490</v>
      </c>
      <c r="P92" s="30" t="s">
        <v>1490</v>
      </c>
      <c r="Q92" s="30" t="s">
        <v>1490</v>
      </c>
      <c r="R92" s="30">
        <v>995</v>
      </c>
      <c r="S92" s="30"/>
      <c r="T92" s="25" t="s">
        <v>1490</v>
      </c>
      <c r="U92" s="25" t="s">
        <v>1490</v>
      </c>
      <c r="V92" s="25" t="s">
        <v>1490</v>
      </c>
      <c r="W92" s="25" t="s">
        <v>1490</v>
      </c>
      <c r="X92" s="25" t="s">
        <v>1490</v>
      </c>
      <c r="Y92" s="25" t="s">
        <v>1490</v>
      </c>
      <c r="Z92" s="25" t="s">
        <v>1490</v>
      </c>
      <c r="AB92" s="27" t="s">
        <v>1490</v>
      </c>
      <c r="AC92" s="27" t="s">
        <v>1490</v>
      </c>
      <c r="AD92" s="27" t="s">
        <v>1490</v>
      </c>
      <c r="AE92" s="27" t="s">
        <v>1490</v>
      </c>
      <c r="AF92" s="27" t="s">
        <v>1490</v>
      </c>
      <c r="AG92" s="27" t="s">
        <v>1490</v>
      </c>
      <c r="AI92" s="25">
        <v>1.31669500572803</v>
      </c>
      <c r="AJ92" s="25">
        <v>8.6301369863013697</v>
      </c>
      <c r="AK92" s="25">
        <v>0.68493150684931503</v>
      </c>
      <c r="AL92" s="25">
        <v>8.75342465753425</v>
      </c>
      <c r="AM92" s="25">
        <v>0.75342465753424703</v>
      </c>
      <c r="AN92" s="25">
        <v>8.7671232876712306</v>
      </c>
      <c r="AO92" s="25">
        <v>0.75342465753424703</v>
      </c>
      <c r="AP92" s="25">
        <v>7.7123287671232896</v>
      </c>
      <c r="AQ92" s="25">
        <v>0.45205479452054798</v>
      </c>
      <c r="AR92" s="25">
        <v>5.1506849315068504</v>
      </c>
      <c r="AS92" s="25">
        <v>5.75342465753425</v>
      </c>
      <c r="AT92" s="25">
        <v>2.10958904109589</v>
      </c>
      <c r="AU92" s="25">
        <v>0.465753424657534</v>
      </c>
      <c r="AW92" s="30">
        <v>0</v>
      </c>
      <c r="AX92" s="34">
        <v>42.25</v>
      </c>
      <c r="AY92" s="14" t="s">
        <v>399</v>
      </c>
      <c r="AZ92" s="14">
        <v>0</v>
      </c>
    </row>
    <row r="93" spans="1:52" x14ac:dyDescent="0.3">
      <c r="A93" s="16">
        <v>91</v>
      </c>
      <c r="B93" s="18" t="s">
        <v>737</v>
      </c>
      <c r="D93" s="25" t="s">
        <v>1490</v>
      </c>
      <c r="E93" s="25" t="s">
        <v>1490</v>
      </c>
      <c r="F93" s="25" t="s">
        <v>1490</v>
      </c>
      <c r="G93" s="25" t="s">
        <v>1490</v>
      </c>
      <c r="H93" s="25" t="s">
        <v>1490</v>
      </c>
      <c r="I93" s="25" t="s">
        <v>1490</v>
      </c>
      <c r="J93" s="25" t="s">
        <v>1490</v>
      </c>
      <c r="L93" s="30" t="s">
        <v>1490</v>
      </c>
      <c r="M93" s="30" t="s">
        <v>1490</v>
      </c>
      <c r="N93" s="30" t="s">
        <v>1490</v>
      </c>
      <c r="O93" s="30" t="s">
        <v>1490</v>
      </c>
      <c r="P93" s="30" t="s">
        <v>1490</v>
      </c>
      <c r="Q93" s="30" t="s">
        <v>1490</v>
      </c>
      <c r="R93" s="30" t="s">
        <v>1490</v>
      </c>
      <c r="S93" s="30"/>
      <c r="T93" s="25" t="s">
        <v>1490</v>
      </c>
      <c r="U93" s="25" t="s">
        <v>1490</v>
      </c>
      <c r="V93" s="25" t="s">
        <v>1490</v>
      </c>
      <c r="W93" s="25" t="s">
        <v>1490</v>
      </c>
      <c r="X93" s="25">
        <v>0.111820992780712</v>
      </c>
      <c r="Y93" s="25" t="s">
        <v>1490</v>
      </c>
      <c r="Z93" s="25" t="s">
        <v>1490</v>
      </c>
      <c r="AB93" s="27" t="s">
        <v>1490</v>
      </c>
      <c r="AC93" s="27" t="s">
        <v>1490</v>
      </c>
      <c r="AD93" s="27" t="s">
        <v>1490</v>
      </c>
      <c r="AE93" s="27" t="s">
        <v>1490</v>
      </c>
      <c r="AF93" s="27">
        <v>199</v>
      </c>
      <c r="AG93" s="27" t="s">
        <v>1490</v>
      </c>
      <c r="AI93" s="25">
        <v>0.24583378727928801</v>
      </c>
      <c r="AJ93" s="25">
        <v>7.7733333333333299</v>
      </c>
      <c r="AK93" s="25">
        <v>1.65333333333333</v>
      </c>
      <c r="AL93" s="25">
        <v>7.68</v>
      </c>
      <c r="AM93" s="25">
        <v>1.6666666666666701</v>
      </c>
      <c r="AN93" s="25">
        <v>7.6666666666666696</v>
      </c>
      <c r="AO93" s="25">
        <v>1.76</v>
      </c>
      <c r="AP93" s="25">
        <v>7.48</v>
      </c>
      <c r="AQ93" s="25">
        <v>1.0933333333333299</v>
      </c>
      <c r="AR93" s="25">
        <v>6.9733333333333301</v>
      </c>
      <c r="AS93" s="25">
        <v>6.6666666666666696</v>
      </c>
      <c r="AT93" s="25">
        <v>2.6133333333333302</v>
      </c>
      <c r="AU93" s="25">
        <v>0.96</v>
      </c>
      <c r="AW93" s="30">
        <v>0</v>
      </c>
      <c r="AX93" s="34">
        <v>8.0485245901639306</v>
      </c>
      <c r="AY93" s="14" t="s">
        <v>38</v>
      </c>
      <c r="AZ93" s="14">
        <v>1</v>
      </c>
    </row>
    <row r="94" spans="1:52" x14ac:dyDescent="0.3">
      <c r="A94" s="16">
        <v>92</v>
      </c>
      <c r="B94" s="16" t="s">
        <v>820</v>
      </c>
      <c r="D94" s="25" t="s">
        <v>1490</v>
      </c>
      <c r="E94" s="25" t="s">
        <v>1490</v>
      </c>
      <c r="F94" s="25" t="s">
        <v>1490</v>
      </c>
      <c r="G94" s="25" t="s">
        <v>1490</v>
      </c>
      <c r="H94" s="25" t="s">
        <v>1490</v>
      </c>
      <c r="I94" s="25">
        <v>0.15019201751689701</v>
      </c>
      <c r="J94" s="25">
        <v>0.26689853031803901</v>
      </c>
      <c r="L94" s="30" t="s">
        <v>1490</v>
      </c>
      <c r="M94" s="30" t="s">
        <v>1490</v>
      </c>
      <c r="N94" s="30" t="s">
        <v>1490</v>
      </c>
      <c r="O94" s="30" t="s">
        <v>1490</v>
      </c>
      <c r="P94" s="30" t="s">
        <v>1490</v>
      </c>
      <c r="Q94" s="30">
        <v>64</v>
      </c>
      <c r="R94" s="30">
        <v>62</v>
      </c>
      <c r="S94" s="30"/>
      <c r="T94" s="25" t="s">
        <v>1490</v>
      </c>
      <c r="U94" s="25" t="s">
        <v>1490</v>
      </c>
      <c r="V94" s="25" t="s">
        <v>1490</v>
      </c>
      <c r="W94" s="25" t="s">
        <v>1490</v>
      </c>
      <c r="X94" s="25" t="s">
        <v>1490</v>
      </c>
      <c r="Y94" s="25">
        <v>4.8017483407116701E-2</v>
      </c>
      <c r="Z94" s="25" t="s">
        <v>1490</v>
      </c>
      <c r="AB94" s="27" t="s">
        <v>1490</v>
      </c>
      <c r="AC94" s="27" t="s">
        <v>1490</v>
      </c>
      <c r="AD94" s="27" t="s">
        <v>1490</v>
      </c>
      <c r="AE94" s="27" t="s">
        <v>1490</v>
      </c>
      <c r="AF94" s="27" t="s">
        <v>1490</v>
      </c>
      <c r="AG94" s="27">
        <v>188</v>
      </c>
      <c r="AI94" s="25">
        <v>-2.2581129682791801</v>
      </c>
      <c r="AJ94" s="25">
        <v>3.1643835616438398</v>
      </c>
      <c r="AK94" s="25">
        <v>2.6301369863013702</v>
      </c>
      <c r="AL94" s="25">
        <v>3.5890410958904102</v>
      </c>
      <c r="AM94" s="25">
        <v>2.95890410958904</v>
      </c>
      <c r="AN94" s="25">
        <v>3.3287671232876699</v>
      </c>
      <c r="AO94" s="25">
        <v>2.9452054794520501</v>
      </c>
      <c r="AP94" s="25">
        <v>4.4794520547945202</v>
      </c>
      <c r="AQ94" s="25">
        <v>1.68493150684932</v>
      </c>
      <c r="AR94" s="25">
        <v>5.9589041095890396</v>
      </c>
      <c r="AS94" s="25">
        <v>5.1780821917808204</v>
      </c>
      <c r="AT94" s="25">
        <v>1.7671232876712299</v>
      </c>
      <c r="AU94" s="25">
        <v>1.6027397260273999</v>
      </c>
      <c r="AW94" s="30">
        <v>0</v>
      </c>
      <c r="AX94" s="34">
        <v>20.399999999999999</v>
      </c>
      <c r="AY94" s="14" t="s">
        <v>1095</v>
      </c>
      <c r="AZ94" s="14">
        <v>1</v>
      </c>
    </row>
    <row r="95" spans="1:52" x14ac:dyDescent="0.3">
      <c r="A95" s="16">
        <v>93</v>
      </c>
      <c r="B95" s="16" t="s">
        <v>810</v>
      </c>
      <c r="D95" s="25" t="s">
        <v>1490</v>
      </c>
      <c r="E95" s="25" t="s">
        <v>1490</v>
      </c>
      <c r="F95" s="25" t="s">
        <v>1490</v>
      </c>
      <c r="G95" s="25" t="s">
        <v>1490</v>
      </c>
      <c r="H95" s="25" t="s">
        <v>1490</v>
      </c>
      <c r="I95" s="25" t="s">
        <v>1490</v>
      </c>
      <c r="J95" s="25">
        <v>0.35411917443605201</v>
      </c>
      <c r="L95" s="30" t="s">
        <v>1490</v>
      </c>
      <c r="M95" s="30" t="s">
        <v>1490</v>
      </c>
      <c r="N95" s="30" t="s">
        <v>1490</v>
      </c>
      <c r="O95" s="30" t="s">
        <v>1490</v>
      </c>
      <c r="P95" s="30" t="s">
        <v>1490</v>
      </c>
      <c r="Q95" s="30" t="s">
        <v>1490</v>
      </c>
      <c r="R95" s="30">
        <v>9</v>
      </c>
      <c r="S95" s="30"/>
      <c r="T95" s="25" t="s">
        <v>1490</v>
      </c>
      <c r="U95" s="25" t="s">
        <v>1490</v>
      </c>
      <c r="V95" s="25" t="s">
        <v>1490</v>
      </c>
      <c r="W95" s="25" t="s">
        <v>1490</v>
      </c>
      <c r="X95" s="25" t="s">
        <v>1490</v>
      </c>
      <c r="Y95" s="25" t="s">
        <v>1490</v>
      </c>
      <c r="Z95" s="25" t="s">
        <v>1490</v>
      </c>
      <c r="AB95" s="27" t="s">
        <v>1490</v>
      </c>
      <c r="AC95" s="27" t="s">
        <v>1490</v>
      </c>
      <c r="AD95" s="27" t="s">
        <v>1490</v>
      </c>
      <c r="AE95" s="27" t="s">
        <v>1490</v>
      </c>
      <c r="AF95" s="27" t="s">
        <v>1490</v>
      </c>
      <c r="AG95" s="27" t="s">
        <v>1490</v>
      </c>
      <c r="AI95" s="25">
        <v>0.117473044892196</v>
      </c>
      <c r="AJ95" s="25">
        <v>7.3561643835616399</v>
      </c>
      <c r="AK95" s="25">
        <v>1.5068493150684901</v>
      </c>
      <c r="AL95" s="25">
        <v>7.2054794520547896</v>
      </c>
      <c r="AM95" s="25">
        <v>1.7397260273972599</v>
      </c>
      <c r="AN95" s="25">
        <v>7.2054794520547896</v>
      </c>
      <c r="AO95" s="25">
        <v>1.6438356164383601</v>
      </c>
      <c r="AP95" s="25">
        <v>7.1780821917808204</v>
      </c>
      <c r="AQ95" s="25">
        <v>0.98630136986301398</v>
      </c>
      <c r="AR95" s="25">
        <v>5.5068493150684903</v>
      </c>
      <c r="AS95" s="25">
        <v>5.6027397260273997</v>
      </c>
      <c r="AT95" s="25">
        <v>2.5753424657534199</v>
      </c>
      <c r="AU95" s="25">
        <v>0.91780821917808197</v>
      </c>
      <c r="AW95" s="30">
        <v>0</v>
      </c>
      <c r="AX95" s="34">
        <v>10.5</v>
      </c>
      <c r="AY95" s="14" t="s">
        <v>414</v>
      </c>
      <c r="AZ95" s="14">
        <v>1</v>
      </c>
    </row>
    <row r="96" spans="1:52" x14ac:dyDescent="0.3">
      <c r="A96" s="16">
        <v>94</v>
      </c>
      <c r="B96" s="18" t="s">
        <v>773</v>
      </c>
      <c r="D96" s="25" t="s">
        <v>1490</v>
      </c>
      <c r="E96" s="25" t="s">
        <v>1490</v>
      </c>
      <c r="F96" s="25" t="s">
        <v>1490</v>
      </c>
      <c r="G96" s="25" t="s">
        <v>1490</v>
      </c>
      <c r="H96" s="25" t="s">
        <v>1490</v>
      </c>
      <c r="I96" s="25" t="s">
        <v>1490</v>
      </c>
      <c r="J96" s="25">
        <v>1.1786359789477101</v>
      </c>
      <c r="L96" s="30" t="s">
        <v>1490</v>
      </c>
      <c r="M96" s="30" t="s">
        <v>1490</v>
      </c>
      <c r="N96" s="30" t="s">
        <v>1490</v>
      </c>
      <c r="O96" s="30" t="s">
        <v>1490</v>
      </c>
      <c r="P96" s="30" t="s">
        <v>1490</v>
      </c>
      <c r="Q96" s="30" t="s">
        <v>1490</v>
      </c>
      <c r="R96" s="30">
        <v>43</v>
      </c>
      <c r="S96" s="30"/>
      <c r="T96" s="25" t="s">
        <v>1490</v>
      </c>
      <c r="U96" s="25" t="s">
        <v>1490</v>
      </c>
      <c r="V96" s="25" t="s">
        <v>1490</v>
      </c>
      <c r="W96" s="25" t="s">
        <v>1490</v>
      </c>
      <c r="X96" s="25" t="s">
        <v>1490</v>
      </c>
      <c r="Y96" s="25" t="s">
        <v>1490</v>
      </c>
      <c r="Z96" s="25" t="s">
        <v>1490</v>
      </c>
      <c r="AB96" s="27" t="s">
        <v>1490</v>
      </c>
      <c r="AC96" s="27" t="s">
        <v>1490</v>
      </c>
      <c r="AD96" s="27" t="s">
        <v>1490</v>
      </c>
      <c r="AE96" s="27" t="s">
        <v>1490</v>
      </c>
      <c r="AF96" s="27" t="s">
        <v>1490</v>
      </c>
      <c r="AG96" s="27" t="s">
        <v>1490</v>
      </c>
      <c r="AI96" s="25">
        <v>0.373377543238473</v>
      </c>
      <c r="AJ96" s="25">
        <v>7.6266666666666696</v>
      </c>
      <c r="AK96" s="25">
        <v>1.48</v>
      </c>
      <c r="AL96" s="25">
        <v>7.6266666666666696</v>
      </c>
      <c r="AM96" s="25">
        <v>1.4266666666666701</v>
      </c>
      <c r="AN96" s="25">
        <v>7.6666666666666696</v>
      </c>
      <c r="AO96" s="25">
        <v>1.5066666666666699</v>
      </c>
      <c r="AP96" s="25">
        <v>7.1466666666666701</v>
      </c>
      <c r="AQ96" s="25">
        <v>1.1599999999999999</v>
      </c>
      <c r="AR96" s="25">
        <v>5.2133333333333303</v>
      </c>
      <c r="AS96" s="25">
        <v>5.89333333333333</v>
      </c>
      <c r="AT96" s="25">
        <v>2.2933333333333299</v>
      </c>
      <c r="AU96" s="25">
        <v>1.24</v>
      </c>
      <c r="AW96" s="30">
        <v>0</v>
      </c>
      <c r="AX96" s="34">
        <v>24</v>
      </c>
      <c r="AY96" s="14" t="s">
        <v>62</v>
      </c>
      <c r="AZ96" s="14">
        <v>0</v>
      </c>
    </row>
    <row r="97" spans="1:52" x14ac:dyDescent="0.3">
      <c r="A97" s="16">
        <v>95</v>
      </c>
      <c r="B97" s="16" t="s">
        <v>750</v>
      </c>
      <c r="D97" s="25" t="s">
        <v>1490</v>
      </c>
      <c r="E97" s="25">
        <v>1.3778748250203501</v>
      </c>
      <c r="F97" s="25" t="s">
        <v>1490</v>
      </c>
      <c r="G97" s="25" t="s">
        <v>1490</v>
      </c>
      <c r="H97" s="25" t="s">
        <v>1490</v>
      </c>
      <c r="I97" s="25" t="s">
        <v>1490</v>
      </c>
      <c r="J97" s="25">
        <v>1.79668878209459</v>
      </c>
      <c r="L97" s="30" t="s">
        <v>1490</v>
      </c>
      <c r="M97" s="30">
        <v>30</v>
      </c>
      <c r="N97" s="30" t="s">
        <v>1490</v>
      </c>
      <c r="O97" s="30" t="s">
        <v>1490</v>
      </c>
      <c r="P97" s="30" t="s">
        <v>1490</v>
      </c>
      <c r="Q97" s="30" t="s">
        <v>1490</v>
      </c>
      <c r="R97" s="30">
        <v>30</v>
      </c>
      <c r="S97" s="30"/>
      <c r="T97" s="25" t="s">
        <v>1490</v>
      </c>
      <c r="U97" s="25">
        <v>0.58038704046501499</v>
      </c>
      <c r="V97" s="25" t="s">
        <v>1490</v>
      </c>
      <c r="W97" s="25" t="s">
        <v>1490</v>
      </c>
      <c r="X97" s="25" t="s">
        <v>1490</v>
      </c>
      <c r="Y97" s="25" t="s">
        <v>1490</v>
      </c>
      <c r="Z97" s="25" t="s">
        <v>1490</v>
      </c>
      <c r="AB97" s="27" t="s">
        <v>1490</v>
      </c>
      <c r="AC97" s="27">
        <v>60</v>
      </c>
      <c r="AD97" s="27" t="s">
        <v>1490</v>
      </c>
      <c r="AE97" s="27" t="s">
        <v>1490</v>
      </c>
      <c r="AF97" s="27" t="s">
        <v>1490</v>
      </c>
      <c r="AG97" s="27" t="s">
        <v>1490</v>
      </c>
      <c r="AI97" s="25">
        <v>0.79181039341234705</v>
      </c>
      <c r="AJ97" s="25">
        <v>8.2602739726027394</v>
      </c>
      <c r="AK97" s="25">
        <v>1.1917808219178101</v>
      </c>
      <c r="AL97" s="25">
        <v>8.2602739726027394</v>
      </c>
      <c r="AM97" s="25">
        <v>1.2328767123287701</v>
      </c>
      <c r="AN97" s="25">
        <v>8.3561643835616408</v>
      </c>
      <c r="AO97" s="25">
        <v>1.3013698630137001</v>
      </c>
      <c r="AP97" s="25">
        <v>7.6849315068493196</v>
      </c>
      <c r="AQ97" s="25">
        <v>0.71232876712328796</v>
      </c>
      <c r="AR97" s="25">
        <v>5.1643835616438398</v>
      </c>
      <c r="AS97" s="25">
        <v>5.9589041095890396</v>
      </c>
      <c r="AT97" s="25">
        <v>1.9863013698630101</v>
      </c>
      <c r="AU97" s="25">
        <v>0.78082191780821897</v>
      </c>
      <c r="AW97" s="30">
        <v>1</v>
      </c>
      <c r="AX97" s="34">
        <v>11</v>
      </c>
      <c r="AY97" s="14" t="s">
        <v>62</v>
      </c>
      <c r="AZ97" s="14">
        <v>0</v>
      </c>
    </row>
    <row r="98" spans="1:52" x14ac:dyDescent="0.3">
      <c r="A98" s="16">
        <v>96</v>
      </c>
      <c r="B98" s="16" t="s">
        <v>771</v>
      </c>
      <c r="D98" s="25" t="s">
        <v>1490</v>
      </c>
      <c r="E98" s="25">
        <v>5.0140894959889097</v>
      </c>
      <c r="F98" s="25" t="s">
        <v>1490</v>
      </c>
      <c r="G98" s="25" t="s">
        <v>1490</v>
      </c>
      <c r="H98" s="25" t="s">
        <v>1490</v>
      </c>
      <c r="I98" s="25" t="s">
        <v>1490</v>
      </c>
      <c r="J98" s="25">
        <v>4.8337295083072904</v>
      </c>
      <c r="L98" s="30" t="s">
        <v>1490</v>
      </c>
      <c r="M98" s="30">
        <v>35</v>
      </c>
      <c r="N98" s="30" t="s">
        <v>1490</v>
      </c>
      <c r="O98" s="30" t="s">
        <v>1490</v>
      </c>
      <c r="P98" s="30" t="s">
        <v>1490</v>
      </c>
      <c r="Q98" s="30" t="s">
        <v>1490</v>
      </c>
      <c r="R98" s="30">
        <v>35</v>
      </c>
      <c r="S98" s="30"/>
      <c r="T98" s="25" t="s">
        <v>1490</v>
      </c>
      <c r="U98" s="25">
        <v>0.38610848767869199</v>
      </c>
      <c r="V98" s="25" t="s">
        <v>1490</v>
      </c>
      <c r="W98" s="25" t="s">
        <v>1490</v>
      </c>
      <c r="X98" s="25" t="s">
        <v>1490</v>
      </c>
      <c r="Y98" s="25" t="s">
        <v>1490</v>
      </c>
      <c r="Z98" s="25" t="s">
        <v>1490</v>
      </c>
      <c r="AB98" s="27" t="s">
        <v>1490</v>
      </c>
      <c r="AC98" s="27">
        <v>70</v>
      </c>
      <c r="AD98" s="27" t="s">
        <v>1490</v>
      </c>
      <c r="AE98" s="27" t="s">
        <v>1490</v>
      </c>
      <c r="AF98" s="27" t="s">
        <v>1490</v>
      </c>
      <c r="AG98" s="27" t="s">
        <v>1490</v>
      </c>
      <c r="AI98" s="25">
        <v>1.2909366756033001</v>
      </c>
      <c r="AJ98" s="25">
        <v>8.3013698630137007</v>
      </c>
      <c r="AK98" s="25">
        <v>0.52054794520547898</v>
      </c>
      <c r="AL98" s="25">
        <v>8.3835616438356197</v>
      </c>
      <c r="AM98" s="25">
        <v>0.58904109589041098</v>
      </c>
      <c r="AN98" s="25">
        <v>8.3835616438356197</v>
      </c>
      <c r="AO98" s="25">
        <v>0.58904109589041098</v>
      </c>
      <c r="AP98" s="25">
        <v>8.2876712328767095</v>
      </c>
      <c r="AQ98" s="25">
        <v>0.28767123287671198</v>
      </c>
      <c r="AR98" s="25">
        <v>4.5616438356164402</v>
      </c>
      <c r="AS98" s="25">
        <v>5.0821917808219199</v>
      </c>
      <c r="AT98" s="25">
        <v>1.06849315068493</v>
      </c>
      <c r="AU98" s="25">
        <v>0.36986301369863001</v>
      </c>
      <c r="AW98" s="30">
        <v>1</v>
      </c>
      <c r="AX98" s="34">
        <v>18</v>
      </c>
      <c r="AY98" s="14" t="s">
        <v>62</v>
      </c>
      <c r="AZ98" s="14">
        <v>0</v>
      </c>
    </row>
    <row r="99" spans="1:52" x14ac:dyDescent="0.3">
      <c r="A99" s="16">
        <v>97</v>
      </c>
      <c r="B99" s="16" t="s">
        <v>838</v>
      </c>
      <c r="D99" s="25" t="s">
        <v>1490</v>
      </c>
      <c r="E99" s="25" t="s">
        <v>1490</v>
      </c>
      <c r="F99" s="25" t="s">
        <v>1490</v>
      </c>
      <c r="G99" s="25" t="s">
        <v>1490</v>
      </c>
      <c r="H99" s="25" t="s">
        <v>1490</v>
      </c>
      <c r="I99" s="25" t="s">
        <v>1490</v>
      </c>
      <c r="J99" s="25" t="s">
        <v>1490</v>
      </c>
      <c r="L99" s="30" t="s">
        <v>1490</v>
      </c>
      <c r="M99" s="30" t="s">
        <v>1490</v>
      </c>
      <c r="N99" s="30" t="s">
        <v>1490</v>
      </c>
      <c r="O99" s="30" t="s">
        <v>1490</v>
      </c>
      <c r="P99" s="30" t="s">
        <v>1490</v>
      </c>
      <c r="Q99" s="30" t="s">
        <v>1490</v>
      </c>
      <c r="R99" s="30" t="s">
        <v>1490</v>
      </c>
      <c r="S99" s="30"/>
      <c r="T99" s="25" t="s">
        <v>1490</v>
      </c>
      <c r="U99" s="25">
        <v>-0.55539971136027699</v>
      </c>
      <c r="V99" s="25" t="s">
        <v>1490</v>
      </c>
      <c r="W99" s="25" t="s">
        <v>1490</v>
      </c>
      <c r="X99" s="25" t="s">
        <v>1490</v>
      </c>
      <c r="Y99" s="25" t="s">
        <v>1490</v>
      </c>
      <c r="Z99" s="25" t="s">
        <v>1490</v>
      </c>
      <c r="AB99" s="27" t="s">
        <v>1490</v>
      </c>
      <c r="AC99" s="27">
        <v>89</v>
      </c>
      <c r="AD99" s="27" t="s">
        <v>1490</v>
      </c>
      <c r="AE99" s="27" t="s">
        <v>1490</v>
      </c>
      <c r="AF99" s="27" t="s">
        <v>1490</v>
      </c>
      <c r="AG99" s="27" t="s">
        <v>1490</v>
      </c>
      <c r="AI99" s="25">
        <v>-2.2769329418792199</v>
      </c>
      <c r="AJ99" s="25">
        <v>4.9315068493150704</v>
      </c>
      <c r="AK99" s="25">
        <v>3.20547945205479</v>
      </c>
      <c r="AL99" s="25">
        <v>4.0136986301369904</v>
      </c>
      <c r="AM99" s="25">
        <v>3.3561643835616399</v>
      </c>
      <c r="AN99" s="25">
        <v>4.2054794520547896</v>
      </c>
      <c r="AO99" s="25">
        <v>3.7808219178082201</v>
      </c>
      <c r="AP99" s="25">
        <v>5.9452054794520501</v>
      </c>
      <c r="AQ99" s="25">
        <v>1.2602739726027401</v>
      </c>
      <c r="AR99" s="25">
        <v>5.3698630136986303</v>
      </c>
      <c r="AS99" s="25">
        <v>4.9315068493150704</v>
      </c>
      <c r="AT99" s="25">
        <v>2.5205479452054802</v>
      </c>
      <c r="AU99" s="25">
        <v>1.61643835616438</v>
      </c>
      <c r="AW99" s="30">
        <v>0</v>
      </c>
      <c r="AX99" s="34">
        <v>8.5</v>
      </c>
      <c r="AY99" s="14" t="s">
        <v>227</v>
      </c>
      <c r="AZ99" s="14">
        <v>0</v>
      </c>
    </row>
    <row r="100" spans="1:52" x14ac:dyDescent="0.3">
      <c r="A100" s="16">
        <v>98</v>
      </c>
      <c r="B100" s="18" t="s">
        <v>433</v>
      </c>
      <c r="D100" s="25" t="s">
        <v>1490</v>
      </c>
      <c r="E100" s="25" t="s">
        <v>1490</v>
      </c>
      <c r="F100" s="25" t="s">
        <v>1490</v>
      </c>
      <c r="G100" s="25" t="s">
        <v>1490</v>
      </c>
      <c r="H100" s="25" t="s">
        <v>1490</v>
      </c>
      <c r="I100" s="25" t="s">
        <v>1490</v>
      </c>
      <c r="J100" s="25">
        <v>0.56578816295280798</v>
      </c>
      <c r="L100" s="30" t="s">
        <v>1490</v>
      </c>
      <c r="M100" s="30" t="s">
        <v>1490</v>
      </c>
      <c r="N100" s="30" t="s">
        <v>1490</v>
      </c>
      <c r="O100" s="30" t="s">
        <v>1490</v>
      </c>
      <c r="P100" s="30" t="s">
        <v>1490</v>
      </c>
      <c r="Q100" s="30" t="s">
        <v>1490</v>
      </c>
      <c r="R100" s="30">
        <v>83</v>
      </c>
      <c r="S100" s="30"/>
      <c r="T100" s="25" t="s">
        <v>1490</v>
      </c>
      <c r="U100" s="25" t="s">
        <v>1490</v>
      </c>
      <c r="V100" s="25" t="s">
        <v>1490</v>
      </c>
      <c r="W100" s="25" t="s">
        <v>1490</v>
      </c>
      <c r="X100" s="25" t="s">
        <v>1490</v>
      </c>
      <c r="Y100" s="25" t="s">
        <v>1490</v>
      </c>
      <c r="Z100" s="25" t="s">
        <v>1490</v>
      </c>
      <c r="AB100" s="27" t="s">
        <v>1490</v>
      </c>
      <c r="AC100" s="27" t="s">
        <v>1490</v>
      </c>
      <c r="AD100" s="27" t="s">
        <v>1490</v>
      </c>
      <c r="AE100" s="27" t="s">
        <v>1490</v>
      </c>
      <c r="AF100" s="27" t="s">
        <v>1490</v>
      </c>
      <c r="AG100" s="27" t="s">
        <v>1490</v>
      </c>
      <c r="AI100" s="25">
        <v>0.65075717998117999</v>
      </c>
      <c r="AJ100" s="25">
        <v>7.7397260273972597</v>
      </c>
      <c r="AK100" s="25">
        <v>1.13698630136986</v>
      </c>
      <c r="AL100" s="25">
        <v>7.9589041095890396</v>
      </c>
      <c r="AM100" s="25">
        <v>1.1917808219178101</v>
      </c>
      <c r="AN100" s="25">
        <v>7.7808219178082201</v>
      </c>
      <c r="AO100" s="25">
        <v>1.2191780821917799</v>
      </c>
      <c r="AP100" s="25">
        <v>7.0821917808219199</v>
      </c>
      <c r="AQ100" s="25">
        <v>0.65753424657534199</v>
      </c>
      <c r="AR100" s="25">
        <v>5.7671232876712297</v>
      </c>
      <c r="AS100" s="25">
        <v>6.1917808219178099</v>
      </c>
      <c r="AT100" s="25">
        <v>1.72602739726027</v>
      </c>
      <c r="AU100" s="25">
        <v>0.73972602739726001</v>
      </c>
      <c r="AW100" s="30">
        <v>0</v>
      </c>
      <c r="AX100" s="34">
        <v>6.5</v>
      </c>
      <c r="AY100" s="14" t="s">
        <v>434</v>
      </c>
      <c r="AZ100" s="14">
        <v>0</v>
      </c>
    </row>
    <row r="101" spans="1:52" x14ac:dyDescent="0.3">
      <c r="A101" s="16">
        <v>99</v>
      </c>
      <c r="B101" s="16" t="s">
        <v>826</v>
      </c>
      <c r="D101" s="25" t="s">
        <v>1490</v>
      </c>
      <c r="E101" s="25" t="s">
        <v>1490</v>
      </c>
      <c r="F101" s="25" t="s">
        <v>1490</v>
      </c>
      <c r="G101" s="25" t="s">
        <v>1490</v>
      </c>
      <c r="H101" s="25" t="s">
        <v>1490</v>
      </c>
      <c r="I101" s="25" t="s">
        <v>1490</v>
      </c>
      <c r="J101" s="25" t="s">
        <v>1490</v>
      </c>
      <c r="L101" s="30" t="s">
        <v>1490</v>
      </c>
      <c r="M101" s="30" t="s">
        <v>1490</v>
      </c>
      <c r="N101" s="30" t="s">
        <v>1490</v>
      </c>
      <c r="O101" s="30" t="s">
        <v>1490</v>
      </c>
      <c r="P101" s="30" t="s">
        <v>1490</v>
      </c>
      <c r="Q101" s="30" t="s">
        <v>1490</v>
      </c>
      <c r="R101" s="30" t="s">
        <v>1490</v>
      </c>
      <c r="S101" s="30"/>
      <c r="T101" s="25" t="s">
        <v>1490</v>
      </c>
      <c r="U101" s="25">
        <v>0.14210430778070199</v>
      </c>
      <c r="V101" s="25" t="s">
        <v>1490</v>
      </c>
      <c r="W101" s="25" t="s">
        <v>1490</v>
      </c>
      <c r="X101" s="25" t="s">
        <v>1490</v>
      </c>
      <c r="Y101" s="25">
        <v>-0.38057950917536798</v>
      </c>
      <c r="Z101" s="25" t="s">
        <v>1490</v>
      </c>
      <c r="AB101" s="27" t="s">
        <v>1490</v>
      </c>
      <c r="AC101" s="27">
        <v>40</v>
      </c>
      <c r="AD101" s="27" t="s">
        <v>1490</v>
      </c>
      <c r="AE101" s="27" t="s">
        <v>1490</v>
      </c>
      <c r="AF101" s="27" t="s">
        <v>1490</v>
      </c>
      <c r="AG101" s="27">
        <v>44</v>
      </c>
      <c r="AI101" s="25">
        <v>-1.12252345819814</v>
      </c>
      <c r="AJ101" s="25">
        <v>5.6164383561643803</v>
      </c>
      <c r="AK101" s="25">
        <v>2.2328767123287698</v>
      </c>
      <c r="AL101" s="25">
        <v>5.7123287671232896</v>
      </c>
      <c r="AM101" s="25">
        <v>2.79452054794521</v>
      </c>
      <c r="AN101" s="25">
        <v>5.7260273972602702</v>
      </c>
      <c r="AO101" s="25">
        <v>2.5616438356164402</v>
      </c>
      <c r="AP101" s="25">
        <v>6</v>
      </c>
      <c r="AQ101" s="25">
        <v>1.5753424657534201</v>
      </c>
      <c r="AR101" s="25">
        <v>5.0821917808219199</v>
      </c>
      <c r="AS101" s="25">
        <v>4.7123287671232896</v>
      </c>
      <c r="AT101" s="25">
        <v>1.93150684931507</v>
      </c>
      <c r="AU101" s="25">
        <v>1.3561643835616399</v>
      </c>
      <c r="AW101" s="30">
        <v>0</v>
      </c>
      <c r="AX101" s="34">
        <v>26.198450704225401</v>
      </c>
      <c r="AY101" s="14" t="s">
        <v>1095</v>
      </c>
      <c r="AZ101" s="14">
        <v>1</v>
      </c>
    </row>
    <row r="102" spans="1:52" x14ac:dyDescent="0.3">
      <c r="A102" s="16">
        <v>100</v>
      </c>
      <c r="B102" s="16" t="s">
        <v>760</v>
      </c>
      <c r="D102" s="25" t="s">
        <v>1490</v>
      </c>
      <c r="E102" s="25" t="s">
        <v>1490</v>
      </c>
      <c r="F102" s="25" t="s">
        <v>1490</v>
      </c>
      <c r="G102" s="25" t="s">
        <v>1490</v>
      </c>
      <c r="H102" s="25" t="s">
        <v>1490</v>
      </c>
      <c r="I102" s="25" t="s">
        <v>1490</v>
      </c>
      <c r="J102" s="25" t="s">
        <v>1490</v>
      </c>
      <c r="L102" s="30" t="s">
        <v>1490</v>
      </c>
      <c r="M102" s="30" t="s">
        <v>1490</v>
      </c>
      <c r="N102" s="30" t="s">
        <v>1490</v>
      </c>
      <c r="O102" s="30" t="s">
        <v>1490</v>
      </c>
      <c r="P102" s="30" t="s">
        <v>1490</v>
      </c>
      <c r="Q102" s="30" t="s">
        <v>1490</v>
      </c>
      <c r="R102" s="30" t="s">
        <v>1490</v>
      </c>
      <c r="S102" s="30"/>
      <c r="T102" s="25" t="s">
        <v>1490</v>
      </c>
      <c r="U102" s="25" t="s">
        <v>1490</v>
      </c>
      <c r="V102" s="25">
        <v>0.74150033364018897</v>
      </c>
      <c r="W102" s="25" t="s">
        <v>1490</v>
      </c>
      <c r="X102" s="25" t="s">
        <v>1490</v>
      </c>
      <c r="Y102" s="25" t="s">
        <v>1490</v>
      </c>
      <c r="Z102" s="25" t="s">
        <v>1490</v>
      </c>
      <c r="AB102" s="27" t="s">
        <v>1490</v>
      </c>
      <c r="AC102" s="27" t="s">
        <v>1490</v>
      </c>
      <c r="AD102" s="27">
        <v>165</v>
      </c>
      <c r="AE102" s="27" t="s">
        <v>1490</v>
      </c>
      <c r="AF102" s="27" t="s">
        <v>1490</v>
      </c>
      <c r="AG102" s="27" t="s">
        <v>1490</v>
      </c>
      <c r="AI102" s="25">
        <v>-6.14573214795276E-2</v>
      </c>
      <c r="AJ102" s="25">
        <v>7.1780821917808204</v>
      </c>
      <c r="AK102" s="25">
        <v>1.7397260273972599</v>
      </c>
      <c r="AL102" s="25">
        <v>6.9863013698630096</v>
      </c>
      <c r="AM102" s="25">
        <v>1.8767123287671199</v>
      </c>
      <c r="AN102" s="25">
        <v>7.13698630136986</v>
      </c>
      <c r="AO102" s="25">
        <v>1.7671232876712299</v>
      </c>
      <c r="AP102" s="25">
        <v>6.9452054794520501</v>
      </c>
      <c r="AQ102" s="25">
        <v>0.98630136986301398</v>
      </c>
      <c r="AR102" s="25">
        <v>5.9178082191780801</v>
      </c>
      <c r="AS102" s="25">
        <v>5.9589041095890396</v>
      </c>
      <c r="AT102" s="25">
        <v>1.72602739726027</v>
      </c>
      <c r="AU102" s="25">
        <v>1.0547945205479501</v>
      </c>
      <c r="AW102" s="30">
        <v>0</v>
      </c>
      <c r="AX102" s="34">
        <v>19.720484848484801</v>
      </c>
      <c r="AY102" s="14" t="s">
        <v>1095</v>
      </c>
      <c r="AZ102" s="14">
        <v>1</v>
      </c>
    </row>
    <row r="103" spans="1:52" x14ac:dyDescent="0.3">
      <c r="A103" s="16">
        <v>101</v>
      </c>
      <c r="B103" s="18" t="s">
        <v>800</v>
      </c>
      <c r="D103" s="25" t="s">
        <v>1490</v>
      </c>
      <c r="E103" s="25" t="s">
        <v>1490</v>
      </c>
      <c r="F103" s="25" t="s">
        <v>1490</v>
      </c>
      <c r="G103" s="25" t="s">
        <v>1490</v>
      </c>
      <c r="H103" s="25" t="s">
        <v>1490</v>
      </c>
      <c r="I103" s="25" t="s">
        <v>1490</v>
      </c>
      <c r="J103" s="25">
        <v>2.65451811008636</v>
      </c>
      <c r="L103" s="30" t="s">
        <v>1490</v>
      </c>
      <c r="M103" s="30" t="s">
        <v>1490</v>
      </c>
      <c r="N103" s="30" t="s">
        <v>1490</v>
      </c>
      <c r="O103" s="30" t="s">
        <v>1490</v>
      </c>
      <c r="P103" s="30" t="s">
        <v>1490</v>
      </c>
      <c r="Q103" s="30" t="s">
        <v>1490</v>
      </c>
      <c r="R103" s="30">
        <v>27</v>
      </c>
      <c r="S103" s="30"/>
      <c r="T103" s="25" t="s">
        <v>1490</v>
      </c>
      <c r="U103" s="25" t="s">
        <v>1490</v>
      </c>
      <c r="V103" s="25" t="s">
        <v>1490</v>
      </c>
      <c r="W103" s="25" t="s">
        <v>1490</v>
      </c>
      <c r="X103" s="25" t="s">
        <v>1490</v>
      </c>
      <c r="Y103" s="25" t="s">
        <v>1490</v>
      </c>
      <c r="Z103" s="25" t="s">
        <v>1490</v>
      </c>
      <c r="AB103" s="27" t="s">
        <v>1490</v>
      </c>
      <c r="AC103" s="27" t="s">
        <v>1490</v>
      </c>
      <c r="AD103" s="27" t="s">
        <v>1490</v>
      </c>
      <c r="AE103" s="27" t="s">
        <v>1490</v>
      </c>
      <c r="AF103" s="27" t="s">
        <v>1490</v>
      </c>
      <c r="AG103" s="27" t="s">
        <v>1490</v>
      </c>
      <c r="AI103" s="25">
        <v>-1.1779579735068499</v>
      </c>
      <c r="AJ103" s="25">
        <v>5.4794520547945202</v>
      </c>
      <c r="AK103" s="25">
        <v>2.13698630136986</v>
      </c>
      <c r="AL103" s="25">
        <v>5</v>
      </c>
      <c r="AM103" s="25">
        <v>2.5753424657534199</v>
      </c>
      <c r="AN103" s="25">
        <v>5.3013698630136998</v>
      </c>
      <c r="AO103" s="25">
        <v>2.3972602739725999</v>
      </c>
      <c r="AP103" s="25">
        <v>6.4246575342465801</v>
      </c>
      <c r="AQ103" s="25">
        <v>1.2602739726027401</v>
      </c>
      <c r="AR103" s="25">
        <v>5.24657534246575</v>
      </c>
      <c r="AS103" s="25">
        <v>5.1643835616438398</v>
      </c>
      <c r="AT103" s="25">
        <v>2.02739726027397</v>
      </c>
      <c r="AU103" s="25">
        <v>1.24657534246575</v>
      </c>
      <c r="AW103" s="30">
        <v>0</v>
      </c>
      <c r="AX103" s="34">
        <v>5</v>
      </c>
      <c r="AY103" s="14" t="s">
        <v>25</v>
      </c>
      <c r="AZ103" s="14">
        <v>1</v>
      </c>
    </row>
    <row r="104" spans="1:52" x14ac:dyDescent="0.3">
      <c r="A104" s="16">
        <v>102</v>
      </c>
      <c r="B104" s="18" t="s">
        <v>837</v>
      </c>
      <c r="D104" s="25" t="s">
        <v>1490</v>
      </c>
      <c r="E104" s="25" t="s">
        <v>1490</v>
      </c>
      <c r="F104" s="25" t="s">
        <v>1490</v>
      </c>
      <c r="G104" s="25" t="s">
        <v>1490</v>
      </c>
      <c r="H104" s="25" t="s">
        <v>1490</v>
      </c>
      <c r="I104" s="25" t="s">
        <v>1490</v>
      </c>
      <c r="J104" s="25" t="s">
        <v>1490</v>
      </c>
      <c r="L104" s="30" t="s">
        <v>1490</v>
      </c>
      <c r="M104" s="30" t="s">
        <v>1490</v>
      </c>
      <c r="N104" s="30" t="s">
        <v>1490</v>
      </c>
      <c r="O104" s="30" t="s">
        <v>1490</v>
      </c>
      <c r="P104" s="30" t="s">
        <v>1490</v>
      </c>
      <c r="Q104" s="30" t="s">
        <v>1490</v>
      </c>
      <c r="R104" s="30" t="s">
        <v>1490</v>
      </c>
      <c r="S104" s="30"/>
      <c r="T104" s="25" t="s">
        <v>1490</v>
      </c>
      <c r="U104" s="25" t="s">
        <v>1490</v>
      </c>
      <c r="V104" s="25" t="s">
        <v>1490</v>
      </c>
      <c r="W104" s="25" t="s">
        <v>1490</v>
      </c>
      <c r="X104" s="25" t="s">
        <v>1490</v>
      </c>
      <c r="Y104" s="25">
        <v>-6.7419986246324004E-2</v>
      </c>
      <c r="Z104" s="25" t="s">
        <v>1490</v>
      </c>
      <c r="AB104" s="27" t="s">
        <v>1490</v>
      </c>
      <c r="AC104" s="27" t="s">
        <v>1490</v>
      </c>
      <c r="AD104" s="27" t="s">
        <v>1490</v>
      </c>
      <c r="AE104" s="27" t="s">
        <v>1490</v>
      </c>
      <c r="AF104" s="27" t="s">
        <v>1490</v>
      </c>
      <c r="AG104" s="27">
        <v>12</v>
      </c>
      <c r="AI104" s="25">
        <v>-1.00899624565013</v>
      </c>
      <c r="AJ104" s="25">
        <v>5.86301369863014</v>
      </c>
      <c r="AK104" s="25">
        <v>2.04109589041096</v>
      </c>
      <c r="AL104" s="25">
        <v>5.3972602739726003</v>
      </c>
      <c r="AM104" s="25">
        <v>2.4657534246575299</v>
      </c>
      <c r="AN104" s="25">
        <v>5.3424657534246602</v>
      </c>
      <c r="AO104" s="25">
        <v>2.3424657534246598</v>
      </c>
      <c r="AP104" s="25">
        <v>6.10958904109589</v>
      </c>
      <c r="AQ104" s="25">
        <v>1.0547945205479501</v>
      </c>
      <c r="AR104" s="25">
        <v>4.89041095890411</v>
      </c>
      <c r="AS104" s="25">
        <v>4.3561643835616399</v>
      </c>
      <c r="AT104" s="25">
        <v>2.0821917808219199</v>
      </c>
      <c r="AU104" s="25">
        <v>1.24657534246575</v>
      </c>
      <c r="AW104" s="30">
        <v>0</v>
      </c>
      <c r="AX104" s="34">
        <v>17.5</v>
      </c>
      <c r="AY104" s="14" t="s">
        <v>450</v>
      </c>
      <c r="AZ104" s="14">
        <v>1</v>
      </c>
    </row>
    <row r="105" spans="1:52" x14ac:dyDescent="0.3">
      <c r="A105" s="16">
        <v>103</v>
      </c>
      <c r="B105" s="16" t="s">
        <v>1238</v>
      </c>
      <c r="D105" s="25" t="s">
        <v>1490</v>
      </c>
      <c r="E105" s="25" t="s">
        <v>1490</v>
      </c>
      <c r="F105" s="25" t="s">
        <v>1490</v>
      </c>
      <c r="G105" s="25" t="s">
        <v>1490</v>
      </c>
      <c r="H105" s="25" t="s">
        <v>1490</v>
      </c>
      <c r="I105" s="25" t="s">
        <v>1490</v>
      </c>
      <c r="J105" s="25">
        <v>0.15640293952716999</v>
      </c>
      <c r="L105" s="30" t="s">
        <v>1490</v>
      </c>
      <c r="M105" s="30" t="s">
        <v>1490</v>
      </c>
      <c r="N105" s="30" t="s">
        <v>1490</v>
      </c>
      <c r="O105" s="30" t="s">
        <v>1490</v>
      </c>
      <c r="P105" s="30" t="s">
        <v>1490</v>
      </c>
      <c r="Q105" s="30" t="s">
        <v>1490</v>
      </c>
      <c r="R105" s="30">
        <v>31</v>
      </c>
      <c r="S105" s="30"/>
      <c r="T105" s="25" t="s">
        <v>1490</v>
      </c>
      <c r="U105" s="25" t="s">
        <v>1490</v>
      </c>
      <c r="V105" s="25" t="s">
        <v>1490</v>
      </c>
      <c r="W105" s="25" t="s">
        <v>1490</v>
      </c>
      <c r="X105" s="25" t="s">
        <v>1490</v>
      </c>
      <c r="Y105" s="25" t="s">
        <v>1490</v>
      </c>
      <c r="Z105" s="25" t="s">
        <v>1490</v>
      </c>
      <c r="AB105" s="27" t="s">
        <v>1490</v>
      </c>
      <c r="AC105" s="27" t="s">
        <v>1490</v>
      </c>
      <c r="AD105" s="27" t="s">
        <v>1490</v>
      </c>
      <c r="AE105" s="27" t="s">
        <v>1490</v>
      </c>
      <c r="AF105" s="27" t="s">
        <v>1490</v>
      </c>
      <c r="AG105" s="27" t="s">
        <v>1490</v>
      </c>
      <c r="AI105" s="25">
        <v>0.92444390835979395</v>
      </c>
      <c r="AJ105" s="25">
        <v>8.3835616438356197</v>
      </c>
      <c r="AK105" s="25">
        <v>0.89041095890411004</v>
      </c>
      <c r="AL105" s="25">
        <v>8.1369863013698591</v>
      </c>
      <c r="AM105" s="25">
        <v>1.0958904109589001</v>
      </c>
      <c r="AN105" s="25">
        <v>8.1369863013698591</v>
      </c>
      <c r="AO105" s="25">
        <v>1.06849315068493</v>
      </c>
      <c r="AP105" s="25">
        <v>8.3424657534246602</v>
      </c>
      <c r="AQ105" s="25">
        <v>0.602739726027397</v>
      </c>
      <c r="AR105" s="25">
        <v>5.7671232876712297</v>
      </c>
      <c r="AS105" s="25">
        <v>6.3424657534246602</v>
      </c>
      <c r="AT105" s="25">
        <v>2.7808219178082201</v>
      </c>
      <c r="AU105" s="25">
        <v>0.58904109589041098</v>
      </c>
      <c r="AW105" s="30">
        <v>0</v>
      </c>
      <c r="AX105" s="34">
        <v>5.22538709677419</v>
      </c>
      <c r="AY105" s="14" t="s">
        <v>41</v>
      </c>
      <c r="AZ105" s="14">
        <v>0</v>
      </c>
    </row>
    <row r="106" spans="1:52" x14ac:dyDescent="0.3">
      <c r="A106" s="16">
        <v>104</v>
      </c>
      <c r="B106" s="16" t="s">
        <v>828</v>
      </c>
      <c r="D106" s="25" t="s">
        <v>1490</v>
      </c>
      <c r="E106" s="25" t="s">
        <v>1490</v>
      </c>
      <c r="F106" s="25" t="s">
        <v>1490</v>
      </c>
      <c r="G106" s="25" t="s">
        <v>1490</v>
      </c>
      <c r="H106" s="25" t="s">
        <v>1490</v>
      </c>
      <c r="I106" s="25" t="s">
        <v>1490</v>
      </c>
      <c r="J106" s="25">
        <v>0.89376034124104697</v>
      </c>
      <c r="L106" s="30" t="s">
        <v>1490</v>
      </c>
      <c r="M106" s="30" t="s">
        <v>1490</v>
      </c>
      <c r="N106" s="30" t="s">
        <v>1490</v>
      </c>
      <c r="O106" s="30" t="s">
        <v>1490</v>
      </c>
      <c r="P106" s="30" t="s">
        <v>1490</v>
      </c>
      <c r="Q106" s="30" t="s">
        <v>1490</v>
      </c>
      <c r="R106" s="30">
        <v>36</v>
      </c>
      <c r="S106" s="30"/>
      <c r="T106" s="25" t="s">
        <v>1490</v>
      </c>
      <c r="U106" s="25" t="s">
        <v>1490</v>
      </c>
      <c r="V106" s="25" t="s">
        <v>1490</v>
      </c>
      <c r="W106" s="25" t="s">
        <v>1490</v>
      </c>
      <c r="X106" s="25" t="s">
        <v>1490</v>
      </c>
      <c r="Y106" s="25" t="s">
        <v>1490</v>
      </c>
      <c r="Z106" s="25" t="s">
        <v>1490</v>
      </c>
      <c r="AB106" s="27" t="s">
        <v>1490</v>
      </c>
      <c r="AC106" s="27" t="s">
        <v>1490</v>
      </c>
      <c r="AD106" s="27" t="s">
        <v>1490</v>
      </c>
      <c r="AE106" s="27" t="s">
        <v>1490</v>
      </c>
      <c r="AF106" s="27" t="s">
        <v>1490</v>
      </c>
      <c r="AG106" s="27" t="s">
        <v>1490</v>
      </c>
      <c r="AI106" s="25">
        <v>0.28936951474906197</v>
      </c>
      <c r="AJ106" s="25">
        <v>7.5342465753424701</v>
      </c>
      <c r="AK106" s="25">
        <v>1.41095890410959</v>
      </c>
      <c r="AL106" s="25">
        <v>7.4383561643835598</v>
      </c>
      <c r="AM106" s="25">
        <v>1.5068493150684901</v>
      </c>
      <c r="AN106" s="25">
        <v>7.4383561643835598</v>
      </c>
      <c r="AO106" s="25">
        <v>1.58904109589041</v>
      </c>
      <c r="AP106" s="25">
        <v>7.13698630136986</v>
      </c>
      <c r="AQ106" s="25">
        <v>0.84931506849315097</v>
      </c>
      <c r="AR106" s="25">
        <v>5.6575342465753398</v>
      </c>
      <c r="AS106" s="25">
        <v>5.3150684931506804</v>
      </c>
      <c r="AT106" s="25">
        <v>1.97260273972603</v>
      </c>
      <c r="AU106" s="25">
        <v>1</v>
      </c>
      <c r="AW106" s="30">
        <v>0</v>
      </c>
      <c r="AX106" s="34">
        <v>5.1366666666666703</v>
      </c>
      <c r="AY106" s="14" t="s">
        <v>25</v>
      </c>
      <c r="AZ106" s="14">
        <v>1</v>
      </c>
    </row>
    <row r="107" spans="1:52" x14ac:dyDescent="0.3">
      <c r="A107" s="16">
        <v>105</v>
      </c>
      <c r="B107" s="16" t="s">
        <v>813</v>
      </c>
      <c r="D107" s="25" t="s">
        <v>1490</v>
      </c>
      <c r="E107" s="25" t="s">
        <v>1490</v>
      </c>
      <c r="F107" s="25" t="s">
        <v>1490</v>
      </c>
      <c r="G107" s="25" t="s">
        <v>1490</v>
      </c>
      <c r="H107" s="25" t="s">
        <v>1490</v>
      </c>
      <c r="I107" s="25" t="s">
        <v>1490</v>
      </c>
      <c r="J107" s="25">
        <v>1.31636281108484</v>
      </c>
      <c r="L107" s="30" t="s">
        <v>1490</v>
      </c>
      <c r="M107" s="30" t="s">
        <v>1490</v>
      </c>
      <c r="N107" s="30" t="s">
        <v>1490</v>
      </c>
      <c r="O107" s="30" t="s">
        <v>1490</v>
      </c>
      <c r="P107" s="30" t="s">
        <v>1490</v>
      </c>
      <c r="Q107" s="30" t="s">
        <v>1490</v>
      </c>
      <c r="R107" s="30">
        <v>50</v>
      </c>
      <c r="S107" s="30"/>
      <c r="T107" s="25" t="s">
        <v>1490</v>
      </c>
      <c r="U107" s="25" t="s">
        <v>1490</v>
      </c>
      <c r="V107" s="25" t="s">
        <v>1490</v>
      </c>
      <c r="W107" s="25" t="s">
        <v>1490</v>
      </c>
      <c r="X107" s="25" t="s">
        <v>1490</v>
      </c>
      <c r="Y107" s="25" t="s">
        <v>1490</v>
      </c>
      <c r="Z107" s="25" t="s">
        <v>1490</v>
      </c>
      <c r="AB107" s="27" t="s">
        <v>1490</v>
      </c>
      <c r="AC107" s="27" t="s">
        <v>1490</v>
      </c>
      <c r="AD107" s="27" t="s">
        <v>1490</v>
      </c>
      <c r="AE107" s="27" t="s">
        <v>1490</v>
      </c>
      <c r="AF107" s="27" t="s">
        <v>1490</v>
      </c>
      <c r="AG107" s="27" t="s">
        <v>1490</v>
      </c>
      <c r="AI107" s="25">
        <v>1.0441456116228001</v>
      </c>
      <c r="AJ107" s="25">
        <v>8.4109589041095898</v>
      </c>
      <c r="AK107" s="25">
        <v>0.83561643835616395</v>
      </c>
      <c r="AL107" s="25">
        <v>8.2191780821917799</v>
      </c>
      <c r="AM107" s="25">
        <v>0.931506849315068</v>
      </c>
      <c r="AN107" s="25">
        <v>8.3287671232876708</v>
      </c>
      <c r="AO107" s="25">
        <v>0.931506849315068</v>
      </c>
      <c r="AP107" s="25">
        <v>8.0958904109588996</v>
      </c>
      <c r="AQ107" s="25">
        <v>0.50684931506849296</v>
      </c>
      <c r="AR107" s="25">
        <v>6.02739726027397</v>
      </c>
      <c r="AS107" s="25">
        <v>6.3561643835616399</v>
      </c>
      <c r="AT107" s="25">
        <v>1.34246575342466</v>
      </c>
      <c r="AU107" s="25">
        <v>0.57534246575342496</v>
      </c>
      <c r="AW107" s="30">
        <v>0</v>
      </c>
      <c r="AX107" s="34">
        <v>11</v>
      </c>
      <c r="AY107" s="14" t="s">
        <v>466</v>
      </c>
      <c r="AZ107" s="14">
        <v>1</v>
      </c>
    </row>
    <row r="108" spans="1:52" x14ac:dyDescent="0.3">
      <c r="A108" s="16">
        <v>106</v>
      </c>
      <c r="B108" s="16" t="s">
        <v>583</v>
      </c>
      <c r="D108" s="25" t="s">
        <v>1490</v>
      </c>
      <c r="E108" s="25">
        <v>1.20433403329093</v>
      </c>
      <c r="F108" s="25" t="s">
        <v>1490</v>
      </c>
      <c r="G108" s="25" t="s">
        <v>1490</v>
      </c>
      <c r="H108" s="25" t="s">
        <v>1490</v>
      </c>
      <c r="I108" s="25">
        <v>0.92163148939928197</v>
      </c>
      <c r="J108" s="25">
        <v>0.97265323563683204</v>
      </c>
      <c r="L108" s="30" t="s">
        <v>1490</v>
      </c>
      <c r="M108" s="30">
        <v>47</v>
      </c>
      <c r="N108" s="30" t="s">
        <v>1490</v>
      </c>
      <c r="O108" s="30" t="s">
        <v>1490</v>
      </c>
      <c r="P108" s="30" t="s">
        <v>1490</v>
      </c>
      <c r="Q108" s="30">
        <v>48</v>
      </c>
      <c r="R108" s="30">
        <v>38</v>
      </c>
      <c r="S108" s="30"/>
      <c r="T108" s="25" t="s">
        <v>1490</v>
      </c>
      <c r="U108" s="25">
        <v>0.33532710018682099</v>
      </c>
      <c r="V108" s="25" t="s">
        <v>1490</v>
      </c>
      <c r="W108" s="25" t="s">
        <v>1490</v>
      </c>
      <c r="X108" s="25" t="s">
        <v>1490</v>
      </c>
      <c r="Y108" s="25">
        <v>6.0003705368842898E-2</v>
      </c>
      <c r="Z108" s="25" t="s">
        <v>1490</v>
      </c>
      <c r="AB108" s="27" t="s">
        <v>1490</v>
      </c>
      <c r="AC108" s="27">
        <v>85</v>
      </c>
      <c r="AD108" s="27" t="s">
        <v>1490</v>
      </c>
      <c r="AE108" s="27" t="s">
        <v>1490</v>
      </c>
      <c r="AF108" s="27" t="s">
        <v>1490</v>
      </c>
      <c r="AG108" s="27">
        <v>86</v>
      </c>
      <c r="AI108" s="25">
        <v>-0.87245473565986298</v>
      </c>
      <c r="AJ108" s="25">
        <v>5.4657534246575299</v>
      </c>
      <c r="AK108" s="25">
        <v>1.7808219178082201</v>
      </c>
      <c r="AL108" s="25">
        <v>5.1643835616438398</v>
      </c>
      <c r="AM108" s="25">
        <v>1.97260273972603</v>
      </c>
      <c r="AN108" s="25">
        <v>5.1643835616438398</v>
      </c>
      <c r="AO108" s="25">
        <v>2.04109589041096</v>
      </c>
      <c r="AP108" s="25">
        <v>6.5616438356164402</v>
      </c>
      <c r="AQ108" s="25">
        <v>0.98630136986301398</v>
      </c>
      <c r="AR108" s="25">
        <v>4.4246575342465801</v>
      </c>
      <c r="AS108" s="25">
        <v>4.3150684931506804</v>
      </c>
      <c r="AT108" s="25">
        <v>2.0958904109589001</v>
      </c>
      <c r="AU108" s="25">
        <v>0.98630136986301398</v>
      </c>
      <c r="AW108" s="30">
        <v>0</v>
      </c>
      <c r="AX108" s="34">
        <v>11.5</v>
      </c>
      <c r="AY108" s="14" t="s">
        <v>224</v>
      </c>
      <c r="AZ108" s="14">
        <v>1</v>
      </c>
    </row>
    <row r="109" spans="1:52" x14ac:dyDescent="0.3">
      <c r="A109" s="16">
        <v>107</v>
      </c>
      <c r="B109" s="16" t="s">
        <v>799</v>
      </c>
      <c r="D109" s="25" t="s">
        <v>1490</v>
      </c>
      <c r="E109" s="25" t="s">
        <v>1490</v>
      </c>
      <c r="F109" s="25" t="s">
        <v>1490</v>
      </c>
      <c r="G109" s="25" t="s">
        <v>1490</v>
      </c>
      <c r="H109" s="25" t="s">
        <v>1490</v>
      </c>
      <c r="I109" s="25" t="s">
        <v>1490</v>
      </c>
      <c r="J109" s="25">
        <v>-0.20374479025329101</v>
      </c>
      <c r="L109" s="30" t="s">
        <v>1490</v>
      </c>
      <c r="M109" s="30" t="s">
        <v>1490</v>
      </c>
      <c r="N109" s="30" t="s">
        <v>1490</v>
      </c>
      <c r="O109" s="30" t="s">
        <v>1490</v>
      </c>
      <c r="P109" s="30" t="s">
        <v>1490</v>
      </c>
      <c r="Q109" s="30" t="s">
        <v>1490</v>
      </c>
      <c r="R109" s="30">
        <v>72</v>
      </c>
      <c r="S109" s="30"/>
      <c r="T109" s="25" t="s">
        <v>1490</v>
      </c>
      <c r="U109" s="25" t="s">
        <v>1490</v>
      </c>
      <c r="V109" s="25" t="s">
        <v>1490</v>
      </c>
      <c r="W109" s="25" t="s">
        <v>1490</v>
      </c>
      <c r="X109" s="25" t="s">
        <v>1490</v>
      </c>
      <c r="Y109" s="25" t="s">
        <v>1490</v>
      </c>
      <c r="Z109" s="25" t="s">
        <v>1490</v>
      </c>
      <c r="AB109" s="27" t="s">
        <v>1490</v>
      </c>
      <c r="AC109" s="27" t="s">
        <v>1490</v>
      </c>
      <c r="AD109" s="27" t="s">
        <v>1490</v>
      </c>
      <c r="AE109" s="27" t="s">
        <v>1490</v>
      </c>
      <c r="AF109" s="27" t="s">
        <v>1490</v>
      </c>
      <c r="AG109" s="27" t="s">
        <v>1490</v>
      </c>
      <c r="AI109" s="25">
        <v>0.65730918582471698</v>
      </c>
      <c r="AJ109" s="25">
        <v>8.1917808219178099</v>
      </c>
      <c r="AK109" s="25">
        <v>1.27397260273973</v>
      </c>
      <c r="AL109" s="25">
        <v>8.1506849315068504</v>
      </c>
      <c r="AM109" s="25">
        <v>1.41095890410959</v>
      </c>
      <c r="AN109" s="25">
        <v>8.1506849315068504</v>
      </c>
      <c r="AO109" s="25">
        <v>1.41095890410959</v>
      </c>
      <c r="AP109" s="25">
        <v>7.1780821917808204</v>
      </c>
      <c r="AQ109" s="25">
        <v>0.97260273972602695</v>
      </c>
      <c r="AR109" s="25">
        <v>6.13698630136986</v>
      </c>
      <c r="AS109" s="25">
        <v>6.9178082191780801</v>
      </c>
      <c r="AT109" s="25">
        <v>2.2191780821917799</v>
      </c>
      <c r="AU109" s="25">
        <v>0.931506849315068</v>
      </c>
      <c r="AW109" s="30">
        <v>0</v>
      </c>
      <c r="AX109" s="34">
        <v>25</v>
      </c>
      <c r="AY109" s="14" t="s">
        <v>434</v>
      </c>
      <c r="AZ109" s="14">
        <v>0</v>
      </c>
    </row>
    <row r="110" spans="1:52" x14ac:dyDescent="0.3">
      <c r="A110" s="16">
        <v>108</v>
      </c>
      <c r="B110" s="16" t="s">
        <v>764</v>
      </c>
      <c r="D110" s="25" t="s">
        <v>1490</v>
      </c>
      <c r="E110" s="25" t="s">
        <v>1490</v>
      </c>
      <c r="F110" s="25" t="s">
        <v>1490</v>
      </c>
      <c r="G110" s="25" t="s">
        <v>1490</v>
      </c>
      <c r="H110" s="25" t="s">
        <v>1490</v>
      </c>
      <c r="I110" s="25" t="s">
        <v>1490</v>
      </c>
      <c r="J110" s="25" t="s">
        <v>1490</v>
      </c>
      <c r="L110" s="30" t="s">
        <v>1490</v>
      </c>
      <c r="M110" s="30" t="s">
        <v>1490</v>
      </c>
      <c r="N110" s="30" t="s">
        <v>1490</v>
      </c>
      <c r="O110" s="30" t="s">
        <v>1490</v>
      </c>
      <c r="P110" s="30" t="s">
        <v>1490</v>
      </c>
      <c r="Q110" s="30" t="s">
        <v>1490</v>
      </c>
      <c r="R110" s="30" t="s">
        <v>1490</v>
      </c>
      <c r="S110" s="30"/>
      <c r="T110" s="25" t="s">
        <v>1490</v>
      </c>
      <c r="U110" s="25">
        <v>0.70450526985096695</v>
      </c>
      <c r="V110" s="25" t="s">
        <v>1490</v>
      </c>
      <c r="W110" s="25" t="s">
        <v>1490</v>
      </c>
      <c r="X110" s="25" t="s">
        <v>1490</v>
      </c>
      <c r="Y110" s="25" t="s">
        <v>1490</v>
      </c>
      <c r="Z110" s="25" t="s">
        <v>1490</v>
      </c>
      <c r="AB110" s="27" t="s">
        <v>1490</v>
      </c>
      <c r="AC110" s="27">
        <v>40</v>
      </c>
      <c r="AD110" s="27" t="s">
        <v>1490</v>
      </c>
      <c r="AE110" s="27" t="s">
        <v>1490</v>
      </c>
      <c r="AF110" s="27" t="s">
        <v>1490</v>
      </c>
      <c r="AG110" s="27" t="s">
        <v>1490</v>
      </c>
      <c r="AI110" s="25">
        <v>0.34429811460274701</v>
      </c>
      <c r="AJ110" s="25">
        <v>7.9315068493150704</v>
      </c>
      <c r="AK110" s="25">
        <v>1.58904109589041</v>
      </c>
      <c r="AL110" s="25">
        <v>7.9452054794520501</v>
      </c>
      <c r="AM110" s="25">
        <v>1.6986301369862999</v>
      </c>
      <c r="AN110" s="25">
        <v>7.89041095890411</v>
      </c>
      <c r="AO110" s="25">
        <v>1.7397260273972599</v>
      </c>
      <c r="AP110" s="25">
        <v>7.5342465753424701</v>
      </c>
      <c r="AQ110" s="25">
        <v>1.16438356164384</v>
      </c>
      <c r="AR110" s="25">
        <v>5.6575342465753398</v>
      </c>
      <c r="AS110" s="25">
        <v>5.9452054794520501</v>
      </c>
      <c r="AT110" s="25">
        <v>2.2739726027397298</v>
      </c>
      <c r="AU110" s="25">
        <v>1.27397260273973</v>
      </c>
      <c r="AW110" s="30">
        <v>1</v>
      </c>
      <c r="AX110" s="34">
        <v>5.53</v>
      </c>
      <c r="AY110" s="14" t="s">
        <v>50</v>
      </c>
      <c r="AZ110" s="14">
        <v>0</v>
      </c>
    </row>
    <row r="111" spans="1:52" x14ac:dyDescent="0.3">
      <c r="A111" s="16">
        <v>109</v>
      </c>
      <c r="B111" s="16" t="s">
        <v>733</v>
      </c>
      <c r="D111" s="25" t="s">
        <v>1490</v>
      </c>
      <c r="E111" s="25">
        <v>6.6600053133411699</v>
      </c>
      <c r="F111" s="25" t="s">
        <v>1490</v>
      </c>
      <c r="G111" s="25" t="s">
        <v>1490</v>
      </c>
      <c r="H111" s="25" t="s">
        <v>1490</v>
      </c>
      <c r="I111" s="25" t="s">
        <v>1490</v>
      </c>
      <c r="J111" s="25">
        <v>7.7401774860832901</v>
      </c>
      <c r="L111" s="30" t="s">
        <v>1490</v>
      </c>
      <c r="M111" s="30">
        <v>16</v>
      </c>
      <c r="N111" s="30" t="s">
        <v>1490</v>
      </c>
      <c r="O111" s="30" t="s">
        <v>1490</v>
      </c>
      <c r="P111" s="30" t="s">
        <v>1490</v>
      </c>
      <c r="Q111" s="30" t="s">
        <v>1490</v>
      </c>
      <c r="R111" s="30">
        <v>16</v>
      </c>
      <c r="S111" s="30"/>
      <c r="T111" s="25" t="s">
        <v>1490</v>
      </c>
      <c r="U111" s="25">
        <v>1.7983922390046001</v>
      </c>
      <c r="V111" s="25" t="s">
        <v>1490</v>
      </c>
      <c r="W111" s="25" t="s">
        <v>1490</v>
      </c>
      <c r="X111" s="25" t="s">
        <v>1490</v>
      </c>
      <c r="Y111" s="25" t="s">
        <v>1490</v>
      </c>
      <c r="Z111" s="25" t="s">
        <v>1490</v>
      </c>
      <c r="AB111" s="27" t="s">
        <v>1490</v>
      </c>
      <c r="AC111" s="27">
        <v>32</v>
      </c>
      <c r="AD111" s="27" t="s">
        <v>1490</v>
      </c>
      <c r="AE111" s="27" t="s">
        <v>1490</v>
      </c>
      <c r="AF111" s="27" t="s">
        <v>1490</v>
      </c>
      <c r="AG111" s="27" t="s">
        <v>1490</v>
      </c>
      <c r="AI111" s="25">
        <v>1.69620687806577</v>
      </c>
      <c r="AJ111" s="25">
        <v>9.1095890410958908</v>
      </c>
      <c r="AK111" s="25">
        <v>0.301369863013699</v>
      </c>
      <c r="AL111" s="25">
        <v>9.0684931506849296</v>
      </c>
      <c r="AM111" s="25">
        <v>0.45205479452054798</v>
      </c>
      <c r="AN111" s="25">
        <v>9.0684931506849296</v>
      </c>
      <c r="AO111" s="25">
        <v>0.43835616438356201</v>
      </c>
      <c r="AP111" s="25">
        <v>8.8082191780821901</v>
      </c>
      <c r="AQ111" s="25">
        <v>0.123287671232877</v>
      </c>
      <c r="AR111" s="25">
        <v>5.24657534246575</v>
      </c>
      <c r="AS111" s="25">
        <v>6.8219178082191796</v>
      </c>
      <c r="AT111" s="25">
        <v>2.95890410958904</v>
      </c>
      <c r="AU111" s="25">
        <v>0.17808219178082199</v>
      </c>
      <c r="AW111" s="30">
        <v>1</v>
      </c>
      <c r="AX111" s="34">
        <v>13</v>
      </c>
      <c r="AY111" s="14" t="s">
        <v>50</v>
      </c>
      <c r="AZ111" s="14">
        <v>0</v>
      </c>
    </row>
    <row r="112" spans="1:52" x14ac:dyDescent="0.3">
      <c r="A112" s="16">
        <v>110</v>
      </c>
      <c r="B112" s="16" t="s">
        <v>584</v>
      </c>
      <c r="D112" s="25" t="s">
        <v>1490</v>
      </c>
      <c r="E112" s="25" t="s">
        <v>1490</v>
      </c>
      <c r="F112" s="25" t="s">
        <v>1490</v>
      </c>
      <c r="G112" s="25" t="s">
        <v>1490</v>
      </c>
      <c r="H112" s="25" t="s">
        <v>1490</v>
      </c>
      <c r="I112" s="25" t="s">
        <v>1490</v>
      </c>
      <c r="J112" s="25" t="s">
        <v>1490</v>
      </c>
      <c r="L112" s="30" t="s">
        <v>1490</v>
      </c>
      <c r="M112" s="30" t="s">
        <v>1490</v>
      </c>
      <c r="N112" s="30" t="s">
        <v>1490</v>
      </c>
      <c r="O112" s="30" t="s">
        <v>1490</v>
      </c>
      <c r="P112" s="30" t="s">
        <v>1490</v>
      </c>
      <c r="Q112" s="30" t="s">
        <v>1490</v>
      </c>
      <c r="R112" s="30" t="s">
        <v>1490</v>
      </c>
      <c r="S112" s="30"/>
      <c r="T112" s="25" t="s">
        <v>1490</v>
      </c>
      <c r="U112" s="25" t="s">
        <v>1490</v>
      </c>
      <c r="V112" s="25" t="s">
        <v>1490</v>
      </c>
      <c r="W112" s="25" t="s">
        <v>1490</v>
      </c>
      <c r="X112" s="25" t="s">
        <v>1490</v>
      </c>
      <c r="Y112" s="25">
        <v>0.54772255750516596</v>
      </c>
      <c r="Z112" s="25" t="s">
        <v>1490</v>
      </c>
      <c r="AB112" s="27" t="s">
        <v>1490</v>
      </c>
      <c r="AC112" s="27" t="s">
        <v>1490</v>
      </c>
      <c r="AD112" s="27" t="s">
        <v>1490</v>
      </c>
      <c r="AE112" s="27" t="s">
        <v>1490</v>
      </c>
      <c r="AF112" s="27" t="s">
        <v>1490</v>
      </c>
      <c r="AG112" s="27">
        <v>4</v>
      </c>
      <c r="AI112" s="25">
        <v>-2.6403464745682701</v>
      </c>
      <c r="AJ112" s="25">
        <v>3.5479452054794498</v>
      </c>
      <c r="AK112" s="25">
        <v>3.1643835616438398</v>
      </c>
      <c r="AL112" s="25">
        <v>3.5890410958904102</v>
      </c>
      <c r="AM112" s="25">
        <v>3.86301369863014</v>
      </c>
      <c r="AN112" s="25">
        <v>3.5479452054794498</v>
      </c>
      <c r="AO112" s="25">
        <v>3.5068493150684898</v>
      </c>
      <c r="AP112" s="25">
        <v>5.6986301369863002</v>
      </c>
      <c r="AQ112" s="25">
        <v>1.61643835616438</v>
      </c>
      <c r="AR112" s="25">
        <v>5.9041095890411004</v>
      </c>
      <c r="AS112" s="25">
        <v>4.3150684931506804</v>
      </c>
      <c r="AT112" s="25">
        <v>2.10958904109589</v>
      </c>
      <c r="AU112" s="25">
        <v>1.72602739726027</v>
      </c>
      <c r="AW112" s="30">
        <v>0</v>
      </c>
      <c r="AX112" s="34">
        <v>17.850000000000001</v>
      </c>
      <c r="AY112" s="14" t="s">
        <v>25</v>
      </c>
      <c r="AZ112" s="14">
        <v>1</v>
      </c>
    </row>
    <row r="113" spans="1:52" x14ac:dyDescent="0.3">
      <c r="A113" s="16">
        <v>111</v>
      </c>
      <c r="B113" s="16" t="s">
        <v>772</v>
      </c>
      <c r="D113" s="25" t="s">
        <v>1490</v>
      </c>
      <c r="E113" s="25" t="s">
        <v>1490</v>
      </c>
      <c r="F113" s="25" t="s">
        <v>1490</v>
      </c>
      <c r="G113" s="25" t="s">
        <v>1490</v>
      </c>
      <c r="H113" s="25" t="s">
        <v>1490</v>
      </c>
      <c r="I113" s="25" t="s">
        <v>1490</v>
      </c>
      <c r="J113" s="25">
        <v>0.215893748689684</v>
      </c>
      <c r="L113" s="30" t="s">
        <v>1490</v>
      </c>
      <c r="M113" s="30" t="s">
        <v>1490</v>
      </c>
      <c r="N113" s="30" t="s">
        <v>1490</v>
      </c>
      <c r="O113" s="30" t="s">
        <v>1490</v>
      </c>
      <c r="P113" s="30" t="s">
        <v>1490</v>
      </c>
      <c r="Q113" s="30" t="s">
        <v>1490</v>
      </c>
      <c r="R113" s="30">
        <v>29</v>
      </c>
      <c r="S113" s="30"/>
      <c r="T113" s="25" t="s">
        <v>1490</v>
      </c>
      <c r="U113" s="25" t="s">
        <v>1490</v>
      </c>
      <c r="V113" s="25" t="s">
        <v>1490</v>
      </c>
      <c r="W113" s="25" t="s">
        <v>1490</v>
      </c>
      <c r="X113" s="25" t="s">
        <v>1490</v>
      </c>
      <c r="Y113" s="25" t="s">
        <v>1490</v>
      </c>
      <c r="Z113" s="25" t="s">
        <v>1490</v>
      </c>
      <c r="AB113" s="27" t="s">
        <v>1490</v>
      </c>
      <c r="AC113" s="27" t="s">
        <v>1490</v>
      </c>
      <c r="AD113" s="27" t="s">
        <v>1490</v>
      </c>
      <c r="AE113" s="27" t="s">
        <v>1490</v>
      </c>
      <c r="AF113" s="27" t="s">
        <v>1490</v>
      </c>
      <c r="AG113" s="27" t="s">
        <v>1490</v>
      </c>
      <c r="AI113" s="25">
        <v>0.33116212817235602</v>
      </c>
      <c r="AJ113" s="25">
        <v>7.8533333333333299</v>
      </c>
      <c r="AK113" s="25">
        <v>1.6</v>
      </c>
      <c r="AL113" s="25">
        <v>7.8</v>
      </c>
      <c r="AM113" s="25">
        <v>1.65333333333333</v>
      </c>
      <c r="AN113" s="25">
        <v>7.88</v>
      </c>
      <c r="AO113" s="25">
        <v>1.69333333333333</v>
      </c>
      <c r="AP113" s="25">
        <v>7.4933333333333296</v>
      </c>
      <c r="AQ113" s="25">
        <v>1.13333333333333</v>
      </c>
      <c r="AR113" s="25">
        <v>5.68</v>
      </c>
      <c r="AS113" s="25">
        <v>6.24</v>
      </c>
      <c r="AT113" s="25">
        <v>2.10666666666667</v>
      </c>
      <c r="AU113" s="25">
        <v>1.24</v>
      </c>
      <c r="AW113" s="30">
        <v>0</v>
      </c>
      <c r="AX113" s="34">
        <v>10.5</v>
      </c>
      <c r="AY113" s="14" t="s">
        <v>62</v>
      </c>
      <c r="AZ113" s="14">
        <v>0</v>
      </c>
    </row>
    <row r="114" spans="1:52" x14ac:dyDescent="0.3">
      <c r="A114" s="16">
        <v>112</v>
      </c>
      <c r="B114" s="18" t="s">
        <v>806</v>
      </c>
      <c r="D114" s="25" t="s">
        <v>1490</v>
      </c>
      <c r="E114" s="25" t="s">
        <v>1490</v>
      </c>
      <c r="F114" s="25" t="s">
        <v>1490</v>
      </c>
      <c r="G114" s="25" t="s">
        <v>1490</v>
      </c>
      <c r="H114" s="25" t="s">
        <v>1490</v>
      </c>
      <c r="I114" s="25">
        <v>0.69518204062993105</v>
      </c>
      <c r="J114" s="25">
        <v>0.46426876714669801</v>
      </c>
      <c r="L114" s="30" t="s">
        <v>1490</v>
      </c>
      <c r="M114" s="30" t="s">
        <v>1490</v>
      </c>
      <c r="N114" s="30" t="s">
        <v>1490</v>
      </c>
      <c r="O114" s="30" t="s">
        <v>1490</v>
      </c>
      <c r="P114" s="30" t="s">
        <v>1490</v>
      </c>
      <c r="Q114" s="30">
        <v>5</v>
      </c>
      <c r="R114" s="30">
        <v>10</v>
      </c>
      <c r="S114" s="30"/>
      <c r="T114" s="25" t="s">
        <v>1490</v>
      </c>
      <c r="U114" s="25" t="s">
        <v>1490</v>
      </c>
      <c r="V114" s="25" t="s">
        <v>1490</v>
      </c>
      <c r="W114" s="25" t="s">
        <v>1490</v>
      </c>
      <c r="X114" s="25" t="s">
        <v>1490</v>
      </c>
      <c r="Y114" s="25">
        <v>-0.14529131777498</v>
      </c>
      <c r="Z114" s="25" t="s">
        <v>1490</v>
      </c>
      <c r="AB114" s="27" t="s">
        <v>1490</v>
      </c>
      <c r="AC114" s="27" t="s">
        <v>1490</v>
      </c>
      <c r="AD114" s="27" t="s">
        <v>1490</v>
      </c>
      <c r="AE114" s="27" t="s">
        <v>1490</v>
      </c>
      <c r="AF114" s="27" t="s">
        <v>1490</v>
      </c>
      <c r="AG114" s="27">
        <v>15</v>
      </c>
      <c r="AI114" s="25">
        <v>0.60823588434139897</v>
      </c>
      <c r="AJ114" s="25">
        <v>7.97260273972603</v>
      </c>
      <c r="AK114" s="25">
        <v>1.27397260273973</v>
      </c>
      <c r="AL114" s="25">
        <v>8.02739726027397</v>
      </c>
      <c r="AM114" s="25">
        <v>1.3698630136986301</v>
      </c>
      <c r="AN114" s="25">
        <v>8.02739726027397</v>
      </c>
      <c r="AO114" s="25">
        <v>1.3972602739726001</v>
      </c>
      <c r="AP114" s="25">
        <v>7.6164383561643803</v>
      </c>
      <c r="AQ114" s="25">
        <v>0.84931506849315097</v>
      </c>
      <c r="AR114" s="25">
        <v>5.8219178082191796</v>
      </c>
      <c r="AS114" s="25">
        <v>5.7260273972602702</v>
      </c>
      <c r="AT114" s="25">
        <v>1.6027397260273999</v>
      </c>
      <c r="AU114" s="25">
        <v>0.94520547945205502</v>
      </c>
      <c r="AW114" s="30">
        <v>0</v>
      </c>
      <c r="AX114" s="34">
        <v>13</v>
      </c>
      <c r="AY114" s="14" t="s">
        <v>68</v>
      </c>
      <c r="AZ114" s="14">
        <v>0</v>
      </c>
    </row>
    <row r="115" spans="1:52" x14ac:dyDescent="0.3">
      <c r="A115" s="16">
        <v>113</v>
      </c>
      <c r="B115" s="18" t="s">
        <v>806</v>
      </c>
      <c r="D115" s="25" t="s">
        <v>1490</v>
      </c>
      <c r="E115" s="25" t="s">
        <v>1490</v>
      </c>
      <c r="F115" s="25" t="s">
        <v>1490</v>
      </c>
      <c r="G115" s="25" t="s">
        <v>1490</v>
      </c>
      <c r="H115" s="25" t="s">
        <v>1490</v>
      </c>
      <c r="I115" s="25">
        <v>0.82414893064753802</v>
      </c>
      <c r="J115" s="25">
        <v>1.47755859181815</v>
      </c>
      <c r="L115" s="30" t="s">
        <v>1490</v>
      </c>
      <c r="M115" s="30" t="s">
        <v>1490</v>
      </c>
      <c r="N115" s="30" t="s">
        <v>1490</v>
      </c>
      <c r="O115" s="30" t="s">
        <v>1490</v>
      </c>
      <c r="P115" s="30" t="s">
        <v>1490</v>
      </c>
      <c r="Q115" s="30">
        <v>10</v>
      </c>
      <c r="R115" s="30">
        <v>10</v>
      </c>
      <c r="S115" s="30"/>
      <c r="T115" s="25" t="s">
        <v>1490</v>
      </c>
      <c r="U115" s="25" t="s">
        <v>1490</v>
      </c>
      <c r="V115" s="25" t="s">
        <v>1490</v>
      </c>
      <c r="W115" s="25" t="s">
        <v>1490</v>
      </c>
      <c r="X115" s="25" t="s">
        <v>1490</v>
      </c>
      <c r="Y115" s="25">
        <v>0.44357885076002601</v>
      </c>
      <c r="Z115" s="25" t="s">
        <v>1490</v>
      </c>
      <c r="AB115" s="27" t="s">
        <v>1490</v>
      </c>
      <c r="AC115" s="27" t="s">
        <v>1490</v>
      </c>
      <c r="AD115" s="27" t="s">
        <v>1490</v>
      </c>
      <c r="AE115" s="27" t="s">
        <v>1490</v>
      </c>
      <c r="AF115" s="27" t="s">
        <v>1490</v>
      </c>
      <c r="AG115" s="27">
        <v>20</v>
      </c>
      <c r="AI115" s="25">
        <v>0.60823588434139897</v>
      </c>
      <c r="AJ115" s="25">
        <v>7.97260273972603</v>
      </c>
      <c r="AK115" s="25">
        <v>1.27397260273973</v>
      </c>
      <c r="AL115" s="25">
        <v>8.02739726027397</v>
      </c>
      <c r="AM115" s="25">
        <v>1.3698630136986301</v>
      </c>
      <c r="AN115" s="25">
        <v>8.02739726027397</v>
      </c>
      <c r="AO115" s="25">
        <v>1.3972602739726001</v>
      </c>
      <c r="AP115" s="25">
        <v>7.6164383561643803</v>
      </c>
      <c r="AQ115" s="25">
        <v>0.84931506849315097</v>
      </c>
      <c r="AR115" s="25">
        <v>5.8219178082191796</v>
      </c>
      <c r="AS115" s="25">
        <v>5.7260273972602702</v>
      </c>
      <c r="AT115" s="25">
        <v>1.6027397260273999</v>
      </c>
      <c r="AU115" s="25">
        <v>0.94520547945205502</v>
      </c>
      <c r="AW115" s="30">
        <v>0</v>
      </c>
      <c r="AX115" s="34">
        <v>20</v>
      </c>
      <c r="AY115" s="14" t="s">
        <v>68</v>
      </c>
      <c r="AZ115" s="14">
        <v>0</v>
      </c>
    </row>
    <row r="116" spans="1:52" x14ac:dyDescent="0.3">
      <c r="A116" s="16">
        <v>114</v>
      </c>
      <c r="B116" s="18" t="s">
        <v>822</v>
      </c>
      <c r="D116" s="25">
        <v>-0.28631288640677399</v>
      </c>
      <c r="E116" s="25" t="s">
        <v>1490</v>
      </c>
      <c r="F116" s="25" t="s">
        <v>1490</v>
      </c>
      <c r="G116" s="25" t="s">
        <v>1490</v>
      </c>
      <c r="H116" s="25" t="s">
        <v>1490</v>
      </c>
      <c r="I116" s="25">
        <v>-0.32072212443748899</v>
      </c>
      <c r="J116" s="25">
        <v>-2.41274620450629E-2</v>
      </c>
      <c r="L116" s="30">
        <v>42</v>
      </c>
      <c r="M116" s="30" t="s">
        <v>1490</v>
      </c>
      <c r="N116" s="30" t="s">
        <v>1490</v>
      </c>
      <c r="O116" s="30" t="s">
        <v>1490</v>
      </c>
      <c r="P116" s="30" t="s">
        <v>1490</v>
      </c>
      <c r="Q116" s="30">
        <v>44</v>
      </c>
      <c r="R116" s="30">
        <v>44</v>
      </c>
      <c r="S116" s="30"/>
      <c r="T116" s="25">
        <v>-5.5442525222002499E-2</v>
      </c>
      <c r="U116" s="25" t="s">
        <v>1490</v>
      </c>
      <c r="V116" s="25" t="s">
        <v>1490</v>
      </c>
      <c r="W116" s="25" t="s">
        <v>1490</v>
      </c>
      <c r="X116" s="25" t="s">
        <v>1490</v>
      </c>
      <c r="Y116" s="25">
        <v>-1.86110440569629E-2</v>
      </c>
      <c r="Z116" s="25" t="s">
        <v>1490</v>
      </c>
      <c r="AB116" s="27">
        <v>86</v>
      </c>
      <c r="AC116" s="27" t="s">
        <v>1490</v>
      </c>
      <c r="AD116" s="27" t="s">
        <v>1490</v>
      </c>
      <c r="AE116" s="27" t="s">
        <v>1490</v>
      </c>
      <c r="AF116" s="27" t="s">
        <v>1490</v>
      </c>
      <c r="AG116" s="27">
        <v>88</v>
      </c>
      <c r="AI116" s="25">
        <v>-3.0019182305660501</v>
      </c>
      <c r="AJ116" s="25">
        <v>2.9178082191780801</v>
      </c>
      <c r="AK116" s="25">
        <v>3.31506849315068</v>
      </c>
      <c r="AL116" s="25">
        <v>2.86301369863014</v>
      </c>
      <c r="AM116" s="25">
        <v>3.79452054794521</v>
      </c>
      <c r="AN116" s="25">
        <v>2.9041095890410999</v>
      </c>
      <c r="AO116" s="25">
        <v>3.8493150684931501</v>
      </c>
      <c r="AP116" s="25">
        <v>3.4383561643835598</v>
      </c>
      <c r="AQ116" s="25">
        <v>1.6986301369862999</v>
      </c>
      <c r="AR116" s="25">
        <v>5.0547945205479499</v>
      </c>
      <c r="AS116" s="25">
        <v>3.6712328767123301</v>
      </c>
      <c r="AT116" s="25">
        <v>1.5753424657534201</v>
      </c>
      <c r="AU116" s="25">
        <v>1.52054794520548</v>
      </c>
      <c r="AW116" s="30">
        <v>0</v>
      </c>
      <c r="AX116" s="34">
        <v>26.6</v>
      </c>
      <c r="AY116" s="14" t="s">
        <v>1095</v>
      </c>
      <c r="AZ116" s="14">
        <v>1</v>
      </c>
    </row>
    <row r="117" spans="1:52" x14ac:dyDescent="0.3">
      <c r="A117" s="16">
        <v>115</v>
      </c>
      <c r="B117" s="18" t="s">
        <v>758</v>
      </c>
      <c r="D117" s="25" t="s">
        <v>1490</v>
      </c>
      <c r="E117" s="25" t="s">
        <v>1490</v>
      </c>
      <c r="F117" s="25" t="s">
        <v>1490</v>
      </c>
      <c r="G117" s="25" t="s">
        <v>1490</v>
      </c>
      <c r="H117" s="25" t="s">
        <v>1490</v>
      </c>
      <c r="I117" s="25" t="s">
        <v>1490</v>
      </c>
      <c r="J117" s="25">
        <v>2.1174219854797198</v>
      </c>
      <c r="L117" s="30" t="s">
        <v>1490</v>
      </c>
      <c r="M117" s="30" t="s">
        <v>1490</v>
      </c>
      <c r="N117" s="30" t="s">
        <v>1490</v>
      </c>
      <c r="O117" s="30" t="s">
        <v>1490</v>
      </c>
      <c r="P117" s="30" t="s">
        <v>1490</v>
      </c>
      <c r="Q117" s="30" t="s">
        <v>1490</v>
      </c>
      <c r="R117" s="30">
        <v>62</v>
      </c>
      <c r="S117" s="30"/>
      <c r="T117" s="25" t="s">
        <v>1490</v>
      </c>
      <c r="U117" s="25" t="s">
        <v>1490</v>
      </c>
      <c r="V117" s="25" t="s">
        <v>1490</v>
      </c>
      <c r="W117" s="25" t="s">
        <v>1490</v>
      </c>
      <c r="X117" s="25" t="s">
        <v>1490</v>
      </c>
      <c r="Y117" s="25" t="s">
        <v>1490</v>
      </c>
      <c r="Z117" s="25" t="s">
        <v>1490</v>
      </c>
      <c r="AB117" s="27" t="s">
        <v>1490</v>
      </c>
      <c r="AC117" s="27" t="s">
        <v>1490</v>
      </c>
      <c r="AD117" s="27" t="s">
        <v>1490</v>
      </c>
      <c r="AE117" s="27" t="s">
        <v>1490</v>
      </c>
      <c r="AF117" s="27" t="s">
        <v>1490</v>
      </c>
      <c r="AG117" s="27" t="s">
        <v>1490</v>
      </c>
      <c r="AI117" s="25">
        <v>-0.546740837798246</v>
      </c>
      <c r="AJ117" s="25">
        <v>5.9589041095890396</v>
      </c>
      <c r="AK117" s="25">
        <v>1.5616438356164399</v>
      </c>
      <c r="AL117" s="25">
        <v>5.6301369863013697</v>
      </c>
      <c r="AM117" s="25">
        <v>1.82191780821918</v>
      </c>
      <c r="AN117" s="25">
        <v>5.5890410958904102</v>
      </c>
      <c r="AO117" s="25">
        <v>1.79452054794521</v>
      </c>
      <c r="AP117" s="25">
        <v>7.6027397260273997</v>
      </c>
      <c r="AQ117" s="25">
        <v>0.87671232876712302</v>
      </c>
      <c r="AR117" s="25">
        <v>6.02739726027397</v>
      </c>
      <c r="AS117" s="25">
        <v>4.8356164383561602</v>
      </c>
      <c r="AT117" s="25">
        <v>2.2328767123287698</v>
      </c>
      <c r="AU117" s="25">
        <v>0.87671232876712302</v>
      </c>
      <c r="AW117" s="30">
        <v>0</v>
      </c>
      <c r="AX117" s="34">
        <v>21.68</v>
      </c>
      <c r="AY117" s="14" t="s">
        <v>1095</v>
      </c>
      <c r="AZ117" s="14">
        <v>1</v>
      </c>
    </row>
    <row r="118" spans="1:52" x14ac:dyDescent="0.3">
      <c r="A118" s="16">
        <v>116</v>
      </c>
      <c r="B118" s="18" t="s">
        <v>1240</v>
      </c>
      <c r="D118" s="25" t="s">
        <v>1490</v>
      </c>
      <c r="E118" s="25" t="s">
        <v>1490</v>
      </c>
      <c r="F118" s="25" t="s">
        <v>1490</v>
      </c>
      <c r="G118" s="25" t="s">
        <v>1490</v>
      </c>
      <c r="H118" s="25" t="s">
        <v>1490</v>
      </c>
      <c r="I118" s="25">
        <v>1.72695742829</v>
      </c>
      <c r="J118" s="25">
        <v>1.60883999356464</v>
      </c>
      <c r="L118" s="30" t="s">
        <v>1490</v>
      </c>
      <c r="M118" s="30" t="s">
        <v>1490</v>
      </c>
      <c r="N118" s="30" t="s">
        <v>1490</v>
      </c>
      <c r="O118" s="30" t="s">
        <v>1490</v>
      </c>
      <c r="P118" s="30" t="s">
        <v>1490</v>
      </c>
      <c r="Q118" s="30">
        <v>11</v>
      </c>
      <c r="R118" s="30">
        <v>10</v>
      </c>
      <c r="S118" s="30"/>
      <c r="T118" s="25" t="s">
        <v>1490</v>
      </c>
      <c r="U118" s="25" t="s">
        <v>1490</v>
      </c>
      <c r="V118" s="25" t="s">
        <v>1490</v>
      </c>
      <c r="W118" s="25" t="s">
        <v>1490</v>
      </c>
      <c r="X118" s="25" t="s">
        <v>1490</v>
      </c>
      <c r="Y118" s="25">
        <v>0.20030536987863201</v>
      </c>
      <c r="Z118" s="25" t="s">
        <v>1490</v>
      </c>
      <c r="AB118" s="27" t="s">
        <v>1490</v>
      </c>
      <c r="AC118" s="27" t="s">
        <v>1490</v>
      </c>
      <c r="AD118" s="27" t="s">
        <v>1490</v>
      </c>
      <c r="AE118" s="27" t="s">
        <v>1490</v>
      </c>
      <c r="AF118" s="27" t="s">
        <v>1490</v>
      </c>
      <c r="AG118" s="27">
        <v>21</v>
      </c>
      <c r="AI118" s="25">
        <v>0.22628354370753001</v>
      </c>
      <c r="AJ118" s="25">
        <v>7.3287671232876699</v>
      </c>
      <c r="AK118" s="25">
        <v>1.45205479452055</v>
      </c>
      <c r="AL118" s="25">
        <v>7.6164383561643803</v>
      </c>
      <c r="AM118" s="25">
        <v>1.79452054794521</v>
      </c>
      <c r="AN118" s="25">
        <v>7.5068493150684903</v>
      </c>
      <c r="AO118" s="25">
        <v>1.5616438356164399</v>
      </c>
      <c r="AP118" s="25">
        <v>7.10958904109589</v>
      </c>
      <c r="AQ118" s="25">
        <v>0.83561643835616395</v>
      </c>
      <c r="AR118" s="25">
        <v>4.4520547945205502</v>
      </c>
      <c r="AS118" s="25">
        <v>5.24657534246575</v>
      </c>
      <c r="AT118" s="25">
        <v>1.61643835616438</v>
      </c>
      <c r="AU118" s="25">
        <v>1.0547945205479501</v>
      </c>
      <c r="AW118" s="30">
        <v>0</v>
      </c>
      <c r="AX118" s="34">
        <v>15.476190476190499</v>
      </c>
      <c r="AY118" s="14" t="s">
        <v>506</v>
      </c>
      <c r="AZ118" s="14">
        <v>1</v>
      </c>
    </row>
    <row r="119" spans="1:52" x14ac:dyDescent="0.3">
      <c r="A119" s="16">
        <v>117</v>
      </c>
      <c r="B119" s="18" t="s">
        <v>776</v>
      </c>
      <c r="D119" s="25" t="s">
        <v>1490</v>
      </c>
      <c r="E119" s="25">
        <v>0.40909857976714098</v>
      </c>
      <c r="F119" s="25" t="s">
        <v>1490</v>
      </c>
      <c r="G119" s="25" t="s">
        <v>1490</v>
      </c>
      <c r="H119" s="25" t="s">
        <v>1490</v>
      </c>
      <c r="I119" s="25" t="s">
        <v>1490</v>
      </c>
      <c r="J119" s="25">
        <v>1.14694932794277</v>
      </c>
      <c r="L119" s="30" t="s">
        <v>1490</v>
      </c>
      <c r="M119" s="30">
        <v>12</v>
      </c>
      <c r="N119" s="30" t="s">
        <v>1490</v>
      </c>
      <c r="O119" s="30" t="s">
        <v>1490</v>
      </c>
      <c r="P119" s="30" t="s">
        <v>1490</v>
      </c>
      <c r="Q119" s="30" t="s">
        <v>1490</v>
      </c>
      <c r="R119" s="30">
        <v>14</v>
      </c>
      <c r="S119" s="30"/>
      <c r="T119" s="25" t="s">
        <v>1490</v>
      </c>
      <c r="U119" s="25">
        <v>0.44041948791678098</v>
      </c>
      <c r="V119" s="25" t="s">
        <v>1490</v>
      </c>
      <c r="W119" s="25" t="s">
        <v>1490</v>
      </c>
      <c r="X119" s="25" t="s">
        <v>1490</v>
      </c>
      <c r="Y119" s="25" t="s">
        <v>1490</v>
      </c>
      <c r="Z119" s="25" t="s">
        <v>1490</v>
      </c>
      <c r="AB119" s="27" t="s">
        <v>1490</v>
      </c>
      <c r="AC119" s="27">
        <v>26</v>
      </c>
      <c r="AD119" s="27" t="s">
        <v>1490</v>
      </c>
      <c r="AE119" s="27" t="s">
        <v>1490</v>
      </c>
      <c r="AF119" s="27" t="s">
        <v>1490</v>
      </c>
      <c r="AG119" s="27" t="s">
        <v>1490</v>
      </c>
      <c r="AI119" s="25">
        <v>0.31206670389222901</v>
      </c>
      <c r="AJ119" s="25">
        <v>7.6027397260273997</v>
      </c>
      <c r="AK119" s="25">
        <v>1.5753424657534201</v>
      </c>
      <c r="AL119" s="25">
        <v>7.8356164383561602</v>
      </c>
      <c r="AM119" s="25">
        <v>1.54794520547945</v>
      </c>
      <c r="AN119" s="25">
        <v>7.8082191780821901</v>
      </c>
      <c r="AO119" s="25">
        <v>1.7397260273972599</v>
      </c>
      <c r="AP119" s="25">
        <v>7.5205479452054798</v>
      </c>
      <c r="AQ119" s="25">
        <v>1.0958904109589001</v>
      </c>
      <c r="AR119" s="25">
        <v>5.6575342465753398</v>
      </c>
      <c r="AS119" s="25">
        <v>5.5068493150684903</v>
      </c>
      <c r="AT119" s="25">
        <v>2.17808219178082</v>
      </c>
      <c r="AU119" s="25">
        <v>1.3013698630137001</v>
      </c>
      <c r="AW119" s="30">
        <v>0</v>
      </c>
      <c r="AX119" s="34">
        <v>20</v>
      </c>
      <c r="AY119" s="14" t="s">
        <v>68</v>
      </c>
      <c r="AZ119" s="14">
        <v>0</v>
      </c>
    </row>
    <row r="120" spans="1:52" x14ac:dyDescent="0.3">
      <c r="A120" s="16">
        <v>118</v>
      </c>
      <c r="B120" s="18" t="s">
        <v>836</v>
      </c>
      <c r="D120" s="25" t="s">
        <v>1490</v>
      </c>
      <c r="E120" s="25" t="s">
        <v>1490</v>
      </c>
      <c r="F120" s="25" t="s">
        <v>1490</v>
      </c>
      <c r="G120" s="25">
        <v>0.39534954177021198</v>
      </c>
      <c r="H120" s="25" t="s">
        <v>1490</v>
      </c>
      <c r="I120" s="25" t="s">
        <v>1490</v>
      </c>
      <c r="J120" s="25">
        <v>1.4529761657631799</v>
      </c>
      <c r="L120" s="30" t="s">
        <v>1490</v>
      </c>
      <c r="M120" s="30" t="s">
        <v>1490</v>
      </c>
      <c r="N120" s="30" t="s">
        <v>1490</v>
      </c>
      <c r="O120" s="30">
        <v>18</v>
      </c>
      <c r="P120" s="30" t="s">
        <v>1490</v>
      </c>
      <c r="Q120" s="30" t="s">
        <v>1490</v>
      </c>
      <c r="R120" s="30">
        <v>17</v>
      </c>
      <c r="S120" s="30"/>
      <c r="T120" s="25" t="s">
        <v>1490</v>
      </c>
      <c r="U120" s="25" t="s">
        <v>1490</v>
      </c>
      <c r="V120" s="25" t="s">
        <v>1490</v>
      </c>
      <c r="W120" s="25">
        <v>1.2347174473515099</v>
      </c>
      <c r="X120" s="25" t="s">
        <v>1490</v>
      </c>
      <c r="Y120" s="25" t="s">
        <v>1490</v>
      </c>
      <c r="Z120" s="25" t="s">
        <v>1490</v>
      </c>
      <c r="AB120" s="27" t="s">
        <v>1490</v>
      </c>
      <c r="AC120" s="27" t="s">
        <v>1490</v>
      </c>
      <c r="AD120" s="27" t="s">
        <v>1490</v>
      </c>
      <c r="AE120" s="27">
        <v>35</v>
      </c>
      <c r="AF120" s="27" t="s">
        <v>1490</v>
      </c>
      <c r="AG120" s="27" t="s">
        <v>1490</v>
      </c>
      <c r="AI120" s="25">
        <v>1.14610404575667</v>
      </c>
      <c r="AJ120" s="25">
        <v>8.5753424657534207</v>
      </c>
      <c r="AK120" s="25">
        <v>0.83561643835616395</v>
      </c>
      <c r="AL120" s="25">
        <v>8.6575342465753398</v>
      </c>
      <c r="AM120" s="25">
        <v>0.931506849315068</v>
      </c>
      <c r="AN120" s="25">
        <v>8.5342465753424701</v>
      </c>
      <c r="AO120" s="25">
        <v>0.94520547945205502</v>
      </c>
      <c r="AP120" s="25">
        <v>8.3561643835616408</v>
      </c>
      <c r="AQ120" s="25">
        <v>0.63013698630137005</v>
      </c>
      <c r="AR120" s="25">
        <v>5.1780821917808204</v>
      </c>
      <c r="AS120" s="25">
        <v>6.4383561643835598</v>
      </c>
      <c r="AT120" s="25">
        <v>2.0958904109589001</v>
      </c>
      <c r="AU120" s="25">
        <v>0.71232876712328796</v>
      </c>
      <c r="AW120" s="30">
        <v>0</v>
      </c>
      <c r="AX120" s="34">
        <v>6.5</v>
      </c>
      <c r="AY120" s="14" t="s">
        <v>518</v>
      </c>
      <c r="AZ120" s="14">
        <v>0</v>
      </c>
    </row>
    <row r="121" spans="1:52" x14ac:dyDescent="0.3">
      <c r="A121" s="16">
        <v>119</v>
      </c>
      <c r="B121" s="18" t="s">
        <v>708</v>
      </c>
      <c r="D121" s="25" t="s">
        <v>1490</v>
      </c>
      <c r="E121" s="25" t="s">
        <v>1490</v>
      </c>
      <c r="F121" s="25" t="s">
        <v>1490</v>
      </c>
      <c r="G121" s="25" t="s">
        <v>1490</v>
      </c>
      <c r="H121" s="25" t="s">
        <v>1490</v>
      </c>
      <c r="I121" s="25">
        <v>1.80086792452628</v>
      </c>
      <c r="J121" s="25">
        <v>2.91744487233608</v>
      </c>
      <c r="L121" s="30" t="s">
        <v>1490</v>
      </c>
      <c r="M121" s="30" t="s">
        <v>1490</v>
      </c>
      <c r="N121" s="30" t="s">
        <v>1490</v>
      </c>
      <c r="O121" s="30" t="s">
        <v>1490</v>
      </c>
      <c r="P121" s="30" t="s">
        <v>1490</v>
      </c>
      <c r="Q121" s="30">
        <v>30</v>
      </c>
      <c r="R121" s="30">
        <v>30</v>
      </c>
      <c r="S121" s="30"/>
      <c r="T121" s="25" t="s">
        <v>1490</v>
      </c>
      <c r="U121" s="25" t="s">
        <v>1490</v>
      </c>
      <c r="V121" s="25" t="s">
        <v>1490</v>
      </c>
      <c r="W121" s="25" t="s">
        <v>1490</v>
      </c>
      <c r="X121" s="25" t="s">
        <v>1490</v>
      </c>
      <c r="Y121" s="25">
        <v>0.92401237277134796</v>
      </c>
      <c r="Z121" s="25" t="s">
        <v>1490</v>
      </c>
      <c r="AB121" s="27" t="s">
        <v>1490</v>
      </c>
      <c r="AC121" s="27" t="s">
        <v>1490</v>
      </c>
      <c r="AD121" s="27" t="s">
        <v>1490</v>
      </c>
      <c r="AE121" s="27" t="s">
        <v>1490</v>
      </c>
      <c r="AF121" s="27" t="s">
        <v>1490</v>
      </c>
      <c r="AG121" s="27">
        <v>60</v>
      </c>
      <c r="AI121" s="25">
        <v>1.16244523384076</v>
      </c>
      <c r="AJ121" s="25">
        <v>8.6266666666666705</v>
      </c>
      <c r="AK121" s="25">
        <v>0.78666666666666696</v>
      </c>
      <c r="AL121" s="25">
        <v>8.6266666666666705</v>
      </c>
      <c r="AM121" s="25">
        <v>0.97333333333333305</v>
      </c>
      <c r="AN121" s="25">
        <v>8.6133333333333297</v>
      </c>
      <c r="AO121" s="25">
        <v>0.94666666666666699</v>
      </c>
      <c r="AP121" s="25">
        <v>8.16</v>
      </c>
      <c r="AQ121" s="25">
        <v>0.61333333333333295</v>
      </c>
      <c r="AR121" s="25">
        <v>5.8</v>
      </c>
      <c r="AS121" s="25">
        <v>6.84</v>
      </c>
      <c r="AT121" s="25">
        <v>1.72</v>
      </c>
      <c r="AU121" s="25">
        <v>0.586666666666667</v>
      </c>
      <c r="AW121" s="30">
        <v>0</v>
      </c>
      <c r="AX121" s="34">
        <v>70.734999999999999</v>
      </c>
      <c r="AY121" s="14" t="s">
        <v>62</v>
      </c>
      <c r="AZ121" s="14">
        <v>0</v>
      </c>
    </row>
    <row r="122" spans="1:52" x14ac:dyDescent="0.3">
      <c r="A122" s="16">
        <v>120</v>
      </c>
      <c r="B122" s="18" t="s">
        <v>780</v>
      </c>
      <c r="D122" s="25" t="s">
        <v>1490</v>
      </c>
      <c r="E122" s="25" t="s">
        <v>1490</v>
      </c>
      <c r="F122" s="25" t="s">
        <v>1490</v>
      </c>
      <c r="G122" s="25" t="s">
        <v>1490</v>
      </c>
      <c r="H122" s="25" t="s">
        <v>1490</v>
      </c>
      <c r="I122" s="25" t="s">
        <v>1490</v>
      </c>
      <c r="J122" s="25" t="s">
        <v>1490</v>
      </c>
      <c r="L122" s="30" t="s">
        <v>1490</v>
      </c>
      <c r="M122" s="30" t="s">
        <v>1490</v>
      </c>
      <c r="N122" s="30" t="s">
        <v>1490</v>
      </c>
      <c r="O122" s="30" t="s">
        <v>1490</v>
      </c>
      <c r="P122" s="30" t="s">
        <v>1490</v>
      </c>
      <c r="Q122" s="30" t="s">
        <v>1490</v>
      </c>
      <c r="R122" s="30" t="s">
        <v>1490</v>
      </c>
      <c r="S122" s="30"/>
      <c r="T122" s="25" t="s">
        <v>1490</v>
      </c>
      <c r="U122" s="25">
        <v>-0.14566613681851701</v>
      </c>
      <c r="V122" s="25" t="s">
        <v>1490</v>
      </c>
      <c r="W122" s="25" t="s">
        <v>1490</v>
      </c>
      <c r="X122" s="25" t="s">
        <v>1490</v>
      </c>
      <c r="Y122" s="25" t="s">
        <v>1490</v>
      </c>
      <c r="Z122" s="25" t="s">
        <v>1490</v>
      </c>
      <c r="AB122" s="27" t="s">
        <v>1490</v>
      </c>
      <c r="AC122" s="27">
        <v>102</v>
      </c>
      <c r="AD122" s="27" t="s">
        <v>1490</v>
      </c>
      <c r="AE122" s="27" t="s">
        <v>1490</v>
      </c>
      <c r="AF122" s="27" t="s">
        <v>1490</v>
      </c>
      <c r="AG122" s="27" t="s">
        <v>1490</v>
      </c>
      <c r="AI122" s="25">
        <v>-0.35364947508707101</v>
      </c>
      <c r="AJ122" s="25">
        <v>6.96</v>
      </c>
      <c r="AK122" s="25">
        <v>2.0266666666666699</v>
      </c>
      <c r="AL122" s="25">
        <v>6.9733333333333301</v>
      </c>
      <c r="AM122" s="25">
        <v>2.1733333333333298</v>
      </c>
      <c r="AN122" s="25">
        <v>6.9866666666666699</v>
      </c>
      <c r="AO122" s="25">
        <v>2.2266666666666701</v>
      </c>
      <c r="AP122" s="25">
        <v>6.6666666666666696</v>
      </c>
      <c r="AQ122" s="25">
        <v>1.4933333333333301</v>
      </c>
      <c r="AR122" s="25">
        <v>5.7066666666666697</v>
      </c>
      <c r="AS122" s="25">
        <v>5.4266666666666703</v>
      </c>
      <c r="AT122" s="25">
        <v>1.86666666666667</v>
      </c>
      <c r="AU122" s="25">
        <v>1.34666666666667</v>
      </c>
      <c r="AW122" s="30">
        <v>0</v>
      </c>
      <c r="AX122" s="34">
        <v>19.915373134328402</v>
      </c>
      <c r="AY122" s="14" t="s">
        <v>713</v>
      </c>
      <c r="AZ122" s="14">
        <v>1</v>
      </c>
    </row>
    <row r="123" spans="1:52" x14ac:dyDescent="0.3">
      <c r="A123" s="16">
        <v>121</v>
      </c>
      <c r="B123" s="18" t="s">
        <v>829</v>
      </c>
      <c r="D123" s="25" t="s">
        <v>1490</v>
      </c>
      <c r="E123" s="25" t="s">
        <v>1490</v>
      </c>
      <c r="F123" s="25" t="s">
        <v>1490</v>
      </c>
      <c r="G123" s="25" t="s">
        <v>1490</v>
      </c>
      <c r="H123" s="25" t="s">
        <v>1490</v>
      </c>
      <c r="I123" s="25" t="s">
        <v>1490</v>
      </c>
      <c r="J123" s="25" t="s">
        <v>1490</v>
      </c>
      <c r="L123" s="30" t="s">
        <v>1490</v>
      </c>
      <c r="M123" s="30" t="s">
        <v>1490</v>
      </c>
      <c r="N123" s="30" t="s">
        <v>1490</v>
      </c>
      <c r="O123" s="30" t="s">
        <v>1490</v>
      </c>
      <c r="P123" s="30" t="s">
        <v>1490</v>
      </c>
      <c r="Q123" s="30" t="s">
        <v>1490</v>
      </c>
      <c r="R123" s="30" t="s">
        <v>1490</v>
      </c>
      <c r="S123" s="30"/>
      <c r="T123" s="25" t="s">
        <v>1490</v>
      </c>
      <c r="U123" s="25">
        <v>2.06833518228673</v>
      </c>
      <c r="V123" s="25" t="s">
        <v>1490</v>
      </c>
      <c r="W123" s="25" t="s">
        <v>1490</v>
      </c>
      <c r="X123" s="25" t="s">
        <v>1490</v>
      </c>
      <c r="Y123" s="25" t="s">
        <v>1490</v>
      </c>
      <c r="Z123" s="25" t="s">
        <v>1490</v>
      </c>
      <c r="AB123" s="27" t="s">
        <v>1490</v>
      </c>
      <c r="AC123" s="27">
        <v>53</v>
      </c>
      <c r="AD123" s="27" t="s">
        <v>1490</v>
      </c>
      <c r="AE123" s="27" t="s">
        <v>1490</v>
      </c>
      <c r="AF123" s="27" t="s">
        <v>1490</v>
      </c>
      <c r="AG123" s="27" t="s">
        <v>1490</v>
      </c>
      <c r="AI123" s="25">
        <v>1.33160186454508</v>
      </c>
      <c r="AJ123" s="25">
        <v>8.7200000000000006</v>
      </c>
      <c r="AK123" s="25">
        <v>0.61333333333333295</v>
      </c>
      <c r="AL123" s="25">
        <v>8.7333333333333307</v>
      </c>
      <c r="AM123" s="25">
        <v>0.77333333333333298</v>
      </c>
      <c r="AN123" s="25">
        <v>8.7333333333333307</v>
      </c>
      <c r="AO123" s="25">
        <v>0.77333333333333298</v>
      </c>
      <c r="AP123" s="25">
        <v>8.08</v>
      </c>
      <c r="AQ123" s="25">
        <v>0.4</v>
      </c>
      <c r="AR123" s="25">
        <v>5.3733333333333304</v>
      </c>
      <c r="AS123" s="25">
        <v>6.44</v>
      </c>
      <c r="AT123" s="25">
        <v>1.72</v>
      </c>
      <c r="AU123" s="25">
        <v>0.44</v>
      </c>
      <c r="AW123" s="30">
        <v>1</v>
      </c>
      <c r="AX123" s="34">
        <v>8</v>
      </c>
      <c r="AY123" s="14" t="s">
        <v>62</v>
      </c>
      <c r="AZ123" s="14">
        <v>0</v>
      </c>
    </row>
    <row r="124" spans="1:52" x14ac:dyDescent="0.3">
      <c r="A124" s="16">
        <v>122</v>
      </c>
      <c r="B124" s="18" t="s">
        <v>736</v>
      </c>
      <c r="D124" s="25" t="s">
        <v>1490</v>
      </c>
      <c r="E124" s="25" t="s">
        <v>1490</v>
      </c>
      <c r="F124" s="25" t="s">
        <v>1490</v>
      </c>
      <c r="G124" s="25" t="s">
        <v>1490</v>
      </c>
      <c r="H124" s="25" t="s">
        <v>1490</v>
      </c>
      <c r="I124" s="25" t="s">
        <v>1490</v>
      </c>
      <c r="J124" s="25" t="s">
        <v>1490</v>
      </c>
      <c r="L124" s="30" t="s">
        <v>1490</v>
      </c>
      <c r="M124" s="30" t="s">
        <v>1490</v>
      </c>
      <c r="N124" s="30" t="s">
        <v>1490</v>
      </c>
      <c r="O124" s="30" t="s">
        <v>1490</v>
      </c>
      <c r="P124" s="30" t="s">
        <v>1490</v>
      </c>
      <c r="Q124" s="30" t="s">
        <v>1490</v>
      </c>
      <c r="R124" s="30" t="s">
        <v>1490</v>
      </c>
      <c r="S124" s="30"/>
      <c r="T124" s="25" t="s">
        <v>1490</v>
      </c>
      <c r="U124" s="25" t="s">
        <v>1490</v>
      </c>
      <c r="V124" s="25" t="s">
        <v>1490</v>
      </c>
      <c r="W124" s="25" t="s">
        <v>1490</v>
      </c>
      <c r="X124" s="25" t="s">
        <v>1490</v>
      </c>
      <c r="Y124" s="25">
        <v>0.182176167846133</v>
      </c>
      <c r="Z124" s="25" t="s">
        <v>1490</v>
      </c>
      <c r="AB124" s="27" t="s">
        <v>1490</v>
      </c>
      <c r="AC124" s="27" t="s">
        <v>1490</v>
      </c>
      <c r="AD124" s="27" t="s">
        <v>1490</v>
      </c>
      <c r="AE124" s="27" t="s">
        <v>1490</v>
      </c>
      <c r="AF124" s="27" t="s">
        <v>1490</v>
      </c>
      <c r="AG124" s="27">
        <v>41</v>
      </c>
      <c r="AI124" s="25">
        <v>-0.34023791430511302</v>
      </c>
      <c r="AJ124" s="25">
        <v>6.88</v>
      </c>
      <c r="AK124" s="25">
        <v>1.84</v>
      </c>
      <c r="AL124" s="25">
        <v>6.6933333333333298</v>
      </c>
      <c r="AM124" s="25">
        <v>2.10666666666667</v>
      </c>
      <c r="AN124" s="25">
        <v>6.7333333333333298</v>
      </c>
      <c r="AO124" s="25">
        <v>2.0933333333333302</v>
      </c>
      <c r="AP124" s="25">
        <v>7.10666666666667</v>
      </c>
      <c r="AQ124" s="25">
        <v>1.37333333333333</v>
      </c>
      <c r="AR124" s="25">
        <v>5.6666666666666696</v>
      </c>
      <c r="AS124" s="25">
        <v>5.6933333333333298</v>
      </c>
      <c r="AT124" s="25">
        <v>2.56</v>
      </c>
      <c r="AU124" s="25">
        <v>1.4</v>
      </c>
      <c r="AW124" s="30">
        <v>0</v>
      </c>
      <c r="AX124" s="34">
        <v>5.5</v>
      </c>
      <c r="AY124" s="14" t="s">
        <v>68</v>
      </c>
      <c r="AZ124" s="14">
        <v>0</v>
      </c>
    </row>
    <row r="125" spans="1:52" x14ac:dyDescent="0.3">
      <c r="A125" s="16">
        <v>123</v>
      </c>
      <c r="B125" s="18" t="s">
        <v>853</v>
      </c>
      <c r="D125" s="25" t="s">
        <v>1490</v>
      </c>
      <c r="E125" s="25" t="s">
        <v>1490</v>
      </c>
      <c r="F125" s="25" t="s">
        <v>1490</v>
      </c>
      <c r="G125" s="25" t="s">
        <v>1490</v>
      </c>
      <c r="H125" s="25" t="s">
        <v>1490</v>
      </c>
      <c r="I125" s="25" t="s">
        <v>1490</v>
      </c>
      <c r="J125" s="25" t="s">
        <v>1490</v>
      </c>
      <c r="L125" s="30" t="s">
        <v>1490</v>
      </c>
      <c r="M125" s="30" t="s">
        <v>1490</v>
      </c>
      <c r="N125" s="30" t="s">
        <v>1490</v>
      </c>
      <c r="O125" s="30" t="s">
        <v>1490</v>
      </c>
      <c r="P125" s="30" t="s">
        <v>1490</v>
      </c>
      <c r="Q125" s="30" t="s">
        <v>1490</v>
      </c>
      <c r="R125" s="30" t="s">
        <v>1490</v>
      </c>
      <c r="S125" s="30"/>
      <c r="T125" s="25" t="s">
        <v>1490</v>
      </c>
      <c r="U125" s="25">
        <v>1.86360815915523</v>
      </c>
      <c r="V125" s="25" t="s">
        <v>1490</v>
      </c>
      <c r="W125" s="25" t="s">
        <v>1490</v>
      </c>
      <c r="X125" s="25" t="s">
        <v>1490</v>
      </c>
      <c r="Y125" s="25" t="s">
        <v>1490</v>
      </c>
      <c r="Z125" s="25" t="s">
        <v>1490</v>
      </c>
      <c r="AB125" s="27" t="s">
        <v>1490</v>
      </c>
      <c r="AC125" s="27">
        <v>103</v>
      </c>
      <c r="AD125" s="27" t="s">
        <v>1490</v>
      </c>
      <c r="AE125" s="27" t="s">
        <v>1490</v>
      </c>
      <c r="AF125" s="27" t="s">
        <v>1490</v>
      </c>
      <c r="AG125" s="27" t="s">
        <v>1490</v>
      </c>
      <c r="AI125" s="25">
        <v>1.1356893309656</v>
      </c>
      <c r="AJ125" s="25">
        <v>8.5733333333333306</v>
      </c>
      <c r="AK125" s="25">
        <v>0.88</v>
      </c>
      <c r="AL125" s="25">
        <v>8.4666666666666703</v>
      </c>
      <c r="AM125" s="25">
        <v>0.88</v>
      </c>
      <c r="AN125" s="25">
        <v>8.4666666666666703</v>
      </c>
      <c r="AO125" s="25">
        <v>0.84</v>
      </c>
      <c r="AP125" s="25">
        <v>7.88</v>
      </c>
      <c r="AQ125" s="25">
        <v>0.65333333333333299</v>
      </c>
      <c r="AR125" s="25">
        <v>6.2933333333333303</v>
      </c>
      <c r="AS125" s="25">
        <v>7.12</v>
      </c>
      <c r="AT125" s="25">
        <v>2.37333333333333</v>
      </c>
      <c r="AU125" s="25">
        <v>0.57333333333333303</v>
      </c>
      <c r="AW125" s="30">
        <v>1</v>
      </c>
      <c r="AX125" s="34">
        <v>20.359320388349499</v>
      </c>
      <c r="AY125" s="14" t="s">
        <v>62</v>
      </c>
      <c r="AZ125" s="14">
        <v>0</v>
      </c>
    </row>
    <row r="126" spans="1:52" ht="12.9" x14ac:dyDescent="0.3">
      <c r="A126" s="16">
        <v>124</v>
      </c>
      <c r="B126" s="18" t="s">
        <v>720</v>
      </c>
      <c r="D126" s="25" t="s">
        <v>1490</v>
      </c>
      <c r="E126" s="25">
        <v>0.46904157598234297</v>
      </c>
      <c r="F126" s="25" t="s">
        <v>1490</v>
      </c>
      <c r="G126" s="25" t="s">
        <v>1490</v>
      </c>
      <c r="H126" s="25" t="s">
        <v>1490</v>
      </c>
      <c r="I126" s="25" t="s">
        <v>1490</v>
      </c>
      <c r="J126" s="25">
        <v>0</v>
      </c>
      <c r="L126" s="30" t="s">
        <v>1490</v>
      </c>
      <c r="M126" s="30">
        <v>12</v>
      </c>
      <c r="N126" s="30" t="s">
        <v>1490</v>
      </c>
      <c r="O126" s="30" t="s">
        <v>1490</v>
      </c>
      <c r="P126" s="30" t="s">
        <v>1490</v>
      </c>
      <c r="Q126" s="30" t="s">
        <v>1490</v>
      </c>
      <c r="R126" s="30">
        <v>14</v>
      </c>
      <c r="S126" s="30"/>
      <c r="T126" s="25" t="s">
        <v>1490</v>
      </c>
      <c r="U126" s="25">
        <v>0.51603954304503696</v>
      </c>
      <c r="V126" s="25" t="s">
        <v>1490</v>
      </c>
      <c r="W126" s="25" t="s">
        <v>1490</v>
      </c>
      <c r="X126" s="25" t="s">
        <v>1490</v>
      </c>
      <c r="Y126" s="25" t="s">
        <v>1490</v>
      </c>
      <c r="Z126" s="25" t="s">
        <v>1490</v>
      </c>
      <c r="AB126" s="27" t="s">
        <v>1490</v>
      </c>
      <c r="AC126" s="27">
        <v>26</v>
      </c>
      <c r="AD126" s="27" t="s">
        <v>1490</v>
      </c>
      <c r="AE126" s="27" t="s">
        <v>1490</v>
      </c>
      <c r="AF126" s="27" t="s">
        <v>1490</v>
      </c>
      <c r="AG126" s="27" t="s">
        <v>1490</v>
      </c>
      <c r="AI126" s="25">
        <v>0.50971912958565102</v>
      </c>
      <c r="AJ126" s="25">
        <v>7.93333333333333</v>
      </c>
      <c r="AK126" s="25">
        <v>1.4266666666666701</v>
      </c>
      <c r="AL126" s="25">
        <v>7.84</v>
      </c>
      <c r="AM126" s="25">
        <v>1.4266666666666701</v>
      </c>
      <c r="AN126" s="25">
        <v>7.9466666666666699</v>
      </c>
      <c r="AO126" s="25">
        <v>1.4266666666666701</v>
      </c>
      <c r="AP126" s="25">
        <v>7.2933333333333303</v>
      </c>
      <c r="AQ126" s="25">
        <v>1.06666666666667</v>
      </c>
      <c r="AR126" s="25">
        <v>5.48</v>
      </c>
      <c r="AS126" s="25">
        <v>6.3066666666666702</v>
      </c>
      <c r="AT126" s="25">
        <v>2.44</v>
      </c>
      <c r="AU126" s="25">
        <v>0.98666666666666702</v>
      </c>
      <c r="AW126" s="30">
        <v>1</v>
      </c>
      <c r="AX126" s="34">
        <v>10</v>
      </c>
      <c r="AY126" s="14" t="s">
        <v>712</v>
      </c>
      <c r="AZ126" s="14">
        <v>0</v>
      </c>
    </row>
    <row r="127" spans="1:52" x14ac:dyDescent="0.3">
      <c r="A127" s="16">
        <v>125</v>
      </c>
      <c r="B127" s="18" t="s">
        <v>777</v>
      </c>
      <c r="D127" s="25" t="s">
        <v>1490</v>
      </c>
      <c r="E127" s="25" t="s">
        <v>1490</v>
      </c>
      <c r="F127" s="25" t="s">
        <v>1490</v>
      </c>
      <c r="G127" s="25" t="s">
        <v>1490</v>
      </c>
      <c r="H127" s="25" t="s">
        <v>1490</v>
      </c>
      <c r="I127" s="25" t="s">
        <v>1490</v>
      </c>
      <c r="J127" s="25">
        <v>1.89683157435741</v>
      </c>
      <c r="L127" s="30" t="s">
        <v>1490</v>
      </c>
      <c r="M127" s="30" t="s">
        <v>1490</v>
      </c>
      <c r="N127" s="30" t="s">
        <v>1490</v>
      </c>
      <c r="O127" s="30" t="s">
        <v>1490</v>
      </c>
      <c r="P127" s="30" t="s">
        <v>1490</v>
      </c>
      <c r="Q127" s="30" t="s">
        <v>1490</v>
      </c>
      <c r="R127" s="30">
        <v>53</v>
      </c>
      <c r="S127" s="30"/>
      <c r="T127" s="25" t="s">
        <v>1490</v>
      </c>
      <c r="U127" s="25" t="s">
        <v>1490</v>
      </c>
      <c r="V127" s="25" t="s">
        <v>1490</v>
      </c>
      <c r="W127" s="25" t="s">
        <v>1490</v>
      </c>
      <c r="X127" s="25" t="s">
        <v>1490</v>
      </c>
      <c r="Y127" s="25" t="s">
        <v>1490</v>
      </c>
      <c r="Z127" s="25" t="s">
        <v>1490</v>
      </c>
      <c r="AB127" s="27" t="s">
        <v>1490</v>
      </c>
      <c r="AC127" s="27" t="s">
        <v>1490</v>
      </c>
      <c r="AD127" s="27" t="s">
        <v>1490</v>
      </c>
      <c r="AE127" s="27" t="s">
        <v>1490</v>
      </c>
      <c r="AF127" s="27" t="s">
        <v>1490</v>
      </c>
      <c r="AG127" s="27" t="s">
        <v>1490</v>
      </c>
      <c r="AI127" s="25">
        <v>0.75776856563605599</v>
      </c>
      <c r="AJ127" s="25">
        <v>8.2133333333333294</v>
      </c>
      <c r="AK127" s="25">
        <v>1.2</v>
      </c>
      <c r="AL127" s="25">
        <v>8.3466666666666693</v>
      </c>
      <c r="AM127" s="25">
        <v>1.32</v>
      </c>
      <c r="AN127" s="25">
        <v>8.32</v>
      </c>
      <c r="AO127" s="25">
        <v>1.36</v>
      </c>
      <c r="AP127" s="25">
        <v>7.5066666666666704</v>
      </c>
      <c r="AQ127" s="25">
        <v>0.68</v>
      </c>
      <c r="AR127" s="25">
        <v>6.4133333333333304</v>
      </c>
      <c r="AS127" s="25">
        <v>7</v>
      </c>
      <c r="AT127" s="25">
        <v>2.12</v>
      </c>
      <c r="AU127" s="25">
        <v>0.82666666666666699</v>
      </c>
      <c r="AW127" s="30">
        <v>0</v>
      </c>
      <c r="AX127" s="34">
        <v>20.5</v>
      </c>
      <c r="AY127" s="14" t="s">
        <v>62</v>
      </c>
      <c r="AZ127" s="14">
        <v>0</v>
      </c>
    </row>
    <row r="128" spans="1:52" x14ac:dyDescent="0.3">
      <c r="A128" s="16">
        <v>126</v>
      </c>
      <c r="B128" s="18" t="s">
        <v>847</v>
      </c>
      <c r="D128" s="25" t="s">
        <v>1490</v>
      </c>
      <c r="E128" s="25" t="s">
        <v>1490</v>
      </c>
      <c r="F128" s="25" t="s">
        <v>1490</v>
      </c>
      <c r="G128" s="25" t="s">
        <v>1490</v>
      </c>
      <c r="H128" s="25" t="s">
        <v>1490</v>
      </c>
      <c r="I128" s="25" t="s">
        <v>1490</v>
      </c>
      <c r="J128" s="25" t="s">
        <v>1490</v>
      </c>
      <c r="L128" s="30" t="s">
        <v>1490</v>
      </c>
      <c r="M128" s="30" t="s">
        <v>1490</v>
      </c>
      <c r="N128" s="30" t="s">
        <v>1490</v>
      </c>
      <c r="O128" s="30" t="s">
        <v>1490</v>
      </c>
      <c r="P128" s="30" t="s">
        <v>1490</v>
      </c>
      <c r="Q128" s="30" t="s">
        <v>1490</v>
      </c>
      <c r="R128" s="30" t="s">
        <v>1490</v>
      </c>
      <c r="S128" s="30"/>
      <c r="T128" s="25">
        <v>-3.4095040066424803E-2</v>
      </c>
      <c r="U128" s="25" t="s">
        <v>1490</v>
      </c>
      <c r="V128" s="25" t="s">
        <v>1490</v>
      </c>
      <c r="W128" s="25" t="s">
        <v>1490</v>
      </c>
      <c r="X128" s="25" t="s">
        <v>1490</v>
      </c>
      <c r="Y128" s="25" t="s">
        <v>1490</v>
      </c>
      <c r="Z128" s="25" t="s">
        <v>1490</v>
      </c>
      <c r="AB128" s="27">
        <v>99</v>
      </c>
      <c r="AC128" s="27" t="s">
        <v>1490</v>
      </c>
      <c r="AD128" s="27" t="s">
        <v>1490</v>
      </c>
      <c r="AE128" s="27" t="s">
        <v>1490</v>
      </c>
      <c r="AF128" s="27" t="s">
        <v>1490</v>
      </c>
      <c r="AG128" s="27" t="s">
        <v>1490</v>
      </c>
      <c r="AI128" s="25">
        <v>-1.2618191637055001</v>
      </c>
      <c r="AJ128" s="25">
        <v>4.6933333333333298</v>
      </c>
      <c r="AK128" s="25">
        <v>1.6666666666666701</v>
      </c>
      <c r="AL128" s="25">
        <v>4.5999999999999996</v>
      </c>
      <c r="AM128" s="25">
        <v>2.45333333333333</v>
      </c>
      <c r="AN128" s="25">
        <v>4.5999999999999996</v>
      </c>
      <c r="AO128" s="25">
        <v>2.3333333333333299</v>
      </c>
      <c r="AP128" s="25">
        <v>5.88</v>
      </c>
      <c r="AQ128" s="25">
        <v>0.96</v>
      </c>
      <c r="AR128" s="25">
        <v>5.72</v>
      </c>
      <c r="AS128" s="25">
        <v>5.1733333333333302</v>
      </c>
      <c r="AT128" s="25">
        <v>1.62666666666667</v>
      </c>
      <c r="AU128" s="25">
        <v>1.17333333333333</v>
      </c>
      <c r="AW128" s="30">
        <v>0</v>
      </c>
      <c r="AX128" s="34">
        <v>23.823333333333299</v>
      </c>
      <c r="AY128" s="14" t="s">
        <v>713</v>
      </c>
      <c r="AZ128" s="14">
        <v>1</v>
      </c>
    </row>
    <row r="129" spans="1:52" x14ac:dyDescent="0.3">
      <c r="A129" s="16">
        <v>127</v>
      </c>
      <c r="B129" s="18" t="s">
        <v>867</v>
      </c>
      <c r="D129" s="25" t="s">
        <v>1490</v>
      </c>
      <c r="E129" s="25" t="s">
        <v>1490</v>
      </c>
      <c r="F129" s="25" t="s">
        <v>1490</v>
      </c>
      <c r="G129" s="25" t="s">
        <v>1490</v>
      </c>
      <c r="H129" s="25" t="s">
        <v>1490</v>
      </c>
      <c r="I129" s="25" t="s">
        <v>1490</v>
      </c>
      <c r="J129" s="25">
        <v>0.44447360816398102</v>
      </c>
      <c r="L129" s="30" t="s">
        <v>1490</v>
      </c>
      <c r="M129" s="30" t="s">
        <v>1490</v>
      </c>
      <c r="N129" s="30" t="s">
        <v>1490</v>
      </c>
      <c r="O129" s="30" t="s">
        <v>1490</v>
      </c>
      <c r="P129" s="30" t="s">
        <v>1490</v>
      </c>
      <c r="Q129" s="30" t="s">
        <v>1490</v>
      </c>
      <c r="R129" s="30">
        <v>11</v>
      </c>
      <c r="S129" s="30"/>
      <c r="T129" s="25" t="s">
        <v>1490</v>
      </c>
      <c r="U129" s="25" t="s">
        <v>1490</v>
      </c>
      <c r="V129" s="25" t="s">
        <v>1490</v>
      </c>
      <c r="W129" s="25" t="s">
        <v>1490</v>
      </c>
      <c r="X129" s="25" t="s">
        <v>1490</v>
      </c>
      <c r="Y129" s="25" t="s">
        <v>1490</v>
      </c>
      <c r="Z129" s="25" t="s">
        <v>1490</v>
      </c>
      <c r="AB129" s="27" t="s">
        <v>1490</v>
      </c>
      <c r="AC129" s="27" t="s">
        <v>1490</v>
      </c>
      <c r="AD129" s="27" t="s">
        <v>1490</v>
      </c>
      <c r="AE129" s="27" t="s">
        <v>1490</v>
      </c>
      <c r="AF129" s="27" t="s">
        <v>1490</v>
      </c>
      <c r="AG129" s="27" t="s">
        <v>1490</v>
      </c>
      <c r="AI129" s="25">
        <v>0.57767812890159698</v>
      </c>
      <c r="AJ129" s="25">
        <v>8.1333333333333293</v>
      </c>
      <c r="AK129" s="25">
        <v>1.38666666666667</v>
      </c>
      <c r="AL129" s="25">
        <v>8.1466666666666701</v>
      </c>
      <c r="AM129" s="25">
        <v>1.5066666666666699</v>
      </c>
      <c r="AN129" s="25">
        <v>8.1066666666666691</v>
      </c>
      <c r="AO129" s="25">
        <v>1.48</v>
      </c>
      <c r="AP129" s="25">
        <v>7.6666666666666696</v>
      </c>
      <c r="AQ129" s="25">
        <v>0.92</v>
      </c>
      <c r="AR129" s="25">
        <v>5.7733333333333299</v>
      </c>
      <c r="AS129" s="25">
        <v>6.6</v>
      </c>
      <c r="AT129" s="25">
        <v>2.2533333333333299</v>
      </c>
      <c r="AU129" s="25">
        <v>0.86666666666666703</v>
      </c>
      <c r="AW129" s="30">
        <v>0</v>
      </c>
      <c r="AX129" s="34">
        <v>9</v>
      </c>
      <c r="AY129" s="14" t="s">
        <v>224</v>
      </c>
      <c r="AZ129" s="14">
        <v>1</v>
      </c>
    </row>
    <row r="130" spans="1:52" x14ac:dyDescent="0.3">
      <c r="A130" s="16">
        <v>128</v>
      </c>
      <c r="B130" s="18" t="s">
        <v>869</v>
      </c>
      <c r="D130" s="25" t="s">
        <v>1490</v>
      </c>
      <c r="E130" s="25" t="s">
        <v>1490</v>
      </c>
      <c r="F130" s="25" t="s">
        <v>1490</v>
      </c>
      <c r="G130" s="25" t="s">
        <v>1490</v>
      </c>
      <c r="H130" s="25" t="s">
        <v>1490</v>
      </c>
      <c r="I130" s="25" t="s">
        <v>1490</v>
      </c>
      <c r="J130" s="25">
        <v>1.13043835261135</v>
      </c>
      <c r="L130" s="30" t="s">
        <v>1490</v>
      </c>
      <c r="M130" s="30" t="s">
        <v>1490</v>
      </c>
      <c r="N130" s="30" t="s">
        <v>1490</v>
      </c>
      <c r="O130" s="30" t="s">
        <v>1490</v>
      </c>
      <c r="P130" s="30" t="s">
        <v>1490</v>
      </c>
      <c r="Q130" s="30" t="s">
        <v>1490</v>
      </c>
      <c r="R130" s="30">
        <v>36</v>
      </c>
      <c r="S130" s="30"/>
      <c r="T130" s="25" t="s">
        <v>1490</v>
      </c>
      <c r="U130" s="25" t="s">
        <v>1490</v>
      </c>
      <c r="V130" s="25" t="s">
        <v>1490</v>
      </c>
      <c r="W130" s="25" t="s">
        <v>1490</v>
      </c>
      <c r="X130" s="25" t="s">
        <v>1490</v>
      </c>
      <c r="Y130" s="25" t="s">
        <v>1490</v>
      </c>
      <c r="Z130" s="25" t="s">
        <v>1490</v>
      </c>
      <c r="AB130" s="27" t="s">
        <v>1490</v>
      </c>
      <c r="AC130" s="27" t="s">
        <v>1490</v>
      </c>
      <c r="AD130" s="27" t="s">
        <v>1490</v>
      </c>
      <c r="AE130" s="27" t="s">
        <v>1490</v>
      </c>
      <c r="AF130" s="27" t="s">
        <v>1490</v>
      </c>
      <c r="AG130" s="27" t="s">
        <v>1490</v>
      </c>
      <c r="AI130" s="25">
        <v>0.70322227005557603</v>
      </c>
      <c r="AJ130" s="25">
        <v>8.06666666666667</v>
      </c>
      <c r="AK130" s="25">
        <v>1.04</v>
      </c>
      <c r="AL130" s="25">
        <v>7.9866666666666699</v>
      </c>
      <c r="AM130" s="25">
        <v>1.2533333333333301</v>
      </c>
      <c r="AN130" s="25">
        <v>7.9733333333333301</v>
      </c>
      <c r="AO130" s="25">
        <v>1.36</v>
      </c>
      <c r="AP130" s="25">
        <v>7.8266666666666698</v>
      </c>
      <c r="AQ130" s="25">
        <v>0.56000000000000005</v>
      </c>
      <c r="AR130" s="25">
        <v>5.8</v>
      </c>
      <c r="AS130" s="25">
        <v>5.9866666666666699</v>
      </c>
      <c r="AT130" s="25">
        <v>1.7466666666666699</v>
      </c>
      <c r="AU130" s="25">
        <v>0.56000000000000005</v>
      </c>
      <c r="AW130" s="30">
        <v>0</v>
      </c>
      <c r="AX130" s="34">
        <v>9</v>
      </c>
      <c r="AY130" s="14" t="s">
        <v>870</v>
      </c>
      <c r="AZ130" s="14">
        <v>0</v>
      </c>
    </row>
    <row r="131" spans="1:52" x14ac:dyDescent="0.3">
      <c r="A131" s="16">
        <v>129</v>
      </c>
      <c r="B131" s="18" t="s">
        <v>880</v>
      </c>
      <c r="D131" s="25" t="s">
        <v>1490</v>
      </c>
      <c r="E131" s="25" t="s">
        <v>1490</v>
      </c>
      <c r="F131" s="25" t="s">
        <v>1490</v>
      </c>
      <c r="G131" s="25" t="s">
        <v>1490</v>
      </c>
      <c r="H131" s="25" t="s">
        <v>1490</v>
      </c>
      <c r="I131" s="25" t="s">
        <v>1490</v>
      </c>
      <c r="J131" s="25" t="s">
        <v>1490</v>
      </c>
      <c r="L131" s="30" t="s">
        <v>1490</v>
      </c>
      <c r="M131" s="30" t="s">
        <v>1490</v>
      </c>
      <c r="N131" s="30" t="s">
        <v>1490</v>
      </c>
      <c r="O131" s="30" t="s">
        <v>1490</v>
      </c>
      <c r="P131" s="30" t="s">
        <v>1490</v>
      </c>
      <c r="Q131" s="30" t="s">
        <v>1490</v>
      </c>
      <c r="R131" s="30" t="s">
        <v>1490</v>
      </c>
      <c r="S131" s="30"/>
      <c r="T131" s="25" t="s">
        <v>1490</v>
      </c>
      <c r="U131" s="25">
        <v>0.487351301397698</v>
      </c>
      <c r="V131" s="25" t="s">
        <v>1490</v>
      </c>
      <c r="W131" s="25" t="s">
        <v>1490</v>
      </c>
      <c r="X131" s="25" t="s">
        <v>1490</v>
      </c>
      <c r="Y131" s="25" t="s">
        <v>1490</v>
      </c>
      <c r="Z131" s="25" t="s">
        <v>1490</v>
      </c>
      <c r="AB131" s="27" t="s">
        <v>1490</v>
      </c>
      <c r="AC131" s="27">
        <v>105</v>
      </c>
      <c r="AD131" s="27" t="s">
        <v>1490</v>
      </c>
      <c r="AE131" s="27" t="s">
        <v>1490</v>
      </c>
      <c r="AF131" s="27" t="s">
        <v>1490</v>
      </c>
      <c r="AG131" s="27" t="s">
        <v>1490</v>
      </c>
      <c r="AI131" s="25">
        <v>-0.83078722883541301</v>
      </c>
      <c r="AJ131" s="25">
        <v>6.5466666666666704</v>
      </c>
      <c r="AK131" s="25">
        <v>2.36</v>
      </c>
      <c r="AL131" s="25">
        <v>6.6</v>
      </c>
      <c r="AM131" s="25">
        <v>2.72</v>
      </c>
      <c r="AN131" s="25">
        <v>6.5866666666666696</v>
      </c>
      <c r="AO131" s="25">
        <v>2.7466666666666701</v>
      </c>
      <c r="AP131" s="25">
        <v>5.72</v>
      </c>
      <c r="AQ131" s="25">
        <v>1.68</v>
      </c>
      <c r="AR131" s="25">
        <v>5.5733333333333297</v>
      </c>
      <c r="AS131" s="25">
        <v>5.5466666666666704</v>
      </c>
      <c r="AT131" s="25">
        <v>2.9733333333333301</v>
      </c>
      <c r="AU131" s="25">
        <v>1.61333333333333</v>
      </c>
      <c r="AW131" s="30">
        <v>1</v>
      </c>
      <c r="AX131" s="34">
        <v>19</v>
      </c>
      <c r="AY131" s="14" t="s">
        <v>224</v>
      </c>
      <c r="AZ131" s="14">
        <v>1</v>
      </c>
    </row>
    <row r="132" spans="1:52" x14ac:dyDescent="0.3">
      <c r="A132" s="16">
        <v>130</v>
      </c>
      <c r="B132" s="18" t="s">
        <v>883</v>
      </c>
      <c r="D132" s="25" t="s">
        <v>1490</v>
      </c>
      <c r="E132" s="25">
        <v>1.4396790974635001</v>
      </c>
      <c r="F132" s="25" t="s">
        <v>1490</v>
      </c>
      <c r="G132" s="25" t="s">
        <v>1490</v>
      </c>
      <c r="H132" s="25" t="s">
        <v>1490</v>
      </c>
      <c r="I132" s="25" t="s">
        <v>1490</v>
      </c>
      <c r="J132" s="25">
        <v>1.9928083280079201</v>
      </c>
      <c r="L132" s="30" t="s">
        <v>1490</v>
      </c>
      <c r="M132" s="30">
        <v>10</v>
      </c>
      <c r="N132" s="30" t="s">
        <v>1490</v>
      </c>
      <c r="O132" s="30" t="s">
        <v>1490</v>
      </c>
      <c r="P132" s="30" t="s">
        <v>1490</v>
      </c>
      <c r="Q132" s="30" t="s">
        <v>1490</v>
      </c>
      <c r="R132" s="30">
        <v>7</v>
      </c>
      <c r="S132" s="30"/>
      <c r="T132" s="25" t="s">
        <v>1490</v>
      </c>
      <c r="U132" s="25">
        <v>0.42742956758077799</v>
      </c>
      <c r="V132" s="25" t="s">
        <v>1490</v>
      </c>
      <c r="W132" s="25" t="s">
        <v>1490</v>
      </c>
      <c r="X132" s="25" t="s">
        <v>1490</v>
      </c>
      <c r="Y132" s="25" t="s">
        <v>1490</v>
      </c>
      <c r="Z132" s="25" t="s">
        <v>1490</v>
      </c>
      <c r="AB132" s="27" t="s">
        <v>1490</v>
      </c>
      <c r="AC132" s="27">
        <v>17</v>
      </c>
      <c r="AD132" s="27" t="s">
        <v>1490</v>
      </c>
      <c r="AE132" s="27" t="s">
        <v>1490</v>
      </c>
      <c r="AF132" s="27" t="s">
        <v>1490</v>
      </c>
      <c r="AG132" s="27" t="s">
        <v>1490</v>
      </c>
      <c r="AI132" s="25">
        <v>3.7990483059252502E-3</v>
      </c>
      <c r="AJ132" s="25">
        <v>7.52</v>
      </c>
      <c r="AK132" s="25">
        <v>1.89333333333333</v>
      </c>
      <c r="AL132" s="25">
        <v>7.56</v>
      </c>
      <c r="AM132" s="25">
        <v>1.93333333333333</v>
      </c>
      <c r="AN132" s="25">
        <v>7.5466666666666704</v>
      </c>
      <c r="AO132" s="25">
        <v>2.0133333333333301</v>
      </c>
      <c r="AP132" s="25">
        <v>7</v>
      </c>
      <c r="AQ132" s="25">
        <v>1.28</v>
      </c>
      <c r="AR132" s="25">
        <v>5.6</v>
      </c>
      <c r="AS132" s="25">
        <v>6.24</v>
      </c>
      <c r="AT132" s="25">
        <v>3.3466666666666698</v>
      </c>
      <c r="AU132" s="25">
        <v>1.34666666666667</v>
      </c>
      <c r="AW132" s="30">
        <v>0</v>
      </c>
      <c r="AX132" s="34">
        <v>4</v>
      </c>
      <c r="AY132" s="14" t="s">
        <v>224</v>
      </c>
      <c r="AZ132" s="14">
        <v>1</v>
      </c>
    </row>
    <row r="133" spans="1:52" x14ac:dyDescent="0.3">
      <c r="A133" s="16">
        <v>131</v>
      </c>
      <c r="B133" s="19" t="s">
        <v>1239</v>
      </c>
      <c r="D133" s="25" t="s">
        <v>1490</v>
      </c>
      <c r="E133" s="25" t="s">
        <v>1490</v>
      </c>
      <c r="F133" s="25" t="s">
        <v>1490</v>
      </c>
      <c r="G133" s="25" t="s">
        <v>1490</v>
      </c>
      <c r="H133" s="25" t="s">
        <v>1490</v>
      </c>
      <c r="I133" s="25" t="s">
        <v>1490</v>
      </c>
      <c r="J133" s="25">
        <v>1.6803492800953399</v>
      </c>
      <c r="L133" s="30" t="s">
        <v>1490</v>
      </c>
      <c r="M133" s="30" t="s">
        <v>1490</v>
      </c>
      <c r="N133" s="30" t="s">
        <v>1490</v>
      </c>
      <c r="O133" s="30" t="s">
        <v>1490</v>
      </c>
      <c r="P133" s="30" t="s">
        <v>1490</v>
      </c>
      <c r="Q133" s="30" t="s">
        <v>1490</v>
      </c>
      <c r="R133" s="30">
        <v>10</v>
      </c>
      <c r="S133" s="30"/>
      <c r="T133" s="25" t="s">
        <v>1490</v>
      </c>
      <c r="U133" s="25" t="s">
        <v>1490</v>
      </c>
      <c r="V133" s="25" t="s">
        <v>1490</v>
      </c>
      <c r="W133" s="25" t="s">
        <v>1490</v>
      </c>
      <c r="X133" s="25" t="s">
        <v>1490</v>
      </c>
      <c r="Y133" s="25" t="s">
        <v>1490</v>
      </c>
      <c r="Z133" s="25" t="s">
        <v>1490</v>
      </c>
      <c r="AB133" s="27" t="s">
        <v>1490</v>
      </c>
      <c r="AC133" s="27" t="s">
        <v>1490</v>
      </c>
      <c r="AD133" s="27" t="s">
        <v>1490</v>
      </c>
      <c r="AE133" s="27" t="s">
        <v>1490</v>
      </c>
      <c r="AF133" s="27" t="s">
        <v>1490</v>
      </c>
      <c r="AG133" s="27" t="s">
        <v>1490</v>
      </c>
      <c r="AI133" s="25">
        <v>-0.54677190310689505</v>
      </c>
      <c r="AJ133" s="25">
        <v>6.84</v>
      </c>
      <c r="AK133" s="25">
        <v>2.2400000000000002</v>
      </c>
      <c r="AL133" s="25">
        <v>7.0133333333333301</v>
      </c>
      <c r="AM133" s="25">
        <v>2.5733333333333301</v>
      </c>
      <c r="AN133" s="25">
        <v>6.7733333333333299</v>
      </c>
      <c r="AO133" s="25">
        <v>2.2799999999999998</v>
      </c>
      <c r="AP133" s="25">
        <v>6.4266666666666703</v>
      </c>
      <c r="AQ133" s="25">
        <v>1.76</v>
      </c>
      <c r="AR133" s="25">
        <v>5.8266666666666698</v>
      </c>
      <c r="AS133" s="25">
        <v>5.96</v>
      </c>
      <c r="AT133" s="25">
        <v>2.3866666666666698</v>
      </c>
      <c r="AU133" s="25">
        <v>1.76</v>
      </c>
      <c r="AW133" s="30">
        <v>0</v>
      </c>
      <c r="AX133" s="34">
        <v>12</v>
      </c>
      <c r="AY133" s="14" t="s">
        <v>224</v>
      </c>
      <c r="AZ133" s="14">
        <v>1</v>
      </c>
    </row>
    <row r="134" spans="1:52" x14ac:dyDescent="0.3">
      <c r="A134" s="16">
        <v>132</v>
      </c>
      <c r="B134" s="18" t="s">
        <v>893</v>
      </c>
      <c r="D134" s="25" t="s">
        <v>1490</v>
      </c>
      <c r="E134" s="25">
        <v>5.4712446702141801E-2</v>
      </c>
      <c r="F134" s="25" t="s">
        <v>1490</v>
      </c>
      <c r="G134" s="25" t="s">
        <v>1490</v>
      </c>
      <c r="H134" s="25" t="s">
        <v>1490</v>
      </c>
      <c r="I134" s="25" t="s">
        <v>1490</v>
      </c>
      <c r="J134" s="25">
        <v>0.56113655790856098</v>
      </c>
      <c r="L134" s="30" t="s">
        <v>1490</v>
      </c>
      <c r="M134" s="30">
        <v>52</v>
      </c>
      <c r="N134" s="30" t="s">
        <v>1490</v>
      </c>
      <c r="O134" s="30" t="s">
        <v>1490</v>
      </c>
      <c r="P134" s="30" t="s">
        <v>1490</v>
      </c>
      <c r="Q134" s="30" t="s">
        <v>1490</v>
      </c>
      <c r="R134" s="30">
        <v>51</v>
      </c>
      <c r="S134" s="30"/>
      <c r="T134" s="25" t="s">
        <v>1490</v>
      </c>
      <c r="U134" s="25">
        <v>0.460452537393848</v>
      </c>
      <c r="V134" s="25" t="s">
        <v>1490</v>
      </c>
      <c r="W134" s="25" t="s">
        <v>1490</v>
      </c>
      <c r="X134" s="25" t="s">
        <v>1490</v>
      </c>
      <c r="Y134" s="25" t="s">
        <v>1490</v>
      </c>
      <c r="Z134" s="25" t="s">
        <v>1490</v>
      </c>
      <c r="AB134" s="27" t="s">
        <v>1490</v>
      </c>
      <c r="AC134" s="27">
        <v>103</v>
      </c>
      <c r="AD134" s="27" t="s">
        <v>1490</v>
      </c>
      <c r="AE134" s="27" t="s">
        <v>1490</v>
      </c>
      <c r="AF134" s="27" t="s">
        <v>1490</v>
      </c>
      <c r="AG134" s="27" t="s">
        <v>1490</v>
      </c>
      <c r="AI134" s="25">
        <v>1.09895757775087</v>
      </c>
      <c r="AJ134" s="25">
        <v>8.52</v>
      </c>
      <c r="AK134" s="25">
        <v>0.89333333333333298</v>
      </c>
      <c r="AL134" s="25">
        <v>8.48</v>
      </c>
      <c r="AM134" s="25">
        <v>0.92</v>
      </c>
      <c r="AN134" s="25">
        <v>8.48</v>
      </c>
      <c r="AO134" s="25">
        <v>0.93333333333333302</v>
      </c>
      <c r="AP134" s="25">
        <v>8.3333333333333304</v>
      </c>
      <c r="AQ134" s="25">
        <v>0.52</v>
      </c>
      <c r="AR134" s="25">
        <v>6.4133333333333304</v>
      </c>
      <c r="AS134" s="25">
        <v>7.04</v>
      </c>
      <c r="AT134" s="25">
        <v>1.82666666666667</v>
      </c>
      <c r="AU134" s="25">
        <v>0.66666666666666696</v>
      </c>
      <c r="AW134" s="30">
        <v>1</v>
      </c>
      <c r="AX134" s="34">
        <v>13</v>
      </c>
      <c r="AY134" s="14" t="s">
        <v>62</v>
      </c>
      <c r="AZ134" s="14">
        <v>0</v>
      </c>
    </row>
    <row r="135" spans="1:52" x14ac:dyDescent="0.3">
      <c r="A135" s="16">
        <v>133</v>
      </c>
      <c r="B135" s="18" t="s">
        <v>928</v>
      </c>
      <c r="D135" s="25" t="s">
        <v>1490</v>
      </c>
      <c r="E135" s="25" t="s">
        <v>1490</v>
      </c>
      <c r="F135" s="25" t="s">
        <v>1490</v>
      </c>
      <c r="G135" s="25" t="s">
        <v>1490</v>
      </c>
      <c r="H135" s="25" t="s">
        <v>1490</v>
      </c>
      <c r="I135" s="25" t="s">
        <v>1490</v>
      </c>
      <c r="J135" s="25" t="s">
        <v>1490</v>
      </c>
      <c r="L135" s="30" t="s">
        <v>1490</v>
      </c>
      <c r="M135" s="30" t="s">
        <v>1490</v>
      </c>
      <c r="N135" s="30" t="s">
        <v>1490</v>
      </c>
      <c r="O135" s="30" t="s">
        <v>1490</v>
      </c>
      <c r="P135" s="30" t="s">
        <v>1490</v>
      </c>
      <c r="Q135" s="30" t="s">
        <v>1490</v>
      </c>
      <c r="R135" s="30" t="s">
        <v>1490</v>
      </c>
      <c r="S135" s="30"/>
      <c r="T135" s="25" t="s">
        <v>1490</v>
      </c>
      <c r="U135" s="25">
        <v>-0.79450165305827403</v>
      </c>
      <c r="V135" s="25" t="s">
        <v>1490</v>
      </c>
      <c r="W135" s="25" t="s">
        <v>1490</v>
      </c>
      <c r="X135" s="25" t="s">
        <v>1490</v>
      </c>
      <c r="Y135" s="25">
        <v>-0.23045241359398699</v>
      </c>
      <c r="Z135" s="25" t="s">
        <v>1490</v>
      </c>
      <c r="AB135" s="27" t="s">
        <v>1490</v>
      </c>
      <c r="AC135" s="27">
        <v>20</v>
      </c>
      <c r="AD135" s="27" t="s">
        <v>1490</v>
      </c>
      <c r="AE135" s="27" t="s">
        <v>1490</v>
      </c>
      <c r="AF135" s="27" t="s">
        <v>1490</v>
      </c>
      <c r="AG135" s="27">
        <v>40</v>
      </c>
      <c r="AI135" s="25">
        <v>-1.1910529546078901</v>
      </c>
      <c r="AJ135" s="25">
        <v>6.10666666666667</v>
      </c>
      <c r="AK135" s="25">
        <v>2.76</v>
      </c>
      <c r="AL135" s="25">
        <v>6.1733333333333302</v>
      </c>
      <c r="AM135" s="25">
        <v>3</v>
      </c>
      <c r="AN135" s="25">
        <v>6.28</v>
      </c>
      <c r="AO135" s="25">
        <v>2.93333333333333</v>
      </c>
      <c r="AP135" s="25">
        <v>6.2133333333333303</v>
      </c>
      <c r="AQ135" s="25">
        <v>1.6666666666666701</v>
      </c>
      <c r="AR135" s="25">
        <v>5.1866666666666701</v>
      </c>
      <c r="AS135" s="25">
        <v>4.88</v>
      </c>
      <c r="AT135" s="25">
        <v>2.6666666666666701</v>
      </c>
      <c r="AU135" s="25">
        <v>1.78666666666667</v>
      </c>
      <c r="AW135" s="30">
        <v>0</v>
      </c>
      <c r="AX135" s="34">
        <v>20.48</v>
      </c>
      <c r="AY135" s="14" t="s">
        <v>41</v>
      </c>
      <c r="AZ135" s="14">
        <v>0</v>
      </c>
    </row>
    <row r="136" spans="1:52" x14ac:dyDescent="0.3">
      <c r="A136" s="16">
        <v>134</v>
      </c>
      <c r="B136" s="18" t="s">
        <v>930</v>
      </c>
      <c r="D136" s="25" t="s">
        <v>1490</v>
      </c>
      <c r="E136" s="25" t="s">
        <v>1490</v>
      </c>
      <c r="F136" s="25" t="s">
        <v>1490</v>
      </c>
      <c r="G136" s="25" t="s">
        <v>1490</v>
      </c>
      <c r="H136" s="25" t="s">
        <v>1490</v>
      </c>
      <c r="I136" s="25">
        <v>1.77794933384681</v>
      </c>
      <c r="J136" s="25">
        <v>2.939898643641</v>
      </c>
      <c r="L136" s="30" t="s">
        <v>1490</v>
      </c>
      <c r="M136" s="30" t="s">
        <v>1490</v>
      </c>
      <c r="N136" s="30" t="s">
        <v>1490</v>
      </c>
      <c r="O136" s="30" t="s">
        <v>1490</v>
      </c>
      <c r="P136" s="30" t="s">
        <v>1490</v>
      </c>
      <c r="Q136" s="30">
        <v>30</v>
      </c>
      <c r="R136" s="30">
        <v>30</v>
      </c>
      <c r="S136" s="30"/>
      <c r="T136" s="25" t="s">
        <v>1490</v>
      </c>
      <c r="U136" s="25" t="s">
        <v>1490</v>
      </c>
      <c r="V136" s="25" t="s">
        <v>1490</v>
      </c>
      <c r="W136" s="25" t="s">
        <v>1490</v>
      </c>
      <c r="X136" s="25" t="s">
        <v>1490</v>
      </c>
      <c r="Y136" s="25">
        <v>0.29106872893940999</v>
      </c>
      <c r="Z136" s="25" t="s">
        <v>1490</v>
      </c>
      <c r="AB136" s="27" t="s">
        <v>1490</v>
      </c>
      <c r="AC136" s="27" t="s">
        <v>1490</v>
      </c>
      <c r="AD136" s="27" t="s">
        <v>1490</v>
      </c>
      <c r="AE136" s="27" t="s">
        <v>1490</v>
      </c>
      <c r="AF136" s="27" t="s">
        <v>1490</v>
      </c>
      <c r="AG136" s="27">
        <v>60</v>
      </c>
      <c r="AI136" s="25">
        <v>-0.35220278775672997</v>
      </c>
      <c r="AJ136" s="25">
        <v>6.88</v>
      </c>
      <c r="AK136" s="25">
        <v>1.9466666666666701</v>
      </c>
      <c r="AL136" s="25">
        <v>6.7466666666666697</v>
      </c>
      <c r="AM136" s="25">
        <v>2.1466666666666701</v>
      </c>
      <c r="AN136" s="25">
        <v>6.89333333333333</v>
      </c>
      <c r="AO136" s="25">
        <v>2.10666666666667</v>
      </c>
      <c r="AP136" s="25">
        <v>5.7733333333333299</v>
      </c>
      <c r="AQ136" s="25">
        <v>1.36</v>
      </c>
      <c r="AR136" s="25">
        <v>5.7333333333333298</v>
      </c>
      <c r="AS136" s="25">
        <v>5.5333333333333297</v>
      </c>
      <c r="AT136" s="25">
        <v>2.1866666666666701</v>
      </c>
      <c r="AU136" s="25">
        <v>1.3333333333333299</v>
      </c>
      <c r="AW136" s="30">
        <v>0</v>
      </c>
      <c r="AX136" s="34">
        <v>24.95</v>
      </c>
      <c r="AY136" s="14" t="s">
        <v>434</v>
      </c>
      <c r="AZ136" s="14">
        <v>0</v>
      </c>
    </row>
    <row r="137" spans="1:52" x14ac:dyDescent="0.3">
      <c r="A137" s="16">
        <v>135</v>
      </c>
      <c r="B137" s="18" t="s">
        <v>1247</v>
      </c>
      <c r="D137" s="25" t="s">
        <v>1490</v>
      </c>
      <c r="E137" s="25" t="s">
        <v>1490</v>
      </c>
      <c r="F137" s="25" t="s">
        <v>1490</v>
      </c>
      <c r="G137" s="25" t="s">
        <v>1490</v>
      </c>
      <c r="H137" s="25" t="s">
        <v>1490</v>
      </c>
      <c r="I137" s="25" t="s">
        <v>1490</v>
      </c>
      <c r="J137" s="25">
        <v>0.88642011507582896</v>
      </c>
      <c r="L137" s="30" t="s">
        <v>1490</v>
      </c>
      <c r="M137" s="30" t="s">
        <v>1490</v>
      </c>
      <c r="N137" s="30" t="s">
        <v>1490</v>
      </c>
      <c r="O137" s="30" t="s">
        <v>1490</v>
      </c>
      <c r="P137" s="30" t="s">
        <v>1490</v>
      </c>
      <c r="Q137" s="30" t="s">
        <v>1490</v>
      </c>
      <c r="R137" s="30">
        <v>65</v>
      </c>
      <c r="S137" s="30"/>
      <c r="T137" s="25" t="s">
        <v>1490</v>
      </c>
      <c r="U137" s="25" t="s">
        <v>1490</v>
      </c>
      <c r="V137" s="25" t="s">
        <v>1490</v>
      </c>
      <c r="W137" s="25" t="s">
        <v>1490</v>
      </c>
      <c r="X137" s="25" t="s">
        <v>1490</v>
      </c>
      <c r="Y137" s="25" t="s">
        <v>1490</v>
      </c>
      <c r="Z137" s="25" t="s">
        <v>1490</v>
      </c>
      <c r="AB137" s="27" t="s">
        <v>1490</v>
      </c>
      <c r="AC137" s="27" t="s">
        <v>1490</v>
      </c>
      <c r="AD137" s="27" t="s">
        <v>1490</v>
      </c>
      <c r="AE137" s="27" t="s">
        <v>1490</v>
      </c>
      <c r="AF137" s="27" t="s">
        <v>1490</v>
      </c>
      <c r="AG137" s="27" t="s">
        <v>1490</v>
      </c>
      <c r="AI137" s="25">
        <v>-0.87949769103979303</v>
      </c>
      <c r="AJ137" s="25">
        <v>6.2</v>
      </c>
      <c r="AK137" s="25">
        <v>2.1333333333333302</v>
      </c>
      <c r="AL137" s="25">
        <v>5.8133333333333299</v>
      </c>
      <c r="AM137" s="25">
        <v>2.4933333333333301</v>
      </c>
      <c r="AN137" s="25">
        <v>5.96</v>
      </c>
      <c r="AO137" s="25">
        <v>2.4266666666666699</v>
      </c>
      <c r="AP137" s="25">
        <v>6.84</v>
      </c>
      <c r="AQ137" s="25">
        <v>1.45333333333333</v>
      </c>
      <c r="AR137" s="25">
        <v>5.7466666666666697</v>
      </c>
      <c r="AS137" s="25">
        <v>5.7733333333333299</v>
      </c>
      <c r="AT137" s="25">
        <v>2.16</v>
      </c>
      <c r="AU137" s="25">
        <v>1.24</v>
      </c>
      <c r="AW137" s="30">
        <v>0</v>
      </c>
      <c r="AX137" s="34">
        <v>5.5767564102564098</v>
      </c>
      <c r="AY137" s="14" t="s">
        <v>25</v>
      </c>
      <c r="AZ137" s="14">
        <v>1</v>
      </c>
    </row>
    <row r="138" spans="1:52" x14ac:dyDescent="0.3">
      <c r="A138" s="16">
        <v>136</v>
      </c>
      <c r="B138" s="18" t="s">
        <v>1215</v>
      </c>
      <c r="D138" s="25" t="s">
        <v>1490</v>
      </c>
      <c r="E138" s="25" t="s">
        <v>1490</v>
      </c>
      <c r="F138" s="25" t="s">
        <v>1490</v>
      </c>
      <c r="G138" s="25" t="s">
        <v>1490</v>
      </c>
      <c r="H138" s="25" t="s">
        <v>1490</v>
      </c>
      <c r="I138" s="25" t="s">
        <v>1490</v>
      </c>
      <c r="J138" s="25">
        <v>0.36113075366990699</v>
      </c>
      <c r="L138" s="30" t="s">
        <v>1490</v>
      </c>
      <c r="M138" s="30" t="s">
        <v>1490</v>
      </c>
      <c r="N138" s="30" t="s">
        <v>1490</v>
      </c>
      <c r="O138" s="30" t="s">
        <v>1490</v>
      </c>
      <c r="P138" s="30" t="s">
        <v>1490</v>
      </c>
      <c r="Q138" s="30" t="s">
        <v>1490</v>
      </c>
      <c r="R138" s="30">
        <v>19</v>
      </c>
      <c r="S138" s="30"/>
      <c r="T138" s="25" t="s">
        <v>1490</v>
      </c>
      <c r="U138" s="25" t="s">
        <v>1490</v>
      </c>
      <c r="V138" s="25" t="s">
        <v>1490</v>
      </c>
      <c r="W138" s="25" t="s">
        <v>1490</v>
      </c>
      <c r="X138" s="25" t="s">
        <v>1490</v>
      </c>
      <c r="Y138" s="25" t="s">
        <v>1490</v>
      </c>
      <c r="Z138" s="25" t="s">
        <v>1490</v>
      </c>
      <c r="AB138" s="27" t="s">
        <v>1490</v>
      </c>
      <c r="AC138" s="27" t="s">
        <v>1490</v>
      </c>
      <c r="AD138" s="27" t="s">
        <v>1490</v>
      </c>
      <c r="AE138" s="27" t="s">
        <v>1490</v>
      </c>
      <c r="AF138" s="27" t="s">
        <v>1490</v>
      </c>
      <c r="AG138" s="27" t="s">
        <v>1490</v>
      </c>
      <c r="AI138" s="25">
        <v>0.41167674854827901</v>
      </c>
      <c r="AJ138" s="25">
        <v>7.8266666666666698</v>
      </c>
      <c r="AK138" s="25">
        <v>1.38666666666667</v>
      </c>
      <c r="AL138" s="25">
        <v>7.6933333333333298</v>
      </c>
      <c r="AM138" s="25">
        <v>1.56</v>
      </c>
      <c r="AN138" s="25">
        <v>7.7733333333333299</v>
      </c>
      <c r="AO138" s="25">
        <v>1.5333333333333301</v>
      </c>
      <c r="AP138" s="25">
        <v>7.08</v>
      </c>
      <c r="AQ138" s="25">
        <v>1.2266666666666699</v>
      </c>
      <c r="AR138" s="25">
        <v>5.2266666666666701</v>
      </c>
      <c r="AS138" s="25">
        <v>5.8</v>
      </c>
      <c r="AT138" s="25">
        <v>2.06666666666667</v>
      </c>
      <c r="AU138" s="25">
        <v>0.98666666666666702</v>
      </c>
      <c r="AW138" s="30">
        <v>0</v>
      </c>
      <c r="AX138" s="34">
        <v>22</v>
      </c>
      <c r="AY138" s="14" t="s">
        <v>62</v>
      </c>
      <c r="AZ138" s="14">
        <v>0</v>
      </c>
    </row>
    <row r="139" spans="1:52" x14ac:dyDescent="0.3">
      <c r="A139" s="16">
        <v>137</v>
      </c>
      <c r="B139" s="18" t="s">
        <v>1248</v>
      </c>
      <c r="D139" s="25" t="s">
        <v>1490</v>
      </c>
      <c r="E139" s="25">
        <v>1.4331988334010599</v>
      </c>
      <c r="F139" s="25" t="s">
        <v>1490</v>
      </c>
      <c r="G139" s="25" t="s">
        <v>1490</v>
      </c>
      <c r="H139" s="25" t="s">
        <v>1490</v>
      </c>
      <c r="I139" s="25" t="s">
        <v>1490</v>
      </c>
      <c r="J139" s="25">
        <v>0.88796381575087602</v>
      </c>
      <c r="L139" s="30" t="s">
        <v>1490</v>
      </c>
      <c r="M139" s="30">
        <v>30</v>
      </c>
      <c r="N139" s="30" t="s">
        <v>1490</v>
      </c>
      <c r="O139" s="30" t="s">
        <v>1490</v>
      </c>
      <c r="P139" s="30" t="s">
        <v>1490</v>
      </c>
      <c r="Q139" s="30" t="s">
        <v>1490</v>
      </c>
      <c r="R139" s="30">
        <v>30</v>
      </c>
      <c r="S139" s="30"/>
      <c r="T139" s="25" t="s">
        <v>1490</v>
      </c>
      <c r="U139" s="25">
        <v>-0.378515667956702</v>
      </c>
      <c r="V139" s="25" t="s">
        <v>1490</v>
      </c>
      <c r="W139" s="25" t="s">
        <v>1490</v>
      </c>
      <c r="X139" s="25" t="s">
        <v>1490</v>
      </c>
      <c r="Y139" s="25" t="s">
        <v>1490</v>
      </c>
      <c r="Z139" s="25" t="s">
        <v>1490</v>
      </c>
      <c r="AB139" s="27" t="s">
        <v>1490</v>
      </c>
      <c r="AC139" s="27">
        <v>60</v>
      </c>
      <c r="AD139" s="27" t="s">
        <v>1490</v>
      </c>
      <c r="AE139" s="27" t="s">
        <v>1490</v>
      </c>
      <c r="AF139" s="27" t="s">
        <v>1490</v>
      </c>
      <c r="AG139" s="27" t="s">
        <v>1490</v>
      </c>
      <c r="AI139" s="25">
        <v>-0.68788565251383005</v>
      </c>
      <c r="AJ139" s="25">
        <v>6.68</v>
      </c>
      <c r="AK139" s="25">
        <v>2.04</v>
      </c>
      <c r="AL139" s="25">
        <v>6.2533333333333303</v>
      </c>
      <c r="AM139" s="25">
        <v>2.37333333333333</v>
      </c>
      <c r="AN139" s="25">
        <v>6.0933333333333302</v>
      </c>
      <c r="AO139" s="25">
        <v>2.41333333333333</v>
      </c>
      <c r="AP139" s="25">
        <v>6.9733333333333301</v>
      </c>
      <c r="AQ139" s="25">
        <v>1.10666666666667</v>
      </c>
      <c r="AR139" s="25">
        <v>5.5333333333333297</v>
      </c>
      <c r="AS139" s="25">
        <v>5.64</v>
      </c>
      <c r="AT139" s="25">
        <v>2.1333333333333302</v>
      </c>
      <c r="AU139" s="25">
        <v>1.17333333333333</v>
      </c>
      <c r="AW139" s="30">
        <v>0</v>
      </c>
      <c r="AX139" s="34">
        <v>9</v>
      </c>
      <c r="AY139" s="14" t="s">
        <v>227</v>
      </c>
      <c r="AZ139" s="14">
        <v>0</v>
      </c>
    </row>
    <row r="140" spans="1:52" x14ac:dyDescent="0.3">
      <c r="A140" s="16">
        <v>138</v>
      </c>
      <c r="B140" s="18" t="s">
        <v>1270</v>
      </c>
      <c r="D140" s="25" t="s">
        <v>1490</v>
      </c>
      <c r="E140" s="25">
        <v>0.60154148804644902</v>
      </c>
      <c r="F140" s="25" t="s">
        <v>1490</v>
      </c>
      <c r="G140" s="25" t="s">
        <v>1490</v>
      </c>
      <c r="H140" s="25" t="s">
        <v>1490</v>
      </c>
      <c r="I140" s="25" t="s">
        <v>1490</v>
      </c>
      <c r="J140" s="25">
        <v>-9.8855483074106895E-2</v>
      </c>
      <c r="L140" s="30" t="s">
        <v>1490</v>
      </c>
      <c r="M140" s="30">
        <v>19</v>
      </c>
      <c r="N140" s="30" t="s">
        <v>1490</v>
      </c>
      <c r="O140" s="30" t="s">
        <v>1490</v>
      </c>
      <c r="P140" s="30" t="s">
        <v>1490</v>
      </c>
      <c r="Q140" s="30" t="s">
        <v>1490</v>
      </c>
      <c r="R140" s="30">
        <v>40</v>
      </c>
      <c r="S140" s="30"/>
      <c r="T140" s="25" t="s">
        <v>1490</v>
      </c>
      <c r="U140" s="25">
        <v>-0.14073638708084499</v>
      </c>
      <c r="V140" s="25" t="s">
        <v>1490</v>
      </c>
      <c r="W140" s="25" t="s">
        <v>1490</v>
      </c>
      <c r="X140" s="25" t="s">
        <v>1490</v>
      </c>
      <c r="Y140" s="25" t="s">
        <v>1490</v>
      </c>
      <c r="Z140" s="25" t="s">
        <v>1490</v>
      </c>
      <c r="AB140" s="27" t="s">
        <v>1490</v>
      </c>
      <c r="AC140" s="27">
        <v>59</v>
      </c>
      <c r="AD140" s="27" t="s">
        <v>1490</v>
      </c>
      <c r="AE140" s="27" t="s">
        <v>1490</v>
      </c>
      <c r="AF140" s="27" t="s">
        <v>1490</v>
      </c>
      <c r="AG140" s="27" t="s">
        <v>1490</v>
      </c>
      <c r="AI140" s="25">
        <v>-1.7786394936376699</v>
      </c>
      <c r="AJ140" s="25">
        <v>5.2</v>
      </c>
      <c r="AK140" s="25">
        <v>2.56</v>
      </c>
      <c r="AL140" s="25">
        <v>4.4800000000000004</v>
      </c>
      <c r="AM140" s="25">
        <v>3.2666666666666702</v>
      </c>
      <c r="AN140" s="25">
        <v>4.1733333333333302</v>
      </c>
      <c r="AO140" s="25">
        <v>2.8</v>
      </c>
      <c r="AP140" s="25">
        <v>6.5066666666666704</v>
      </c>
      <c r="AQ140" s="25">
        <v>1.2533333333333301</v>
      </c>
      <c r="AR140" s="25">
        <v>5.3733333333333304</v>
      </c>
      <c r="AS140" s="25">
        <v>5.0133333333333301</v>
      </c>
      <c r="AT140" s="25">
        <v>1.86666666666667</v>
      </c>
      <c r="AU140" s="25">
        <v>1.2266666666666699</v>
      </c>
      <c r="AW140" s="30">
        <v>0</v>
      </c>
      <c r="AX140" s="34">
        <v>7</v>
      </c>
      <c r="AY140" s="14" t="s">
        <v>227</v>
      </c>
      <c r="AZ140" s="14">
        <v>0</v>
      </c>
    </row>
    <row r="141" spans="1:52" x14ac:dyDescent="0.3">
      <c r="A141" s="16">
        <v>139</v>
      </c>
      <c r="B141" s="18" t="s">
        <v>1271</v>
      </c>
      <c r="D141" s="25" t="s">
        <v>1490</v>
      </c>
      <c r="E141" s="25">
        <v>1.63998701481417</v>
      </c>
      <c r="F141" s="25" t="s">
        <v>1490</v>
      </c>
      <c r="G141" s="25" t="s">
        <v>1490</v>
      </c>
      <c r="H141" s="25" t="s">
        <v>1490</v>
      </c>
      <c r="I141" s="25" t="s">
        <v>1490</v>
      </c>
      <c r="J141" s="25">
        <v>1.6758089731443899</v>
      </c>
      <c r="L141" s="30" t="s">
        <v>1490</v>
      </c>
      <c r="M141" s="30">
        <v>30</v>
      </c>
      <c r="N141" s="30" t="s">
        <v>1490</v>
      </c>
      <c r="O141" s="30" t="s">
        <v>1490</v>
      </c>
      <c r="P141" s="30" t="s">
        <v>1490</v>
      </c>
      <c r="Q141" s="30" t="s">
        <v>1490</v>
      </c>
      <c r="R141" s="30">
        <v>39</v>
      </c>
      <c r="S141" s="30"/>
      <c r="T141" s="25" t="s">
        <v>1490</v>
      </c>
      <c r="U141" s="25">
        <v>-0.32541054338692899</v>
      </c>
      <c r="V141" s="25" t="s">
        <v>1490</v>
      </c>
      <c r="W141" s="25" t="s">
        <v>1490</v>
      </c>
      <c r="X141" s="25" t="s">
        <v>1490</v>
      </c>
      <c r="Y141" s="25" t="s">
        <v>1490</v>
      </c>
      <c r="Z141" s="25" t="s">
        <v>1490</v>
      </c>
      <c r="AB141" s="27" t="s">
        <v>1490</v>
      </c>
      <c r="AC141" s="27">
        <v>69</v>
      </c>
      <c r="AD141" s="27" t="s">
        <v>1490</v>
      </c>
      <c r="AE141" s="27" t="s">
        <v>1490</v>
      </c>
      <c r="AF141" s="27" t="s">
        <v>1490</v>
      </c>
      <c r="AG141" s="27" t="s">
        <v>1490</v>
      </c>
      <c r="AI141" s="25">
        <v>0.193424658243324</v>
      </c>
      <c r="AJ141" s="25">
        <v>7.48</v>
      </c>
      <c r="AK141" s="25">
        <v>1.4933333333333301</v>
      </c>
      <c r="AL141" s="25">
        <v>7.3466666666666702</v>
      </c>
      <c r="AM141" s="25">
        <v>1.6</v>
      </c>
      <c r="AN141" s="25">
        <v>7.3466666666666702</v>
      </c>
      <c r="AO141" s="25">
        <v>1.69333333333333</v>
      </c>
      <c r="AP141" s="25">
        <v>7.24</v>
      </c>
      <c r="AQ141" s="25">
        <v>1.0133333333333301</v>
      </c>
      <c r="AR141" s="25">
        <v>5.4266666666666703</v>
      </c>
      <c r="AS141" s="25">
        <v>5.5333333333333297</v>
      </c>
      <c r="AT141" s="25">
        <v>2</v>
      </c>
      <c r="AU141" s="25">
        <v>0.97333333333333305</v>
      </c>
      <c r="AW141" s="30">
        <v>0</v>
      </c>
      <c r="AX141" s="34">
        <v>8.5</v>
      </c>
      <c r="AY141" s="14" t="s">
        <v>227</v>
      </c>
      <c r="AZ141" s="14">
        <v>0</v>
      </c>
    </row>
    <row r="142" spans="1:52" x14ac:dyDescent="0.3">
      <c r="A142" s="16">
        <v>140</v>
      </c>
      <c r="B142" s="18" t="s">
        <v>1272</v>
      </c>
      <c r="D142" s="25" t="s">
        <v>1490</v>
      </c>
      <c r="E142" s="25" t="s">
        <v>1490</v>
      </c>
      <c r="F142" s="25" t="s">
        <v>1490</v>
      </c>
      <c r="G142" s="25" t="s">
        <v>1490</v>
      </c>
      <c r="H142" s="25" t="s">
        <v>1490</v>
      </c>
      <c r="I142" s="25" t="s">
        <v>1490</v>
      </c>
      <c r="J142" s="25" t="s">
        <v>1490</v>
      </c>
      <c r="L142" s="30" t="s">
        <v>1490</v>
      </c>
      <c r="M142" s="30" t="s">
        <v>1490</v>
      </c>
      <c r="N142" s="30" t="s">
        <v>1490</v>
      </c>
      <c r="O142" s="30" t="s">
        <v>1490</v>
      </c>
      <c r="P142" s="30" t="s">
        <v>1490</v>
      </c>
      <c r="Q142" s="30" t="s">
        <v>1490</v>
      </c>
      <c r="R142" s="30" t="s">
        <v>1490</v>
      </c>
      <c r="S142" s="30"/>
      <c r="T142" s="25" t="s">
        <v>1490</v>
      </c>
      <c r="U142" s="25" t="s">
        <v>1490</v>
      </c>
      <c r="V142" s="25" t="s">
        <v>1490</v>
      </c>
      <c r="W142" s="25" t="s">
        <v>1490</v>
      </c>
      <c r="X142" s="25" t="s">
        <v>1490</v>
      </c>
      <c r="Y142" s="25" t="s">
        <v>1490</v>
      </c>
      <c r="Z142" s="25" t="s">
        <v>1490</v>
      </c>
      <c r="AB142" s="27" t="s">
        <v>1490</v>
      </c>
      <c r="AC142" s="27" t="s">
        <v>1490</v>
      </c>
      <c r="AD142" s="27" t="s">
        <v>1490</v>
      </c>
      <c r="AE142" s="27" t="s">
        <v>1490</v>
      </c>
      <c r="AF142" s="27" t="s">
        <v>1490</v>
      </c>
      <c r="AG142" s="27" t="s">
        <v>1490</v>
      </c>
      <c r="AI142" s="25">
        <v>-0.71208489375461304</v>
      </c>
      <c r="AJ142" s="25">
        <v>6.16</v>
      </c>
      <c r="AK142" s="25">
        <v>1.76</v>
      </c>
      <c r="AL142" s="25">
        <v>5.8266666666666698</v>
      </c>
      <c r="AM142" s="25">
        <v>2.2799999999999998</v>
      </c>
      <c r="AN142" s="25">
        <v>5.7333333333333298</v>
      </c>
      <c r="AO142" s="25">
        <v>2.1733333333333298</v>
      </c>
      <c r="AP142" s="25">
        <v>6.8533333333333299</v>
      </c>
      <c r="AQ142" s="25">
        <v>0.84</v>
      </c>
      <c r="AR142" s="25">
        <v>6.68</v>
      </c>
      <c r="AS142" s="25">
        <v>6.1333333333333302</v>
      </c>
      <c r="AT142" s="25">
        <v>2.1333333333333302</v>
      </c>
      <c r="AU142" s="25">
        <v>1.0533333333333299</v>
      </c>
      <c r="AW142" s="30">
        <v>0</v>
      </c>
      <c r="AX142" s="34">
        <v>5.75</v>
      </c>
      <c r="AY142" s="14" t="s">
        <v>25</v>
      </c>
      <c r="AZ142" s="14">
        <v>1</v>
      </c>
    </row>
    <row r="143" spans="1:52" x14ac:dyDescent="0.3">
      <c r="A143" s="16">
        <v>141</v>
      </c>
      <c r="B143" s="18" t="s">
        <v>1258</v>
      </c>
      <c r="D143" s="25" t="s">
        <v>1490</v>
      </c>
      <c r="E143" s="25" t="s">
        <v>1490</v>
      </c>
      <c r="F143" s="25" t="s">
        <v>1490</v>
      </c>
      <c r="G143" s="25" t="s">
        <v>1490</v>
      </c>
      <c r="H143" s="25" t="s">
        <v>1490</v>
      </c>
      <c r="I143" s="25">
        <v>1.86471416371474</v>
      </c>
      <c r="J143" s="25">
        <v>3.07350897705905</v>
      </c>
      <c r="L143" s="30" t="s">
        <v>1490</v>
      </c>
      <c r="M143" s="30" t="s">
        <v>1490</v>
      </c>
      <c r="N143" s="30" t="s">
        <v>1490</v>
      </c>
      <c r="O143" s="30" t="s">
        <v>1490</v>
      </c>
      <c r="P143" s="30" t="s">
        <v>1490</v>
      </c>
      <c r="Q143" s="30">
        <v>10</v>
      </c>
      <c r="R143" s="30">
        <v>10</v>
      </c>
      <c r="S143" s="30"/>
      <c r="T143" s="25" t="s">
        <v>1490</v>
      </c>
      <c r="U143" s="25" t="s">
        <v>1490</v>
      </c>
      <c r="V143" s="25" t="s">
        <v>1490</v>
      </c>
      <c r="W143" s="25" t="s">
        <v>1490</v>
      </c>
      <c r="X143" s="25" t="s">
        <v>1490</v>
      </c>
      <c r="Y143" s="25">
        <v>0.34268308220336402</v>
      </c>
      <c r="Z143" s="25" t="s">
        <v>1490</v>
      </c>
      <c r="AB143" s="27" t="s">
        <v>1490</v>
      </c>
      <c r="AC143" s="27" t="s">
        <v>1490</v>
      </c>
      <c r="AD143" s="27" t="s">
        <v>1490</v>
      </c>
      <c r="AE143" s="27" t="s">
        <v>1490</v>
      </c>
      <c r="AF143" s="27" t="s">
        <v>1490</v>
      </c>
      <c r="AG143" s="27">
        <v>20</v>
      </c>
      <c r="AI143" s="25">
        <v>0.60825423529407696</v>
      </c>
      <c r="AJ143" s="25">
        <v>7.6933333333333298</v>
      </c>
      <c r="AK143" s="25">
        <v>1.08</v>
      </c>
      <c r="AL143" s="25">
        <v>7.6666666666666696</v>
      </c>
      <c r="AM143" s="25">
        <v>1.21333333333333</v>
      </c>
      <c r="AN143" s="25">
        <v>7.68</v>
      </c>
      <c r="AO143" s="25">
        <v>1.2</v>
      </c>
      <c r="AP143" s="25">
        <v>7.48</v>
      </c>
      <c r="AQ143" s="25">
        <v>0.65333333333333299</v>
      </c>
      <c r="AR143" s="25">
        <v>4.76</v>
      </c>
      <c r="AS143" s="25">
        <v>4.5199999999999996</v>
      </c>
      <c r="AT143" s="25">
        <v>2.04</v>
      </c>
      <c r="AU143" s="25">
        <v>0.73333333333333295</v>
      </c>
      <c r="AW143" s="30">
        <v>0</v>
      </c>
      <c r="AX143" s="34">
        <v>19.5</v>
      </c>
      <c r="AY143" s="14" t="s">
        <v>68</v>
      </c>
      <c r="AZ143" s="14">
        <v>0</v>
      </c>
    </row>
    <row r="144" spans="1:52" x14ac:dyDescent="0.3">
      <c r="A144" s="16">
        <v>142</v>
      </c>
      <c r="B144" s="18" t="s">
        <v>1260</v>
      </c>
      <c r="D144" s="25" t="s">
        <v>1490</v>
      </c>
      <c r="E144" s="25" t="s">
        <v>1490</v>
      </c>
      <c r="F144" s="25" t="s">
        <v>1490</v>
      </c>
      <c r="G144" s="25" t="s">
        <v>1490</v>
      </c>
      <c r="H144" s="25" t="s">
        <v>1490</v>
      </c>
      <c r="I144" s="25" t="s">
        <v>1490</v>
      </c>
      <c r="J144" s="25">
        <v>2.1357661303372799</v>
      </c>
      <c r="L144" s="30" t="s">
        <v>1490</v>
      </c>
      <c r="M144" s="30" t="s">
        <v>1490</v>
      </c>
      <c r="N144" s="30" t="s">
        <v>1490</v>
      </c>
      <c r="O144" s="30" t="s">
        <v>1490</v>
      </c>
      <c r="P144" s="30" t="s">
        <v>1490</v>
      </c>
      <c r="Q144" s="30" t="s">
        <v>1490</v>
      </c>
      <c r="R144" s="30">
        <v>28</v>
      </c>
      <c r="S144" s="30"/>
      <c r="T144" s="25" t="s">
        <v>1490</v>
      </c>
      <c r="U144" s="25" t="s">
        <v>1490</v>
      </c>
      <c r="V144" s="25" t="s">
        <v>1490</v>
      </c>
      <c r="W144" s="25" t="s">
        <v>1490</v>
      </c>
      <c r="X144" s="25" t="s">
        <v>1490</v>
      </c>
      <c r="Y144" s="25" t="s">
        <v>1490</v>
      </c>
      <c r="Z144" s="25" t="s">
        <v>1490</v>
      </c>
      <c r="AB144" s="27" t="s">
        <v>1490</v>
      </c>
      <c r="AC144" s="27" t="s">
        <v>1490</v>
      </c>
      <c r="AD144" s="27" t="s">
        <v>1490</v>
      </c>
      <c r="AE144" s="27" t="s">
        <v>1490</v>
      </c>
      <c r="AF144" s="27" t="s">
        <v>1490</v>
      </c>
      <c r="AG144" s="27" t="s">
        <v>1490</v>
      </c>
      <c r="AI144" s="25">
        <v>0.16412439466540599</v>
      </c>
      <c r="AJ144" s="25">
        <v>7.4933333333333296</v>
      </c>
      <c r="AK144" s="25">
        <v>1.65333333333333</v>
      </c>
      <c r="AL144" s="25">
        <v>7.4933333333333296</v>
      </c>
      <c r="AM144" s="25">
        <v>1.7333333333333301</v>
      </c>
      <c r="AN144" s="25">
        <v>7.6</v>
      </c>
      <c r="AO144" s="25">
        <v>1.7466666666666699</v>
      </c>
      <c r="AP144" s="25">
        <v>7.48</v>
      </c>
      <c r="AQ144" s="25">
        <v>1.0133333333333301</v>
      </c>
      <c r="AR144" s="25">
        <v>5.4133333333333304</v>
      </c>
      <c r="AS144" s="25">
        <v>5.5733333333333297</v>
      </c>
      <c r="AT144" s="25">
        <v>2.1866666666666701</v>
      </c>
      <c r="AU144" s="25">
        <v>1.0266666666666699</v>
      </c>
      <c r="AW144" s="30">
        <v>0</v>
      </c>
      <c r="AX144" s="34">
        <v>20</v>
      </c>
      <c r="AY144" s="14" t="s">
        <v>68</v>
      </c>
      <c r="AZ144" s="14">
        <v>0</v>
      </c>
    </row>
    <row r="145" spans="1:52" x14ac:dyDescent="0.3">
      <c r="A145" s="9">
        <v>143</v>
      </c>
      <c r="B145" s="10" t="s">
        <v>1582</v>
      </c>
      <c r="D145" s="25" t="s">
        <v>1490</v>
      </c>
      <c r="E145" s="25" t="s">
        <v>1490</v>
      </c>
      <c r="F145" s="25" t="s">
        <v>1490</v>
      </c>
      <c r="G145" s="25" t="s">
        <v>1490</v>
      </c>
      <c r="H145" s="25" t="s">
        <v>1490</v>
      </c>
      <c r="I145" s="25" t="s">
        <v>1490</v>
      </c>
      <c r="J145" s="25" t="s">
        <v>1490</v>
      </c>
      <c r="L145" s="30" t="s">
        <v>1490</v>
      </c>
      <c r="M145" s="30" t="s">
        <v>1490</v>
      </c>
      <c r="N145" s="30" t="s">
        <v>1490</v>
      </c>
      <c r="O145" s="30" t="s">
        <v>1490</v>
      </c>
      <c r="P145" s="30" t="s">
        <v>1490</v>
      </c>
      <c r="Q145" s="30" t="s">
        <v>1490</v>
      </c>
      <c r="R145" s="30" t="s">
        <v>1490</v>
      </c>
      <c r="T145" s="25" t="s">
        <v>1490</v>
      </c>
      <c r="U145" s="25" t="s">
        <v>1490</v>
      </c>
      <c r="V145" s="25">
        <v>0.60979964089261596</v>
      </c>
      <c r="W145" s="25" t="s">
        <v>1490</v>
      </c>
      <c r="X145" s="25" t="s">
        <v>1490</v>
      </c>
      <c r="Y145" s="25" t="s">
        <v>1490</v>
      </c>
      <c r="Z145" s="25" t="s">
        <v>1490</v>
      </c>
      <c r="AB145" s="27" t="s">
        <v>1490</v>
      </c>
      <c r="AC145" s="27" t="s">
        <v>1490</v>
      </c>
      <c r="AD145" s="27">
        <v>149</v>
      </c>
      <c r="AE145" s="27" t="s">
        <v>1490</v>
      </c>
      <c r="AF145" s="27" t="s">
        <v>1490</v>
      </c>
      <c r="AG145" s="27" t="s">
        <v>1490</v>
      </c>
      <c r="AI145" s="25">
        <v>0.37627476629864498</v>
      </c>
      <c r="AJ145" s="25">
        <v>7.8533333333333299</v>
      </c>
      <c r="AK145" s="25">
        <v>1.44</v>
      </c>
      <c r="AL145" s="25">
        <v>7.88</v>
      </c>
      <c r="AM145" s="25">
        <v>1.7333333333333301</v>
      </c>
      <c r="AN145" s="25">
        <v>7.89333333333333</v>
      </c>
      <c r="AO145" s="25">
        <v>1.65333333333333</v>
      </c>
      <c r="AP145" s="25">
        <v>7.1866666666666701</v>
      </c>
      <c r="AQ145" s="25">
        <v>1.1466666666666701</v>
      </c>
      <c r="AR145" s="25">
        <v>5.44</v>
      </c>
      <c r="AS145" s="25">
        <v>5.7733333333333299</v>
      </c>
      <c r="AT145" s="25">
        <v>2.2933333333333299</v>
      </c>
      <c r="AU145" s="25">
        <v>1.10666666666667</v>
      </c>
      <c r="AW145" s="30">
        <v>0</v>
      </c>
      <c r="AX145" s="34">
        <v>20.69</v>
      </c>
      <c r="AY145" s="14" t="s">
        <v>1095</v>
      </c>
      <c r="AZ145" s="14">
        <v>1</v>
      </c>
    </row>
    <row r="146" spans="1:52" x14ac:dyDescent="0.3">
      <c r="A146" s="9">
        <v>144</v>
      </c>
      <c r="B146" s="10" t="s">
        <v>1586</v>
      </c>
      <c r="D146" s="25" t="s">
        <v>1490</v>
      </c>
      <c r="E146" s="25" t="s">
        <v>1490</v>
      </c>
      <c r="F146" s="25" t="s">
        <v>1490</v>
      </c>
      <c r="G146" s="25" t="s">
        <v>1490</v>
      </c>
      <c r="H146" s="25" t="s">
        <v>1490</v>
      </c>
      <c r="I146" s="25" t="s">
        <v>1490</v>
      </c>
      <c r="J146" s="25" t="s">
        <v>1490</v>
      </c>
      <c r="L146" s="30" t="s">
        <v>1490</v>
      </c>
      <c r="M146" s="30" t="s">
        <v>1490</v>
      </c>
      <c r="N146" s="30" t="s">
        <v>1490</v>
      </c>
      <c r="O146" s="30" t="s">
        <v>1490</v>
      </c>
      <c r="P146" s="30" t="s">
        <v>1490</v>
      </c>
      <c r="Q146" s="30" t="s">
        <v>1490</v>
      </c>
      <c r="R146" s="30" t="s">
        <v>1490</v>
      </c>
      <c r="T146" s="25" t="s">
        <v>1490</v>
      </c>
      <c r="U146" s="25" t="s">
        <v>1490</v>
      </c>
      <c r="V146" s="25" t="s">
        <v>1490</v>
      </c>
      <c r="W146" s="25" t="s">
        <v>1490</v>
      </c>
      <c r="X146" s="25" t="s">
        <v>1490</v>
      </c>
      <c r="Y146" s="25">
        <v>0.75563675626170401</v>
      </c>
      <c r="Z146" s="25" t="s">
        <v>1490</v>
      </c>
      <c r="AB146" s="27" t="s">
        <v>1490</v>
      </c>
      <c r="AC146" s="27" t="s">
        <v>1490</v>
      </c>
      <c r="AD146" s="27" t="s">
        <v>1490</v>
      </c>
      <c r="AE146" s="27" t="s">
        <v>1490</v>
      </c>
      <c r="AF146" s="27" t="s">
        <v>1490</v>
      </c>
      <c r="AG146" s="27">
        <v>58</v>
      </c>
      <c r="AI146" s="25">
        <v>0.84979815583079799</v>
      </c>
      <c r="AJ146" s="25">
        <v>8.1466666666666701</v>
      </c>
      <c r="AK146" s="25">
        <v>1.0266666666666699</v>
      </c>
      <c r="AL146" s="25">
        <v>8.08</v>
      </c>
      <c r="AM146" s="25">
        <v>1.0266666666666699</v>
      </c>
      <c r="AN146" s="25">
        <v>8.1999999999999993</v>
      </c>
      <c r="AO146" s="25">
        <v>1.17333333333333</v>
      </c>
      <c r="AP146" s="25">
        <v>7.4133333333333304</v>
      </c>
      <c r="AQ146" s="25">
        <v>0.65333333333333299</v>
      </c>
      <c r="AR146" s="25">
        <v>5.93333333333333</v>
      </c>
      <c r="AS146" s="25">
        <v>6.7466666666666697</v>
      </c>
      <c r="AT146" s="25">
        <v>1.9466666666666701</v>
      </c>
      <c r="AU146" s="25">
        <v>0.76</v>
      </c>
      <c r="AW146" s="30">
        <v>1</v>
      </c>
      <c r="AX146" s="34">
        <v>11</v>
      </c>
      <c r="AY146" s="14" t="s">
        <v>62</v>
      </c>
      <c r="AZ146" s="14">
        <v>0</v>
      </c>
    </row>
    <row r="147" spans="1:52" x14ac:dyDescent="0.3">
      <c r="A147" s="9">
        <v>145</v>
      </c>
      <c r="B147" s="10" t="s">
        <v>1596</v>
      </c>
      <c r="D147" s="25" t="s">
        <v>1490</v>
      </c>
      <c r="E147" s="25" t="s">
        <v>1490</v>
      </c>
      <c r="F147" s="25" t="s">
        <v>1490</v>
      </c>
      <c r="G147" s="25" t="s">
        <v>1490</v>
      </c>
      <c r="H147" s="25" t="s">
        <v>1490</v>
      </c>
      <c r="I147" s="25">
        <v>0.59877302225722995</v>
      </c>
      <c r="J147" s="25">
        <v>0.73206102563370101</v>
      </c>
      <c r="L147" s="30" t="s">
        <v>1490</v>
      </c>
      <c r="M147" s="30" t="s">
        <v>1490</v>
      </c>
      <c r="N147" s="30" t="s">
        <v>1490</v>
      </c>
      <c r="O147" s="30" t="s">
        <v>1490</v>
      </c>
      <c r="P147" s="30" t="s">
        <v>1490</v>
      </c>
      <c r="Q147" s="30">
        <v>25</v>
      </c>
      <c r="R147" s="30">
        <v>10</v>
      </c>
      <c r="T147" s="25" t="s">
        <v>1490</v>
      </c>
      <c r="U147" s="25" t="s">
        <v>1490</v>
      </c>
      <c r="V147" s="25" t="s">
        <v>1490</v>
      </c>
      <c r="W147" s="25" t="s">
        <v>1490</v>
      </c>
      <c r="X147" s="25" t="s">
        <v>1490</v>
      </c>
      <c r="Y147" s="25">
        <v>-3.0038084302571001E-3</v>
      </c>
      <c r="Z147" s="25" t="s">
        <v>1490</v>
      </c>
      <c r="AB147" s="27" t="s">
        <v>1490</v>
      </c>
      <c r="AC147" s="27" t="s">
        <v>1490</v>
      </c>
      <c r="AD147" s="27" t="s">
        <v>1490</v>
      </c>
      <c r="AE147" s="27" t="s">
        <v>1490</v>
      </c>
      <c r="AF147" s="27" t="s">
        <v>1490</v>
      </c>
      <c r="AG147" s="27">
        <v>45</v>
      </c>
      <c r="AI147" s="25">
        <v>-1.1500044206412701</v>
      </c>
      <c r="AJ147" s="25">
        <v>5.64</v>
      </c>
      <c r="AK147" s="25">
        <v>2.1333333333333302</v>
      </c>
      <c r="AL147" s="25">
        <v>5.3466666666666702</v>
      </c>
      <c r="AM147" s="25">
        <v>2.6933333333333298</v>
      </c>
      <c r="AN147" s="25">
        <v>5.3866666666666703</v>
      </c>
      <c r="AO147" s="25">
        <v>2.5066666666666699</v>
      </c>
      <c r="AP147" s="25">
        <v>6.0266666666666699</v>
      </c>
      <c r="AQ147" s="25">
        <v>0.94666666666666699</v>
      </c>
      <c r="AR147" s="25">
        <v>6.0266666666666699</v>
      </c>
      <c r="AS147" s="25">
        <v>5.1333333333333302</v>
      </c>
      <c r="AT147" s="25">
        <v>1.84</v>
      </c>
      <c r="AU147" s="25">
        <v>1.38666666666667</v>
      </c>
      <c r="AW147" s="30">
        <v>0</v>
      </c>
      <c r="AX147" s="34">
        <v>10</v>
      </c>
      <c r="AY147" s="14" t="s">
        <v>41</v>
      </c>
      <c r="AZ147" s="14">
        <v>0</v>
      </c>
    </row>
    <row r="148" spans="1:52" x14ac:dyDescent="0.3">
      <c r="A148" s="9">
        <v>146</v>
      </c>
      <c r="B148" s="10" t="s">
        <v>1604</v>
      </c>
      <c r="D148" s="25" t="s">
        <v>1490</v>
      </c>
      <c r="E148" s="25" t="s">
        <v>1490</v>
      </c>
      <c r="F148" s="25" t="s">
        <v>1490</v>
      </c>
      <c r="G148" s="25" t="s">
        <v>1490</v>
      </c>
      <c r="H148" s="25" t="s">
        <v>1490</v>
      </c>
      <c r="I148" s="25" t="s">
        <v>1490</v>
      </c>
      <c r="J148" s="25">
        <v>5.1932355693568901</v>
      </c>
      <c r="L148" s="30" t="s">
        <v>1490</v>
      </c>
      <c r="M148" s="30" t="s">
        <v>1490</v>
      </c>
      <c r="N148" s="30" t="s">
        <v>1490</v>
      </c>
      <c r="O148" s="30" t="s">
        <v>1490</v>
      </c>
      <c r="P148" s="30" t="s">
        <v>1490</v>
      </c>
      <c r="Q148" s="30" t="s">
        <v>1490</v>
      </c>
      <c r="R148" s="30">
        <v>20</v>
      </c>
      <c r="T148" s="25" t="s">
        <v>1490</v>
      </c>
      <c r="U148" s="25" t="s">
        <v>1490</v>
      </c>
      <c r="V148" s="25" t="s">
        <v>1490</v>
      </c>
      <c r="W148" s="25" t="s">
        <v>1490</v>
      </c>
      <c r="X148" s="25" t="s">
        <v>1490</v>
      </c>
      <c r="Y148" s="25" t="s">
        <v>1490</v>
      </c>
      <c r="Z148" s="25" t="s">
        <v>1490</v>
      </c>
      <c r="AB148" s="27" t="s">
        <v>1490</v>
      </c>
      <c r="AC148" s="27" t="s">
        <v>1490</v>
      </c>
      <c r="AD148" s="27" t="s">
        <v>1490</v>
      </c>
      <c r="AE148" s="27" t="s">
        <v>1490</v>
      </c>
      <c r="AF148" s="27" t="s">
        <v>1490</v>
      </c>
      <c r="AG148" s="27" t="s">
        <v>1490</v>
      </c>
      <c r="AI148" s="25">
        <v>0.52719406617126097</v>
      </c>
      <c r="AJ148" s="25">
        <v>7.64</v>
      </c>
      <c r="AK148" s="25">
        <v>1.2533333333333301</v>
      </c>
      <c r="AL148" s="25">
        <v>7.72</v>
      </c>
      <c r="AM148" s="25">
        <v>1.30666666666667</v>
      </c>
      <c r="AN148" s="25">
        <v>7.6533333333333298</v>
      </c>
      <c r="AO148" s="25">
        <v>1.2533333333333301</v>
      </c>
      <c r="AP148" s="25">
        <v>7.5066666666666704</v>
      </c>
      <c r="AQ148" s="25">
        <v>0.85333333333333306</v>
      </c>
      <c r="AR148" s="25">
        <v>5.3333333333333304</v>
      </c>
      <c r="AS148" s="25">
        <v>5.6533333333333298</v>
      </c>
      <c r="AT148" s="25">
        <v>2.3066666666666702</v>
      </c>
      <c r="AU148" s="25">
        <v>0.90666666666666695</v>
      </c>
      <c r="AW148" s="30">
        <v>0</v>
      </c>
      <c r="AX148" s="34">
        <v>20.5</v>
      </c>
      <c r="AY148" s="14" t="s">
        <v>68</v>
      </c>
      <c r="AZ148" s="14">
        <v>0</v>
      </c>
    </row>
    <row r="149" spans="1:52" x14ac:dyDescent="0.3">
      <c r="A149" s="9">
        <v>147</v>
      </c>
      <c r="B149" s="10" t="s">
        <v>1611</v>
      </c>
      <c r="D149" s="25" t="s">
        <v>1490</v>
      </c>
      <c r="E149" s="25" t="s">
        <v>1490</v>
      </c>
      <c r="F149" s="25" t="s">
        <v>1490</v>
      </c>
      <c r="G149" s="25" t="s">
        <v>1490</v>
      </c>
      <c r="H149" s="25" t="s">
        <v>1490</v>
      </c>
      <c r="I149" s="25" t="s">
        <v>1490</v>
      </c>
      <c r="J149" s="25">
        <v>5.3823378121896299</v>
      </c>
      <c r="L149" s="30" t="s">
        <v>1490</v>
      </c>
      <c r="M149" s="30" t="s">
        <v>1490</v>
      </c>
      <c r="N149" s="30" t="s">
        <v>1490</v>
      </c>
      <c r="O149" s="30" t="s">
        <v>1490</v>
      </c>
      <c r="P149" s="30" t="s">
        <v>1490</v>
      </c>
      <c r="Q149" s="30" t="s">
        <v>1490</v>
      </c>
      <c r="R149" s="30">
        <v>20</v>
      </c>
      <c r="T149" s="25" t="s">
        <v>1490</v>
      </c>
      <c r="U149" s="25" t="s">
        <v>1490</v>
      </c>
      <c r="V149" s="25" t="s">
        <v>1490</v>
      </c>
      <c r="W149" s="25" t="s">
        <v>1490</v>
      </c>
      <c r="X149" s="25" t="s">
        <v>1490</v>
      </c>
      <c r="Y149" s="25" t="s">
        <v>1490</v>
      </c>
      <c r="Z149" s="25" t="s">
        <v>1490</v>
      </c>
      <c r="AB149" s="27" t="s">
        <v>1490</v>
      </c>
      <c r="AC149" s="27" t="s">
        <v>1490</v>
      </c>
      <c r="AD149" s="27" t="s">
        <v>1490</v>
      </c>
      <c r="AE149" s="27" t="s">
        <v>1490</v>
      </c>
      <c r="AF149" s="27" t="s">
        <v>1490</v>
      </c>
      <c r="AG149" s="27" t="s">
        <v>1490</v>
      </c>
      <c r="AI149" s="25">
        <v>-0.493295806573117</v>
      </c>
      <c r="AJ149" s="25">
        <v>7.0266666666666699</v>
      </c>
      <c r="AK149" s="25">
        <v>2.3199999999999998</v>
      </c>
      <c r="AL149" s="25">
        <v>7.10666666666667</v>
      </c>
      <c r="AM149" s="25">
        <v>2.4666666666666699</v>
      </c>
      <c r="AN149" s="25">
        <v>7.06666666666667</v>
      </c>
      <c r="AO149" s="25">
        <v>2.3866666666666698</v>
      </c>
      <c r="AP149" s="25">
        <v>6.7333333333333298</v>
      </c>
      <c r="AQ149" s="25">
        <v>1.5066666666666699</v>
      </c>
      <c r="AR149" s="25">
        <v>5.3466666666666702</v>
      </c>
      <c r="AS149" s="25">
        <v>5.7466666666666697</v>
      </c>
      <c r="AT149" s="25">
        <v>2.45333333333333</v>
      </c>
      <c r="AU149" s="25">
        <v>1.6</v>
      </c>
      <c r="AW149" s="30">
        <v>0</v>
      </c>
      <c r="AX149" s="34">
        <v>20</v>
      </c>
      <c r="AY149" s="14" t="s">
        <v>68</v>
      </c>
      <c r="AZ149" s="14">
        <v>0</v>
      </c>
    </row>
    <row r="150" spans="1:52" x14ac:dyDescent="0.3">
      <c r="B150" s="21"/>
    </row>
    <row r="151" spans="1:52" x14ac:dyDescent="0.3">
      <c r="B151" s="21"/>
    </row>
    <row r="152" spans="1:52" x14ac:dyDescent="0.3">
      <c r="B152" s="21"/>
    </row>
    <row r="153" spans="1:52" x14ac:dyDescent="0.3">
      <c r="B153" s="21"/>
    </row>
    <row r="154" spans="1:52" x14ac:dyDescent="0.3">
      <c r="B154" s="21"/>
    </row>
    <row r="155" spans="1:52" x14ac:dyDescent="0.3">
      <c r="B155" s="21"/>
    </row>
    <row r="156" spans="1:52" x14ac:dyDescent="0.3">
      <c r="B156" s="21"/>
    </row>
    <row r="157" spans="1:52" x14ac:dyDescent="0.3">
      <c r="B157" s="21"/>
    </row>
    <row r="158" spans="1:52" x14ac:dyDescent="0.3">
      <c r="B158" s="21"/>
    </row>
    <row r="159" spans="1:52" x14ac:dyDescent="0.3">
      <c r="B159" s="21"/>
    </row>
    <row r="160" spans="1:52" x14ac:dyDescent="0.3">
      <c r="B160" s="21"/>
    </row>
    <row r="161" spans="2:2" x14ac:dyDescent="0.3">
      <c r="B161" s="21"/>
    </row>
    <row r="162" spans="2:2" x14ac:dyDescent="0.3">
      <c r="B162" s="21"/>
    </row>
    <row r="163" spans="2:2" x14ac:dyDescent="0.3">
      <c r="B163" s="21"/>
    </row>
    <row r="164" spans="2:2" x14ac:dyDescent="0.3">
      <c r="B164" s="21"/>
    </row>
    <row r="165" spans="2:2" x14ac:dyDescent="0.3">
      <c r="B165" s="21"/>
    </row>
    <row r="166" spans="2:2" x14ac:dyDescent="0.3">
      <c r="B166" s="21"/>
    </row>
    <row r="167" spans="2:2" x14ac:dyDescent="0.3">
      <c r="B167" s="21"/>
    </row>
    <row r="168" spans="2:2" x14ac:dyDescent="0.3">
      <c r="B168" s="21"/>
    </row>
    <row r="169" spans="2:2" x14ac:dyDescent="0.3">
      <c r="B169" s="21"/>
    </row>
    <row r="170" spans="2:2" x14ac:dyDescent="0.3">
      <c r="B170" s="21"/>
    </row>
    <row r="171" spans="2:2" x14ac:dyDescent="0.3">
      <c r="B171" s="21"/>
    </row>
    <row r="172" spans="2:2" x14ac:dyDescent="0.3">
      <c r="B172" s="21"/>
    </row>
    <row r="173" spans="2:2" x14ac:dyDescent="0.3">
      <c r="B173" s="21"/>
    </row>
    <row r="174" spans="2:2" x14ac:dyDescent="0.3">
      <c r="B174" s="21"/>
    </row>
    <row r="175" spans="2:2" x14ac:dyDescent="0.3">
      <c r="B175" s="21"/>
    </row>
    <row r="176" spans="2:2" x14ac:dyDescent="0.3">
      <c r="B176" s="21"/>
    </row>
    <row r="177" spans="2:2" x14ac:dyDescent="0.3">
      <c r="B177" s="21"/>
    </row>
    <row r="178" spans="2:2" x14ac:dyDescent="0.3">
      <c r="B178" s="21"/>
    </row>
    <row r="179" spans="2:2" x14ac:dyDescent="0.3">
      <c r="B179" s="21"/>
    </row>
    <row r="180" spans="2:2" x14ac:dyDescent="0.3">
      <c r="B180" s="21"/>
    </row>
    <row r="181" spans="2:2" x14ac:dyDescent="0.3">
      <c r="B181" s="21"/>
    </row>
    <row r="182" spans="2:2" x14ac:dyDescent="0.3">
      <c r="B182" s="21"/>
    </row>
    <row r="183" spans="2:2" x14ac:dyDescent="0.3">
      <c r="B183" s="21"/>
    </row>
    <row r="184" spans="2:2" x14ac:dyDescent="0.3">
      <c r="B184" s="21"/>
    </row>
    <row r="185" spans="2:2" x14ac:dyDescent="0.3">
      <c r="B185" s="21"/>
    </row>
    <row r="186" spans="2:2" x14ac:dyDescent="0.3">
      <c r="B186" s="21"/>
    </row>
    <row r="187" spans="2:2" x14ac:dyDescent="0.3">
      <c r="B187" s="21"/>
    </row>
    <row r="188" spans="2:2" x14ac:dyDescent="0.3">
      <c r="B188" s="21"/>
    </row>
    <row r="189" spans="2:2" x14ac:dyDescent="0.3">
      <c r="B189" s="21"/>
    </row>
    <row r="190" spans="2:2" x14ac:dyDescent="0.3">
      <c r="B190" s="21"/>
    </row>
    <row r="191" spans="2:2" x14ac:dyDescent="0.3">
      <c r="B191" s="21"/>
    </row>
    <row r="192" spans="2:2" x14ac:dyDescent="0.3">
      <c r="B192" s="21"/>
    </row>
    <row r="193" spans="2:2" x14ac:dyDescent="0.3">
      <c r="B193" s="21"/>
    </row>
    <row r="194" spans="2:2" x14ac:dyDescent="0.3">
      <c r="B194" s="21"/>
    </row>
    <row r="195" spans="2:2" x14ac:dyDescent="0.3">
      <c r="B195" s="21"/>
    </row>
    <row r="196" spans="2:2" x14ac:dyDescent="0.3">
      <c r="B196" s="21"/>
    </row>
    <row r="197" spans="2:2" x14ac:dyDescent="0.3">
      <c r="B197" s="21"/>
    </row>
    <row r="198" spans="2:2" x14ac:dyDescent="0.3">
      <c r="B198" s="21"/>
    </row>
    <row r="199" spans="2:2" x14ac:dyDescent="0.3">
      <c r="B199" s="21"/>
    </row>
    <row r="200" spans="2:2" x14ac:dyDescent="0.3">
      <c r="B200" s="21"/>
    </row>
    <row r="201" spans="2:2" x14ac:dyDescent="0.3">
      <c r="B201" s="21"/>
    </row>
    <row r="202" spans="2:2" x14ac:dyDescent="0.3">
      <c r="B202" s="21"/>
    </row>
    <row r="203" spans="2:2" x14ac:dyDescent="0.3">
      <c r="B203" s="21"/>
    </row>
    <row r="204" spans="2:2" x14ac:dyDescent="0.3">
      <c r="B204" s="21"/>
    </row>
    <row r="205" spans="2:2" x14ac:dyDescent="0.3">
      <c r="B205" s="21"/>
    </row>
    <row r="206" spans="2:2" x14ac:dyDescent="0.3">
      <c r="B206" s="21"/>
    </row>
    <row r="207" spans="2:2" x14ac:dyDescent="0.3">
      <c r="B207" s="21"/>
    </row>
    <row r="208" spans="2:2" x14ac:dyDescent="0.3">
      <c r="B208" s="21"/>
    </row>
    <row r="209" spans="2:2" x14ac:dyDescent="0.3">
      <c r="B209" s="21"/>
    </row>
    <row r="210" spans="2:2" x14ac:dyDescent="0.3">
      <c r="B210" s="21"/>
    </row>
    <row r="211" spans="2:2" x14ac:dyDescent="0.3">
      <c r="B211" s="21"/>
    </row>
    <row r="212" spans="2:2" x14ac:dyDescent="0.3">
      <c r="B212" s="21"/>
    </row>
    <row r="213" spans="2:2" x14ac:dyDescent="0.3">
      <c r="B213" s="21"/>
    </row>
    <row r="214" spans="2:2" x14ac:dyDescent="0.3">
      <c r="B214" s="21"/>
    </row>
    <row r="215" spans="2:2" x14ac:dyDescent="0.3">
      <c r="B215" s="21"/>
    </row>
    <row r="216" spans="2:2" x14ac:dyDescent="0.3">
      <c r="B216" s="21"/>
    </row>
    <row r="217" spans="2:2" x14ac:dyDescent="0.3">
      <c r="B217" s="21"/>
    </row>
    <row r="218" spans="2:2" x14ac:dyDescent="0.3">
      <c r="B218" s="21"/>
    </row>
    <row r="219" spans="2:2" x14ac:dyDescent="0.3">
      <c r="B219" s="21"/>
    </row>
    <row r="220" spans="2:2" x14ac:dyDescent="0.3">
      <c r="B220" s="21"/>
    </row>
    <row r="221" spans="2:2" x14ac:dyDescent="0.3">
      <c r="B221" s="21"/>
    </row>
    <row r="222" spans="2:2" x14ac:dyDescent="0.3">
      <c r="B222" s="21"/>
    </row>
    <row r="223" spans="2:2" x14ac:dyDescent="0.3">
      <c r="B223" s="21"/>
    </row>
    <row r="224" spans="2:2" x14ac:dyDescent="0.3">
      <c r="B224" s="21"/>
    </row>
    <row r="225" spans="2:2" x14ac:dyDescent="0.3">
      <c r="B225" s="21"/>
    </row>
    <row r="226" spans="2:2" x14ac:dyDescent="0.3">
      <c r="B226" s="21"/>
    </row>
    <row r="227" spans="2:2" x14ac:dyDescent="0.3">
      <c r="B227" s="21"/>
    </row>
    <row r="228" spans="2:2" x14ac:dyDescent="0.3">
      <c r="B228" s="21"/>
    </row>
    <row r="229" spans="2:2" x14ac:dyDescent="0.3">
      <c r="B229" s="21"/>
    </row>
    <row r="230" spans="2:2" x14ac:dyDescent="0.3">
      <c r="B230" s="21"/>
    </row>
    <row r="231" spans="2:2" x14ac:dyDescent="0.3">
      <c r="B231" s="21"/>
    </row>
    <row r="232" spans="2:2" x14ac:dyDescent="0.3">
      <c r="B232" s="21"/>
    </row>
    <row r="233" spans="2:2" x14ac:dyDescent="0.3">
      <c r="B233" s="21"/>
    </row>
    <row r="234" spans="2:2" x14ac:dyDescent="0.3">
      <c r="B234" s="21"/>
    </row>
    <row r="235" spans="2:2" x14ac:dyDescent="0.3">
      <c r="B235" s="21"/>
    </row>
    <row r="236" spans="2:2" x14ac:dyDescent="0.3">
      <c r="B236" s="21"/>
    </row>
    <row r="237" spans="2:2" x14ac:dyDescent="0.3">
      <c r="B237" s="21"/>
    </row>
    <row r="238" spans="2:2" x14ac:dyDescent="0.3">
      <c r="B238" s="21"/>
    </row>
    <row r="239" spans="2:2" x14ac:dyDescent="0.3">
      <c r="B239" s="21"/>
    </row>
    <row r="240" spans="2:2" x14ac:dyDescent="0.3">
      <c r="B240" s="21"/>
    </row>
    <row r="241" spans="2:2" x14ac:dyDescent="0.3">
      <c r="B241" s="21"/>
    </row>
    <row r="242" spans="2:2" x14ac:dyDescent="0.3">
      <c r="B242" s="21"/>
    </row>
    <row r="243" spans="2:2" x14ac:dyDescent="0.3">
      <c r="B243" s="21"/>
    </row>
    <row r="244" spans="2:2" x14ac:dyDescent="0.3">
      <c r="B244" s="21"/>
    </row>
    <row r="245" spans="2:2" x14ac:dyDescent="0.3">
      <c r="B245" s="21"/>
    </row>
    <row r="246" spans="2:2" x14ac:dyDescent="0.3">
      <c r="B246" s="21"/>
    </row>
    <row r="247" spans="2:2" x14ac:dyDescent="0.3">
      <c r="B247" s="21"/>
    </row>
    <row r="248" spans="2:2" x14ac:dyDescent="0.3">
      <c r="B248" s="21"/>
    </row>
    <row r="249" spans="2:2" x14ac:dyDescent="0.3">
      <c r="B249" s="21"/>
    </row>
    <row r="250" spans="2:2" x14ac:dyDescent="0.3">
      <c r="B250" s="21"/>
    </row>
    <row r="251" spans="2:2" x14ac:dyDescent="0.3">
      <c r="B251" s="21"/>
    </row>
    <row r="252" spans="2:2" x14ac:dyDescent="0.3">
      <c r="B252" s="21"/>
    </row>
    <row r="253" spans="2:2" x14ac:dyDescent="0.3">
      <c r="B253" s="21"/>
    </row>
    <row r="254" spans="2:2" x14ac:dyDescent="0.3">
      <c r="B254" s="21"/>
    </row>
    <row r="255" spans="2:2" x14ac:dyDescent="0.3">
      <c r="B255" s="21"/>
    </row>
    <row r="256" spans="2:2" x14ac:dyDescent="0.3">
      <c r="B256" s="21"/>
    </row>
    <row r="257" spans="2:2" x14ac:dyDescent="0.3">
      <c r="B257" s="21"/>
    </row>
    <row r="258" spans="2:2" x14ac:dyDescent="0.3">
      <c r="B258" s="21"/>
    </row>
    <row r="259" spans="2:2" x14ac:dyDescent="0.3">
      <c r="B259" s="21"/>
    </row>
    <row r="260" spans="2:2" x14ac:dyDescent="0.3">
      <c r="B260" s="21"/>
    </row>
    <row r="261" spans="2:2" x14ac:dyDescent="0.3">
      <c r="B261" s="21"/>
    </row>
    <row r="262" spans="2:2" x14ac:dyDescent="0.3">
      <c r="B262" s="21"/>
    </row>
    <row r="263" spans="2:2" x14ac:dyDescent="0.3">
      <c r="B263" s="21"/>
    </row>
    <row r="264" spans="2:2" x14ac:dyDescent="0.3">
      <c r="B264" s="21"/>
    </row>
    <row r="265" spans="2:2" x14ac:dyDescent="0.3">
      <c r="B265" s="21"/>
    </row>
    <row r="266" spans="2:2" x14ac:dyDescent="0.3">
      <c r="B266" s="21"/>
    </row>
    <row r="267" spans="2:2" x14ac:dyDescent="0.3">
      <c r="B267" s="21"/>
    </row>
    <row r="268" spans="2:2" x14ac:dyDescent="0.3">
      <c r="B268" s="21"/>
    </row>
    <row r="269" spans="2:2" x14ac:dyDescent="0.3">
      <c r="B269" s="21"/>
    </row>
    <row r="270" spans="2:2" x14ac:dyDescent="0.3">
      <c r="B270" s="21"/>
    </row>
    <row r="271" spans="2:2" x14ac:dyDescent="0.3">
      <c r="B271" s="21"/>
    </row>
    <row r="272" spans="2:2" x14ac:dyDescent="0.3">
      <c r="B272" s="21"/>
    </row>
    <row r="273" spans="2:2" x14ac:dyDescent="0.3">
      <c r="B273" s="21"/>
    </row>
    <row r="274" spans="2:2" x14ac:dyDescent="0.3">
      <c r="B274" s="21"/>
    </row>
    <row r="275" spans="2:2" x14ac:dyDescent="0.3">
      <c r="B275" s="21"/>
    </row>
    <row r="276" spans="2:2" x14ac:dyDescent="0.3">
      <c r="B276" s="21"/>
    </row>
    <row r="277" spans="2:2" x14ac:dyDescent="0.3">
      <c r="B277" s="21"/>
    </row>
    <row r="278" spans="2:2" x14ac:dyDescent="0.3">
      <c r="B278" s="21"/>
    </row>
    <row r="279" spans="2:2" x14ac:dyDescent="0.3">
      <c r="B279" s="21"/>
    </row>
    <row r="280" spans="2:2" x14ac:dyDescent="0.3">
      <c r="B280" s="21"/>
    </row>
    <row r="281" spans="2:2" x14ac:dyDescent="0.3">
      <c r="B281" s="21"/>
    </row>
    <row r="282" spans="2:2" x14ac:dyDescent="0.3">
      <c r="B282" s="21"/>
    </row>
    <row r="283" spans="2:2" x14ac:dyDescent="0.3">
      <c r="B283" s="21"/>
    </row>
    <row r="284" spans="2:2" x14ac:dyDescent="0.3">
      <c r="B284" s="21"/>
    </row>
    <row r="285" spans="2:2" x14ac:dyDescent="0.3">
      <c r="B285" s="21"/>
    </row>
    <row r="286" spans="2:2" x14ac:dyDescent="0.3">
      <c r="B286" s="21"/>
    </row>
    <row r="287" spans="2:2" x14ac:dyDescent="0.3">
      <c r="B287" s="21"/>
    </row>
    <row r="288" spans="2:2" x14ac:dyDescent="0.3">
      <c r="B288" s="21"/>
    </row>
    <row r="289" spans="2:2" x14ac:dyDescent="0.3">
      <c r="B289" s="21"/>
    </row>
    <row r="290" spans="2:2" x14ac:dyDescent="0.3">
      <c r="B290" s="21"/>
    </row>
    <row r="291" spans="2:2" x14ac:dyDescent="0.3">
      <c r="B291" s="21"/>
    </row>
    <row r="292" spans="2:2" x14ac:dyDescent="0.3">
      <c r="B292" s="21"/>
    </row>
    <row r="293" spans="2:2" x14ac:dyDescent="0.3">
      <c r="B293" s="21"/>
    </row>
    <row r="294" spans="2:2" x14ac:dyDescent="0.3">
      <c r="B294" s="21"/>
    </row>
    <row r="295" spans="2:2" x14ac:dyDescent="0.3">
      <c r="B295" s="21"/>
    </row>
    <row r="296" spans="2:2" x14ac:dyDescent="0.3">
      <c r="B296" s="21"/>
    </row>
    <row r="297" spans="2:2" x14ac:dyDescent="0.3">
      <c r="B297" s="21"/>
    </row>
    <row r="298" spans="2:2" x14ac:dyDescent="0.3">
      <c r="B298" s="21"/>
    </row>
    <row r="299" spans="2:2" x14ac:dyDescent="0.3">
      <c r="B299" s="21"/>
    </row>
    <row r="300" spans="2:2" x14ac:dyDescent="0.3">
      <c r="B300" s="21"/>
    </row>
    <row r="301" spans="2:2" x14ac:dyDescent="0.3">
      <c r="B301" s="21"/>
    </row>
    <row r="302" spans="2:2" x14ac:dyDescent="0.3">
      <c r="B302" s="21"/>
    </row>
    <row r="303" spans="2:2" x14ac:dyDescent="0.3">
      <c r="B303" s="21"/>
    </row>
    <row r="304" spans="2:2" x14ac:dyDescent="0.3">
      <c r="B304" s="21"/>
    </row>
    <row r="305" spans="2:2" x14ac:dyDescent="0.3">
      <c r="B305" s="21"/>
    </row>
    <row r="306" spans="2:2" x14ac:dyDescent="0.3">
      <c r="B306" s="21"/>
    </row>
    <row r="307" spans="2:2" x14ac:dyDescent="0.3">
      <c r="B307" s="21"/>
    </row>
    <row r="308" spans="2:2" x14ac:dyDescent="0.3">
      <c r="B308" s="21"/>
    </row>
    <row r="309" spans="2:2" x14ac:dyDescent="0.3">
      <c r="B309" s="21"/>
    </row>
    <row r="310" spans="2:2" x14ac:dyDescent="0.3">
      <c r="B310" s="21"/>
    </row>
    <row r="311" spans="2:2" x14ac:dyDescent="0.3">
      <c r="B311" s="21"/>
    </row>
    <row r="312" spans="2:2" x14ac:dyDescent="0.3">
      <c r="B312" s="21"/>
    </row>
    <row r="313" spans="2:2" x14ac:dyDescent="0.3">
      <c r="B313" s="21"/>
    </row>
    <row r="314" spans="2:2" x14ac:dyDescent="0.3">
      <c r="B314" s="21"/>
    </row>
    <row r="315" spans="2:2" x14ac:dyDescent="0.3">
      <c r="B315" s="21"/>
    </row>
    <row r="316" spans="2:2" x14ac:dyDescent="0.3">
      <c r="B316" s="21"/>
    </row>
    <row r="317" spans="2:2" x14ac:dyDescent="0.3">
      <c r="B317" s="21"/>
    </row>
    <row r="318" spans="2:2" x14ac:dyDescent="0.3">
      <c r="B318" s="21"/>
    </row>
    <row r="319" spans="2:2" x14ac:dyDescent="0.3">
      <c r="B319" s="21"/>
    </row>
    <row r="320" spans="2:2" x14ac:dyDescent="0.3">
      <c r="B320" s="21"/>
    </row>
    <row r="321" spans="2:2" x14ac:dyDescent="0.3">
      <c r="B321" s="21"/>
    </row>
    <row r="322" spans="2:2" x14ac:dyDescent="0.3">
      <c r="B322" s="21"/>
    </row>
    <row r="323" spans="2:2" x14ac:dyDescent="0.3">
      <c r="B323" s="21"/>
    </row>
    <row r="324" spans="2:2" x14ac:dyDescent="0.3">
      <c r="B324" s="21"/>
    </row>
    <row r="325" spans="2:2" x14ac:dyDescent="0.3">
      <c r="B325" s="21"/>
    </row>
    <row r="326" spans="2:2" x14ac:dyDescent="0.3">
      <c r="B326" s="21"/>
    </row>
    <row r="327" spans="2:2" x14ac:dyDescent="0.3">
      <c r="B327" s="21"/>
    </row>
    <row r="328" spans="2:2" x14ac:dyDescent="0.3">
      <c r="B328" s="21"/>
    </row>
    <row r="329" spans="2:2" x14ac:dyDescent="0.3">
      <c r="B329" s="21"/>
    </row>
    <row r="330" spans="2:2" x14ac:dyDescent="0.3">
      <c r="B330" s="21"/>
    </row>
    <row r="331" spans="2:2" x14ac:dyDescent="0.3">
      <c r="B331" s="21"/>
    </row>
    <row r="332" spans="2:2" x14ac:dyDescent="0.3">
      <c r="B332" s="21"/>
    </row>
    <row r="333" spans="2:2" x14ac:dyDescent="0.3">
      <c r="B333" s="21"/>
    </row>
    <row r="334" spans="2:2" x14ac:dyDescent="0.3">
      <c r="B334" s="21"/>
    </row>
    <row r="335" spans="2:2" x14ac:dyDescent="0.3">
      <c r="B335" s="21"/>
    </row>
    <row r="336" spans="2:2" x14ac:dyDescent="0.3">
      <c r="B336" s="21"/>
    </row>
    <row r="337" spans="2:2" x14ac:dyDescent="0.3">
      <c r="B337" s="21"/>
    </row>
    <row r="338" spans="2:2" x14ac:dyDescent="0.3">
      <c r="B338" s="21"/>
    </row>
    <row r="339" spans="2:2" x14ac:dyDescent="0.3">
      <c r="B339" s="21"/>
    </row>
    <row r="340" spans="2:2" x14ac:dyDescent="0.3">
      <c r="B340" s="21"/>
    </row>
    <row r="341" spans="2:2" x14ac:dyDescent="0.3">
      <c r="B341" s="21"/>
    </row>
    <row r="342" spans="2:2" x14ac:dyDescent="0.3">
      <c r="B342" s="21"/>
    </row>
    <row r="343" spans="2:2" x14ac:dyDescent="0.3">
      <c r="B343" s="21"/>
    </row>
    <row r="344" spans="2:2" x14ac:dyDescent="0.3">
      <c r="B344" s="21"/>
    </row>
    <row r="345" spans="2:2" x14ac:dyDescent="0.3">
      <c r="B345" s="21"/>
    </row>
    <row r="346" spans="2:2" x14ac:dyDescent="0.3">
      <c r="B346" s="21"/>
    </row>
    <row r="347" spans="2:2" x14ac:dyDescent="0.3">
      <c r="B347" s="21"/>
    </row>
    <row r="348" spans="2:2" x14ac:dyDescent="0.3">
      <c r="B348" s="21"/>
    </row>
    <row r="349" spans="2:2" x14ac:dyDescent="0.3">
      <c r="B349" s="21"/>
    </row>
    <row r="350" spans="2:2" x14ac:dyDescent="0.3">
      <c r="B350" s="21"/>
    </row>
    <row r="351" spans="2:2" x14ac:dyDescent="0.3">
      <c r="B351" s="21"/>
    </row>
    <row r="352" spans="2:2" x14ac:dyDescent="0.3">
      <c r="B352" s="21"/>
    </row>
    <row r="353" spans="2:2" x14ac:dyDescent="0.3">
      <c r="B353" s="21"/>
    </row>
    <row r="354" spans="2:2" x14ac:dyDescent="0.3">
      <c r="B354" s="21"/>
    </row>
    <row r="355" spans="2:2" x14ac:dyDescent="0.3">
      <c r="B355" s="21"/>
    </row>
    <row r="356" spans="2:2" x14ac:dyDescent="0.3">
      <c r="B356" s="21"/>
    </row>
    <row r="357" spans="2:2" x14ac:dyDescent="0.3">
      <c r="B357" s="21"/>
    </row>
    <row r="358" spans="2:2" x14ac:dyDescent="0.3">
      <c r="B358" s="21"/>
    </row>
    <row r="359" spans="2:2" x14ac:dyDescent="0.3">
      <c r="B359" s="21"/>
    </row>
    <row r="360" spans="2:2" x14ac:dyDescent="0.3">
      <c r="B360" s="21"/>
    </row>
    <row r="361" spans="2:2" x14ac:dyDescent="0.3">
      <c r="B361" s="21"/>
    </row>
    <row r="362" spans="2:2" x14ac:dyDescent="0.3">
      <c r="B362" s="21"/>
    </row>
    <row r="363" spans="2:2" x14ac:dyDescent="0.3">
      <c r="B363" s="21"/>
    </row>
    <row r="364" spans="2:2" x14ac:dyDescent="0.3">
      <c r="B364" s="21"/>
    </row>
    <row r="365" spans="2:2" x14ac:dyDescent="0.3">
      <c r="B365" s="21"/>
    </row>
    <row r="366" spans="2:2" x14ac:dyDescent="0.3">
      <c r="B366" s="21"/>
    </row>
    <row r="367" spans="2:2" x14ac:dyDescent="0.3">
      <c r="B367" s="21"/>
    </row>
    <row r="368" spans="2:2" x14ac:dyDescent="0.3">
      <c r="B368" s="21"/>
    </row>
    <row r="369" spans="2:2" x14ac:dyDescent="0.3">
      <c r="B369" s="21"/>
    </row>
    <row r="370" spans="2:2" x14ac:dyDescent="0.3">
      <c r="B370" s="21"/>
    </row>
    <row r="371" spans="2:2" x14ac:dyDescent="0.3">
      <c r="B371" s="21"/>
    </row>
    <row r="372" spans="2:2" x14ac:dyDescent="0.3">
      <c r="B372" s="21"/>
    </row>
    <row r="373" spans="2:2" x14ac:dyDescent="0.3">
      <c r="B373" s="21"/>
    </row>
    <row r="374" spans="2:2" x14ac:dyDescent="0.3">
      <c r="B374" s="21"/>
    </row>
    <row r="375" spans="2:2" x14ac:dyDescent="0.3">
      <c r="B375" s="21"/>
    </row>
    <row r="376" spans="2:2" x14ac:dyDescent="0.3">
      <c r="B376" s="21"/>
    </row>
    <row r="377" spans="2:2" x14ac:dyDescent="0.3">
      <c r="B377" s="21"/>
    </row>
    <row r="378" spans="2:2" x14ac:dyDescent="0.3">
      <c r="B378" s="21"/>
    </row>
    <row r="379" spans="2:2" x14ac:dyDescent="0.3">
      <c r="B379" s="21"/>
    </row>
    <row r="380" spans="2:2" x14ac:dyDescent="0.3">
      <c r="B380" s="21"/>
    </row>
    <row r="381" spans="2:2" x14ac:dyDescent="0.3">
      <c r="B381" s="21"/>
    </row>
    <row r="382" spans="2:2" x14ac:dyDescent="0.3">
      <c r="B382" s="21"/>
    </row>
    <row r="383" spans="2:2" x14ac:dyDescent="0.3">
      <c r="B383" s="21"/>
    </row>
    <row r="384" spans="2:2" x14ac:dyDescent="0.3">
      <c r="B384" s="21"/>
    </row>
    <row r="385" spans="2:2" x14ac:dyDescent="0.3">
      <c r="B385" s="21"/>
    </row>
    <row r="386" spans="2:2" x14ac:dyDescent="0.3">
      <c r="B386" s="21"/>
    </row>
    <row r="387" spans="2:2" x14ac:dyDescent="0.3">
      <c r="B387" s="21"/>
    </row>
    <row r="388" spans="2:2" x14ac:dyDescent="0.3">
      <c r="B388" s="21"/>
    </row>
    <row r="389" spans="2:2" x14ac:dyDescent="0.3">
      <c r="B389" s="21"/>
    </row>
    <row r="390" spans="2:2" x14ac:dyDescent="0.3">
      <c r="B390" s="21"/>
    </row>
    <row r="391" spans="2:2" x14ac:dyDescent="0.3">
      <c r="B391" s="21"/>
    </row>
    <row r="392" spans="2:2" x14ac:dyDescent="0.3">
      <c r="B392" s="21"/>
    </row>
    <row r="393" spans="2:2" x14ac:dyDescent="0.3">
      <c r="B393" s="21"/>
    </row>
    <row r="394" spans="2:2" x14ac:dyDescent="0.3">
      <c r="B394" s="21"/>
    </row>
    <row r="395" spans="2:2" x14ac:dyDescent="0.3">
      <c r="B395" s="21"/>
    </row>
    <row r="396" spans="2:2" x14ac:dyDescent="0.3">
      <c r="B396" s="21"/>
    </row>
    <row r="397" spans="2:2" x14ac:dyDescent="0.3">
      <c r="B397" s="21"/>
    </row>
    <row r="398" spans="2:2" x14ac:dyDescent="0.3">
      <c r="B398" s="21"/>
    </row>
    <row r="399" spans="2:2" x14ac:dyDescent="0.3">
      <c r="B399" s="21"/>
    </row>
    <row r="400" spans="2:2" x14ac:dyDescent="0.3">
      <c r="B400" s="21"/>
    </row>
    <row r="401" spans="2:2" x14ac:dyDescent="0.3">
      <c r="B401" s="21"/>
    </row>
    <row r="402" spans="2:2" x14ac:dyDescent="0.3">
      <c r="B402" s="21"/>
    </row>
    <row r="403" spans="2:2" x14ac:dyDescent="0.3">
      <c r="B403" s="21"/>
    </row>
    <row r="404" spans="2:2" x14ac:dyDescent="0.3">
      <c r="B404" s="21"/>
    </row>
    <row r="405" spans="2:2" x14ac:dyDescent="0.3">
      <c r="B405" s="21"/>
    </row>
    <row r="406" spans="2:2" x14ac:dyDescent="0.3">
      <c r="B406" s="21"/>
    </row>
    <row r="407" spans="2:2" x14ac:dyDescent="0.3">
      <c r="B407" s="21"/>
    </row>
    <row r="408" spans="2:2" x14ac:dyDescent="0.3">
      <c r="B408" s="21"/>
    </row>
    <row r="409" spans="2:2" x14ac:dyDescent="0.3">
      <c r="B409" s="21"/>
    </row>
    <row r="410" spans="2:2" x14ac:dyDescent="0.3">
      <c r="B410" s="21"/>
    </row>
    <row r="411" spans="2:2" x14ac:dyDescent="0.3">
      <c r="B411" s="21"/>
    </row>
    <row r="412" spans="2:2" x14ac:dyDescent="0.3">
      <c r="B412" s="21"/>
    </row>
    <row r="413" spans="2:2" x14ac:dyDescent="0.3">
      <c r="B413" s="21"/>
    </row>
    <row r="414" spans="2:2" x14ac:dyDescent="0.3">
      <c r="B414" s="21"/>
    </row>
    <row r="415" spans="2:2" x14ac:dyDescent="0.3">
      <c r="B415" s="21"/>
    </row>
    <row r="416" spans="2:2" x14ac:dyDescent="0.3">
      <c r="B416" s="21"/>
    </row>
    <row r="417" spans="2:2" x14ac:dyDescent="0.3">
      <c r="B417" s="21"/>
    </row>
    <row r="418" spans="2:2" x14ac:dyDescent="0.3">
      <c r="B418" s="21"/>
    </row>
    <row r="419" spans="2:2" x14ac:dyDescent="0.3">
      <c r="B419" s="21"/>
    </row>
    <row r="420" spans="2:2" x14ac:dyDescent="0.3">
      <c r="B420" s="21"/>
    </row>
    <row r="421" spans="2:2" x14ac:dyDescent="0.3">
      <c r="B421" s="21"/>
    </row>
    <row r="422" spans="2:2" x14ac:dyDescent="0.3">
      <c r="B422" s="21"/>
    </row>
    <row r="423" spans="2:2" x14ac:dyDescent="0.3">
      <c r="B423" s="21"/>
    </row>
    <row r="424" spans="2:2" x14ac:dyDescent="0.3">
      <c r="B424" s="21"/>
    </row>
    <row r="425" spans="2:2" x14ac:dyDescent="0.3">
      <c r="B425" s="21"/>
    </row>
    <row r="426" spans="2:2" x14ac:dyDescent="0.3">
      <c r="B426" s="21"/>
    </row>
    <row r="427" spans="2:2" x14ac:dyDescent="0.3">
      <c r="B427" s="21"/>
    </row>
    <row r="428" spans="2:2" x14ac:dyDescent="0.3">
      <c r="B428" s="21"/>
    </row>
    <row r="429" spans="2:2" x14ac:dyDescent="0.3">
      <c r="B429" s="21"/>
    </row>
    <row r="430" spans="2:2" x14ac:dyDescent="0.3">
      <c r="B430" s="21"/>
    </row>
    <row r="431" spans="2:2" x14ac:dyDescent="0.3">
      <c r="B431" s="21"/>
    </row>
    <row r="432" spans="2:2" x14ac:dyDescent="0.3">
      <c r="B432" s="21"/>
    </row>
    <row r="433" spans="2:2" x14ac:dyDescent="0.3">
      <c r="B433" s="21"/>
    </row>
    <row r="434" spans="2:2" x14ac:dyDescent="0.3">
      <c r="B434" s="21"/>
    </row>
    <row r="435" spans="2:2" x14ac:dyDescent="0.3">
      <c r="B435" s="21"/>
    </row>
    <row r="436" spans="2:2" x14ac:dyDescent="0.3">
      <c r="B436" s="21"/>
    </row>
    <row r="437" spans="2:2" x14ac:dyDescent="0.3">
      <c r="B437" s="21"/>
    </row>
    <row r="438" spans="2:2" x14ac:dyDescent="0.3">
      <c r="B438" s="21"/>
    </row>
    <row r="439" spans="2:2" x14ac:dyDescent="0.3">
      <c r="B439" s="21"/>
    </row>
    <row r="440" spans="2:2" x14ac:dyDescent="0.3">
      <c r="B440" s="21"/>
    </row>
    <row r="441" spans="2:2" x14ac:dyDescent="0.3">
      <c r="B441" s="21"/>
    </row>
    <row r="442" spans="2:2" x14ac:dyDescent="0.3">
      <c r="B442" s="21"/>
    </row>
    <row r="443" spans="2:2" x14ac:dyDescent="0.3">
      <c r="B443" s="21"/>
    </row>
    <row r="444" spans="2:2" x14ac:dyDescent="0.3">
      <c r="B444" s="21"/>
    </row>
    <row r="445" spans="2:2" x14ac:dyDescent="0.3">
      <c r="B445" s="21"/>
    </row>
    <row r="446" spans="2:2" x14ac:dyDescent="0.3">
      <c r="B446" s="21"/>
    </row>
    <row r="447" spans="2:2" x14ac:dyDescent="0.3">
      <c r="B447" s="21"/>
    </row>
    <row r="448" spans="2:2" x14ac:dyDescent="0.3">
      <c r="B448" s="21"/>
    </row>
    <row r="449" spans="2:2" x14ac:dyDescent="0.3">
      <c r="B449" s="21"/>
    </row>
    <row r="450" spans="2:2" x14ac:dyDescent="0.3">
      <c r="B450" s="21"/>
    </row>
    <row r="451" spans="2:2" x14ac:dyDescent="0.3">
      <c r="B451" s="21"/>
    </row>
    <row r="452" spans="2:2" x14ac:dyDescent="0.3">
      <c r="B452" s="21"/>
    </row>
    <row r="453" spans="2:2" x14ac:dyDescent="0.3">
      <c r="B453" s="21"/>
    </row>
    <row r="454" spans="2:2" x14ac:dyDescent="0.3">
      <c r="B454" s="21"/>
    </row>
    <row r="455" spans="2:2" x14ac:dyDescent="0.3">
      <c r="B455" s="21"/>
    </row>
    <row r="456" spans="2:2" x14ac:dyDescent="0.3">
      <c r="B456" s="21"/>
    </row>
    <row r="457" spans="2:2" x14ac:dyDescent="0.3">
      <c r="B457" s="21"/>
    </row>
    <row r="458" spans="2:2" x14ac:dyDescent="0.3">
      <c r="B458" s="21"/>
    </row>
    <row r="459" spans="2:2" x14ac:dyDescent="0.3">
      <c r="B459" s="21"/>
    </row>
    <row r="460" spans="2:2" x14ac:dyDescent="0.3">
      <c r="B460" s="21"/>
    </row>
    <row r="461" spans="2:2" x14ac:dyDescent="0.3">
      <c r="B461" s="21"/>
    </row>
    <row r="462" spans="2:2" x14ac:dyDescent="0.3">
      <c r="B462" s="21"/>
    </row>
    <row r="463" spans="2:2" x14ac:dyDescent="0.3">
      <c r="B463" s="21"/>
    </row>
    <row r="464" spans="2:2" x14ac:dyDescent="0.3">
      <c r="B464" s="21"/>
    </row>
    <row r="465" spans="2:2" x14ac:dyDescent="0.3">
      <c r="B465" s="21"/>
    </row>
    <row r="466" spans="2:2" x14ac:dyDescent="0.3">
      <c r="B466" s="21"/>
    </row>
    <row r="467" spans="2:2" x14ac:dyDescent="0.3">
      <c r="B467" s="21"/>
    </row>
    <row r="468" spans="2:2" x14ac:dyDescent="0.3">
      <c r="B468" s="21"/>
    </row>
    <row r="469" spans="2:2" x14ac:dyDescent="0.3">
      <c r="B469" s="21"/>
    </row>
    <row r="470" spans="2:2" x14ac:dyDescent="0.3">
      <c r="B470" s="21"/>
    </row>
    <row r="471" spans="2:2" x14ac:dyDescent="0.3">
      <c r="B471" s="21"/>
    </row>
    <row r="472" spans="2:2" x14ac:dyDescent="0.3">
      <c r="B472" s="21"/>
    </row>
    <row r="473" spans="2:2" x14ac:dyDescent="0.3">
      <c r="B473" s="21"/>
    </row>
    <row r="474" spans="2:2" x14ac:dyDescent="0.3">
      <c r="B474" s="21"/>
    </row>
    <row r="475" spans="2:2" x14ac:dyDescent="0.3">
      <c r="B475" s="21"/>
    </row>
    <row r="476" spans="2:2" x14ac:dyDescent="0.3">
      <c r="B476" s="21"/>
    </row>
    <row r="477" spans="2:2" x14ac:dyDescent="0.3">
      <c r="B477" s="21"/>
    </row>
    <row r="478" spans="2:2" x14ac:dyDescent="0.3">
      <c r="B478" s="21"/>
    </row>
    <row r="479" spans="2:2" x14ac:dyDescent="0.3">
      <c r="B479" s="21"/>
    </row>
    <row r="480" spans="2:2" x14ac:dyDescent="0.3">
      <c r="B480" s="21"/>
    </row>
    <row r="481" spans="2:2" x14ac:dyDescent="0.3">
      <c r="B481" s="21"/>
    </row>
    <row r="482" spans="2:2" x14ac:dyDescent="0.3">
      <c r="B482" s="21"/>
    </row>
    <row r="483" spans="2:2" x14ac:dyDescent="0.3">
      <c r="B483" s="21"/>
    </row>
    <row r="484" spans="2:2" x14ac:dyDescent="0.3">
      <c r="B484" s="21"/>
    </row>
    <row r="485" spans="2:2" x14ac:dyDescent="0.3">
      <c r="B485" s="21"/>
    </row>
    <row r="486" spans="2:2" x14ac:dyDescent="0.3">
      <c r="B486" s="21"/>
    </row>
    <row r="487" spans="2:2" x14ac:dyDescent="0.3">
      <c r="B487" s="21"/>
    </row>
    <row r="488" spans="2:2" x14ac:dyDescent="0.3">
      <c r="B488" s="21"/>
    </row>
    <row r="489" spans="2:2" x14ac:dyDescent="0.3">
      <c r="B489" s="21"/>
    </row>
    <row r="490" spans="2:2" x14ac:dyDescent="0.3">
      <c r="B490" s="21"/>
    </row>
    <row r="491" spans="2:2" x14ac:dyDescent="0.3">
      <c r="B491" s="21"/>
    </row>
    <row r="492" spans="2:2" x14ac:dyDescent="0.3">
      <c r="B492" s="21"/>
    </row>
    <row r="493" spans="2:2" x14ac:dyDescent="0.3">
      <c r="B493" s="21"/>
    </row>
    <row r="494" spans="2:2" x14ac:dyDescent="0.3">
      <c r="B494" s="21"/>
    </row>
    <row r="495" spans="2:2" x14ac:dyDescent="0.3">
      <c r="B495" s="21"/>
    </row>
    <row r="496" spans="2:2" x14ac:dyDescent="0.3">
      <c r="B496" s="21"/>
    </row>
    <row r="497" spans="2:2" x14ac:dyDescent="0.3">
      <c r="B497" s="21"/>
    </row>
    <row r="498" spans="2:2" x14ac:dyDescent="0.3">
      <c r="B498" s="21"/>
    </row>
    <row r="499" spans="2:2" x14ac:dyDescent="0.3">
      <c r="B499" s="21"/>
    </row>
    <row r="500" spans="2:2" x14ac:dyDescent="0.3">
      <c r="B500" s="21"/>
    </row>
  </sheetData>
  <mergeCells count="4">
    <mergeCell ref="D1:J1"/>
    <mergeCell ref="L1:R1"/>
    <mergeCell ref="T1:Z1"/>
    <mergeCell ref="AB1:A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EE777-1462-451B-BC7F-F815959737B5}">
  <dimension ref="A1:G31"/>
  <sheetViews>
    <sheetView workbookViewId="0"/>
  </sheetViews>
  <sheetFormatPr defaultColWidth="23.08203125" defaultRowHeight="12.45" x14ac:dyDescent="0.3"/>
  <cols>
    <col min="1" max="16384" width="23.08203125" style="4"/>
  </cols>
  <sheetData>
    <row r="1" spans="1:7" x14ac:dyDescent="0.3">
      <c r="A1" s="36" t="s">
        <v>1491</v>
      </c>
      <c r="B1" s="12" t="s">
        <v>0</v>
      </c>
    </row>
    <row r="2" spans="1:7" x14ac:dyDescent="0.3">
      <c r="A2" s="12"/>
      <c r="B2" s="12"/>
      <c r="C2" s="15"/>
      <c r="D2" s="37" t="s">
        <v>1474</v>
      </c>
      <c r="E2" s="13" t="s">
        <v>1669</v>
      </c>
      <c r="F2" s="13" t="s">
        <v>1662</v>
      </c>
      <c r="G2" s="13" t="s">
        <v>1655</v>
      </c>
    </row>
    <row r="3" spans="1:7" x14ac:dyDescent="0.3">
      <c r="A3" s="16">
        <v>119</v>
      </c>
      <c r="B3" s="18" t="s">
        <v>708</v>
      </c>
      <c r="C3" s="17"/>
      <c r="D3" s="38">
        <v>0.92401237277134796</v>
      </c>
      <c r="E3" s="15">
        <v>0</v>
      </c>
      <c r="F3" s="15">
        <v>1</v>
      </c>
      <c r="G3" s="17" t="s">
        <v>1670</v>
      </c>
    </row>
    <row r="4" spans="1:7" x14ac:dyDescent="0.3">
      <c r="A4" s="16">
        <v>17</v>
      </c>
      <c r="B4" s="16" t="s">
        <v>814</v>
      </c>
      <c r="C4" s="17"/>
      <c r="D4" s="38">
        <v>0.89775938007718703</v>
      </c>
      <c r="E4" s="15">
        <v>1</v>
      </c>
      <c r="F4" s="15">
        <v>0</v>
      </c>
      <c r="G4" s="17" t="s">
        <v>1656</v>
      </c>
    </row>
    <row r="5" spans="1:7" x14ac:dyDescent="0.3">
      <c r="A5" s="16">
        <v>33</v>
      </c>
      <c r="B5" s="16" t="s">
        <v>774</v>
      </c>
      <c r="C5" s="17"/>
      <c r="D5" s="38">
        <v>0.76367752666337096</v>
      </c>
      <c r="E5" s="15">
        <v>0</v>
      </c>
      <c r="F5" s="15">
        <v>1</v>
      </c>
      <c r="G5" s="17" t="s">
        <v>1671</v>
      </c>
    </row>
    <row r="6" spans="1:7" x14ac:dyDescent="0.3">
      <c r="A6" s="9">
        <v>144</v>
      </c>
      <c r="B6" s="10" t="s">
        <v>1586</v>
      </c>
      <c r="C6" s="17"/>
      <c r="D6" s="38">
        <v>0.75563675626170401</v>
      </c>
      <c r="E6" s="15">
        <v>0</v>
      </c>
      <c r="F6" s="15">
        <v>1</v>
      </c>
      <c r="G6" s="17" t="s">
        <v>1657</v>
      </c>
    </row>
    <row r="7" spans="1:7" x14ac:dyDescent="0.3">
      <c r="A7" s="16">
        <v>51</v>
      </c>
      <c r="B7" s="16" t="s">
        <v>765</v>
      </c>
      <c r="C7" s="17"/>
      <c r="D7" s="38">
        <v>0.63052828875546296</v>
      </c>
      <c r="E7" s="15">
        <v>0</v>
      </c>
      <c r="F7" s="15">
        <v>0</v>
      </c>
      <c r="G7" s="17" t="s">
        <v>1656</v>
      </c>
    </row>
    <row r="8" spans="1:7" x14ac:dyDescent="0.3">
      <c r="A8" s="16">
        <v>110</v>
      </c>
      <c r="B8" s="16" t="s">
        <v>584</v>
      </c>
      <c r="C8" s="17"/>
      <c r="D8" s="38">
        <v>0.54772255750516596</v>
      </c>
      <c r="E8" s="35">
        <v>1</v>
      </c>
      <c r="F8" s="15">
        <v>0</v>
      </c>
      <c r="G8" s="17" t="s">
        <v>1656</v>
      </c>
    </row>
    <row r="9" spans="1:7" x14ac:dyDescent="0.3">
      <c r="A9" s="16">
        <v>42</v>
      </c>
      <c r="B9" s="16" t="s">
        <v>575</v>
      </c>
      <c r="C9" s="17"/>
      <c r="D9" s="38">
        <v>0.48849066784098799</v>
      </c>
      <c r="E9" s="35">
        <v>1</v>
      </c>
      <c r="F9" s="15">
        <v>0</v>
      </c>
      <c r="G9" s="17" t="s">
        <v>1656</v>
      </c>
    </row>
    <row r="10" spans="1:7" x14ac:dyDescent="0.3">
      <c r="A10" s="16">
        <v>113</v>
      </c>
      <c r="B10" s="18" t="s">
        <v>806</v>
      </c>
      <c r="C10" s="17"/>
      <c r="D10" s="38">
        <v>0.44357885076002601</v>
      </c>
      <c r="E10" s="15">
        <v>1</v>
      </c>
      <c r="F10" s="15">
        <v>1</v>
      </c>
      <c r="G10" s="35" t="s">
        <v>1658</v>
      </c>
    </row>
    <row r="11" spans="1:7" x14ac:dyDescent="0.3">
      <c r="A11" s="16">
        <v>141</v>
      </c>
      <c r="B11" s="18" t="s">
        <v>1258</v>
      </c>
      <c r="C11" s="17"/>
      <c r="D11" s="38">
        <v>0.34268308220336402</v>
      </c>
      <c r="E11" s="15">
        <v>1</v>
      </c>
      <c r="F11" s="15">
        <v>0</v>
      </c>
      <c r="G11" s="35" t="s">
        <v>1663</v>
      </c>
    </row>
    <row r="12" spans="1:7" x14ac:dyDescent="0.3">
      <c r="A12" s="16">
        <v>134</v>
      </c>
      <c r="B12" s="18" t="s">
        <v>930</v>
      </c>
      <c r="C12" s="17"/>
      <c r="D12" s="38">
        <v>0.29106872893940999</v>
      </c>
      <c r="E12" s="35">
        <v>1</v>
      </c>
      <c r="F12" s="15">
        <v>0</v>
      </c>
      <c r="G12" s="17" t="s">
        <v>1656</v>
      </c>
    </row>
    <row r="13" spans="1:7" x14ac:dyDescent="0.3">
      <c r="A13" s="16">
        <v>116</v>
      </c>
      <c r="B13" s="18" t="s">
        <v>1240</v>
      </c>
      <c r="C13" s="17"/>
      <c r="D13" s="38">
        <v>0.20030536987863201</v>
      </c>
      <c r="E13" s="35">
        <v>1</v>
      </c>
      <c r="F13" s="15">
        <v>0</v>
      </c>
      <c r="G13" s="17" t="s">
        <v>1656</v>
      </c>
    </row>
    <row r="14" spans="1:7" x14ac:dyDescent="0.3">
      <c r="A14" s="16">
        <v>122</v>
      </c>
      <c r="B14" s="18" t="s">
        <v>736</v>
      </c>
      <c r="C14" s="17"/>
      <c r="D14" s="38">
        <v>0.182176167846133</v>
      </c>
      <c r="E14" s="35">
        <v>1</v>
      </c>
      <c r="F14" s="15">
        <v>0</v>
      </c>
      <c r="G14" s="17" t="s">
        <v>1656</v>
      </c>
    </row>
    <row r="15" spans="1:7" x14ac:dyDescent="0.3">
      <c r="A15" s="16">
        <v>16</v>
      </c>
      <c r="B15" s="18" t="s">
        <v>782</v>
      </c>
      <c r="C15" s="17"/>
      <c r="D15" s="38">
        <v>0.168716725585771</v>
      </c>
      <c r="E15" s="35">
        <v>1</v>
      </c>
      <c r="F15" s="15">
        <v>0</v>
      </c>
      <c r="G15" s="17" t="s">
        <v>1656</v>
      </c>
    </row>
    <row r="16" spans="1:7" x14ac:dyDescent="0.3">
      <c r="A16" s="16">
        <v>106</v>
      </c>
      <c r="B16" s="16" t="s">
        <v>583</v>
      </c>
      <c r="C16" s="17"/>
      <c r="D16" s="38">
        <v>6.0003705368842898E-2</v>
      </c>
      <c r="E16" s="15">
        <v>2</v>
      </c>
      <c r="F16" s="15">
        <v>2</v>
      </c>
      <c r="G16" s="17" t="s">
        <v>1664</v>
      </c>
    </row>
    <row r="17" spans="1:7" x14ac:dyDescent="0.3">
      <c r="A17" s="16">
        <v>43</v>
      </c>
      <c r="B17" s="16" t="s">
        <v>839</v>
      </c>
      <c r="C17" s="17"/>
      <c r="D17" s="38">
        <v>5.7995354070893498E-2</v>
      </c>
      <c r="E17" s="15">
        <v>1</v>
      </c>
      <c r="F17" s="15">
        <v>0</v>
      </c>
      <c r="G17" s="17" t="s">
        <v>1656</v>
      </c>
    </row>
    <row r="18" spans="1:7" x14ac:dyDescent="0.3">
      <c r="A18" s="16">
        <v>92</v>
      </c>
      <c r="B18" s="16" t="s">
        <v>820</v>
      </c>
      <c r="C18" s="17"/>
      <c r="D18" s="38">
        <v>4.8017483407116701E-2</v>
      </c>
      <c r="E18" s="15">
        <v>1</v>
      </c>
      <c r="F18" s="15">
        <v>2</v>
      </c>
      <c r="G18" s="17" t="s">
        <v>1665</v>
      </c>
    </row>
    <row r="19" spans="1:7" x14ac:dyDescent="0.3">
      <c r="A19" s="9">
        <v>145</v>
      </c>
      <c r="B19" s="10" t="s">
        <v>1596</v>
      </c>
      <c r="C19" s="17"/>
      <c r="D19" s="38">
        <v>-3.0038084302571001E-3</v>
      </c>
      <c r="E19" s="15">
        <v>0</v>
      </c>
      <c r="F19" s="15">
        <v>1</v>
      </c>
      <c r="G19" s="17" t="s">
        <v>1659</v>
      </c>
    </row>
    <row r="20" spans="1:7" x14ac:dyDescent="0.3">
      <c r="A20" s="16">
        <v>114</v>
      </c>
      <c r="B20" s="18" t="s">
        <v>822</v>
      </c>
      <c r="C20" s="17"/>
      <c r="D20" s="38">
        <v>-1.86110440569629E-2</v>
      </c>
      <c r="E20" s="15">
        <v>0</v>
      </c>
      <c r="F20" s="15">
        <v>0</v>
      </c>
      <c r="G20" s="17" t="s">
        <v>1666</v>
      </c>
    </row>
    <row r="21" spans="1:7" x14ac:dyDescent="0.3">
      <c r="A21" s="16">
        <v>102</v>
      </c>
      <c r="B21" s="18" t="s">
        <v>837</v>
      </c>
      <c r="C21" s="17"/>
      <c r="D21" s="38">
        <v>-6.7419986246324004E-2</v>
      </c>
      <c r="E21" s="15">
        <v>1</v>
      </c>
      <c r="F21" s="15">
        <v>0</v>
      </c>
      <c r="G21" s="17" t="s">
        <v>1656</v>
      </c>
    </row>
    <row r="22" spans="1:7" x14ac:dyDescent="0.3">
      <c r="A22" s="16">
        <v>14</v>
      </c>
      <c r="B22" s="16" t="s">
        <v>832</v>
      </c>
      <c r="C22" s="17"/>
      <c r="D22" s="38">
        <v>-7.1629028122132093E-2</v>
      </c>
      <c r="E22" s="15">
        <v>1</v>
      </c>
      <c r="F22" s="15">
        <v>0</v>
      </c>
      <c r="G22" s="17" t="s">
        <v>1656</v>
      </c>
    </row>
    <row r="23" spans="1:7" x14ac:dyDescent="0.3">
      <c r="A23" s="16">
        <v>112</v>
      </c>
      <c r="B23" s="18" t="s">
        <v>806</v>
      </c>
      <c r="C23" s="17"/>
      <c r="D23" s="38">
        <v>-0.14529131777498</v>
      </c>
      <c r="E23" s="15">
        <v>1</v>
      </c>
      <c r="F23" s="15">
        <v>1</v>
      </c>
      <c r="G23" s="35" t="s">
        <v>1658</v>
      </c>
    </row>
    <row r="24" spans="1:7" x14ac:dyDescent="0.3">
      <c r="A24" s="16">
        <v>60</v>
      </c>
      <c r="B24" s="18" t="s">
        <v>830</v>
      </c>
      <c r="C24" s="17"/>
      <c r="D24" s="38">
        <v>-0.15952546884943</v>
      </c>
      <c r="E24" s="15">
        <v>1</v>
      </c>
      <c r="F24" s="15">
        <v>0</v>
      </c>
      <c r="G24" s="17" t="s">
        <v>1667</v>
      </c>
    </row>
    <row r="25" spans="1:7" x14ac:dyDescent="0.3">
      <c r="A25" s="16">
        <v>63</v>
      </c>
      <c r="B25" s="16" t="s">
        <v>739</v>
      </c>
      <c r="C25" s="17"/>
      <c r="D25" s="38">
        <v>-0.195364265369976</v>
      </c>
      <c r="E25" s="15">
        <v>1</v>
      </c>
      <c r="F25" s="15">
        <v>0</v>
      </c>
      <c r="G25" s="17" t="s">
        <v>1656</v>
      </c>
    </row>
    <row r="26" spans="1:7" x14ac:dyDescent="0.3">
      <c r="A26" s="16">
        <v>34</v>
      </c>
      <c r="B26" s="16" t="s">
        <v>781</v>
      </c>
      <c r="C26" s="17"/>
      <c r="D26" s="38">
        <v>-0.20283861915559501</v>
      </c>
      <c r="E26" s="15">
        <v>1</v>
      </c>
      <c r="F26" s="15">
        <v>1</v>
      </c>
      <c r="G26" s="17" t="s">
        <v>1660</v>
      </c>
    </row>
    <row r="27" spans="1:7" x14ac:dyDescent="0.3">
      <c r="A27" s="16">
        <v>133</v>
      </c>
      <c r="B27" s="18" t="s">
        <v>928</v>
      </c>
      <c r="C27" s="17"/>
      <c r="D27" s="38">
        <v>-0.23045241359398699</v>
      </c>
      <c r="E27" s="15">
        <v>0</v>
      </c>
      <c r="F27" s="15">
        <v>0</v>
      </c>
      <c r="G27" s="17" t="s">
        <v>1666</v>
      </c>
    </row>
    <row r="28" spans="1:7" x14ac:dyDescent="0.3">
      <c r="A28" s="16">
        <v>99</v>
      </c>
      <c r="B28" s="16" t="s">
        <v>826</v>
      </c>
      <c r="C28" s="17"/>
      <c r="D28" s="38">
        <v>-0.38057950917536798</v>
      </c>
      <c r="E28" s="15">
        <v>1</v>
      </c>
      <c r="F28" s="15">
        <v>0</v>
      </c>
      <c r="G28" s="17" t="s">
        <v>1661</v>
      </c>
    </row>
    <row r="29" spans="1:7" x14ac:dyDescent="0.3">
      <c r="D29" s="3"/>
      <c r="E29" s="3"/>
      <c r="F29" s="3"/>
    </row>
    <row r="30" spans="1:7" x14ac:dyDescent="0.3">
      <c r="C30" s="39" t="s">
        <v>1668</v>
      </c>
      <c r="D30" s="38"/>
      <c r="E30" s="3">
        <f>COUNTIF(E3:E28,0)</f>
        <v>7</v>
      </c>
      <c r="F30" s="3">
        <f>COUNTIF(F3:F28,0)</f>
        <v>17</v>
      </c>
    </row>
    <row r="31" spans="1:7" x14ac:dyDescent="0.3">
      <c r="D31" s="38"/>
      <c r="E31" s="3">
        <f>COUNTIF(E3:E28,1)</f>
        <v>18</v>
      </c>
      <c r="F31" s="3">
        <f>COUNTIF(F3:F28,1)</f>
        <v>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82A12-6D11-497C-BF99-8BA5E7C4F378}">
  <sheetPr codeName="Sheet6"/>
  <dimension ref="A1:A3"/>
  <sheetViews>
    <sheetView workbookViewId="0"/>
  </sheetViews>
  <sheetFormatPr defaultColWidth="8.6640625" defaultRowHeight="14.15" x14ac:dyDescent="0.35"/>
  <cols>
    <col min="1" max="16384" width="8.6640625" style="22"/>
  </cols>
  <sheetData>
    <row r="1" spans="1:1" x14ac:dyDescent="0.35">
      <c r="A1" s="4" t="s">
        <v>1566</v>
      </c>
    </row>
    <row r="2" spans="1:1" x14ac:dyDescent="0.35">
      <c r="A2" s="23" t="s">
        <v>1627</v>
      </c>
    </row>
    <row r="3" spans="1:1" x14ac:dyDescent="0.35">
      <c r="A3" s="23" t="s">
        <v>1628</v>
      </c>
    </row>
  </sheetData>
  <hyperlinks>
    <hyperlink ref="A2" r:id="rId1" xr:uid="{097ABF53-9C2E-47AC-A1C6-50673A810AB3}"/>
    <hyperlink ref="A3" r:id="rId2" xr:uid="{70080BE8-7EB1-4619-9D8E-1DED89FAED7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Included</vt:lpstr>
      <vt:lpstr>Excluded</vt:lpstr>
      <vt:lpstr>Communication</vt:lpstr>
      <vt:lpstr>Per study</vt:lpstr>
      <vt:lpstr>Virtual Interfaces - extra info</vt:lpstr>
      <vt:lpstr>Citation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Joost de Winter</dc:creator>
  <cp:lastModifiedBy>Dimitra Dodou</cp:lastModifiedBy>
  <cp:lastPrinted>2024-08-15T09:08:24Z</cp:lastPrinted>
  <dcterms:created xsi:type="dcterms:W3CDTF">2024-06-13T12:46:05Z</dcterms:created>
  <dcterms:modified xsi:type="dcterms:W3CDTF">2024-10-05T12:36:43Z</dcterms:modified>
</cp:coreProperties>
</file>