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ddodo\Replication Dropbox\D. Dodou\ChatGPT - onderwijsdag\Supplementary Material\"/>
    </mc:Choice>
  </mc:AlternateContent>
  <xr:revisionPtr revIDLastSave="0" documentId="13_ncr:1_{2634B992-4C07-4843-A9FB-91D5B2242D61}" xr6:coauthVersionLast="47" xr6:coauthVersionMax="47" xr10:uidLastSave="{00000000-0000-0000-0000-000000000000}"/>
  <bookViews>
    <workbookView xWindow="-110" yWindow="-110" windowWidth="25820" windowHeight="13900" xr2:uid="{70593686-2D4B-46E3-8BD4-B9838E17BC82}"/>
  </bookViews>
  <sheets>
    <sheet name="Table 1 (as in paper, 1 Oct)" sheetId="4" r:id="rId1"/>
    <sheet name="Table 1 (update 25 Nov)" sheetId="6" r:id="rId2"/>
    <sheet name="Other publishers (1 Oct)" sheetId="5" r:id="rId3"/>
    <sheet name="Other publishers (25 Nov)" sheetId="7" r:id="rId4"/>
    <sheet name="Figure 1 (as in paper, 23 Sep)" sheetId="8" r:id="rId5"/>
    <sheet name="Figure 1 (update 25 Nov)" sheetId="9"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6" l="1"/>
  <c r="E14" i="6"/>
  <c r="F14" i="6"/>
  <c r="G14" i="6"/>
  <c r="H14" i="6"/>
  <c r="Y20" i="9"/>
  <c r="X20" i="9"/>
  <c r="W20" i="9"/>
  <c r="V20" i="9"/>
  <c r="U20" i="9"/>
  <c r="T20" i="9"/>
  <c r="S20" i="9"/>
  <c r="R20" i="9"/>
  <c r="Q20" i="9"/>
  <c r="P20" i="9"/>
  <c r="O20" i="9"/>
  <c r="Y30" i="9"/>
  <c r="X30" i="9"/>
  <c r="W30" i="9"/>
  <c r="V30" i="9"/>
  <c r="U30" i="9"/>
  <c r="T30" i="9"/>
  <c r="S30" i="9"/>
  <c r="R30" i="9"/>
  <c r="Q30" i="9"/>
  <c r="P30" i="9"/>
  <c r="O30" i="9"/>
  <c r="Y29" i="9"/>
  <c r="X29" i="9"/>
  <c r="W29" i="9"/>
  <c r="V29" i="9"/>
  <c r="U29" i="9"/>
  <c r="T29" i="9"/>
  <c r="S29" i="9"/>
  <c r="R29" i="9"/>
  <c r="Q29" i="9"/>
  <c r="P29" i="9"/>
  <c r="O29" i="9"/>
  <c r="Y28" i="9"/>
  <c r="X28" i="9"/>
  <c r="W28" i="9"/>
  <c r="V28" i="9"/>
  <c r="U28" i="9"/>
  <c r="T28" i="9"/>
  <c r="S28" i="9"/>
  <c r="R28" i="9"/>
  <c r="Q28" i="9"/>
  <c r="P28" i="9"/>
  <c r="O28" i="9"/>
  <c r="Y27" i="9"/>
  <c r="X27" i="9"/>
  <c r="W27" i="9"/>
  <c r="V27" i="9"/>
  <c r="U27" i="9"/>
  <c r="T27" i="9"/>
  <c r="S27" i="9"/>
  <c r="R27" i="9"/>
  <c r="Q27" i="9"/>
  <c r="P27" i="9"/>
  <c r="O27" i="9"/>
  <c r="Y26" i="9"/>
  <c r="X26" i="9"/>
  <c r="W26" i="9"/>
  <c r="V26" i="9"/>
  <c r="U26" i="9"/>
  <c r="T26" i="9"/>
  <c r="S26" i="9"/>
  <c r="R26" i="9"/>
  <c r="Q26" i="9"/>
  <c r="P26" i="9"/>
  <c r="O26" i="9"/>
  <c r="Y25" i="9"/>
  <c r="X25" i="9"/>
  <c r="W25" i="9"/>
  <c r="V25" i="9"/>
  <c r="U25" i="9"/>
  <c r="T25" i="9"/>
  <c r="S25" i="9"/>
  <c r="R25" i="9"/>
  <c r="Q25" i="9"/>
  <c r="P25" i="9"/>
  <c r="O25" i="9"/>
  <c r="Y24" i="9"/>
  <c r="X24" i="9"/>
  <c r="W24" i="9"/>
  <c r="V24" i="9"/>
  <c r="U24" i="9"/>
  <c r="T24" i="9"/>
  <c r="S24" i="9"/>
  <c r="R24" i="9"/>
  <c r="Q24" i="9"/>
  <c r="P24" i="9"/>
  <c r="O24" i="9"/>
  <c r="Y23" i="9"/>
  <c r="X23" i="9"/>
  <c r="W23" i="9"/>
  <c r="V23" i="9"/>
  <c r="U23" i="9"/>
  <c r="T23" i="9"/>
  <c r="S23" i="9"/>
  <c r="R23" i="9"/>
  <c r="Q23" i="9"/>
  <c r="P23" i="9"/>
  <c r="O23" i="9"/>
  <c r="Y22" i="9"/>
  <c r="X22" i="9"/>
  <c r="W22" i="9"/>
  <c r="V22" i="9"/>
  <c r="U22" i="9"/>
  <c r="T22" i="9"/>
  <c r="S22" i="9"/>
  <c r="R22" i="9"/>
  <c r="Q22" i="9"/>
  <c r="P22" i="9"/>
  <c r="O22" i="9"/>
  <c r="Y21" i="9"/>
  <c r="X21" i="9"/>
  <c r="W21" i="9"/>
  <c r="V21" i="9"/>
  <c r="U21" i="9"/>
  <c r="T21" i="9"/>
  <c r="S21" i="9"/>
  <c r="R21" i="9"/>
  <c r="Q21" i="9"/>
  <c r="P21" i="9"/>
  <c r="O21" i="9"/>
  <c r="Y19" i="9"/>
  <c r="X19" i="9"/>
  <c r="W19" i="9"/>
  <c r="V19" i="9"/>
  <c r="U19" i="9"/>
  <c r="T19" i="9"/>
  <c r="S19" i="9"/>
  <c r="R19" i="9"/>
  <c r="Q19" i="9"/>
  <c r="P19" i="9"/>
  <c r="O19" i="9"/>
  <c r="Y18" i="9"/>
  <c r="X18" i="9"/>
  <c r="W18" i="9"/>
  <c r="V18" i="9"/>
  <c r="U18" i="9"/>
  <c r="T18" i="9"/>
  <c r="S18" i="9"/>
  <c r="R18" i="9"/>
  <c r="Q18" i="9"/>
  <c r="P18" i="9"/>
  <c r="O18" i="9"/>
  <c r="Y17" i="9"/>
  <c r="X17" i="9"/>
  <c r="W17" i="9"/>
  <c r="V17" i="9"/>
  <c r="U17" i="9"/>
  <c r="T17" i="9"/>
  <c r="S17" i="9"/>
  <c r="R17" i="9"/>
  <c r="Q17" i="9"/>
  <c r="P17" i="9"/>
  <c r="O17" i="9"/>
  <c r="Y16" i="9"/>
  <c r="X16" i="9"/>
  <c r="W16" i="9"/>
  <c r="V16" i="9"/>
  <c r="U16" i="9"/>
  <c r="T16" i="9"/>
  <c r="S16" i="9"/>
  <c r="R16" i="9"/>
  <c r="Q16" i="9"/>
  <c r="P16" i="9"/>
  <c r="O16" i="9"/>
  <c r="Y15" i="9"/>
  <c r="X15" i="9"/>
  <c r="W15" i="9"/>
  <c r="V15" i="9"/>
  <c r="U15" i="9"/>
  <c r="T15" i="9"/>
  <c r="S15" i="9"/>
  <c r="R15" i="9"/>
  <c r="Q15" i="9"/>
  <c r="P15" i="9"/>
  <c r="O15" i="9"/>
  <c r="Y14" i="9"/>
  <c r="X14" i="9"/>
  <c r="W14" i="9"/>
  <c r="V14" i="9"/>
  <c r="U14" i="9"/>
  <c r="T14" i="9"/>
  <c r="S14" i="9"/>
  <c r="R14" i="9"/>
  <c r="Q14" i="9"/>
  <c r="P14" i="9"/>
  <c r="O14" i="9"/>
  <c r="Y13" i="9"/>
  <c r="X13" i="9"/>
  <c r="W13" i="9"/>
  <c r="V13" i="9"/>
  <c r="U13" i="9"/>
  <c r="T13" i="9"/>
  <c r="S13" i="9"/>
  <c r="R13" i="9"/>
  <c r="Q13" i="9"/>
  <c r="P13" i="9"/>
  <c r="O13" i="9"/>
  <c r="Y12" i="9"/>
  <c r="X12" i="9"/>
  <c r="W12" i="9"/>
  <c r="V12" i="9"/>
  <c r="U12" i="9"/>
  <c r="T12" i="9"/>
  <c r="S12" i="9"/>
  <c r="R12" i="9"/>
  <c r="Q12" i="9"/>
  <c r="P12" i="9"/>
  <c r="O12" i="9"/>
  <c r="Y11" i="9"/>
  <c r="X11" i="9"/>
  <c r="W11" i="9"/>
  <c r="V11" i="9"/>
  <c r="U11" i="9"/>
  <c r="T11" i="9"/>
  <c r="S11" i="9"/>
  <c r="R11" i="9"/>
  <c r="Q11" i="9"/>
  <c r="P11" i="9"/>
  <c r="O11" i="9"/>
  <c r="Y10" i="9"/>
  <c r="X10" i="9"/>
  <c r="W10" i="9"/>
  <c r="V10" i="9"/>
  <c r="U10" i="9"/>
  <c r="T10" i="9"/>
  <c r="S10" i="9"/>
  <c r="R10" i="9"/>
  <c r="Q10" i="9"/>
  <c r="P10" i="9"/>
  <c r="O10" i="9"/>
  <c r="Y9" i="9"/>
  <c r="X9" i="9"/>
  <c r="W9" i="9"/>
  <c r="V9" i="9"/>
  <c r="U9" i="9"/>
  <c r="T9" i="9"/>
  <c r="S9" i="9"/>
  <c r="R9" i="9"/>
  <c r="Q9" i="9"/>
  <c r="P9" i="9"/>
  <c r="O9" i="9"/>
  <c r="Y8" i="9"/>
  <c r="X8" i="9"/>
  <c r="W8" i="9"/>
  <c r="V8" i="9"/>
  <c r="U8" i="9"/>
  <c r="T8" i="9"/>
  <c r="S8" i="9"/>
  <c r="R8" i="9"/>
  <c r="Q8" i="9"/>
  <c r="P8" i="9"/>
  <c r="O8" i="9"/>
  <c r="Y7" i="9"/>
  <c r="X7" i="9"/>
  <c r="W7" i="9"/>
  <c r="V7" i="9"/>
  <c r="U7" i="9"/>
  <c r="T7" i="9"/>
  <c r="S7" i="9"/>
  <c r="R7" i="9"/>
  <c r="Q7" i="9"/>
  <c r="P7" i="9"/>
  <c r="O7" i="9"/>
  <c r="Y6" i="9"/>
  <c r="X6" i="9"/>
  <c r="W6" i="9"/>
  <c r="V6" i="9"/>
  <c r="U6" i="9"/>
  <c r="T6" i="9"/>
  <c r="S6" i="9"/>
  <c r="R6" i="9"/>
  <c r="Q6" i="9"/>
  <c r="P6" i="9"/>
  <c r="O6" i="9"/>
  <c r="Y30" i="8"/>
  <c r="X30" i="8"/>
  <c r="W30" i="8"/>
  <c r="V30" i="8"/>
  <c r="U30" i="8"/>
  <c r="T30" i="8"/>
  <c r="S30" i="8"/>
  <c r="R30" i="8"/>
  <c r="Q30" i="8"/>
  <c r="P30" i="8"/>
  <c r="O30" i="8"/>
  <c r="Y29" i="8"/>
  <c r="X29" i="8"/>
  <c r="W29" i="8"/>
  <c r="V29" i="8"/>
  <c r="U29" i="8"/>
  <c r="T29" i="8"/>
  <c r="S29" i="8"/>
  <c r="R29" i="8"/>
  <c r="Q29" i="8"/>
  <c r="P29" i="8"/>
  <c r="O29" i="8"/>
  <c r="Y28" i="8"/>
  <c r="X28" i="8"/>
  <c r="W28" i="8"/>
  <c r="V28" i="8"/>
  <c r="U28" i="8"/>
  <c r="T28" i="8"/>
  <c r="S28" i="8"/>
  <c r="R28" i="8"/>
  <c r="Q28" i="8"/>
  <c r="P28" i="8"/>
  <c r="O28" i="8"/>
  <c r="Y27" i="8"/>
  <c r="X27" i="8"/>
  <c r="W27" i="8"/>
  <c r="V27" i="8"/>
  <c r="U27" i="8"/>
  <c r="T27" i="8"/>
  <c r="S27" i="8"/>
  <c r="R27" i="8"/>
  <c r="Q27" i="8"/>
  <c r="P27" i="8"/>
  <c r="O27" i="8"/>
  <c r="Y26" i="8"/>
  <c r="X26" i="8"/>
  <c r="W26" i="8"/>
  <c r="V26" i="8"/>
  <c r="U26" i="8"/>
  <c r="T26" i="8"/>
  <c r="S26" i="8"/>
  <c r="R26" i="8"/>
  <c r="Q26" i="8"/>
  <c r="P26" i="8"/>
  <c r="O26" i="8"/>
  <c r="Y25" i="8"/>
  <c r="X25" i="8"/>
  <c r="W25" i="8"/>
  <c r="V25" i="8"/>
  <c r="U25" i="8"/>
  <c r="T25" i="8"/>
  <c r="S25" i="8"/>
  <c r="R25" i="8"/>
  <c r="Q25" i="8"/>
  <c r="P25" i="8"/>
  <c r="O25" i="8"/>
  <c r="Y24" i="8"/>
  <c r="X24" i="8"/>
  <c r="W24" i="8"/>
  <c r="V24" i="8"/>
  <c r="U24" i="8"/>
  <c r="T24" i="8"/>
  <c r="S24" i="8"/>
  <c r="R24" i="8"/>
  <c r="Q24" i="8"/>
  <c r="P24" i="8"/>
  <c r="O24" i="8"/>
  <c r="Y23" i="8"/>
  <c r="X23" i="8"/>
  <c r="W23" i="8"/>
  <c r="V23" i="8"/>
  <c r="U23" i="8"/>
  <c r="T23" i="8"/>
  <c r="S23" i="8"/>
  <c r="R23" i="8"/>
  <c r="Q23" i="8"/>
  <c r="P23" i="8"/>
  <c r="O23" i="8"/>
  <c r="Y22" i="8"/>
  <c r="X22" i="8"/>
  <c r="W22" i="8"/>
  <c r="V22" i="8"/>
  <c r="U22" i="8"/>
  <c r="T22" i="8"/>
  <c r="S22" i="8"/>
  <c r="R22" i="8"/>
  <c r="Q22" i="8"/>
  <c r="P22" i="8"/>
  <c r="O22" i="8"/>
  <c r="Y21" i="8"/>
  <c r="X21" i="8"/>
  <c r="W21" i="8"/>
  <c r="V21" i="8"/>
  <c r="U21" i="8"/>
  <c r="T21" i="8"/>
  <c r="S21" i="8"/>
  <c r="R21" i="8"/>
  <c r="Q21" i="8"/>
  <c r="P21" i="8"/>
  <c r="O21" i="8"/>
  <c r="Y20" i="8"/>
  <c r="X20" i="8"/>
  <c r="W20" i="8"/>
  <c r="V20" i="8"/>
  <c r="U20" i="8"/>
  <c r="T20" i="8"/>
  <c r="S20" i="8"/>
  <c r="R20" i="8"/>
  <c r="Q20" i="8"/>
  <c r="P20" i="8"/>
  <c r="O20" i="8"/>
  <c r="Y19" i="8"/>
  <c r="X19" i="8"/>
  <c r="W19" i="8"/>
  <c r="V19" i="8"/>
  <c r="U19" i="8"/>
  <c r="T19" i="8"/>
  <c r="S19" i="8"/>
  <c r="R19" i="8"/>
  <c r="Q19" i="8"/>
  <c r="P19" i="8"/>
  <c r="O19" i="8"/>
  <c r="Y18" i="8"/>
  <c r="X18" i="8"/>
  <c r="W18" i="8"/>
  <c r="V18" i="8"/>
  <c r="U18" i="8"/>
  <c r="T18" i="8"/>
  <c r="S18" i="8"/>
  <c r="R18" i="8"/>
  <c r="Q18" i="8"/>
  <c r="P18" i="8"/>
  <c r="O18" i="8"/>
  <c r="Y17" i="8"/>
  <c r="X17" i="8"/>
  <c r="W17" i="8"/>
  <c r="V17" i="8"/>
  <c r="U17" i="8"/>
  <c r="T17" i="8"/>
  <c r="S17" i="8"/>
  <c r="R17" i="8"/>
  <c r="Q17" i="8"/>
  <c r="P17" i="8"/>
  <c r="O17" i="8"/>
  <c r="Y16" i="8"/>
  <c r="X16" i="8"/>
  <c r="W16" i="8"/>
  <c r="V16" i="8"/>
  <c r="U16" i="8"/>
  <c r="T16" i="8"/>
  <c r="S16" i="8"/>
  <c r="R16" i="8"/>
  <c r="Q16" i="8"/>
  <c r="P16" i="8"/>
  <c r="O16" i="8"/>
  <c r="Y15" i="8"/>
  <c r="X15" i="8"/>
  <c r="W15" i="8"/>
  <c r="V15" i="8"/>
  <c r="U15" i="8"/>
  <c r="T15" i="8"/>
  <c r="S15" i="8"/>
  <c r="R15" i="8"/>
  <c r="Q15" i="8"/>
  <c r="P15" i="8"/>
  <c r="O15" i="8"/>
  <c r="Y14" i="8"/>
  <c r="X14" i="8"/>
  <c r="W14" i="8"/>
  <c r="V14" i="8"/>
  <c r="U14" i="8"/>
  <c r="T14" i="8"/>
  <c r="S14" i="8"/>
  <c r="R14" i="8"/>
  <c r="Q14" i="8"/>
  <c r="P14" i="8"/>
  <c r="O14" i="8"/>
  <c r="Y13" i="8"/>
  <c r="X13" i="8"/>
  <c r="W13" i="8"/>
  <c r="V13" i="8"/>
  <c r="U13" i="8"/>
  <c r="T13" i="8"/>
  <c r="S13" i="8"/>
  <c r="R13" i="8"/>
  <c r="Q13" i="8"/>
  <c r="P13" i="8"/>
  <c r="O13" i="8"/>
  <c r="Y12" i="8"/>
  <c r="X12" i="8"/>
  <c r="W12" i="8"/>
  <c r="V12" i="8"/>
  <c r="U12" i="8"/>
  <c r="T12" i="8"/>
  <c r="S12" i="8"/>
  <c r="R12" i="8"/>
  <c r="Q12" i="8"/>
  <c r="P12" i="8"/>
  <c r="O12" i="8"/>
  <c r="Y11" i="8"/>
  <c r="X11" i="8"/>
  <c r="W11" i="8"/>
  <c r="V11" i="8"/>
  <c r="U11" i="8"/>
  <c r="T11" i="8"/>
  <c r="S11" i="8"/>
  <c r="R11" i="8"/>
  <c r="Q11" i="8"/>
  <c r="P11" i="8"/>
  <c r="O11" i="8"/>
  <c r="Y10" i="8"/>
  <c r="X10" i="8"/>
  <c r="W10" i="8"/>
  <c r="V10" i="8"/>
  <c r="U10" i="8"/>
  <c r="T10" i="8"/>
  <c r="S10" i="8"/>
  <c r="R10" i="8"/>
  <c r="Q10" i="8"/>
  <c r="P10" i="8"/>
  <c r="O10" i="8"/>
  <c r="Y9" i="8"/>
  <c r="X9" i="8"/>
  <c r="W9" i="8"/>
  <c r="V9" i="8"/>
  <c r="U9" i="8"/>
  <c r="T9" i="8"/>
  <c r="S9" i="8"/>
  <c r="R9" i="8"/>
  <c r="Q9" i="8"/>
  <c r="P9" i="8"/>
  <c r="O9" i="8"/>
  <c r="Y8" i="8"/>
  <c r="X8" i="8"/>
  <c r="W8" i="8"/>
  <c r="V8" i="8"/>
  <c r="U8" i="8"/>
  <c r="T8" i="8"/>
  <c r="S8" i="8"/>
  <c r="R8" i="8"/>
  <c r="Q8" i="8"/>
  <c r="P8" i="8"/>
  <c r="O8" i="8"/>
  <c r="Y7" i="8"/>
  <c r="X7" i="8"/>
  <c r="W7" i="8"/>
  <c r="V7" i="8"/>
  <c r="U7" i="8"/>
  <c r="T7" i="8"/>
  <c r="S7" i="8"/>
  <c r="R7" i="8"/>
  <c r="Q7" i="8"/>
  <c r="P7" i="8"/>
  <c r="O7" i="8"/>
  <c r="Y6" i="8"/>
  <c r="X6" i="8"/>
  <c r="W6" i="8"/>
  <c r="V6" i="8"/>
  <c r="U6" i="8"/>
  <c r="T6" i="8"/>
  <c r="S6" i="8"/>
  <c r="R6" i="8"/>
  <c r="Q6" i="8"/>
  <c r="P6" i="8"/>
  <c r="O6" i="8"/>
  <c r="M29" i="7"/>
  <c r="L29" i="7"/>
  <c r="K29" i="7"/>
  <c r="J29" i="7"/>
  <c r="I29" i="7"/>
  <c r="M28" i="7"/>
  <c r="L28" i="7"/>
  <c r="K28" i="7"/>
  <c r="J28" i="7"/>
  <c r="I28" i="7"/>
  <c r="M27" i="7"/>
  <c r="L27" i="7"/>
  <c r="K27" i="7"/>
  <c r="J27" i="7"/>
  <c r="I27" i="7"/>
  <c r="M26" i="7"/>
  <c r="L26" i="7"/>
  <c r="K26" i="7"/>
  <c r="J26" i="7"/>
  <c r="I26" i="7"/>
  <c r="M21" i="7"/>
  <c r="L21" i="7"/>
  <c r="K21" i="7"/>
  <c r="J21" i="7"/>
  <c r="I21" i="7"/>
  <c r="M20" i="7"/>
  <c r="L20" i="7"/>
  <c r="K20" i="7"/>
  <c r="J20" i="7"/>
  <c r="I20" i="7"/>
  <c r="M19" i="7"/>
  <c r="L19" i="7"/>
  <c r="K19" i="7"/>
  <c r="J19" i="7"/>
  <c r="I19" i="7"/>
  <c r="M14" i="7"/>
  <c r="L14" i="7"/>
  <c r="K14" i="7"/>
  <c r="J14" i="7"/>
  <c r="I14" i="7"/>
  <c r="M13" i="7"/>
  <c r="L13" i="7"/>
  <c r="K13" i="7"/>
  <c r="J13" i="7"/>
  <c r="I13" i="7"/>
  <c r="M12" i="7"/>
  <c r="L12" i="7"/>
  <c r="K12" i="7"/>
  <c r="J12" i="7"/>
  <c r="I12" i="7"/>
  <c r="M8" i="7"/>
  <c r="L8" i="7"/>
  <c r="K8" i="7"/>
  <c r="J8" i="7"/>
  <c r="I8" i="7"/>
  <c r="M7" i="7"/>
  <c r="L7" i="7"/>
  <c r="K7" i="7"/>
  <c r="J7" i="7"/>
  <c r="I7" i="7"/>
  <c r="M6" i="7"/>
  <c r="L6" i="7"/>
  <c r="K6" i="7"/>
  <c r="J6" i="7"/>
  <c r="I6" i="7"/>
  <c r="H15" i="6"/>
  <c r="N14" i="6" s="1"/>
  <c r="H13" i="6"/>
  <c r="H12" i="6"/>
  <c r="N38" i="6"/>
  <c r="M38" i="6"/>
  <c r="L38" i="6"/>
  <c r="K38" i="6"/>
  <c r="J38" i="6"/>
  <c r="N37" i="6"/>
  <c r="M37" i="6"/>
  <c r="L37" i="6"/>
  <c r="K37" i="6"/>
  <c r="J37" i="6"/>
  <c r="N36" i="6"/>
  <c r="M36" i="6"/>
  <c r="L36" i="6"/>
  <c r="K36" i="6"/>
  <c r="J36" i="6"/>
  <c r="N32" i="6"/>
  <c r="M32" i="6"/>
  <c r="L32" i="6"/>
  <c r="K32" i="6"/>
  <c r="J32" i="6"/>
  <c r="N31" i="6"/>
  <c r="M31" i="6"/>
  <c r="L31" i="6"/>
  <c r="K31" i="6"/>
  <c r="J31" i="6"/>
  <c r="N30" i="6"/>
  <c r="M30" i="6"/>
  <c r="L30" i="6"/>
  <c r="K30" i="6"/>
  <c r="J30" i="6"/>
  <c r="N26" i="6"/>
  <c r="M26" i="6"/>
  <c r="L26" i="6"/>
  <c r="K26" i="6"/>
  <c r="J26" i="6"/>
  <c r="N25" i="6"/>
  <c r="M25" i="6"/>
  <c r="L25" i="6"/>
  <c r="K25" i="6"/>
  <c r="J25" i="6"/>
  <c r="N24" i="6"/>
  <c r="M24" i="6"/>
  <c r="L24" i="6"/>
  <c r="K24" i="6"/>
  <c r="J24" i="6"/>
  <c r="N20" i="6"/>
  <c r="M20" i="6"/>
  <c r="L20" i="6"/>
  <c r="K20" i="6"/>
  <c r="J20" i="6"/>
  <c r="N19" i="6"/>
  <c r="M19" i="6"/>
  <c r="L19" i="6"/>
  <c r="K19" i="6"/>
  <c r="J19" i="6"/>
  <c r="N18" i="6"/>
  <c r="M18" i="6"/>
  <c r="L18" i="6"/>
  <c r="K18" i="6"/>
  <c r="J18" i="6"/>
  <c r="G15" i="6"/>
  <c r="M14" i="6" s="1"/>
  <c r="F15" i="6"/>
  <c r="L14" i="6" s="1"/>
  <c r="E15" i="6"/>
  <c r="D15" i="6"/>
  <c r="J14" i="6" s="1"/>
  <c r="G13" i="6"/>
  <c r="F13" i="6"/>
  <c r="E13" i="6"/>
  <c r="D13" i="6"/>
  <c r="G12" i="6"/>
  <c r="F12" i="6"/>
  <c r="E12" i="6"/>
  <c r="D12" i="6"/>
  <c r="N8" i="6"/>
  <c r="M8" i="6"/>
  <c r="L8" i="6"/>
  <c r="K8" i="6"/>
  <c r="J8" i="6"/>
  <c r="N7" i="6"/>
  <c r="M7" i="6"/>
  <c r="L7" i="6"/>
  <c r="K7" i="6"/>
  <c r="J7" i="6"/>
  <c r="N6" i="6"/>
  <c r="M6" i="6"/>
  <c r="L6" i="6"/>
  <c r="K6" i="6"/>
  <c r="J6" i="6"/>
  <c r="P14" i="6" l="1"/>
  <c r="K14" i="6"/>
  <c r="P37" i="6"/>
  <c r="P24" i="6"/>
  <c r="P31" i="6"/>
  <c r="N12" i="6"/>
  <c r="P36" i="6"/>
  <c r="P18" i="6"/>
  <c r="L12" i="6"/>
  <c r="P19" i="6"/>
  <c r="N13" i="6"/>
  <c r="P8" i="6"/>
  <c r="K12" i="6"/>
  <c r="M12" i="6"/>
  <c r="J13" i="6"/>
  <c r="P25" i="6"/>
  <c r="J12" i="6"/>
  <c r="K13" i="6"/>
  <c r="L13" i="6"/>
  <c r="P32" i="6"/>
  <c r="P38" i="6"/>
  <c r="P20" i="6"/>
  <c r="M13" i="6"/>
  <c r="P30" i="6"/>
  <c r="P7" i="6"/>
  <c r="P26" i="6"/>
  <c r="P6" i="6"/>
  <c r="O19" i="7"/>
  <c r="O26" i="7"/>
  <c r="O29" i="7"/>
  <c r="O13" i="7"/>
  <c r="O8" i="7"/>
  <c r="O12" i="7"/>
  <c r="O27" i="7"/>
  <c r="O20" i="7"/>
  <c r="O28" i="7"/>
  <c r="O14" i="7"/>
  <c r="O21" i="7"/>
  <c r="O7" i="7"/>
  <c r="O6" i="7"/>
  <c r="P12" i="6" l="1"/>
  <c r="P13" i="6"/>
  <c r="M29" i="5"/>
  <c r="L29" i="5"/>
  <c r="K29" i="5"/>
  <c r="J29" i="5"/>
  <c r="I29" i="5"/>
  <c r="M28" i="5"/>
  <c r="L28" i="5"/>
  <c r="K28" i="5"/>
  <c r="J28" i="5"/>
  <c r="I28" i="5"/>
  <c r="M27" i="5"/>
  <c r="L27" i="5"/>
  <c r="K27" i="5"/>
  <c r="J27" i="5"/>
  <c r="I27" i="5"/>
  <c r="M26" i="5"/>
  <c r="L26" i="5"/>
  <c r="K26" i="5"/>
  <c r="J26" i="5"/>
  <c r="I26" i="5"/>
  <c r="M21" i="5"/>
  <c r="L21" i="5"/>
  <c r="K21" i="5"/>
  <c r="J21" i="5"/>
  <c r="I21" i="5"/>
  <c r="M20" i="5"/>
  <c r="L20" i="5"/>
  <c r="K20" i="5"/>
  <c r="O20" i="5" s="1"/>
  <c r="J20" i="5"/>
  <c r="I20" i="5"/>
  <c r="M19" i="5"/>
  <c r="L19" i="5"/>
  <c r="K19" i="5"/>
  <c r="J19" i="5"/>
  <c r="I19" i="5"/>
  <c r="M14" i="5"/>
  <c r="L14" i="5"/>
  <c r="K14" i="5"/>
  <c r="J14" i="5"/>
  <c r="I14" i="5"/>
  <c r="M13" i="5"/>
  <c r="L13" i="5"/>
  <c r="K13" i="5"/>
  <c r="J13" i="5"/>
  <c r="I13" i="5"/>
  <c r="M12" i="5"/>
  <c r="L12" i="5"/>
  <c r="K12" i="5"/>
  <c r="J12" i="5"/>
  <c r="I12" i="5"/>
  <c r="M8" i="5"/>
  <c r="L8" i="5"/>
  <c r="K8" i="5"/>
  <c r="J8" i="5"/>
  <c r="I8" i="5"/>
  <c r="M7" i="5"/>
  <c r="L7" i="5"/>
  <c r="K7" i="5"/>
  <c r="J7" i="5"/>
  <c r="I7" i="5"/>
  <c r="M6" i="5"/>
  <c r="L6" i="5"/>
  <c r="K6" i="5"/>
  <c r="J6" i="5"/>
  <c r="I6" i="5"/>
  <c r="O12" i="5" l="1"/>
  <c r="O21" i="5"/>
  <c r="O14" i="5"/>
  <c r="O19" i="5"/>
  <c r="O29" i="5"/>
  <c r="O26" i="5"/>
  <c r="O27" i="5"/>
  <c r="O6" i="5"/>
  <c r="O28" i="5"/>
  <c r="O13" i="5"/>
  <c r="O8" i="5"/>
  <c r="O7" i="5"/>
  <c r="N38" i="4"/>
  <c r="M38" i="4"/>
  <c r="L38" i="4"/>
  <c r="K38" i="4"/>
  <c r="J38" i="4"/>
  <c r="N37" i="4"/>
  <c r="M37" i="4"/>
  <c r="L37" i="4"/>
  <c r="K37" i="4"/>
  <c r="J37" i="4"/>
  <c r="N36" i="4"/>
  <c r="M36" i="4"/>
  <c r="L36" i="4"/>
  <c r="K36" i="4"/>
  <c r="J36" i="4"/>
  <c r="N32" i="4"/>
  <c r="M32" i="4"/>
  <c r="L32" i="4"/>
  <c r="P32" i="4" s="1"/>
  <c r="K32" i="4"/>
  <c r="J32" i="4"/>
  <c r="N31" i="4"/>
  <c r="M31" i="4"/>
  <c r="L31" i="4"/>
  <c r="K31" i="4"/>
  <c r="J31" i="4"/>
  <c r="N30" i="4"/>
  <c r="M30" i="4"/>
  <c r="L30" i="4"/>
  <c r="P30" i="4" s="1"/>
  <c r="K30" i="4"/>
  <c r="J30" i="4"/>
  <c r="N26" i="4"/>
  <c r="M26" i="4"/>
  <c r="L26" i="4"/>
  <c r="K26" i="4"/>
  <c r="J26" i="4"/>
  <c r="N25" i="4"/>
  <c r="M25" i="4"/>
  <c r="L25" i="4"/>
  <c r="K25" i="4"/>
  <c r="J25" i="4"/>
  <c r="N24" i="4"/>
  <c r="M24" i="4"/>
  <c r="L24" i="4"/>
  <c r="K24" i="4"/>
  <c r="J24" i="4"/>
  <c r="N20" i="4"/>
  <c r="M20" i="4"/>
  <c r="L20" i="4"/>
  <c r="K20" i="4"/>
  <c r="J20" i="4"/>
  <c r="N19" i="4"/>
  <c r="M19" i="4"/>
  <c r="L19" i="4"/>
  <c r="K19" i="4"/>
  <c r="J19" i="4"/>
  <c r="N18" i="4"/>
  <c r="M18" i="4"/>
  <c r="L18" i="4"/>
  <c r="K18" i="4"/>
  <c r="J18" i="4"/>
  <c r="H15" i="4"/>
  <c r="G15" i="4"/>
  <c r="F15" i="4"/>
  <c r="E15" i="4"/>
  <c r="D15" i="4"/>
  <c r="H14" i="4"/>
  <c r="G14" i="4"/>
  <c r="F14" i="4"/>
  <c r="L14" i="4" s="1"/>
  <c r="E14" i="4"/>
  <c r="D14" i="4"/>
  <c r="H13" i="4"/>
  <c r="G13" i="4"/>
  <c r="F13" i="4"/>
  <c r="E13" i="4"/>
  <c r="K13" i="4" s="1"/>
  <c r="D13" i="4"/>
  <c r="J13" i="4" s="1"/>
  <c r="H12" i="4"/>
  <c r="G12" i="4"/>
  <c r="F12" i="4"/>
  <c r="L12" i="4" s="1"/>
  <c r="E12" i="4"/>
  <c r="K12" i="4" s="1"/>
  <c r="D12" i="4"/>
  <c r="N8" i="4"/>
  <c r="M8" i="4"/>
  <c r="L8" i="4"/>
  <c r="K8" i="4"/>
  <c r="J8" i="4"/>
  <c r="N7" i="4"/>
  <c r="M7" i="4"/>
  <c r="L7" i="4"/>
  <c r="K7" i="4"/>
  <c r="J7" i="4"/>
  <c r="N6" i="4"/>
  <c r="M6" i="4"/>
  <c r="L6" i="4"/>
  <c r="K6" i="4"/>
  <c r="J6" i="4"/>
  <c r="M12" i="4" l="1"/>
  <c r="N12" i="4"/>
  <c r="P7" i="4"/>
  <c r="P38" i="4"/>
  <c r="P19" i="4"/>
  <c r="P26" i="4"/>
  <c r="P12" i="4"/>
  <c r="L13" i="4"/>
  <c r="P20" i="4"/>
  <c r="M13" i="4"/>
  <c r="N13" i="4"/>
  <c r="P13" i="4" s="1"/>
  <c r="J14" i="4"/>
  <c r="K14" i="4"/>
  <c r="M14" i="4"/>
  <c r="P25" i="4"/>
  <c r="J12" i="4"/>
  <c r="N14" i="4"/>
  <c r="P14" i="4" s="1"/>
  <c r="P36" i="4"/>
  <c r="P8" i="4"/>
  <c r="P24" i="4"/>
  <c r="P31" i="4"/>
  <c r="P6" i="4"/>
  <c r="P37" i="4"/>
  <c r="P18" i="4"/>
</calcChain>
</file>

<file path=xl/sharedStrings.xml><?xml version="1.0" encoding="utf-8"?>
<sst xmlns="http://schemas.openxmlformats.org/spreadsheetml/2006/main" count="561" uniqueCount="207">
  <si>
    <t>enhancing AND crucial</t>
  </si>
  <si>
    <t>"room temperature"</t>
  </si>
  <si>
    <t>https://ieeexplore.ieee.org/search/searchresult.jsp?action=search&amp;newsearch=true&amp;ranges=2023_2023_Year</t>
  </si>
  <si>
    <t>https://www.sciencedirect.com/search?date=2019-2023&amp;qs=%22room%20temperature%22</t>
  </si>
  <si>
    <t>https://www.sciencedirect.com/search?date=2019-2023&amp;lastSelectedFacet=years&amp;years=2022</t>
  </si>
  <si>
    <t>https://www.sciencedirect.com/search?date=2019-2023&amp;lastSelectedFacet=years&amp;years=2021</t>
  </si>
  <si>
    <t>https://link.springer.com/search?showAll=true&amp;query=&amp;date-facet-mode=between&amp;facet-start-year=2020&amp;previous-start-year=2020&amp;facet-end-year=2020&amp;previous-end-year=2020</t>
  </si>
  <si>
    <t>https://link.springer.com/search?showAll=true&amp;query=&amp;date-facet-mode=between&amp;facet-start-year=2021&amp;previous-start-year=2021&amp;facet-end-year=2021&amp;previous-end-year=2021</t>
  </si>
  <si>
    <t>https://link.springer.com/search?showAll=true&amp;query=&amp;date-facet-mode=between&amp;facet-start-year=2022&amp;previous-start-year=2022&amp;facet-end-year=2022&amp;previous-end-year=2022</t>
  </si>
  <si>
    <t>https://link.springer.com/search?showAll=true&amp;query=&amp;date-facet-mode=between&amp;facet-start-year=2023&amp;previous-start-year=2023&amp;facet-end-year=2023&amp;previous-end-year=2023</t>
  </si>
  <si>
    <t>https://link.springer.com/search?query=%22room+temperature%22&amp;showAll=true&amp;date-facet-mode=between&amp;facet-start-year=2023&amp;previous-start-year=2023&amp;facet-end-year=2023&amp;previous-end-year=2023</t>
  </si>
  <si>
    <t>https://link.springer.com/search?query=%22room+temperature%22&amp;showAll=true&amp;date-facet-mode=between&amp;facet-start-year=2022&amp;previous-start-year=2022&amp;facet-end-year=2022&amp;previous-end-year=2022</t>
  </si>
  <si>
    <t>https://link.springer.com/search?query=%22room+temperature%22&amp;showAll=true&amp;date-facet-mode=between&amp;facet-start-year=2021&amp;previous-start-year=2021&amp;facet-end-year=2021&amp;previous-end-year=2021</t>
  </si>
  <si>
    <t>https://link.springer.com/search?query=%22room+temperature%22&amp;showAll=true&amp;date-facet-mode=between&amp;facet-start-year=2020&amp;previous-start-year=2020&amp;facet-end-year=2020&amp;previous-end-year=2020</t>
  </si>
  <si>
    <t>https://link.springer.com/search?query=%22room+temperature%22&amp;showAll=true&amp;date-facet-mode=between&amp;facet-start-year=2019&amp;previous-start-year=2019&amp;facet-end-year=2019&amp;previous-end-year=2019</t>
  </si>
  <si>
    <t>https://ieeexplore.ieee.org/search/searchresult.jsp?action=search&amp;newsearch=true&amp;ranges=2022_2022_Year</t>
  </si>
  <si>
    <t>https://ieeexplore.ieee.org/search/searchresult.jsp?action=search&amp;newsearch=true&amp;ranges=2021_2021_Year</t>
  </si>
  <si>
    <t>https://ieeexplore.ieee.org/search/searchresult.jsp?action=search&amp;newsearch=true&amp;ranges=2019_2019_Year</t>
  </si>
  <si>
    <t>https://repository.tudelft.nl/islandora/search?collection=education&amp;df=fulltext&amp;f%5B0%5D=mods_genre_s%3A%22master%5C%20thesis%22&amp;f%5B1%5D=mods_originInfo_dateSort_dt%3A%5B2023-01-01T00%3A00%3A00Z%20TO%202023-12-31T00%3A00%3A00Z%5D</t>
  </si>
  <si>
    <t>https://repository.tudelft.nl/islandora/search?collection=education&amp;df=fulltext&amp;f%5B0%5D=mods_genre_s%3A%22master%5C%20thesis%22&amp;f%5B1%5D=mods_originInfo_dateSort_dt%3A%5B2022-01-01T00%3A00%3A00Z%20TO%202022-12-31T00%3A00%3A00Z%5D</t>
  </si>
  <si>
    <t>https://repository.tudelft.nl/islandora/search?collection=education&amp;df=fulltext&amp;f%5B0%5D=mods_genre_s%3A%22master%5C%20thesis%22&amp;f%5B1%5D=mods_originInfo_dateSort_dt%3A%5B2021-01-01T00%3A00%3A00Z%20TO%202021-12-31T00%3A00%3A00Z%5D</t>
  </si>
  <si>
    <t>https://repository.tudelft.nl/islandora/search?collection=education&amp;df=fulltext&amp;f%5B0%5D=mods_genre_s%3A%22master%5C%20thesis%22&amp;f%5B1%5D=mods_originInfo_dateSort_dt%3A%5B2019-01-01T00%3A00%3A00Z%20TO%202019-12-31T00%3A00%3A00Z%5D</t>
  </si>
  <si>
    <t>https://repository.tudelft.nl/islandora/search/%22room%20temperature%22?collection=education&amp;df=fulltext&amp;f%5B0%5D=mods_genre_s%3A%22master%5C%20thesis%22&amp;f%5B1%5D=mods_originInfo_dateSort_dt%3A%5B2023-01-01T00%3A00%3A00Z%20TO%202023-12-31T00%3A00%3A00Z%5D</t>
  </si>
  <si>
    <t>https://repository.tudelft.nl/islandora/search/%22room%20temperature%22?collection=education&amp;df=fulltext&amp;f%5B0%5D=mods_genre_s%3A%22master%5C%20thesis%22&amp;f%5B1%5D=mods_originInfo_dateSort_dt%3A%5B2022-01-01T00%3A00%3A00Z%20TO%202022-12-31T00%3A00%3A00Z%5D</t>
  </si>
  <si>
    <t>https://repository.tudelft.nl/islandora/search/%22room%20temperature%22?collection=education&amp;df=fulltext&amp;f%5B0%5D=mods_genre_s%3A%22master%5C%20thesis%22&amp;f%5B1%5D=mods_originInfo_dateSort_dt%3A%5B2021-01-01T00%3A00%3A00Z%20TO%202021-12-31T00%3A00%3A00Z%5D</t>
  </si>
  <si>
    <t>https://repository.tudelft.nl/islandora/search/%22room%20temperature%22?collection=education&amp;df=fulltext&amp;f%5B0%5D=mods_genre_s%3A%22master%5C%20thesis%22&amp;f%5B1%5D=mods_originInfo_dateSort_dt%3A%5B2019-01-01T00%3A00%3A00Z%20TO%202019-12-31T00%3A00%3A00Z%5D</t>
  </si>
  <si>
    <t>https://repository.tudelft.nl/islandora/search/enhancing%20crucial?collection=education&amp;df=fulltext&amp;f%5B0%5D=mods_genre_s%3A%22master%5C%20thesis%22&amp;f%5B1%5D=mods_originInfo_dateSort_dt%3A%5B2023-01-01T00%3A00%3A00Z%20TO%202023-12-31T00%3A00%3A00Z%5D</t>
  </si>
  <si>
    <t>https://repository.tudelft.nl/islandora/search/enhancing%20crucial?collection=education&amp;df=fulltext&amp;f%5B0%5D=mods_genre_s%3A%22master%5C%20thesis%22&amp;f%5B1%5D=mods_originInfo_dateSort_dt%3A%5B2022-01-01T00%3A00%3A00Z%20TO%202022-12-31T00%3A00%3A00Z%5D</t>
  </si>
  <si>
    <t>https://repository.tudelft.nl/islandora/search/enhancing%20crucial?collection=education&amp;df=fulltext&amp;f%5B0%5D=mods_genre_s%3A%22master%5C%20thesis%22&amp;f%5B1%5D=mods_originInfo_dateSort_dt%3A%5B2021-01-01T00%3A00%3A00Z%20TO%202021-12-31T00%3A00%3A00Z%5D</t>
  </si>
  <si>
    <t>https://repository.tudelft.nl/islandora/search/enhancing%20crucial?collection=education&amp;df=fulltext&amp;f%5B0%5D=mods_genre_s%3A%22master%5C%20thesis%22&amp;f%5B1%5D=mods_originInfo_dateSort_dt%3A%5B2019-01-01T00%3A00%3A00Z%20TO%202019-12-31T00%3A00%3A00Z%5D</t>
  </si>
  <si>
    <t>https://studenttheses.universiteitleiden.nl/search/delv%2A?type=edismax&amp;islandora_solr_search_navigation=1&amp;f%5B0%5D=mods_genre_authority_local_ms%3A%22Master%5C%20thesis%22</t>
  </si>
  <si>
    <t>https://studenttheses.universiteitleiden.nl/search?type=edismax&amp;islandora_solr_search_navigation=1&amp;f%5B0%5D=mods_genre_authority_local_ms%3A%22Master%5C%20thesis%22</t>
  </si>
  <si>
    <t>https://studenttheses.universiteitleiden.nl/search/%22room%20temperature%22?type=edismax&amp;islandora_solr_search_navigation=1&amp;f%5B0%5D=mods_genre_authority_local_ms%3A%22Master%5C%20thesis%22</t>
  </si>
  <si>
    <t>https://essay.utwente.nl/cgi/search/archive/advanced?dataset=archive&amp;screen=Search&amp;_action_search=Search&amp;title_merge=ALL&amp;title=&amp;creators_name_merge=ALL&amp;creators_name=&amp;tutors_name_merge=ALL&amp;tutors_name=&amp;abstract_merge=ALL&amp;abstract=&amp;documents_merge=ALL&amp;documents=&amp;type=essay&amp;level=master&amp;date=2019&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</si>
  <si>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amp;type=essay&amp;level=master&amp;date=2021&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</si>
  <si>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enhancing+AND+crucial&amp;type=essay&amp;level=master&amp;date=2019&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</si>
  <si>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enhancing+AND+crucial&amp;type=essay&amp;level=master&amp;date=2021&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</si>
  <si>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enhancing+AND+crucial&amp;type=essay&amp;level=master&amp;date=2022&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</si>
  <si>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enhancing+AND+crucial&amp;type=essay&amp;level=master&amp;date=2023&amp;keywords_merge=ALL&amp;keywords=&amp;satisfyall=ALL&amp;order=-date%2Fcreators_name%2Ftitle</t>
  </si>
  <si>
    <t>Total records</t>
  </si>
  <si>
    <t xml:space="preserve"> </t>
  </si>
  <si>
    <t>Number of records</t>
  </si>
  <si>
    <t>ScienceDirect (all records)</t>
  </si>
  <si>
    <t>Springer Link (articles and conference papers)</t>
  </si>
  <si>
    <t>IEEE Xplore (all records)</t>
  </si>
  <si>
    <t>difference</t>
  </si>
  <si>
    <t>2021 to 2023</t>
  </si>
  <si>
    <t>https://ieeexplore.ieee.org/search/searchresult.jsp?action=search&amp;matchBoolean=true&amp;queryText=(%22Full%20Text%20Only%22:enhancing)%20AND%20(%22Full%20Text%20Only%22:crucial)&amp;highlight=true&amp;returnFacets=ALL&amp;returnType=SEARCH&amp;matchPubs=true&amp;ranges=2023_2023_Year</t>
  </si>
  <si>
    <t>https://ieeexplore.ieee.org/search/searchresult.jsp?action=search&amp;matchBoolean=true&amp;queryText=(%22Full%20Text%20Only%22:enhancing)%20AND%20(%22Full%20Text%20Only%22:crucial)&amp;highlight=true&amp;returnType=SEARCH&amp;matchPubs=true&amp;returnFacets=ALL&amp;ranges=2022_2022_Year</t>
  </si>
  <si>
    <t>https://ieeexplore.ieee.org/search/searchresult.jsp?action=search&amp;matchBoolean=true&amp;queryText=(%22Full%20Text%20Only%22:enhancing)%20AND%20(%22Full%20Text%20Only%22:crucial)&amp;highlight=true&amp;returnType=SEARCH&amp;matchPubs=true&amp;returnFacets=ALL&amp;ranges=2021_2021_Year</t>
  </si>
  <si>
    <t>https://ieeexplore.ieee.org/search/searchresult.jsp?action=search&amp;matchBoolean=true&amp;queryText=(%22Full%20Text%20Only%22:enhancing)%20AND%20(%22Full%20Text%20Only%22:crucial)&amp;highlight=true&amp;returnType=SEARCH&amp;matchPubs=true&amp;returnFacets=ALL&amp;ranges=2020_2020_Year</t>
  </si>
  <si>
    <t>https://ieeexplore.ieee.org/search/searchresult.jsp?action=search&amp;matchBoolean=true&amp;queryText=(%22Full%20Text%20Only%22:enhancing)%20AND%20(%22Full%20Text%20Only%22:crucial)&amp;highlight=true&amp;returnType=SEARCH&amp;matchPubs=true&amp;returnFacets=ALL&amp;ranges=2019_2019_Year</t>
  </si>
  <si>
    <t>https://ieeexplore.ieee.org/search/searchresult.jsp?action=search&amp;matchBoolean=true&amp;queryText=(%22Full%20Text%20Only%22:%22room%20temperature%22)&amp;highlight=true&amp;returnType=SEARCH&amp;matchPubs=true&amp;returnFacets=ALL&amp;ranges=2022_2022_Year</t>
  </si>
  <si>
    <t>https://ieeexplore.ieee.org/search/searchresult.jsp?action=search&amp;matchBoolean=true&amp;queryText=(%22Full%20Text%20Only%22:%22room%20temperature%22)&amp;highlight=true&amp;returnType=SEARCH&amp;matchPubs=true&amp;returnFacets=ALL&amp;ranges=2021_2021_Year</t>
  </si>
  <si>
    <t>https://ieeexplore.ieee.org/search/searchresult.jsp?action=search&amp;matchBoolean=true&amp;queryText=(%22Full%20Text%20Only%22:%22room%20temperature%22)&amp;highlight=true&amp;returnType=SEARCH&amp;matchPubs=true&amp;returnFacets=ALL&amp;ranges=2020_2020_Year</t>
  </si>
  <si>
    <t>https://ieeexplore.ieee.org/search/searchresult.jsp?action=search&amp;matchBoolean=true&amp;queryText=(%22Full%20Text%20Only%22:%22room%20temperature%22)&amp;highlight=true&amp;returnType=SEARCH&amp;matchPubs=true&amp;returnFacets=ALL&amp;ranges=2019_2019_Year</t>
  </si>
  <si>
    <t>https://www.tandfonline.com/action/doSearch?text1=&amp;AfterYear=2019&amp;BeforeYear=2019</t>
  </si>
  <si>
    <t>https://www.tandfonline.com/action/doSearch?AllField=%22room+temperature%22&amp;AfterYear=2019&amp;BeforeYear=2019</t>
  </si>
  <si>
    <t>https://www.tandfonline.com/action/doSearch?AllField=enhancing+AND+crucial&amp;AfterYear=2019&amp;BeforeYear=2019</t>
  </si>
  <si>
    <t>https://www.tandfonline.com/action/doSearch?AllField=%22room+temperature%22&amp;AfterYear=2020&amp;BeforeYear=2020</t>
  </si>
  <si>
    <t>https://www.tandfonline.com/action/doSearch?AllField=%22room+temperature%22&amp;AfterYear=2021&amp;BeforeYear=2021</t>
  </si>
  <si>
    <t>https://www.tandfonline.com/action/doSearch?AllField=enhancing+AND+crucial&amp;AfterYear=2021&amp;BeforeYear=2021</t>
  </si>
  <si>
    <t>https://www.tandfonline.com/action/doSearch?AllField=%22room+temperature%22&amp;AfterYear=2022&amp;BeforeYear=2022</t>
  </si>
  <si>
    <t>https://www.tandfonline.com/action/doSearch?AllField=%22room+temperature%22&amp;AfterYear=2023&amp;BeforeYear=2023</t>
  </si>
  <si>
    <t>https://www.tandfonline.com/action/doSearch?AllField=enhancing+AND+crucial&amp;AfterYear=2023&amp;BeforeYear=2023</t>
  </si>
  <si>
    <t>PLOS</t>
  </si>
  <si>
    <t>Taylor &amp; Francis (all records)</t>
  </si>
  <si>
    <t>delve</t>
  </si>
  <si>
    <t>https://journals.plos.org/plosone/search?filterStartDate=2023-01-01&amp;filterEndDate=2023-12-31&amp;q=everything%3Areferences&amp;page=1&amp;utm_content=a&amp;utm_campaign=ENG-2397</t>
  </si>
  <si>
    <t>https://journals.plos.org/plosone/search?filterStartDate=2022-01-01&amp;filterEndDate=2022-12-31&amp;q=everything%3Areferences&amp;page=1&amp;utm_content=a&amp;utm_campaign=ENG-2397</t>
  </si>
  <si>
    <t>https://journals.plos.org/plosone/search?filterStartDate=2021-01-01&amp;filterEndDate=2021-12-31&amp;q=everything%3Areferences&amp;page=1&amp;utm_content=a&amp;utm_campaign=ENG-2397</t>
  </si>
  <si>
    <t>https://journals.plos.org/plosone/search?filterStartDate=2020-01-01&amp;filterEndDate=2020-12-31&amp;q=everything%3Areferences&amp;page=1&amp;utm_content=a&amp;utm_campaign=ENG-2397</t>
  </si>
  <si>
    <t>https://journals.plos.org/plosone/search?filterStartDate=2019-01-01&amp;filterEndDate=2019-12-31&amp;q=everything%3Areferences&amp;page=1&amp;utm_content=a&amp;utm_campaign=ENG-2397</t>
  </si>
  <si>
    <t>https://essay.utwente.nl/cgi/search/archive/simple?order=-date%2Fcreators_name%2Ftitle&amp;_action_search=Reorder&amp;dataset=archive&amp;screen=Search&amp;exp=0%7C1%7C%7Carchive%7C-%7Cq%3A%3AALL%3AIN%3A%22room+temperature%22%7C-%7C</t>
  </si>
  <si>
    <t>https://journals.plos.org/plosone/search?filterStartDate=2023-01-01&amp;filterEndDate=2023-12-31&amp;unformattedQuery=everything%3A%22room%20temperature%22&amp;q=everything%3A%22room%20temperature%22&amp;utm_content=b&amp;utm_campaign=ENG-2397</t>
  </si>
  <si>
    <t>https://journals.plos.org/plosone/search?filterStartDate=2022-01-01&amp;filterEndDate=2022-12-31&amp;unformattedQuery=everything%3A%22room%20temperature%22&amp;q=everything%3A%22room%20temperature%22&amp;utm_content=b&amp;utm_campaign=ENG-2397</t>
  </si>
  <si>
    <t>https://journals.plos.org/plosone/search?filterStartDate=2021-01-01&amp;filterEndDate=2021-12-31&amp;unformattedQuery=everything%3A%22room%20temperature%22&amp;q=everything%3A%22room%20temperature%22&amp;utm_content=b&amp;utm_campaign=ENG-2397</t>
  </si>
  <si>
    <t>https://journals.plos.org/plosone/search?filterStartDate=2020-01-01&amp;filterEndDate=2020-12-31&amp;unformattedQuery=everything%3A%22room%20temperature%22&amp;q=everything%3A%22room%20temperature%22&amp;utm_content=b&amp;utm_campaign=ENG-2397</t>
  </si>
  <si>
    <t>https://journals.plos.org/plosone/search?filterStartDate=2019-01-01&amp;filterEndDate=2019-12-31&amp;unformattedQuery=everything%3A%22room%20temperature%22&amp;q=everything%3A%22room%20temperature%22&amp;utm_content=b&amp;utm_campaign=ENG-2397</t>
  </si>
  <si>
    <t>https://journals.plos.org/plosone/search?filterStartDate=2023-01-01&amp;filterEndDate=2023-12-31&amp;unformattedQuery=everything%3A%22%22enhancing%20crucial%22%22&amp;q=everything%3A%22%22enhancing%20crucial%22%22&amp;utm_content=a&amp;utm_campaign=ENG-2397</t>
  </si>
  <si>
    <t>https://journals.plos.org/plosone/search?filterStartDate=2022-01-01&amp;filterEndDate=2022-12-31&amp;unformattedQuery=everything%3A%22%22enhancing%20crucial%22%22&amp;q=everything%3A%22%22enhancing%20crucial%22%22&amp;utm_content=a&amp;utm_campaign=ENG-2397</t>
  </si>
  <si>
    <t>https://journals.plos.org/plosone/search?filterStartDate=2021-01-01&amp;filterEndDate=2021-12-31&amp;unformattedQuery=everything%3A%22%22enhancing%20crucial%22%22&amp;q=everything%3A%22%22enhancing%20crucial%22%22&amp;utm_content=a&amp;utm_campaign=ENG-2397</t>
  </si>
  <si>
    <t>https://journals.plos.org/plosone/search?filterStartDate=2020-01-01&amp;filterEndDate=2020-12-31&amp;unformattedQuery=everything%3A%22%22enhancing%20crucial%22%22&amp;q=everything%3A%22%22enhancing%20crucial%22%22&amp;utm_content=a&amp;utm_campaign=ENG-2397</t>
  </si>
  <si>
    <t>https://journals.plos.org/plosone/search?filterStartDate=2019-01-01&amp;filterEndDate=2019-12-31&amp;unformattedQuery=everything%3A%22%22enhancing%20crucial%22%22&amp;q=everything%3A%22%22enhancing%20crucial%22%22&amp;utm_content=a&amp;utm_campaign=ENG-2397</t>
  </si>
  <si>
    <t>https://www.sciencedirect.com/search?date=2019-2023&amp;qs=enhancing%20crucial</t>
  </si>
  <si>
    <t>https://link.springer.com/search?query=enhancing+crucial&amp;showAll=true&amp;date-facet-mode=between&amp;facet-start-year=2022&amp;previous-start-year=2022&amp;facet-end-year=2022&amp;previous-end-year=2022</t>
  </si>
  <si>
    <t>https://link.springer.com/search?query=enhancing+crucial&amp;showAll=true&amp;date-facet-mode=between&amp;facet-start-year=2021&amp;previous-start-year=2021&amp;facet-end-year=2021&amp;previous-end-year=2021</t>
  </si>
  <si>
    <t>https://link.springer.com/search?query=enhancing+crucial&amp;showAll=true&amp;date-facet-mode=between&amp;facet-start-year=2020&amp;previous-start-year=2020&amp;facet-end-year=2020&amp;previous-end-year=2020</t>
  </si>
  <si>
    <t>https://link.springer.com/search?query=enhancing+crucial&amp;showAll=true&amp;date-facet-mode=between&amp;facet-start-year=2019&amp;previous-start-year=2019&amp;facet-end-year=2019&amp;previous-end-year=2019</t>
  </si>
  <si>
    <t>https://www.tandfonline.com/action/doSearch?AllField=enhancing+AND+crucial&amp;AfterYear=2020&amp;BeforeYear=2020</t>
  </si>
  <si>
    <t>https://www.tandfonline.com/action/doSearch?AllField=enhancing+AND+crucial&amp;AfterYear=2022&amp;BeforeYear=2022</t>
  </si>
  <si>
    <t>https://www.sciencedirect.com/search?date=2019-2023&amp;qs=delve</t>
  </si>
  <si>
    <t>https://www.sciencedirect.com/search?date=2019-2023&amp;lastSelectedFacet=years&amp;years=2023</t>
  </si>
  <si>
    <t>https://www.sciencedirect.com/search?date=2019-2023&amp;lastSelectedFacet=years&amp;years=2019</t>
  </si>
  <si>
    <t>https://link.springer.com/search?query=enhancing+crucial&amp;showAll=true&amp;date-facet-mode=between&amp;facet-start-year=2023&amp;previous-start-year=2023&amp;facet-end-year=2023&amp;previous-end-year=2023</t>
  </si>
  <si>
    <t>https://link.springer.com/search?showAll=true&amp;query=&amp;date-facet-mode=between&amp;facet-start-year=2019&amp;previous-start-year=2019&amp;facet-end-year=2019&amp;previous-end-year=2019</t>
  </si>
  <si>
    <t>https://ieeexplore.ieee.org/search/searchresult.jsp?action=search&amp;matchBoolean=true&amp;queryText=(%22Full%20Text%20Only%22:%22room%20temperature%22)&amp;highlight=true&amp;returnType=SEARCH&amp;matchPubs=true&amp;returnFacets=ALL&amp;ranges=2023_2023_Year</t>
  </si>
  <si>
    <t>https://ieeexplore.ieee.org/search/searchresult.jsp?action=search&amp;newsearch=true&amp;ranges=2020_2020_Year</t>
  </si>
  <si>
    <t>https://www.tandfonline.com/action/doSearch?text1=&amp;AfterYear=2020&amp;BeforeYear=2020</t>
  </si>
  <si>
    <t>https://www.tandfonline.com/action/doSearch?text1=&amp;AfterYear=2021&amp;BeforeYear=2021</t>
  </si>
  <si>
    <t>https://www.tandfonline.com/action/doSearch?text1=&amp;AfterYear=2022&amp;BeforeYear=2022</t>
  </si>
  <si>
    <t>https://www.tandfonline.com/action/doSearch?text1=&amp;AfterYear=2023&amp;BeforeYear=2023</t>
  </si>
  <si>
    <t>https://studenttheses.universiteitleiden.nl/search/enhancing%20crucial?type=edismax&amp;islandora_solr_search_navigation=1&amp;f%5B0%5D=mods_genre_authority_local_ms%3A%22Master%5C%20thesis%22</t>
  </si>
  <si>
    <t>https://essay.utwente.nl/cgi/search/archive/advanced?dataset=archive&amp;screen=Search&amp;_action_search=Search&amp;title_merge=ALL&amp;title=&amp;creators_name_merge=ALL&amp;creators_name=&amp;tutors_name_merge=ALL&amp;tutors_name=&amp;abstract_merge=ALL&amp;abstract=&amp;documents_merge=ALL&amp;documents=&amp;type=essay&amp;level=master&amp;date=2022&amp;keywords_merge=ALL&amp;keywords=&amp;satisfyall=ALL&amp;order=-date%2Fcreators_name%2Ftitle</t>
  </si>
  <si>
    <t>https://essay.utwente.nl/cgi/search/archive/advanced?dataset=archive&amp;screen=Search&amp;_action_search=Search&amp;title_merge=ALL&amp;title=&amp;creators_name_merge=ALL&amp;creators_name=&amp;tutors_name_merge=ALL&amp;tutors_name=&amp;abstract_merge=ALL&amp;abstract=&amp;documents_merge=ALL&amp;documents=&amp;type=essay&amp;level=master&amp;date=2023&amp;keywords_merge=ALL&amp;keywords=&amp;satisfyall=ALL&amp;order=-date%2Fcreators_name%2Ftitle</t>
  </si>
  <si>
    <t>Delft University of Technology (Master theses)</t>
  </si>
  <si>
    <t>Leiden University (Master theses)</t>
  </si>
  <si>
    <t>University of Twente (Master theses)</t>
  </si>
  <si>
    <t>underscores</t>
  </si>
  <si>
    <t>Croatian Digital Theses Repository (Master, undergraduate, &amp; professional theses)</t>
  </si>
  <si>
    <t>DiVA (Swedish universities, Master, Bachelor, &amp; professional theses, abstract only)</t>
  </si>
  <si>
    <t>https://www.diva-portal.org/smash/resultList.jsf?dswid=-4247&amp;language=en&amp;searchType=SIMPLE&amp;query=%22room+temperature%22&amp;af=%5B%5D&amp;aq=%5B%5B%5D%5D&amp;aq2=%5B%5B%5D%5D&amp;aqe=%5B%5D&amp;noOfRows=50&amp;sortOrder=author_sort_asc&amp;sortOrder2=title_sort_asc&amp;onlyFullText=false&amp;sf=undergraduate</t>
  </si>
  <si>
    <t>https://www.diva-portal.org/smash/resultList.jsf?dswid=-4247&amp;language=en&amp;searchType=SIMPLE&amp;query=underscores&amp;af=%5B%5D&amp;aq=%5B%5B%5D%5D&amp;aq2=%5B%5B%5D%5D&amp;aqe=%5B%5D&amp;noOfRows=50&amp;sortOrder=author_sort_asc&amp;sortOrder2=title_sort_asc&amp;onlyFullText=false&amp;sf=undergraduate</t>
  </si>
  <si>
    <t>https://www.diva-portal.org/smash/resultList.jsf?dswid=-4247&amp;language=en&amp;searchType=SIMPLE&amp;query=enhancing+crucial&amp;af=%5B%5D&amp;aq=%5B%5B%5D%5D&amp;aq2=%5B%5B%5D%5D&amp;aqe=%5B%5D&amp;noOfRows=50&amp;sortOrder=author_sort_asc&amp;sortOrder2=title_sort_asc&amp;onlyFullText=false&amp;sf=undergraduate</t>
  </si>
  <si>
    <t>https://link.springer.com/search?showAll=true&amp;query=delve&amp;date-facet-mode=between&amp;facet-start-year=2019&amp;previous-start-year=2019&amp;facet-end-year=2019&amp;previous-end-year=2019</t>
  </si>
  <si>
    <t>https://link.springer.com/search?showAll=true&amp;query=delve&amp;date-facet-mode=between&amp;facet-start-year=2020&amp;previous-start-year=2020&amp;facet-end-year=2020&amp;previous-end-year=2020</t>
  </si>
  <si>
    <t>https://link.springer.com/search?showAll=true&amp;query=delve&amp;date-facet-mode=between&amp;facet-start-year=2021&amp;previous-start-year=2021&amp;facet-end-year=2021&amp;previous-end-year=2021</t>
  </si>
  <si>
    <t>https://link.springer.com/search?showAll=true&amp;query=delve&amp;date-facet-mode=between&amp;facet-start-year=2022&amp;previous-start-year=2022&amp;facet-end-year=2022&amp;previous-end-year=2022</t>
  </si>
  <si>
    <t>https://link.springer.com/search?showAll=true&amp;query=delve&amp;date-facet-mode=between&amp;facet-start-year=2023&amp;previous-start-year=2022&amp;facet-end-year=2023&amp;previous-end-year=2023</t>
  </si>
  <si>
    <t>https://ieeexplore.ieee.org/search/searchresult.jsp?action=search&amp;newsearch=true&amp;matchBoolean=true&amp;queryText=(%22Full%20Text%20Only%22:delve)&amp;ranges=2023_2023_Year</t>
  </si>
  <si>
    <t>https://ieeexplore.ieee.org/search/searchresult.jsp?action=search&amp;newsearch=true&amp;matchBoolean=true&amp;queryText=(%22Full%20Text%20Only%22:delve)&amp;ranges=2022_2022_Year</t>
  </si>
  <si>
    <t>https://ieeexplore.ieee.org/search/searchresult.jsp?action=search&amp;newsearch=true&amp;matchBoolean=true&amp;queryText=(%22Full%20Text%20Only%22:delve)&amp;ranges=2021_2021_Year</t>
  </si>
  <si>
    <t>https://ieeexplore.ieee.org/search/searchresult.jsp?action=search&amp;newsearch=true&amp;matchBoolean=true&amp;queryText=(%22Full%20Text%20Only%22:delve)&amp;ranges=2020_2020_Year</t>
  </si>
  <si>
    <t>https://ieeexplore.ieee.org/search/searchresult.jsp?action=search&amp;newsearch=true&amp;matchBoolean=true&amp;queryText=(%22Full%20Text%20Only%22:delve)&amp;ranges=2019_2019_Year</t>
  </si>
  <si>
    <t>https://www.tandfonline.com/action/doSearch?field1=AllField&amp;text1=delve&amp;Ppub=&amp;AfterYear=2023&amp;BeforeYear=2023</t>
  </si>
  <si>
    <t>https://www.tandfonline.com/action/doSearch?field1=AllField&amp;text1=delve&amp;Ppub=&amp;AfterYear=2022&amp;BeforeYear=2022</t>
  </si>
  <si>
    <t>https://www.tandfonline.com/action/doSearch?field1=AllField&amp;text1=delve&amp;Ppub=&amp;AfterYear=2021&amp;BeforeYear=2021</t>
  </si>
  <si>
    <t>https://www.tandfonline.com/action/doSearch?field1=AllField&amp;text1=delve&amp;Ppub=&amp;AfterYear=2020&amp;BeforeYear=2020</t>
  </si>
  <si>
    <t>https://www.tandfonline.com/action/doSearch?field1=AllField&amp;text1=delve&amp;Ppub=&amp;AfterYear=2019&amp;BeforeYear=2019</t>
  </si>
  <si>
    <t>https://journals.plos.org/plosone/search?filterStartDate=2023-01-01&amp;filterEndDate=2023-12-31&amp;q=everything%3Adelve&amp;page=1&amp;utm_content=a&amp;utm_campaign=ENG-2397</t>
  </si>
  <si>
    <t>https://journals.plos.org/plosone/search?filterStartDate=2022-01-01&amp;filterEndDate=2022-12-31&amp;q=everything%3Adelve&amp;page=1&amp;utm_content=a&amp;utm_campaign=ENG-2397</t>
  </si>
  <si>
    <t>https://journals.plos.org/plosone/search?filterStartDate=2021-01-01&amp;filterEndDate=2021-12-31&amp;q=everything%3Adelve&amp;page=1&amp;utm_content=a&amp;utm_campaign=ENG-2397</t>
  </si>
  <si>
    <t>https://journals.plos.org/plosone/search?filterStartDate=2020-01-01&amp;filterEndDate=2020-12-31&amp;q=everything%3Adelve&amp;page=1&amp;utm_content=a&amp;utm_campaign=ENG-2397</t>
  </si>
  <si>
    <t>delve OR delves OR delved OR delving</t>
  </si>
  <si>
    <t>https://repository.tudelft.nl/islandora/search/delve%20OR%20delves%20OR%20delved%20OR%20delving?collection=education&amp;df=fulltext&amp;f%5B0%5D=mods_genre_s%3A%22master%5C%20thesis%22</t>
  </si>
  <si>
    <t>https://studenttheses.universiteitleiden.nl/search/delve?type=edismax&amp;islandora_solr_search_navigation=1&amp;f%5B0%5D=mods_genre_authority_local_ms%3A%22Master%5C%20thesis%22</t>
  </si>
  <si>
    <t>https://essay.utwente.nl/cgi/search/archive/simple?order=-date%2Fcreators_name%2Ftitle&amp;_action_search=Reorder&amp;screen=Search&amp;dataset=archive&amp;exp=0%7C1%7C%7Carchive%7C-%7Cq%3A%3AALL%3AIN%3Adelve+OR+delves+OR+delved+OR+delving%7C-%7C</t>
  </si>
  <si>
    <t>https://zir.nsk.hr/en/islandora/search/full_data_smt%3A%28delve%29%20OR%20full_data_smt%3A%28delves%29%20OR%20full_data_smt%3A%28delved%29%20OR%20full_data_smt%3A%28delving%29?islandora_solr_search_navigation=0&amp;f%5B0%5D=mods_language_ms%3A%22eng%22</t>
  </si>
  <si>
    <t>https://www.diva-portal.org/smash/resultList.jsf?dswid=-7444&amp;language=en&amp;searchType=SIMPLE&amp;query=&amp;af=%5B%5D&amp;aq=%5B%5B%5D%5D&amp;aq2=%5B%5B%5D%5D&amp;aqe=%5B%5D&amp;noOfRows=50&amp;sortOrder=author_sort_asc&amp;sortOrder2=title_sort_asc&amp;onlyFullText=false&amp;sf=undergraduate</t>
  </si>
  <si>
    <t>https://www.diva-portal.org/smash/resultList.jsf?dswid=-7444&amp;language=en&amp;searchType=SIMPLE&amp;query=delve+OR+delves+OR+delved+OR+delving&amp;af=%5B%5D&amp;aq=%5B%5B%5D%5D&amp;aq2=%5B%5B%5D%5D&amp;aqe=%5B%5D&amp;noOfRows=50&amp;sortOrder=author_sort_asc&amp;sortOrder2=title_sort_asc&amp;onlyFullText=false&amp;sf=undergraduate</t>
  </si>
  <si>
    <t>https://zir.nsk.hr/en/islandora/search/full_data_smt%3A%28enhancing%29%20AND%20full_data_smt%3A%28crucial%29?islandora_solr_search_navigation=0&amp;f%5B0%5D=mods_language_ms%3A%22eng%22</t>
  </si>
  <si>
    <t>https://zir.nsk.hr/en/islandora/search/%2A%3A%2A?islandora_solr_search_navigation=0&amp;f%5B0%5D=mods_language_ms%3A%22eng%22</t>
  </si>
  <si>
    <t>https://zir.nsk.hr/en/islandora/search/full_data_smt%3A%28%22room%20temperature%22%29?islandora_solr_search_navigation=0&amp;f%5B0%5D=mods_language_ms%3A%22eng%22</t>
  </si>
  <si>
    <r>
      <rPr>
        <i/>
        <sz val="10"/>
        <rFont val="Arial"/>
        <family val="2"/>
      </rPr>
      <t>Note.</t>
    </r>
    <r>
      <rPr>
        <sz val="10"/>
        <rFont val="Arial"/>
        <family val="2"/>
      </rPr>
      <t xml:space="preserve"> Only English recorded are included in the results.</t>
    </r>
  </si>
  <si>
    <r>
      <rPr>
        <i/>
        <sz val="10"/>
        <color theme="1"/>
        <rFont val="Arial"/>
        <family val="2"/>
      </rPr>
      <t>Note.</t>
    </r>
    <r>
      <rPr>
        <sz val="10"/>
        <color theme="1"/>
        <rFont val="Arial"/>
        <family val="2"/>
      </rPr>
      <t xml:space="preserve"> To extract the number of total records, the word "References" was used, as the search function did not allow using a space as in other databases. </t>
    </r>
  </si>
  <si>
    <t>Percentage of total records</t>
  </si>
  <si>
    <t>https://journals.plos.org/plosone/search?filterStartDate=2019-01-01&amp;filterEndDate=2019-12-31&amp;q=everything%3Adelve&amp;page=1&amp;utm_content=a&amp;utm_campaign=ENG-2397</t>
  </si>
  <si>
    <t>Aligning</t>
  </si>
  <si>
    <t>Comprehensive</t>
  </si>
  <si>
    <t>Crucial</t>
  </si>
  <si>
    <t>Culminating</t>
  </si>
  <si>
    <t>Delves</t>
  </si>
  <si>
    <t>Emphasizing</t>
  </si>
  <si>
    <t>Employing</t>
  </si>
  <si>
    <t>Enhancing</t>
  </si>
  <si>
    <t>Facilitating</t>
  </si>
  <si>
    <t>Fostering</t>
  </si>
  <si>
    <t>Garnered</t>
  </si>
  <si>
    <t>Intricate</t>
  </si>
  <si>
    <t>Leveraging</t>
  </si>
  <si>
    <t>Meticulous</t>
  </si>
  <si>
    <t>Notable</t>
  </si>
  <si>
    <t>Nuanced</t>
  </si>
  <si>
    <t>Pivotal</t>
  </si>
  <si>
    <t>Reliance</t>
  </si>
  <si>
    <t>Significance</t>
  </si>
  <si>
    <t>Streamline</t>
  </si>
  <si>
    <t>Undergone</t>
  </si>
  <si>
    <t>Underscores</t>
  </si>
  <si>
    <t>Utilizing</t>
  </si>
  <si>
    <t>Using</t>
  </si>
  <si>
    <t>The</t>
  </si>
  <si>
    <t>Delft University of Technology (MSc thesis abstracts)</t>
  </si>
  <si>
    <t>Necessitates</t>
  </si>
  <si>
    <t>Room temperature</t>
  </si>
  <si>
    <t>https://repository.tudelft.nl/islandora/search/crucial?collection=education&amp;f%5B0%5D=mods_genre_s%3A%22master%5C%20thesis%22</t>
  </si>
  <si>
    <t>https://repository.tudelft.nl/islandora/search/comprehensive?collection=education&amp;f%5B0%5D=mods_genre_s%3A%22master%5C%20thesis%22</t>
  </si>
  <si>
    <t>https://repository.tudelft.nl/islandora/search/aligning?collection=education&amp;f%5B0%5D=mods_genre_s%3A%22master%5C%20thesis%22</t>
  </si>
  <si>
    <t>https://repository.tudelft.nl/islandora/search/culminating?collection=education&amp;f%5B0%5D=mods_genre_s%3A%22master%5C%20thesis%22</t>
  </si>
  <si>
    <t>https://repository.tudelft.nl/islandora/search/delves?collection=education&amp;f%5B0%5D=mods_genre_s%3A%22master%5C%20thesis%22</t>
  </si>
  <si>
    <t>https://repository.tudelft.nl/islandora/search/emphasizing?collection=education&amp;f%5B0%5D=mods_genre_s%3A%22master%5C%20thesis%22</t>
  </si>
  <si>
    <t>https://repository.tudelft.nl/islandora/search/employing?collection=education&amp;f%5B0%5D=mods_genre_s%3A%22master%5C%20thesis%22</t>
  </si>
  <si>
    <t>https://repository.tudelft.nl/islandora/search/enhancing?collection=education&amp;f%5B0%5D=mods_genre_s%3A%22master%5C%20thesis%22</t>
  </si>
  <si>
    <t>https://repository.tudelft.nl/islandora/search/facilitating?collection=education&amp;f%5B0%5D=mods_genre_s%3A%22master%5C%20thesis%22</t>
  </si>
  <si>
    <t>https://repository.tudelft.nl/islandora/search/fostering?collection=education&amp;f%5B0%5D=mods_genre_s%3A%22master%5C%20thesis%22</t>
  </si>
  <si>
    <t>https://repository.tudelft.nl/islandora/search/garnered?collection=education&amp;f%5B0%5D=mods_genre_s%3A%22master%5C%20thesis%22</t>
  </si>
  <si>
    <t>https://repository.tudelft.nl/islandora/search/intricate?collection=education&amp;f%5B0%5D=mods_genre_s%3A%22master%5C%20thesis%22</t>
  </si>
  <si>
    <t>https://repository.tudelft.nl/islandora/search/leveraging?collection=education&amp;f%5B0%5D=mods_genre_s%3A%22master%5C%20thesis%22</t>
  </si>
  <si>
    <t>https://repository.tudelft.nl/islandora/search/meticulous?collection=education&amp;f%5B0%5D=mods_genre_s%3A%22master%5C%20thesis%22</t>
  </si>
  <si>
    <t>https://repository.tudelft.nl/islandora/search/necessitates?collection=education&amp;f%5B0%5D=mods_genre_s%3A%22master%5C%20thesis%22</t>
  </si>
  <si>
    <t>https://repository.tudelft.nl/islandora/search/notable?collection=education&amp;f%5B0%5D=mods_genre_s%3A%22master%5C%20thesis%22</t>
  </si>
  <si>
    <t>https://repository.tudelft.nl/islandora/search/nuanced?collection=education&amp;f%5B0%5D=mods_genre_s%3A%22master%5C%20thesis%22</t>
  </si>
  <si>
    <t>https://repository.tudelft.nl/islandora/search/pivotal?collection=education&amp;f%5B0%5D=mods_genre_s%3A%22master%5C%20thesis%22</t>
  </si>
  <si>
    <t>https://repository.tudelft.nl/islandora/search/reliance?collection=education&amp;f%5B0%5D=mods_genre_s%3A%22master%5C%20thesis%22</t>
  </si>
  <si>
    <t>https://repository.tudelft.nl/islandora/search/significance?collection=education&amp;f%5B0%5D=mods_genre_s%3A%22master%5C%20thesis%22</t>
  </si>
  <si>
    <t>https://repository.tudelft.nl/islandora/search/streamline?collection=education&amp;f%5B0%5D=mods_genre_s%3A%22master%5C%20thesis%22</t>
  </si>
  <si>
    <t>https://repository.tudelft.nl/islandora/search/undergone?collection=education&amp;f%5B0%5D=mods_genre_s%3A%22master%5C%20thesis%22</t>
  </si>
  <si>
    <t>https://repository.tudelft.nl/islandora/search/underscores?collection=education&amp;f%5B0%5D=mods_genre_s%3A%22master%5C%20thesis%22</t>
  </si>
  <si>
    <t>https://repository.tudelft.nl/islandora/search/utilizing?collection=education&amp;f%5B0%5D=mods_genre_s%3A%22master%5C%20thesis%22</t>
  </si>
  <si>
    <t>https://repository.tudelft.nl/islandora/search/using?collection=education&amp;f%5B0%5D=mods_genre_s%3A%22master%5C%20thesis%22</t>
  </si>
  <si>
    <t>https://repository.tudelft.nl/islandora/search/the?collection=education&amp;f%5B0%5D=mods_genre_s%3A%22master%5C%20thesis%22</t>
  </si>
  <si>
    <t>https://repository.tudelft.nl/islandora/search/%22room%20temperature%22?collection=education&amp;f%5B0%5D=mods_genre_s%3A%22master%5C%20thesis%22</t>
  </si>
  <si>
    <r>
      <rPr>
        <i/>
        <sz val="10"/>
        <rFont val="Arial"/>
        <family val="2"/>
      </rPr>
      <t>General note.</t>
    </r>
    <r>
      <rPr>
        <sz val="10"/>
        <rFont val="Arial"/>
        <family val="2"/>
      </rPr>
      <t xml:space="preserve"> Search date: 1 October 2023. Search areas: Full text, including abstract and references, except for DiVA which only searches in title and abstract.  The search functions of Taylor &amp; Francis and PLOS are "smart", meaning that they capture derivatives of the search terms (e.g., "delve" also captures "delves", "delved", etc., and "enhancing" also captures "enhance", "enhances", etc.).</t>
    </r>
  </si>
  <si>
    <r>
      <rPr>
        <i/>
        <sz val="10"/>
        <rFont val="Arial"/>
        <family val="2"/>
      </rPr>
      <t>General note.</t>
    </r>
    <r>
      <rPr>
        <sz val="10"/>
        <rFont val="Arial"/>
        <family val="2"/>
      </rPr>
      <t xml:space="preserve"> Search date: 25 November 2023. Search areas: Full text, including abstract and references, except for DiVA which only searches in title and abstract.  The search functions of Taylor &amp; Francis and PLOS are "smart", meaning that they capture derivatives of the search terms (e.g., "delve" also captures "delves", "delved", etc., and "enhancing" also captures "enhance", "enhances", etc.).</t>
    </r>
  </si>
  <si>
    <r>
      <rPr>
        <i/>
        <sz val="10"/>
        <rFont val="Arial"/>
        <family val="2"/>
      </rPr>
      <t xml:space="preserve">Note. </t>
    </r>
    <r>
      <rPr>
        <sz val="10"/>
        <rFont val="Arial"/>
        <family val="2"/>
      </rPr>
      <t xml:space="preserve">Search date: 1 October 2023. Search areas: Full text, including abstract and references. The search functions are "smart", meaning that they capture derivatives of the search term, except for the Delft University of Technology and the University of Twente, which do not capture derivatives. The extent to which derivatives are captured varies per database. </t>
    </r>
  </si>
  <si>
    <r>
      <rPr>
        <i/>
        <sz val="10"/>
        <rFont val="Arial"/>
        <family val="2"/>
      </rPr>
      <t>Note.</t>
    </r>
    <r>
      <rPr>
        <sz val="10"/>
        <rFont val="Arial"/>
        <family val="2"/>
      </rPr>
      <t xml:space="preserve"> Search date: 25 November 2023. Search areas: Full text, including abstract and references. The search functions are "smart", meaning that they capture derivatives of the search terms (e.g., "delve" also captures "delves", "delved", etc., and "enhancing" also captures "enhance", "enhances", etc.), except for the Delft University of Technology and the University of Twente, which  do not capture derivatives. The extent to which derivatives are captured varies per database. For example, ScienceDirect,captures “enhancement” and “enhancer” but Springer Link and IEEE Xplore do not. For the University of Twente, for "delve OR delves OR delved OR delving" and for "room temperature", a "simple search" instead of "advanced search" (terms as in the corresponding database settings) was used, because the latter does not capture Boolean OR and multi-word expressions.</t>
    </r>
  </si>
  <si>
    <r>
      <rPr>
        <i/>
        <sz val="11"/>
        <color theme="1"/>
        <rFont val="Calibri"/>
        <family val="2"/>
        <scheme val="minor"/>
      </rPr>
      <t>Note.</t>
    </r>
    <r>
      <rPr>
        <sz val="11"/>
        <color theme="1"/>
        <rFont val="Calibri"/>
        <family val="2"/>
        <scheme val="minor"/>
      </rPr>
      <t xml:space="preserve"> "Necessitates" has been used as a new target word gere instead of "Undergone" in the paper. Moreover, "Room temperature" was used instead of "The" as the former is less prevalent than "The".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</si>
</sst>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u/>
      <sz val="11"/>
      <color theme="10"/>
      <name val="Calibri"/>
      <family val="2"/>
      <scheme val="minor"/>
    </font>
    <font>
      <sz val="10"/>
      <color theme="1"/>
      <name val="Arial"/>
      <family val="2"/>
    </font>
    <font>
      <b/>
      <sz val="10"/>
      <color theme="1"/>
      <name val="Arial"/>
      <family val="2"/>
    </font>
    <font>
      <sz val="10"/>
      <name val="Arial"/>
      <family val="2"/>
    </font>
    <font>
      <i/>
      <sz val="10"/>
      <color theme="1"/>
      <name val="Arial"/>
      <family val="2"/>
    </font>
    <font>
      <b/>
      <sz val="10"/>
      <name val="Arial"/>
      <family val="2"/>
    </font>
    <font>
      <i/>
      <sz val="10"/>
      <name val="Arial"/>
      <family val="2"/>
    </font>
    <font>
      <b/>
      <sz val="11"/>
      <color theme="1"/>
      <name val="Calibri"/>
      <family val="2"/>
      <scheme val="minor"/>
    </font>
    <font>
      <i/>
      <sz val="11"/>
      <color theme="1"/>
      <name val="Calibri"/>
      <family val="2"/>
      <scheme val="minor"/>
    </font>
  </fonts>
  <fills count="2">
    <fill>
      <patternFill patternType="none"/>
    </fill>
    <fill>
      <patternFill patternType="gray125"/>
    </fill>
  </fills>
  <borders count="4">
    <border>
      <left/>
      <right/>
      <top/>
      <bottom/>
      <diagonal/>
    </border>
    <border>
      <left/>
      <right/>
      <top style="thin">
        <color auto="1"/>
      </top>
      <bottom/>
      <diagonal/>
    </border>
    <border>
      <left/>
      <right/>
      <top/>
      <bottom style="thin">
        <color auto="1"/>
      </bottom>
      <diagonal/>
    </border>
    <border>
      <left/>
      <right/>
      <top style="thin">
        <color auto="1"/>
      </top>
      <bottom style="thin">
        <color indexed="64"/>
      </bottom>
      <diagonal/>
    </border>
  </borders>
  <cellStyleXfs count="2">
    <xf numFmtId="0" fontId="0" fillId="0" borderId="0"/>
    <xf numFmtId="0" fontId="1" fillId="0" borderId="0" applyNumberFormat="0" applyFill="0" applyBorder="0" applyAlignment="0" applyProtection="0"/>
  </cellStyleXfs>
  <cellXfs count="64">
    <xf numFmtId="0" fontId="0" fillId="0" borderId="0" xfId="0"/>
    <xf numFmtId="0" fontId="2" fillId="0" borderId="0" xfId="0" applyFont="1"/>
    <xf numFmtId="0" fontId="3" fillId="0" borderId="0" xfId="0" applyFont="1"/>
    <xf numFmtId="164" fontId="3" fillId="0" borderId="0" xfId="0" applyNumberFormat="1" applyFont="1"/>
    <xf numFmtId="164" fontId="2" fillId="0" borderId="0" xfId="0" applyNumberFormat="1" applyFont="1"/>
    <xf numFmtId="10" fontId="2" fillId="0" borderId="0" xfId="0" applyNumberFormat="1" applyFont="1"/>
    <xf numFmtId="0" fontId="2" fillId="0" borderId="1" xfId="0" applyFont="1" applyBorder="1" applyAlignment="1">
      <alignment horizontal="center"/>
    </xf>
    <xf numFmtId="0" fontId="3" fillId="0" borderId="1" xfId="0" applyFont="1" applyBorder="1"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0" fontId="2" fillId="0" borderId="2" xfId="0" applyFont="1" applyBorder="1" applyAlignment="1">
      <alignment horizontal="center"/>
    </xf>
    <xf numFmtId="0" fontId="3" fillId="0" borderId="2" xfId="0" applyFont="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xf>
    <xf numFmtId="10" fontId="2" fillId="0" borderId="0" xfId="0" applyNumberFormat="1" applyFont="1" applyAlignment="1">
      <alignment horizontal="center"/>
    </xf>
    <xf numFmtId="10" fontId="2" fillId="0" borderId="1" xfId="0" applyNumberFormat="1" applyFont="1" applyBorder="1" applyAlignment="1">
      <alignment horizontal="center"/>
    </xf>
    <xf numFmtId="0" fontId="2" fillId="0" borderId="0" xfId="0" applyFont="1" applyAlignment="1">
      <alignment horizontal="left"/>
    </xf>
    <xf numFmtId="0" fontId="2" fillId="0" borderId="1" xfId="0" applyFont="1" applyBorder="1" applyAlignment="1">
      <alignment horizontal="left"/>
    </xf>
    <xf numFmtId="0" fontId="2" fillId="0" borderId="2" xfId="0" applyFont="1" applyBorder="1" applyAlignment="1">
      <alignment horizontal="left"/>
    </xf>
    <xf numFmtId="0" fontId="3" fillId="0" borderId="0" xfId="0" applyFont="1" applyAlignment="1">
      <alignment horizontal="left"/>
    </xf>
    <xf numFmtId="164" fontId="3" fillId="0" borderId="1" xfId="0" applyNumberFormat="1" applyFont="1" applyBorder="1" applyAlignment="1">
      <alignment horizontal="center"/>
    </xf>
    <xf numFmtId="164" fontId="3" fillId="0" borderId="2" xfId="0" applyNumberFormat="1" applyFont="1" applyBorder="1" applyAlignment="1">
      <alignment horizontal="center"/>
    </xf>
    <xf numFmtId="164" fontId="2" fillId="0" borderId="1" xfId="0" applyNumberFormat="1" applyFont="1" applyBorder="1" applyAlignment="1">
      <alignment horizontal="center"/>
    </xf>
    <xf numFmtId="164" fontId="2" fillId="0" borderId="2" xfId="0" applyNumberFormat="1" applyFont="1" applyBorder="1" applyAlignment="1">
      <alignment horizontal="center"/>
    </xf>
    <xf numFmtId="9" fontId="2" fillId="0" borderId="0" xfId="0" applyNumberFormat="1" applyFont="1" applyAlignment="1">
      <alignment horizontal="center"/>
    </xf>
    <xf numFmtId="9" fontId="3" fillId="0" borderId="0" xfId="0" applyNumberFormat="1" applyFont="1" applyAlignment="1">
      <alignment horizontal="center"/>
    </xf>
    <xf numFmtId="9" fontId="2" fillId="0" borderId="1" xfId="0" applyNumberFormat="1" applyFont="1" applyBorder="1" applyAlignment="1">
      <alignment horizontal="center"/>
    </xf>
    <xf numFmtId="9" fontId="2" fillId="0" borderId="2" xfId="0" applyNumberFormat="1" applyFont="1" applyBorder="1" applyAlignment="1">
      <alignment horizontal="center"/>
    </xf>
    <xf numFmtId="0" fontId="3" fillId="0" borderId="1" xfId="0" applyFont="1" applyBorder="1" applyAlignment="1">
      <alignment horizontal="left"/>
    </xf>
    <xf numFmtId="0" fontId="4" fillId="0" borderId="0" xfId="1" applyFont="1" applyFill="1"/>
    <xf numFmtId="0" fontId="4" fillId="0" borderId="0" xfId="1" applyFont="1"/>
    <xf numFmtId="0" fontId="4" fillId="0" borderId="0" xfId="0" applyFont="1"/>
    <xf numFmtId="10" fontId="2" fillId="0" borderId="2" xfId="0" applyNumberFormat="1" applyFont="1" applyBorder="1" applyAlignment="1">
      <alignment horizontal="center"/>
    </xf>
    <xf numFmtId="0" fontId="3" fillId="0" borderId="2" xfId="0" applyFont="1" applyBorder="1"/>
    <xf numFmtId="0" fontId="2" fillId="0" borderId="2" xfId="0" applyFont="1" applyBorder="1"/>
    <xf numFmtId="0" fontId="4" fillId="0" borderId="2" xfId="0" applyFont="1" applyBorder="1"/>
    <xf numFmtId="0" fontId="2" fillId="0" borderId="3" xfId="0" applyFont="1" applyBorder="1"/>
    <xf numFmtId="0" fontId="6" fillId="0" borderId="0" xfId="0" applyFont="1" applyAlignment="1">
      <alignment horizontal="left"/>
    </xf>
    <xf numFmtId="0" fontId="6" fillId="0" borderId="0" xfId="0" applyFont="1" applyAlignment="1">
      <alignment horizontal="center"/>
    </xf>
    <xf numFmtId="0" fontId="4" fillId="0" borderId="0" xfId="0" applyFont="1" applyAlignment="1">
      <alignment horizontal="center"/>
    </xf>
    <xf numFmtId="164" fontId="6" fillId="0" borderId="0" xfId="0" applyNumberFormat="1" applyFont="1" applyAlignment="1">
      <alignment horizontal="center"/>
    </xf>
    <xf numFmtId="164" fontId="4" fillId="0" borderId="0" xfId="0" applyNumberFormat="1" applyFont="1" applyAlignment="1">
      <alignment horizontal="center"/>
    </xf>
    <xf numFmtId="9" fontId="4" fillId="0" borderId="0" xfId="0" applyNumberFormat="1" applyFont="1" applyAlignment="1">
      <alignment horizontal="center"/>
    </xf>
    <xf numFmtId="164" fontId="4" fillId="0" borderId="0" xfId="0" applyNumberFormat="1" applyFont="1"/>
    <xf numFmtId="0" fontId="4" fillId="0" borderId="1" xfId="0" applyFont="1" applyBorder="1" applyAlignment="1">
      <alignment horizontal="center"/>
    </xf>
    <xf numFmtId="164" fontId="4" fillId="0" borderId="1" xfId="0" applyNumberFormat="1" applyFont="1" applyBorder="1" applyAlignment="1">
      <alignment horizontal="center"/>
    </xf>
    <xf numFmtId="10" fontId="4" fillId="0" borderId="1" xfId="0" applyNumberFormat="1" applyFont="1" applyBorder="1" applyAlignment="1">
      <alignment horizontal="center"/>
    </xf>
    <xf numFmtId="9" fontId="4" fillId="0" borderId="1" xfId="0" applyNumberFormat="1" applyFont="1" applyBorder="1" applyAlignment="1">
      <alignment horizontal="center"/>
    </xf>
    <xf numFmtId="0" fontId="4" fillId="0" borderId="0" xfId="0" applyFont="1" applyAlignment="1">
      <alignment horizontal="left"/>
    </xf>
    <xf numFmtId="10" fontId="4" fillId="0" borderId="0" xfId="0" applyNumberFormat="1" applyFont="1" applyAlignment="1">
      <alignment horizontal="center"/>
    </xf>
    <xf numFmtId="0" fontId="4" fillId="0" borderId="2" xfId="0" applyFont="1" applyBorder="1" applyAlignment="1">
      <alignment horizontal="left"/>
    </xf>
    <xf numFmtId="0" fontId="4" fillId="0" borderId="2" xfId="0" applyFont="1" applyBorder="1" applyAlignment="1">
      <alignment horizontal="center"/>
    </xf>
    <xf numFmtId="9" fontId="4" fillId="0" borderId="2" xfId="0" applyNumberFormat="1" applyFont="1" applyBorder="1" applyAlignment="1">
      <alignment horizontal="center"/>
    </xf>
    <xf numFmtId="0" fontId="2" fillId="0" borderId="0" xfId="0" applyFont="1" applyAlignment="1">
      <alignment wrapText="1"/>
    </xf>
    <xf numFmtId="9" fontId="2" fillId="0" borderId="0" xfId="0" applyNumberFormat="1" applyFont="1" applyAlignment="1">
      <alignment horizontal="center" wrapText="1"/>
    </xf>
    <xf numFmtId="164" fontId="2" fillId="0" borderId="0" xfId="0" applyNumberFormat="1" applyFont="1" applyAlignment="1">
      <alignment wrapText="1"/>
    </xf>
    <xf numFmtId="0" fontId="4" fillId="0" borderId="1" xfId="0" applyFont="1" applyBorder="1" applyAlignment="1">
      <alignment horizontal="left"/>
    </xf>
    <xf numFmtId="0" fontId="8" fillId="0" borderId="2" xfId="0" applyFont="1" applyBorder="1"/>
    <xf numFmtId="164" fontId="0" fillId="0" borderId="0" xfId="0" applyNumberFormat="1"/>
    <xf numFmtId="10" fontId="0" fillId="0" borderId="0" xfId="0" applyNumberFormat="1"/>
    <xf numFmtId="0" fontId="0" fillId="0" borderId="1" xfId="0" applyBorder="1"/>
    <xf numFmtId="0" fontId="0" fillId="0" borderId="2" xfId="0" applyBorder="1"/>
    <xf numFmtId="0" fontId="4" fillId="0" borderId="1" xfId="0" applyFont="1" applyBorder="1" applyAlignment="1">
      <alignment horizontal="left" vertical="top" wrapText="1"/>
    </xf>
    <xf numFmtId="0" fontId="0" fillId="0" borderId="1" xfId="0"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20</xdr:col>
      <xdr:colOff>578556</xdr:colOff>
      <xdr:row>69</xdr:row>
      <xdr:rowOff>44450</xdr:rowOff>
    </xdr:to>
    <xdr:pic>
      <xdr:nvPicPr>
        <xdr:cNvPr id="4" name="Picture 3">
          <a:extLst>
            <a:ext uri="{FF2B5EF4-FFF2-40B4-BE49-F238E27FC236}">
              <a16:creationId xmlns:a16="http://schemas.microsoft.com/office/drawing/2014/main" id="{D6A6F756-03D5-FFF2-9319-69AA407BC22C}"/>
            </a:ext>
          </a:extLst>
        </xdr:cNvPr>
        <xdr:cNvPicPr>
          <a:picLocks noChangeAspect="1"/>
        </xdr:cNvPicPr>
      </xdr:nvPicPr>
      <xdr:blipFill>
        <a:blip xmlns:r="http://schemas.openxmlformats.org/officeDocument/2006/relationships" r:embed="rId1"/>
        <a:stretch>
          <a:fillRect/>
        </a:stretch>
      </xdr:blipFill>
      <xdr:spPr>
        <a:xfrm>
          <a:off x="609600" y="5759450"/>
          <a:ext cx="12148256" cy="685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20</xdr:col>
      <xdr:colOff>578556</xdr:colOff>
      <xdr:row>70</xdr:row>
      <xdr:rowOff>44450</xdr:rowOff>
    </xdr:to>
    <xdr:pic>
      <xdr:nvPicPr>
        <xdr:cNvPr id="3" name="Picture 2">
          <a:extLst>
            <a:ext uri="{FF2B5EF4-FFF2-40B4-BE49-F238E27FC236}">
              <a16:creationId xmlns:a16="http://schemas.microsoft.com/office/drawing/2014/main" id="{A318CC18-2520-2E1C-3DAF-70B1613B95C1}"/>
            </a:ext>
          </a:extLst>
        </xdr:cNvPr>
        <xdr:cNvPicPr>
          <a:picLocks noChangeAspect="1"/>
        </xdr:cNvPicPr>
      </xdr:nvPicPr>
      <xdr:blipFill>
        <a:blip xmlns:r="http://schemas.openxmlformats.org/officeDocument/2006/relationships" r:embed="rId1"/>
        <a:stretch>
          <a:fillRect/>
        </a:stretch>
      </xdr:blipFill>
      <xdr:spPr>
        <a:xfrm>
          <a:off x="609600" y="5962650"/>
          <a:ext cx="12148256" cy="685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E183F-A92D-4872-81D1-B99CB97EF60E}">
  <dimension ref="C2:AU42"/>
  <sheetViews>
    <sheetView showGridLines="0" tabSelected="1" workbookViewId="0"/>
  </sheetViews>
  <sheetFormatPr defaultColWidth="9.26953125" defaultRowHeight="12.5" x14ac:dyDescent="0.25"/>
  <cols>
    <col min="1" max="1" width="9.26953125" style="1"/>
    <col min="2" max="2" width="1.1796875" style="1" customWidth="1"/>
    <col min="3" max="3" width="32.453125" style="16" customWidth="1"/>
    <col min="4" max="8" width="6.7265625" style="1" customWidth="1"/>
    <col min="9" max="9" width="3.36328125" style="1" customWidth="1"/>
    <col min="10" max="14" width="6.7265625" style="1" customWidth="1"/>
    <col min="15" max="15" width="2" style="1" customWidth="1"/>
    <col min="16" max="16" width="8.453125" style="4" customWidth="1"/>
    <col min="17" max="17" width="1.453125" style="4" customWidth="1"/>
    <col min="18" max="18" width="6.81640625" style="4" customWidth="1"/>
    <col min="19" max="23" width="9.26953125" style="1" bestFit="1"/>
    <col min="24" max="16384" width="9.26953125" style="1"/>
  </cols>
  <sheetData>
    <row r="2" spans="3:47" ht="5.75" customHeight="1" x14ac:dyDescent="0.25">
      <c r="S2" s="34"/>
      <c r="T2" s="34"/>
      <c r="U2" s="34"/>
      <c r="V2" s="34"/>
      <c r="W2" s="34"/>
    </row>
    <row r="3" spans="3:47" ht="13" customHeight="1" x14ac:dyDescent="0.3">
      <c r="C3" s="17"/>
      <c r="D3" s="28" t="s">
        <v>41</v>
      </c>
      <c r="E3" s="7"/>
      <c r="F3" s="7"/>
      <c r="G3" s="7"/>
      <c r="H3" s="7"/>
      <c r="I3" s="7"/>
      <c r="J3" s="28" t="s">
        <v>145</v>
      </c>
      <c r="K3" s="7"/>
      <c r="L3" s="7"/>
      <c r="M3" s="7"/>
      <c r="N3" s="7"/>
      <c r="O3" s="7"/>
      <c r="P3" s="20" t="s">
        <v>46</v>
      </c>
      <c r="Q3" s="9"/>
    </row>
    <row r="4" spans="3:47" ht="13" customHeight="1" x14ac:dyDescent="0.3">
      <c r="C4" s="18"/>
      <c r="D4" s="11">
        <v>2019</v>
      </c>
      <c r="E4" s="11">
        <v>2020</v>
      </c>
      <c r="F4" s="11">
        <v>2021</v>
      </c>
      <c r="G4" s="11">
        <v>2022</v>
      </c>
      <c r="H4" s="11">
        <v>2023</v>
      </c>
      <c r="I4" s="10"/>
      <c r="J4" s="11">
        <v>2019</v>
      </c>
      <c r="K4" s="11">
        <v>2020</v>
      </c>
      <c r="L4" s="11">
        <v>2021</v>
      </c>
      <c r="M4" s="11">
        <v>2022</v>
      </c>
      <c r="N4" s="11">
        <v>2023</v>
      </c>
      <c r="O4" s="11"/>
      <c r="P4" s="21" t="s">
        <v>45</v>
      </c>
      <c r="Q4" s="9"/>
      <c r="S4" s="33">
        <v>2019</v>
      </c>
      <c r="T4" s="33">
        <v>2020</v>
      </c>
      <c r="U4" s="33">
        <v>2021</v>
      </c>
      <c r="V4" s="33">
        <v>2022</v>
      </c>
      <c r="W4" s="33">
        <v>2023</v>
      </c>
      <c r="X4" s="2"/>
      <c r="AR4" s="2"/>
      <c r="AS4" s="2"/>
      <c r="AT4" s="2"/>
      <c r="AU4" s="2"/>
    </row>
    <row r="5" spans="3:47" ht="13" customHeight="1" x14ac:dyDescent="0.3">
      <c r="C5" s="19" t="s">
        <v>42</v>
      </c>
      <c r="D5" s="8"/>
      <c r="E5" s="8"/>
      <c r="F5" s="8"/>
      <c r="G5" s="8"/>
      <c r="H5" s="8"/>
      <c r="I5" s="12"/>
      <c r="J5" s="8"/>
      <c r="K5" s="8"/>
      <c r="L5" s="8"/>
      <c r="M5" s="8"/>
      <c r="N5" s="8"/>
      <c r="O5" s="8"/>
      <c r="P5" s="24"/>
      <c r="Q5" s="24"/>
      <c r="S5" s="36"/>
      <c r="T5" s="36"/>
      <c r="U5" s="36"/>
      <c r="V5" s="36"/>
      <c r="W5" s="36"/>
    </row>
    <row r="6" spans="3:47" ht="13" customHeight="1" x14ac:dyDescent="0.25">
      <c r="C6" s="17" t="s">
        <v>67</v>
      </c>
      <c r="D6" s="6">
        <v>3009</v>
      </c>
      <c r="E6" s="6">
        <v>3565</v>
      </c>
      <c r="F6" s="6">
        <v>4408</v>
      </c>
      <c r="G6" s="6">
        <v>5079</v>
      </c>
      <c r="H6" s="6">
        <v>9290</v>
      </c>
      <c r="I6" s="6"/>
      <c r="J6" s="15">
        <f>D6/D9</f>
        <v>3.844183452764069E-3</v>
      </c>
      <c r="K6" s="15">
        <f>E6/E9</f>
        <v>4.3952819453160347E-3</v>
      </c>
      <c r="L6" s="15">
        <f>F6/F9</f>
        <v>5.1496891260715862E-3</v>
      </c>
      <c r="M6" s="15">
        <f>G6/G9</f>
        <v>5.686207336651687E-3</v>
      </c>
      <c r="N6" s="15">
        <f>H6/H9</f>
        <v>1.1464564130599772E-2</v>
      </c>
      <c r="O6" s="15"/>
      <c r="P6" s="26">
        <f>N6/L6-1</f>
        <v>1.2262633432681511</v>
      </c>
      <c r="Q6" s="24"/>
      <c r="S6" s="1" t="s">
        <v>91</v>
      </c>
    </row>
    <row r="7" spans="3:47" ht="13" customHeight="1" x14ac:dyDescent="0.25">
      <c r="C7" s="16" t="s">
        <v>0</v>
      </c>
      <c r="D7" s="12">
        <v>73181</v>
      </c>
      <c r="E7" s="12">
        <v>86296</v>
      </c>
      <c r="F7" s="12">
        <v>105811</v>
      </c>
      <c r="G7" s="12">
        <v>122667</v>
      </c>
      <c r="H7" s="12">
        <v>151861</v>
      </c>
      <c r="I7" s="12"/>
      <c r="J7" s="13">
        <f>D7/D9</f>
        <v>9.3493250002235739E-2</v>
      </c>
      <c r="K7" s="13">
        <f>E7/E9</f>
        <v>0.10639417973435976</v>
      </c>
      <c r="L7" s="13">
        <f>F7/F9</f>
        <v>0.12361473596160631</v>
      </c>
      <c r="M7" s="13">
        <f>G7/G9</f>
        <v>0.137332151085854</v>
      </c>
      <c r="N7" s="13">
        <f>H7/H9</f>
        <v>0.18740798422357505</v>
      </c>
      <c r="O7" s="14"/>
      <c r="P7" s="24">
        <f>N7/L7-1</f>
        <v>0.51606507723951589</v>
      </c>
      <c r="Q7" s="24"/>
      <c r="S7" s="1" t="s">
        <v>84</v>
      </c>
    </row>
    <row r="8" spans="3:47" ht="13" customHeight="1" x14ac:dyDescent="0.25">
      <c r="C8" s="16" t="s">
        <v>1</v>
      </c>
      <c r="D8" s="12">
        <v>135495</v>
      </c>
      <c r="E8" s="12">
        <v>144032</v>
      </c>
      <c r="F8" s="12">
        <v>153344</v>
      </c>
      <c r="G8" s="12">
        <v>164241</v>
      </c>
      <c r="H8" s="12">
        <v>153716</v>
      </c>
      <c r="I8" s="12"/>
      <c r="J8" s="13">
        <f>D8/D9</f>
        <v>0.17310323593628033</v>
      </c>
      <c r="K8" s="13">
        <f>E8/E9</f>
        <v>0.17757678797973608</v>
      </c>
      <c r="L8" s="13">
        <f>F8/F9</f>
        <v>0.17914562825506383</v>
      </c>
      <c r="M8" s="13">
        <f>G8/G9</f>
        <v>0.18387642826914938</v>
      </c>
      <c r="N8" s="13">
        <f>H8/H9</f>
        <v>0.18969719482231159</v>
      </c>
      <c r="O8" s="14"/>
      <c r="P8" s="24">
        <f>N8/L8-1</f>
        <v>5.8899380744165564E-2</v>
      </c>
      <c r="Q8" s="24"/>
      <c r="S8" s="1" t="s">
        <v>3</v>
      </c>
    </row>
    <row r="9" spans="3:47" ht="13" customHeight="1" x14ac:dyDescent="0.25">
      <c r="C9" s="18" t="s">
        <v>39</v>
      </c>
      <c r="D9" s="10">
        <v>782741</v>
      </c>
      <c r="E9" s="10">
        <v>811097</v>
      </c>
      <c r="F9" s="10">
        <v>855974</v>
      </c>
      <c r="G9" s="10">
        <v>893214</v>
      </c>
      <c r="H9" s="10">
        <v>810323</v>
      </c>
      <c r="I9" s="10"/>
      <c r="J9" s="32"/>
      <c r="K9" s="32"/>
      <c r="L9" s="32"/>
      <c r="M9" s="32"/>
      <c r="N9" s="32"/>
      <c r="O9" s="32"/>
      <c r="P9" s="27"/>
      <c r="Q9" s="24"/>
      <c r="S9" s="34" t="s">
        <v>93</v>
      </c>
      <c r="T9" s="34"/>
      <c r="U9" s="34"/>
      <c r="V9" s="34"/>
      <c r="W9" s="34"/>
    </row>
    <row r="10" spans="3:47" ht="13" customHeight="1" x14ac:dyDescent="0.25">
      <c r="D10" s="12"/>
      <c r="E10" s="12"/>
      <c r="F10" s="12"/>
      <c r="G10" s="12"/>
      <c r="H10" s="12"/>
      <c r="I10" s="12"/>
      <c r="J10" s="14"/>
      <c r="K10" s="14"/>
      <c r="L10" s="14"/>
      <c r="M10" s="14"/>
      <c r="N10" s="14"/>
      <c r="O10" s="14"/>
      <c r="P10" s="24"/>
      <c r="Q10" s="24"/>
    </row>
    <row r="11" spans="3:47" ht="13" customHeight="1" x14ac:dyDescent="0.3">
      <c r="C11" s="19" t="s">
        <v>43</v>
      </c>
      <c r="D11" s="8"/>
      <c r="E11" s="12"/>
      <c r="F11" s="12"/>
      <c r="G11" s="12"/>
      <c r="H11" s="12"/>
      <c r="I11" s="12"/>
      <c r="J11" s="8"/>
      <c r="K11" s="12"/>
      <c r="L11" s="12"/>
      <c r="M11" s="12"/>
      <c r="N11" s="12"/>
      <c r="O11" s="12"/>
      <c r="P11" s="25"/>
      <c r="Q11" s="25"/>
      <c r="R11" s="3"/>
      <c r="S11" s="34"/>
      <c r="T11" s="34"/>
      <c r="U11" s="34"/>
      <c r="V11" s="34"/>
      <c r="W11" s="34"/>
    </row>
    <row r="12" spans="3:47" ht="13" customHeight="1" x14ac:dyDescent="0.25">
      <c r="C12" s="17" t="s">
        <v>67</v>
      </c>
      <c r="D12" s="6">
        <f>1529+393</f>
        <v>1922</v>
      </c>
      <c r="E12" s="6">
        <f>1813+416</f>
        <v>2229</v>
      </c>
      <c r="F12" s="6">
        <f>2293+464</f>
        <v>2757</v>
      </c>
      <c r="G12" s="6">
        <f>2774+685</f>
        <v>3459</v>
      </c>
      <c r="H12" s="6">
        <f>4690+934</f>
        <v>5624</v>
      </c>
      <c r="I12" s="6"/>
      <c r="J12" s="15">
        <f>D12/D15</f>
        <v>4.6069583767782453E-3</v>
      </c>
      <c r="K12" s="15">
        <f>E12/E15</f>
        <v>5.0033220801608963E-3</v>
      </c>
      <c r="L12" s="15">
        <f>F12/F15</f>
        <v>5.6653672830690388E-3</v>
      </c>
      <c r="M12" s="15">
        <f>G12/G15</f>
        <v>6.8831026694658086E-3</v>
      </c>
      <c r="N12" s="15">
        <f>H12/H15</f>
        <v>1.2200307177008582E-2</v>
      </c>
      <c r="O12" s="15"/>
      <c r="P12" s="26">
        <f>N12/L12-1</f>
        <v>1.1534891856824929</v>
      </c>
      <c r="Q12" s="24"/>
      <c r="S12" s="1" t="s">
        <v>114</v>
      </c>
      <c r="T12" s="1" t="s">
        <v>115</v>
      </c>
      <c r="U12" s="1" t="s">
        <v>116</v>
      </c>
      <c r="V12" s="1" t="s">
        <v>117</v>
      </c>
      <c r="W12" s="1" t="s">
        <v>118</v>
      </c>
      <c r="Y12" s="5"/>
      <c r="Z12" s="5"/>
      <c r="AA12" s="5"/>
      <c r="AB12" s="5"/>
      <c r="AC12" s="5"/>
    </row>
    <row r="13" spans="3:47" ht="13" customHeight="1" x14ac:dyDescent="0.25">
      <c r="C13" s="16" t="s">
        <v>0</v>
      </c>
      <c r="D13" s="12">
        <f>27233+3692</f>
        <v>30925</v>
      </c>
      <c r="E13" s="12">
        <f>31499+4555</f>
        <v>36054</v>
      </c>
      <c r="F13" s="12">
        <f>38685+5253</f>
        <v>43938</v>
      </c>
      <c r="G13" s="12">
        <f>44743+6257</f>
        <v>51000</v>
      </c>
      <c r="H13" s="12">
        <f>57882+8975</f>
        <v>66857</v>
      </c>
      <c r="I13" s="12"/>
      <c r="J13" s="13">
        <f>D13/D15</f>
        <v>7.4126008221575043E-2</v>
      </c>
      <c r="K13" s="13">
        <f>E13/E15</f>
        <v>8.0928566297945703E-2</v>
      </c>
      <c r="L13" s="13">
        <f>F13/F15</f>
        <v>9.028832342527654E-2</v>
      </c>
      <c r="M13" s="13">
        <f>G13/G15</f>
        <v>0.10148546867382371</v>
      </c>
      <c r="N13" s="13">
        <f>H13/H15</f>
        <v>0.14503483942625583</v>
      </c>
      <c r="O13" s="14"/>
      <c r="P13" s="24">
        <f>N13/L13-1</f>
        <v>0.60635211646484977</v>
      </c>
      <c r="Q13" s="24"/>
      <c r="S13" s="1" t="s">
        <v>88</v>
      </c>
      <c r="T13" s="1" t="s">
        <v>87</v>
      </c>
      <c r="U13" s="1" t="s">
        <v>86</v>
      </c>
      <c r="V13" s="1" t="s">
        <v>85</v>
      </c>
      <c r="W13" s="1" t="s">
        <v>94</v>
      </c>
      <c r="Y13" s="5"/>
      <c r="Z13" s="5"/>
      <c r="AA13" s="5"/>
      <c r="AB13" s="5"/>
      <c r="AC13" s="5"/>
    </row>
    <row r="14" spans="3:47" ht="13" customHeight="1" x14ac:dyDescent="0.25">
      <c r="C14" s="16" t="s">
        <v>1</v>
      </c>
      <c r="D14" s="12">
        <f>47514+1655</f>
        <v>49169</v>
      </c>
      <c r="E14" s="12">
        <f>48856+2030</f>
        <v>50886</v>
      </c>
      <c r="F14" s="12">
        <f>50468+1866</f>
        <v>52334</v>
      </c>
      <c r="G14" s="12">
        <f>52410+1817</f>
        <v>54227</v>
      </c>
      <c r="H14" s="12">
        <f>48802+1976</f>
        <v>50778</v>
      </c>
      <c r="I14" s="12"/>
      <c r="J14" s="13">
        <f>D14/D15</f>
        <v>0.11785615839116001</v>
      </c>
      <c r="K14" s="13">
        <f>E14/E15</f>
        <v>0.11422119666714553</v>
      </c>
      <c r="L14" s="13">
        <f>F14/F15</f>
        <v>0.10754128813642912</v>
      </c>
      <c r="M14" s="13">
        <f>G14/G15</f>
        <v>0.10790691195638115</v>
      </c>
      <c r="N14" s="13">
        <f>H14/H15</f>
        <v>0.1101541959164548</v>
      </c>
      <c r="O14" s="14"/>
      <c r="P14" s="24">
        <f>N14/L14-1</f>
        <v>2.4296787078753379E-2</v>
      </c>
      <c r="Q14" s="24"/>
      <c r="S14" s="1" t="s">
        <v>14</v>
      </c>
      <c r="T14" s="1" t="s">
        <v>13</v>
      </c>
      <c r="U14" s="1" t="s">
        <v>12</v>
      </c>
      <c r="V14" s="1" t="s">
        <v>11</v>
      </c>
      <c r="W14" s="1" t="s">
        <v>10</v>
      </c>
      <c r="Y14" s="5"/>
      <c r="Z14" s="5"/>
      <c r="AA14" s="5"/>
      <c r="AB14" s="5"/>
      <c r="AC14" s="5"/>
    </row>
    <row r="15" spans="3:47" ht="13" customHeight="1" x14ac:dyDescent="0.25">
      <c r="C15" s="18" t="s">
        <v>39</v>
      </c>
      <c r="D15" s="10">
        <f>346051+71144</f>
        <v>417195</v>
      </c>
      <c r="E15" s="10">
        <f>364283+81221</f>
        <v>445504</v>
      </c>
      <c r="F15" s="10">
        <f>404257+82384</f>
        <v>486641</v>
      </c>
      <c r="G15" s="10">
        <f>418173+84362</f>
        <v>502535</v>
      </c>
      <c r="H15" s="10">
        <f>382179+78793</f>
        <v>460972</v>
      </c>
      <c r="I15" s="10"/>
      <c r="J15" s="10"/>
      <c r="K15" s="10"/>
      <c r="L15" s="10"/>
      <c r="M15" s="10"/>
      <c r="N15" s="10"/>
      <c r="O15" s="10"/>
      <c r="P15" s="27"/>
      <c r="Q15" s="24"/>
      <c r="S15" s="34" t="s">
        <v>95</v>
      </c>
      <c r="T15" s="34" t="s">
        <v>6</v>
      </c>
      <c r="U15" s="34" t="s">
        <v>7</v>
      </c>
      <c r="V15" s="34" t="s">
        <v>8</v>
      </c>
      <c r="W15" s="34" t="s">
        <v>9</v>
      </c>
    </row>
    <row r="16" spans="3:47" ht="13" customHeight="1" x14ac:dyDescent="0.25">
      <c r="D16" s="12"/>
      <c r="E16" s="12"/>
      <c r="F16" s="12"/>
      <c r="G16" s="12"/>
      <c r="H16" s="12"/>
      <c r="I16" s="12"/>
      <c r="J16" s="12"/>
      <c r="K16" s="12"/>
      <c r="L16" s="12"/>
      <c r="M16" s="12"/>
      <c r="N16" s="12"/>
      <c r="O16" s="12"/>
      <c r="P16" s="24"/>
      <c r="Q16" s="24"/>
    </row>
    <row r="17" spans="3:23" ht="13" customHeight="1" x14ac:dyDescent="0.3">
      <c r="C17" s="19" t="s">
        <v>44</v>
      </c>
      <c r="D17" s="12"/>
      <c r="E17" s="12"/>
      <c r="F17" s="12"/>
      <c r="G17" s="12"/>
      <c r="H17" s="12"/>
      <c r="I17" s="12"/>
      <c r="J17" s="8"/>
      <c r="K17" s="12"/>
      <c r="L17" s="12"/>
      <c r="M17" s="12"/>
      <c r="N17" s="12"/>
      <c r="O17" s="12"/>
      <c r="P17" s="24"/>
      <c r="Q17" s="24"/>
      <c r="S17" s="34"/>
      <c r="T17" s="34"/>
      <c r="U17" s="34"/>
      <c r="V17" s="34"/>
      <c r="W17" s="34"/>
    </row>
    <row r="18" spans="3:23" ht="13" customHeight="1" x14ac:dyDescent="0.25">
      <c r="C18" s="17" t="s">
        <v>67</v>
      </c>
      <c r="D18" s="6">
        <v>1178</v>
      </c>
      <c r="E18" s="6">
        <v>1215</v>
      </c>
      <c r="F18" s="6">
        <v>1726</v>
      </c>
      <c r="G18" s="6">
        <v>2186</v>
      </c>
      <c r="H18" s="6">
        <v>3125</v>
      </c>
      <c r="I18" s="6"/>
      <c r="J18" s="15">
        <f>D18/D21</f>
        <v>3.975472213879055E-3</v>
      </c>
      <c r="K18" s="15">
        <f>E18/E21</f>
        <v>4.4805180437652581E-3</v>
      </c>
      <c r="L18" s="15">
        <f>F18/F21</f>
        <v>5.6087400157278687E-3</v>
      </c>
      <c r="M18" s="15">
        <f>G18/G21</f>
        <v>6.7320988072544063E-3</v>
      </c>
      <c r="N18" s="15">
        <f>H18/H21</f>
        <v>1.5094722402017138E-2</v>
      </c>
      <c r="O18" s="15"/>
      <c r="P18" s="26">
        <f>N18/L18-1</f>
        <v>1.6912858074521102</v>
      </c>
      <c r="Q18" s="24"/>
      <c r="S18" s="29" t="s">
        <v>123</v>
      </c>
      <c r="T18" s="1" t="s">
        <v>122</v>
      </c>
      <c r="U18" s="1" t="s">
        <v>121</v>
      </c>
      <c r="V18" s="1" t="s">
        <v>120</v>
      </c>
      <c r="W18" s="1" t="s">
        <v>119</v>
      </c>
    </row>
    <row r="19" spans="3:23" ht="13" customHeight="1" x14ac:dyDescent="0.25">
      <c r="C19" s="16" t="s">
        <v>0</v>
      </c>
      <c r="D19" s="12">
        <v>12688</v>
      </c>
      <c r="E19" s="12">
        <v>13892</v>
      </c>
      <c r="F19" s="12">
        <v>17587</v>
      </c>
      <c r="G19" s="12">
        <v>24367</v>
      </c>
      <c r="H19" s="12">
        <v>30155</v>
      </c>
      <c r="I19" s="12"/>
      <c r="J19" s="13">
        <f>D19/D21</f>
        <v>4.2819008021814473E-2</v>
      </c>
      <c r="K19" s="13">
        <f>E19/E21</f>
        <v>5.1229100134968689E-2</v>
      </c>
      <c r="L19" s="13">
        <f>F19/F21</f>
        <v>5.7150006174163402E-2</v>
      </c>
      <c r="M19" s="13">
        <f>G19/G21</f>
        <v>7.5041652166682585E-2</v>
      </c>
      <c r="N19" s="13">
        <f>H19/H21</f>
        <v>0.14565803329050458</v>
      </c>
      <c r="O19" s="14"/>
      <c r="P19" s="24">
        <f>N19/L19-1</f>
        <v>1.548696720112591</v>
      </c>
      <c r="Q19" s="24"/>
      <c r="S19" s="1" t="s">
        <v>51</v>
      </c>
      <c r="T19" s="1" t="s">
        <v>50</v>
      </c>
      <c r="U19" s="1" t="s">
        <v>49</v>
      </c>
      <c r="V19" s="30" t="s">
        <v>48</v>
      </c>
      <c r="W19" s="1" t="s">
        <v>47</v>
      </c>
    </row>
    <row r="20" spans="3:23" ht="13" customHeight="1" x14ac:dyDescent="0.25">
      <c r="C20" s="16" t="s">
        <v>1</v>
      </c>
      <c r="D20" s="12">
        <v>8861</v>
      </c>
      <c r="E20" s="12">
        <v>7735</v>
      </c>
      <c r="F20" s="12">
        <v>8489</v>
      </c>
      <c r="G20" s="12">
        <v>8641</v>
      </c>
      <c r="H20" s="12">
        <v>6082</v>
      </c>
      <c r="I20" s="12"/>
      <c r="J20" s="13">
        <f>D20/D21</f>
        <v>2.9903785472990076E-2</v>
      </c>
      <c r="K20" s="13">
        <f>E20/E21</f>
        <v>2.8524121044052896E-2</v>
      </c>
      <c r="L20" s="13">
        <f>F20/F21</f>
        <v>2.75855121631019E-2</v>
      </c>
      <c r="M20" s="13">
        <f>G20/G21</f>
        <v>2.6611192037275994E-2</v>
      </c>
      <c r="N20" s="13">
        <f>H20/H21</f>
        <v>2.9377952527701836E-2</v>
      </c>
      <c r="O20" s="14"/>
      <c r="P20" s="24">
        <f>N20/L20-1</f>
        <v>6.4977599618305737E-2</v>
      </c>
      <c r="Q20" s="24"/>
      <c r="S20" s="1" t="s">
        <v>55</v>
      </c>
      <c r="T20" s="1" t="s">
        <v>54</v>
      </c>
      <c r="U20" s="1" t="s">
        <v>53</v>
      </c>
      <c r="V20" s="1" t="s">
        <v>52</v>
      </c>
      <c r="W20" s="1" t="s">
        <v>96</v>
      </c>
    </row>
    <row r="21" spans="3:23" ht="13" customHeight="1" x14ac:dyDescent="0.25">
      <c r="C21" s="18" t="s">
        <v>39</v>
      </c>
      <c r="D21" s="10">
        <v>296317</v>
      </c>
      <c r="E21" s="10">
        <v>271174</v>
      </c>
      <c r="F21" s="10">
        <v>307734</v>
      </c>
      <c r="G21" s="10">
        <v>324713</v>
      </c>
      <c r="H21" s="10">
        <v>207026</v>
      </c>
      <c r="I21" s="10"/>
      <c r="J21" s="10"/>
      <c r="K21" s="10"/>
      <c r="L21" s="10"/>
      <c r="M21" s="10"/>
      <c r="N21" s="10"/>
      <c r="O21" s="10"/>
      <c r="P21" s="27"/>
      <c r="Q21" s="24"/>
      <c r="S21" s="35" t="s">
        <v>17</v>
      </c>
      <c r="T21" s="34" t="s">
        <v>97</v>
      </c>
      <c r="U21" s="35" t="s">
        <v>16</v>
      </c>
      <c r="V21" s="35" t="s">
        <v>15</v>
      </c>
      <c r="W21" s="35" t="s">
        <v>2</v>
      </c>
    </row>
    <row r="22" spans="3:23" ht="13" customHeight="1" x14ac:dyDescent="0.25">
      <c r="D22" s="12"/>
      <c r="E22" s="12"/>
      <c r="F22" s="12"/>
      <c r="G22" s="12"/>
      <c r="H22" s="12"/>
      <c r="I22" s="12"/>
      <c r="J22" s="12"/>
      <c r="K22" s="12"/>
      <c r="L22" s="12"/>
      <c r="M22" s="12"/>
      <c r="N22" s="12"/>
      <c r="O22" s="12"/>
      <c r="P22" s="24"/>
      <c r="Q22" s="24"/>
      <c r="S22" s="31"/>
      <c r="T22" s="31"/>
      <c r="U22" s="31"/>
      <c r="V22" s="31"/>
      <c r="W22" s="31"/>
    </row>
    <row r="23" spans="3:23" ht="13" customHeight="1" x14ac:dyDescent="0.3">
      <c r="C23" s="19" t="s">
        <v>105</v>
      </c>
      <c r="D23" s="8"/>
      <c r="E23" s="12"/>
      <c r="F23" s="12"/>
      <c r="G23" s="12"/>
      <c r="H23" s="12"/>
      <c r="I23" s="12"/>
      <c r="J23" s="8"/>
      <c r="K23" s="12"/>
      <c r="L23" s="12"/>
      <c r="M23" s="12"/>
      <c r="N23" s="12"/>
      <c r="O23" s="12"/>
      <c r="P23" s="24"/>
      <c r="Q23" s="24"/>
      <c r="S23" s="34"/>
      <c r="T23" s="34"/>
      <c r="U23" s="34"/>
      <c r="V23" s="34"/>
      <c r="W23" s="34"/>
    </row>
    <row r="24" spans="3:23" ht="13" customHeight="1" x14ac:dyDescent="0.25">
      <c r="C24" s="17" t="s">
        <v>133</v>
      </c>
      <c r="D24" s="6">
        <v>157</v>
      </c>
      <c r="E24" s="6">
        <v>220</v>
      </c>
      <c r="F24" s="6">
        <v>222</v>
      </c>
      <c r="G24" s="6">
        <v>299</v>
      </c>
      <c r="H24" s="6">
        <v>691</v>
      </c>
      <c r="I24" s="6"/>
      <c r="J24" s="22">
        <f>D24/D27</f>
        <v>5.0256081946222789E-2</v>
      </c>
      <c r="K24" s="22">
        <f>E24/E27</f>
        <v>7.0626003210272875E-2</v>
      </c>
      <c r="L24" s="22">
        <f>F24/F27</f>
        <v>6.4817518248175179E-2</v>
      </c>
      <c r="M24" s="22">
        <f>G24/G27</f>
        <v>8.8618850029638416E-2</v>
      </c>
      <c r="N24" s="22">
        <f>H24/H27</f>
        <v>0.23640095791994525</v>
      </c>
      <c r="O24" s="15"/>
      <c r="P24" s="26">
        <f>N24/L24-1</f>
        <v>2.6471769408820385</v>
      </c>
      <c r="Q24" s="24"/>
      <c r="S24" s="1" t="s">
        <v>134</v>
      </c>
    </row>
    <row r="25" spans="3:23" ht="13" customHeight="1" x14ac:dyDescent="0.25">
      <c r="C25" s="16" t="s">
        <v>0</v>
      </c>
      <c r="D25" s="12">
        <v>455</v>
      </c>
      <c r="E25" s="12">
        <v>527</v>
      </c>
      <c r="F25" s="12">
        <v>556</v>
      </c>
      <c r="G25" s="12">
        <v>507</v>
      </c>
      <c r="H25" s="12">
        <v>898</v>
      </c>
      <c r="I25" s="12"/>
      <c r="J25" s="13">
        <f>D25/D27</f>
        <v>0.14564660691421255</v>
      </c>
      <c r="K25" s="13">
        <f>E25/E27</f>
        <v>0.16918138041733546</v>
      </c>
      <c r="L25" s="13">
        <f>F25/F27</f>
        <v>0.16233576642335767</v>
      </c>
      <c r="M25" s="13">
        <f>G25/G27</f>
        <v>0.15026674570243034</v>
      </c>
      <c r="N25" s="13">
        <f>H25/H27</f>
        <v>0.30721861101607939</v>
      </c>
      <c r="O25" s="14"/>
      <c r="P25" s="24">
        <f>N25/L25-1</f>
        <v>0.89248874591739535</v>
      </c>
      <c r="Q25" s="24"/>
      <c r="S25" s="1" t="s">
        <v>29</v>
      </c>
    </row>
    <row r="26" spans="3:23" ht="13" customHeight="1" x14ac:dyDescent="0.25">
      <c r="C26" s="16" t="s">
        <v>1</v>
      </c>
      <c r="D26" s="12">
        <v>314</v>
      </c>
      <c r="E26" s="12">
        <v>279</v>
      </c>
      <c r="F26" s="12">
        <v>291</v>
      </c>
      <c r="G26" s="12">
        <v>234</v>
      </c>
      <c r="H26" s="12">
        <v>178</v>
      </c>
      <c r="I26" s="12"/>
      <c r="J26" s="13">
        <f>D26/D27</f>
        <v>0.10051216389244558</v>
      </c>
      <c r="K26" s="13">
        <f>E26/E27</f>
        <v>8.956661316211878E-2</v>
      </c>
      <c r="L26" s="13">
        <f>F26/F27</f>
        <v>8.4963503649635036E-2</v>
      </c>
      <c r="M26" s="13">
        <f>G26/G27</f>
        <v>6.9353882631890934E-2</v>
      </c>
      <c r="N26" s="13">
        <f>H26/H27</f>
        <v>6.0896339377352032E-2</v>
      </c>
      <c r="O26" s="14"/>
      <c r="P26" s="24">
        <f>N26/L26-1</f>
        <v>-0.2832647341325405</v>
      </c>
      <c r="Q26" s="24"/>
      <c r="S26" s="1" t="s">
        <v>25</v>
      </c>
    </row>
    <row r="27" spans="3:23" ht="13" customHeight="1" x14ac:dyDescent="0.25">
      <c r="C27" s="18" t="s">
        <v>39</v>
      </c>
      <c r="D27" s="10">
        <v>3124</v>
      </c>
      <c r="E27" s="10">
        <v>3115</v>
      </c>
      <c r="F27" s="10">
        <v>3425</v>
      </c>
      <c r="G27" s="10">
        <v>3374</v>
      </c>
      <c r="H27" s="10">
        <v>2923</v>
      </c>
      <c r="I27" s="10"/>
      <c r="J27" s="23"/>
      <c r="K27" s="23"/>
      <c r="L27" s="23"/>
      <c r="M27" s="23"/>
      <c r="N27" s="23"/>
      <c r="O27" s="10"/>
      <c r="P27" s="27"/>
      <c r="Q27" s="24"/>
      <c r="S27" s="34" t="s">
        <v>21</v>
      </c>
      <c r="T27" s="34"/>
      <c r="U27" s="34"/>
      <c r="V27" s="34"/>
      <c r="W27" s="34"/>
    </row>
    <row r="28" spans="3:23" ht="13" customHeight="1" x14ac:dyDescent="0.25">
      <c r="D28" s="12"/>
      <c r="E28" s="12"/>
      <c r="F28" s="12"/>
      <c r="G28" s="12"/>
      <c r="H28" s="12"/>
      <c r="I28" s="12"/>
      <c r="J28" s="13"/>
      <c r="K28" s="13"/>
      <c r="L28" s="13"/>
      <c r="M28" s="13"/>
      <c r="N28" s="13"/>
      <c r="O28" s="12"/>
      <c r="P28" s="24"/>
      <c r="Q28" s="24"/>
    </row>
    <row r="29" spans="3:23" ht="13" customHeight="1" x14ac:dyDescent="0.3">
      <c r="C29" s="19" t="s">
        <v>106</v>
      </c>
      <c r="D29" s="12"/>
      <c r="E29" s="12"/>
      <c r="F29" s="12"/>
      <c r="G29" s="12"/>
      <c r="H29" s="12"/>
      <c r="I29" s="12"/>
      <c r="J29" s="9"/>
      <c r="K29" s="13"/>
      <c r="L29" s="13"/>
      <c r="M29" s="13"/>
      <c r="N29" s="13"/>
      <c r="O29" s="12"/>
      <c r="P29" s="24"/>
      <c r="Q29" s="24"/>
      <c r="S29" s="34"/>
      <c r="T29" s="34"/>
      <c r="U29" s="34"/>
      <c r="V29" s="34"/>
      <c r="W29" s="34"/>
    </row>
    <row r="30" spans="3:23" ht="13" customHeight="1" x14ac:dyDescent="0.25">
      <c r="C30" s="17" t="s">
        <v>67</v>
      </c>
      <c r="D30" s="6">
        <v>243</v>
      </c>
      <c r="E30" s="6">
        <v>241</v>
      </c>
      <c r="F30" s="6">
        <v>227</v>
      </c>
      <c r="G30" s="6">
        <v>225</v>
      </c>
      <c r="H30" s="6">
        <v>236</v>
      </c>
      <c r="I30" s="6"/>
      <c r="J30" s="22">
        <f>D30/D33</f>
        <v>0.10415773681954565</v>
      </c>
      <c r="K30" s="22">
        <f>E30/E33</f>
        <v>0.10460069444444445</v>
      </c>
      <c r="L30" s="22">
        <f>F30/F33</f>
        <v>0.10622367805334582</v>
      </c>
      <c r="M30" s="22">
        <f>G30/G33</f>
        <v>0.10465116279069768</v>
      </c>
      <c r="N30" s="22">
        <f>H30/H33</f>
        <v>0.14303030303030304</v>
      </c>
      <c r="O30" s="15"/>
      <c r="P30" s="26">
        <f>N30/L30-1</f>
        <v>0.34650113469496735</v>
      </c>
      <c r="Q30" s="24"/>
      <c r="S30" s="1" t="s">
        <v>135</v>
      </c>
    </row>
    <row r="31" spans="3:23" ht="13" customHeight="1" x14ac:dyDescent="0.25">
      <c r="C31" s="16" t="s">
        <v>0</v>
      </c>
      <c r="D31" s="12">
        <v>580</v>
      </c>
      <c r="E31" s="12">
        <v>605</v>
      </c>
      <c r="F31" s="12">
        <v>515</v>
      </c>
      <c r="G31" s="12">
        <v>483</v>
      </c>
      <c r="H31" s="12">
        <v>475</v>
      </c>
      <c r="I31" s="12"/>
      <c r="J31" s="13">
        <f>D31/D33</f>
        <v>0.2486069438491213</v>
      </c>
      <c r="K31" s="13">
        <f>E31/E33</f>
        <v>0.26258680555555558</v>
      </c>
      <c r="L31" s="13">
        <f>F31/F33</f>
        <v>0.24099204492278894</v>
      </c>
      <c r="M31" s="13">
        <f>G31/G33</f>
        <v>0.22465116279069766</v>
      </c>
      <c r="N31" s="13">
        <f>H31/H33</f>
        <v>0.2878787878787879</v>
      </c>
      <c r="O31" s="14"/>
      <c r="P31" s="24">
        <f>N31/L31-1</f>
        <v>0.19455722271256271</v>
      </c>
      <c r="Q31" s="24"/>
      <c r="S31" s="1" t="s">
        <v>102</v>
      </c>
    </row>
    <row r="32" spans="3:23" ht="13" customHeight="1" x14ac:dyDescent="0.25">
      <c r="C32" s="16" t="s">
        <v>1</v>
      </c>
      <c r="D32" s="12">
        <v>17</v>
      </c>
      <c r="E32" s="12">
        <v>25</v>
      </c>
      <c r="F32" s="12">
        <v>18</v>
      </c>
      <c r="G32" s="12">
        <v>21</v>
      </c>
      <c r="H32" s="12">
        <v>11</v>
      </c>
      <c r="I32" s="12"/>
      <c r="J32" s="13">
        <f>D32/D33</f>
        <v>7.2867552507501071E-3</v>
      </c>
      <c r="K32" s="13">
        <f>E32/E33</f>
        <v>1.0850694444444444E-2</v>
      </c>
      <c r="L32" s="13">
        <f>F32/F33</f>
        <v>8.4230229293401973E-3</v>
      </c>
      <c r="M32" s="13">
        <f>G32/G33</f>
        <v>9.7674418604651158E-3</v>
      </c>
      <c r="N32" s="13">
        <f>H32/H33</f>
        <v>6.6666666666666671E-3</v>
      </c>
      <c r="O32" s="14"/>
      <c r="P32" s="24">
        <f>N32/L32-1</f>
        <v>-0.20851851851851855</v>
      </c>
      <c r="Q32" s="24"/>
      <c r="S32" s="1" t="s">
        <v>32</v>
      </c>
    </row>
    <row r="33" spans="3:23" ht="13" customHeight="1" x14ac:dyDescent="0.25">
      <c r="C33" s="18" t="s">
        <v>39</v>
      </c>
      <c r="D33" s="10">
        <v>2333</v>
      </c>
      <c r="E33" s="10">
        <v>2304</v>
      </c>
      <c r="F33" s="10">
        <v>2137</v>
      </c>
      <c r="G33" s="10">
        <v>2150</v>
      </c>
      <c r="H33" s="10">
        <v>1650</v>
      </c>
      <c r="I33" s="10"/>
      <c r="J33" s="23"/>
      <c r="K33" s="23"/>
      <c r="L33" s="23"/>
      <c r="M33" s="23"/>
      <c r="N33" s="23"/>
      <c r="O33" s="10"/>
      <c r="P33" s="27"/>
      <c r="Q33" s="24"/>
      <c r="S33" s="34" t="s">
        <v>31</v>
      </c>
      <c r="T33" s="34"/>
      <c r="U33" s="34"/>
      <c r="V33" s="34"/>
      <c r="W33" s="34"/>
    </row>
    <row r="34" spans="3:23" ht="13" customHeight="1" x14ac:dyDescent="0.25">
      <c r="D34" s="12"/>
      <c r="E34" s="12"/>
      <c r="F34" s="12"/>
      <c r="G34" s="12"/>
      <c r="H34" s="12"/>
      <c r="I34" s="12"/>
      <c r="J34" s="13"/>
      <c r="K34" s="13"/>
      <c r="L34" s="13"/>
      <c r="M34" s="13"/>
      <c r="N34" s="13"/>
      <c r="O34" s="12"/>
      <c r="P34" s="24"/>
      <c r="Q34" s="24"/>
    </row>
    <row r="35" spans="3:23" ht="13" customHeight="1" x14ac:dyDescent="0.3">
      <c r="C35" s="19" t="s">
        <v>107</v>
      </c>
      <c r="D35" s="8"/>
      <c r="E35" s="12"/>
      <c r="F35" s="12"/>
      <c r="G35" s="12"/>
      <c r="H35" s="12"/>
      <c r="I35" s="12"/>
      <c r="J35" s="9"/>
      <c r="K35" s="13"/>
      <c r="L35" s="13"/>
      <c r="M35" s="13"/>
      <c r="N35" s="13"/>
      <c r="O35" s="12"/>
      <c r="P35" s="24"/>
      <c r="Q35" s="24"/>
      <c r="S35" s="34"/>
      <c r="T35" s="34"/>
      <c r="U35" s="34"/>
      <c r="V35" s="34"/>
      <c r="W35" s="34"/>
    </row>
    <row r="36" spans="3:23" ht="13" customHeight="1" x14ac:dyDescent="0.25">
      <c r="C36" s="17" t="s">
        <v>133</v>
      </c>
      <c r="D36" s="6">
        <v>65</v>
      </c>
      <c r="E36" s="6">
        <v>75</v>
      </c>
      <c r="F36" s="6">
        <v>83</v>
      </c>
      <c r="G36" s="6">
        <v>80</v>
      </c>
      <c r="H36" s="6">
        <v>205</v>
      </c>
      <c r="I36" s="6"/>
      <c r="J36" s="22">
        <f>D36/D39</f>
        <v>5.3542009884678748E-2</v>
      </c>
      <c r="K36" s="22">
        <f>E36/E39</f>
        <v>5.9429477020602216E-2</v>
      </c>
      <c r="L36" s="22">
        <f>F36/F39</f>
        <v>6.0275962236746548E-2</v>
      </c>
      <c r="M36" s="22">
        <f>G36/G39</f>
        <v>6.334125098970704E-2</v>
      </c>
      <c r="N36" s="22">
        <f>H36/H39</f>
        <v>0.18670309653916212</v>
      </c>
      <c r="O36" s="15"/>
      <c r="P36" s="26">
        <f>N36/L36-1</f>
        <v>2.0974718546316415</v>
      </c>
      <c r="Q36" s="24"/>
      <c r="S36" s="1" t="s">
        <v>136</v>
      </c>
      <c r="U36" s="1" t="s">
        <v>136</v>
      </c>
      <c r="V36" s="1" t="s">
        <v>136</v>
      </c>
      <c r="W36" s="1" t="s">
        <v>136</v>
      </c>
    </row>
    <row r="37" spans="3:23" ht="13" customHeight="1" x14ac:dyDescent="0.25">
      <c r="C37" s="16" t="s">
        <v>0</v>
      </c>
      <c r="D37" s="12">
        <v>151</v>
      </c>
      <c r="E37" s="12">
        <v>180</v>
      </c>
      <c r="F37" s="12">
        <v>192</v>
      </c>
      <c r="G37" s="12">
        <v>172</v>
      </c>
      <c r="H37" s="12">
        <v>267</v>
      </c>
      <c r="I37" s="12"/>
      <c r="J37" s="13">
        <f>D37/D39</f>
        <v>0.1243822075782537</v>
      </c>
      <c r="K37" s="13">
        <f>E37/E39</f>
        <v>0.14263074484944532</v>
      </c>
      <c r="L37" s="13">
        <f>F37/F39</f>
        <v>0.13943355119825709</v>
      </c>
      <c r="M37" s="13">
        <f>G37/G39</f>
        <v>0.13618368962787014</v>
      </c>
      <c r="N37" s="13">
        <f>H37/H39</f>
        <v>0.24316939890710382</v>
      </c>
      <c r="O37" s="14"/>
      <c r="P37" s="24">
        <f>N37/L37-1</f>
        <v>0.74398053278688492</v>
      </c>
      <c r="Q37" s="24"/>
      <c r="S37" s="1" t="s">
        <v>35</v>
      </c>
      <c r="U37" s="1" t="s">
        <v>36</v>
      </c>
      <c r="V37" s="1" t="s">
        <v>37</v>
      </c>
      <c r="W37" s="1" t="s">
        <v>38</v>
      </c>
    </row>
    <row r="38" spans="3:23" ht="13" customHeight="1" x14ac:dyDescent="0.25">
      <c r="C38" s="16" t="s">
        <v>1</v>
      </c>
      <c r="D38" s="12">
        <v>43</v>
      </c>
      <c r="E38" s="12">
        <v>32</v>
      </c>
      <c r="F38" s="12">
        <v>52</v>
      </c>
      <c r="G38" s="12">
        <v>28</v>
      </c>
      <c r="H38" s="12">
        <v>24</v>
      </c>
      <c r="I38" s="12"/>
      <c r="J38" s="13">
        <f>D38/D39</f>
        <v>3.5420098846787477E-2</v>
      </c>
      <c r="K38" s="13">
        <f>E38/E39</f>
        <v>2.5356576862123614E-2</v>
      </c>
      <c r="L38" s="13">
        <f>F38/F39</f>
        <v>3.776325344952796E-2</v>
      </c>
      <c r="M38" s="13">
        <f>G38/G39</f>
        <v>2.2169437846397466E-2</v>
      </c>
      <c r="N38" s="13">
        <f>H38/H39</f>
        <v>2.185792349726776E-2</v>
      </c>
      <c r="O38" s="14"/>
      <c r="P38" s="24">
        <f>N38/L38-1</f>
        <v>-0.42118537200504413</v>
      </c>
      <c r="Q38" s="24"/>
      <c r="S38" s="1" t="s">
        <v>73</v>
      </c>
      <c r="U38" s="1" t="s">
        <v>73</v>
      </c>
      <c r="V38" s="1" t="s">
        <v>73</v>
      </c>
      <c r="W38" s="1" t="s">
        <v>73</v>
      </c>
    </row>
    <row r="39" spans="3:23" ht="13" customHeight="1" x14ac:dyDescent="0.25">
      <c r="C39" s="18" t="s">
        <v>39</v>
      </c>
      <c r="D39" s="10">
        <v>1214</v>
      </c>
      <c r="E39" s="10">
        <v>1262</v>
      </c>
      <c r="F39" s="10">
        <v>1377</v>
      </c>
      <c r="G39" s="10">
        <v>1263</v>
      </c>
      <c r="H39" s="10">
        <v>1098</v>
      </c>
      <c r="I39" s="10"/>
      <c r="J39" s="10"/>
      <c r="K39" s="10"/>
      <c r="L39" s="10"/>
      <c r="M39" s="10"/>
      <c r="N39" s="10"/>
      <c r="O39" s="10"/>
      <c r="P39" s="27"/>
      <c r="Q39" s="24"/>
      <c r="S39" s="34" t="s">
        <v>33</v>
      </c>
      <c r="T39" s="34"/>
      <c r="U39" s="34" t="s">
        <v>34</v>
      </c>
      <c r="V39" s="34" t="s">
        <v>103</v>
      </c>
      <c r="W39" s="34" t="s">
        <v>104</v>
      </c>
    </row>
    <row r="40" spans="3:23" s="53" customFormat="1" ht="40.5" customHeight="1" x14ac:dyDescent="0.25">
      <c r="C40" s="62" t="s">
        <v>204</v>
      </c>
      <c r="D40" s="62"/>
      <c r="E40" s="62"/>
      <c r="F40" s="62"/>
      <c r="G40" s="62"/>
      <c r="H40" s="62"/>
      <c r="I40" s="62"/>
      <c r="J40" s="62"/>
      <c r="K40" s="62"/>
      <c r="L40" s="62"/>
      <c r="M40" s="62"/>
      <c r="N40" s="62"/>
      <c r="O40" s="62"/>
      <c r="P40" s="62"/>
      <c r="Q40" s="54"/>
      <c r="R40" s="55"/>
    </row>
    <row r="41" spans="3:23" ht="7.5" customHeight="1" x14ac:dyDescent="0.25">
      <c r="D41" s="12"/>
      <c r="E41" s="12"/>
      <c r="F41" s="12"/>
      <c r="G41" s="12"/>
      <c r="H41" s="12"/>
      <c r="I41" s="12"/>
      <c r="J41" s="12"/>
      <c r="K41" s="12"/>
      <c r="L41" s="12"/>
      <c r="M41" s="12"/>
      <c r="N41" s="12"/>
      <c r="O41" s="12"/>
      <c r="P41" s="24"/>
      <c r="Q41" s="24"/>
    </row>
    <row r="42" spans="3:23" x14ac:dyDescent="0.25">
      <c r="C42" s="1"/>
    </row>
  </sheetData>
  <mergeCells count="1">
    <mergeCell ref="C40:P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35917-4E59-4CCA-900E-AB90D2964D0F}">
  <dimension ref="C1:AU42"/>
  <sheetViews>
    <sheetView showGridLines="0" workbookViewId="0"/>
  </sheetViews>
  <sheetFormatPr defaultColWidth="9.26953125" defaultRowHeight="12.5" x14ac:dyDescent="0.25"/>
  <cols>
    <col min="1" max="1" width="9.26953125" style="1"/>
    <col min="2" max="2" width="1.1796875" style="1" customWidth="1"/>
    <col min="3" max="3" width="32.453125" style="16" customWidth="1"/>
    <col min="4" max="8" width="6.7265625" style="1" customWidth="1"/>
    <col min="9" max="9" width="3.36328125" style="1" customWidth="1"/>
    <col min="10" max="14" width="6.7265625" style="1" customWidth="1"/>
    <col min="15" max="15" width="2" style="1" customWidth="1"/>
    <col min="16" max="16" width="8.453125" style="4" customWidth="1"/>
    <col min="17" max="17" width="1.453125" style="4" customWidth="1"/>
    <col min="18" max="18" width="6.81640625" style="4" customWidth="1"/>
    <col min="19" max="16384" width="9.26953125" style="1"/>
  </cols>
  <sheetData>
    <row r="1" spans="3:47" x14ac:dyDescent="0.25">
      <c r="C1" s="48"/>
    </row>
    <row r="2" spans="3:47" ht="5.75" customHeight="1" x14ac:dyDescent="0.25">
      <c r="C2" s="48"/>
      <c r="S2" s="34"/>
      <c r="T2" s="34"/>
      <c r="U2" s="34"/>
      <c r="V2" s="34"/>
      <c r="W2" s="34"/>
    </row>
    <row r="3" spans="3:47" ht="13" customHeight="1" x14ac:dyDescent="0.3">
      <c r="C3" s="56"/>
      <c r="D3" s="28" t="s">
        <v>41</v>
      </c>
      <c r="E3" s="7"/>
      <c r="F3" s="7"/>
      <c r="G3" s="7"/>
      <c r="H3" s="7"/>
      <c r="I3" s="7"/>
      <c r="J3" s="28" t="s">
        <v>145</v>
      </c>
      <c r="K3" s="7"/>
      <c r="L3" s="7"/>
      <c r="M3" s="7"/>
      <c r="N3" s="7"/>
      <c r="O3" s="7"/>
      <c r="P3" s="20" t="s">
        <v>46</v>
      </c>
      <c r="Q3" s="9"/>
    </row>
    <row r="4" spans="3:47" ht="13" customHeight="1" x14ac:dyDescent="0.3">
      <c r="C4" s="50"/>
      <c r="D4" s="11">
        <v>2019</v>
      </c>
      <c r="E4" s="11">
        <v>2020</v>
      </c>
      <c r="F4" s="11">
        <v>2021</v>
      </c>
      <c r="G4" s="11">
        <v>2022</v>
      </c>
      <c r="H4" s="11">
        <v>2023</v>
      </c>
      <c r="I4" s="10"/>
      <c r="J4" s="11">
        <v>2019</v>
      </c>
      <c r="K4" s="11">
        <v>2020</v>
      </c>
      <c r="L4" s="11">
        <v>2021</v>
      </c>
      <c r="M4" s="11">
        <v>2022</v>
      </c>
      <c r="N4" s="11">
        <v>2023</v>
      </c>
      <c r="O4" s="11"/>
      <c r="P4" s="21" t="s">
        <v>45</v>
      </c>
      <c r="Q4" s="9"/>
      <c r="S4" s="33">
        <v>2019</v>
      </c>
      <c r="T4" s="33">
        <v>2020</v>
      </c>
      <c r="U4" s="33">
        <v>2021</v>
      </c>
      <c r="V4" s="33">
        <v>2022</v>
      </c>
      <c r="W4" s="33">
        <v>2023</v>
      </c>
      <c r="X4" s="2"/>
      <c r="AR4" s="2"/>
      <c r="AS4" s="2"/>
      <c r="AT4" s="2"/>
      <c r="AU4" s="2"/>
    </row>
    <row r="5" spans="3:47" ht="13" customHeight="1" x14ac:dyDescent="0.3">
      <c r="C5" s="37" t="s">
        <v>42</v>
      </c>
      <c r="D5" s="8"/>
      <c r="E5" s="8"/>
      <c r="F5" s="8"/>
      <c r="G5" s="8"/>
      <c r="H5" s="8"/>
      <c r="I5" s="12"/>
      <c r="J5" s="8"/>
      <c r="K5" s="8"/>
      <c r="L5" s="8"/>
      <c r="M5" s="8"/>
      <c r="N5" s="8"/>
      <c r="O5" s="8"/>
      <c r="P5" s="24"/>
      <c r="Q5" s="24"/>
      <c r="S5" s="36"/>
      <c r="T5" s="36"/>
      <c r="U5" s="36"/>
      <c r="V5" s="36"/>
      <c r="W5" s="36"/>
    </row>
    <row r="6" spans="3:47" ht="13" customHeight="1" x14ac:dyDescent="0.25">
      <c r="C6" s="56" t="s">
        <v>67</v>
      </c>
      <c r="D6" s="6">
        <v>3009</v>
      </c>
      <c r="E6" s="6">
        <v>3567</v>
      </c>
      <c r="F6" s="6">
        <v>4408</v>
      </c>
      <c r="G6" s="6">
        <v>5074</v>
      </c>
      <c r="H6" s="6">
        <v>12951</v>
      </c>
      <c r="I6" s="6"/>
      <c r="J6" s="15">
        <f>D6/D9</f>
        <v>3.8437022171864204E-3</v>
      </c>
      <c r="K6" s="15">
        <f>E6/E9</f>
        <v>4.3970104766448111E-3</v>
      </c>
      <c r="L6" s="15">
        <f>F6/F9</f>
        <v>5.1501283442828083E-3</v>
      </c>
      <c r="M6" s="15">
        <f>G6/G9</f>
        <v>5.690407726573329E-3</v>
      </c>
      <c r="N6" s="15">
        <f>H6/H9</f>
        <v>1.4051285946001661E-2</v>
      </c>
      <c r="O6" s="15"/>
      <c r="P6" s="26">
        <f t="shared" ref="P6:P8" si="0">N6/L6-1</f>
        <v>1.7283370445709547</v>
      </c>
      <c r="Q6" s="24"/>
      <c r="S6" s="1" t="s">
        <v>91</v>
      </c>
      <c r="U6" s="1" t="s">
        <v>91</v>
      </c>
      <c r="V6" s="1" t="s">
        <v>91</v>
      </c>
      <c r="W6" s="1" t="s">
        <v>91</v>
      </c>
    </row>
    <row r="7" spans="3:47" ht="13" customHeight="1" x14ac:dyDescent="0.25">
      <c r="C7" s="48" t="s">
        <v>0</v>
      </c>
      <c r="D7" s="12">
        <v>73180</v>
      </c>
      <c r="E7" s="12">
        <v>86300</v>
      </c>
      <c r="F7" s="12">
        <v>105798</v>
      </c>
      <c r="G7" s="12">
        <v>122460</v>
      </c>
      <c r="H7" s="12">
        <v>174893</v>
      </c>
      <c r="I7" s="12"/>
      <c r="J7" s="13">
        <f>D7/D9</f>
        <v>9.3480268612064543E-2</v>
      </c>
      <c r="K7" s="13">
        <f>E7/E9</f>
        <v>0.10638127393732751</v>
      </c>
      <c r="L7" s="13">
        <f>F7/F9</f>
        <v>0.12361009041933588</v>
      </c>
      <c r="M7" s="13">
        <f>G7/G9</f>
        <v>0.13733688021209497</v>
      </c>
      <c r="N7" s="13">
        <f>H7/H9</f>
        <v>0.18975149046051026</v>
      </c>
      <c r="O7" s="14"/>
      <c r="P7" s="24">
        <f t="shared" si="0"/>
        <v>0.53508091302899108</v>
      </c>
      <c r="Q7" s="24"/>
      <c r="S7" s="1" t="s">
        <v>84</v>
      </c>
      <c r="U7" s="1" t="s">
        <v>84</v>
      </c>
      <c r="V7" s="1" t="s">
        <v>84</v>
      </c>
      <c r="W7" s="1" t="s">
        <v>84</v>
      </c>
    </row>
    <row r="8" spans="3:47" ht="13" customHeight="1" x14ac:dyDescent="0.25">
      <c r="C8" s="48" t="s">
        <v>1</v>
      </c>
      <c r="D8" s="12">
        <v>135496</v>
      </c>
      <c r="E8" s="12">
        <v>144029</v>
      </c>
      <c r="F8" s="12">
        <v>153340</v>
      </c>
      <c r="G8" s="12">
        <v>164037</v>
      </c>
      <c r="H8" s="12">
        <v>169902</v>
      </c>
      <c r="I8" s="12"/>
      <c r="J8" s="13">
        <f>D8/D9</f>
        <v>0.17308284334326726</v>
      </c>
      <c r="K8" s="13">
        <f>E8/E9</f>
        <v>0.17754331986001556</v>
      </c>
      <c r="L8" s="13">
        <f>F8/F9</f>
        <v>0.17915623419063653</v>
      </c>
      <c r="M8" s="13">
        <f>G8/G9</f>
        <v>0.18396480335906765</v>
      </c>
      <c r="N8" s="13">
        <f>H8/H9</f>
        <v>0.18433646705254991</v>
      </c>
      <c r="O8" s="14"/>
      <c r="P8" s="24">
        <f t="shared" si="0"/>
        <v>2.891461123480199E-2</v>
      </c>
      <c r="Q8" s="24"/>
      <c r="S8" s="1" t="s">
        <v>3</v>
      </c>
      <c r="U8" s="1" t="s">
        <v>3</v>
      </c>
      <c r="V8" s="1" t="s">
        <v>3</v>
      </c>
      <c r="W8" s="1" t="s">
        <v>3</v>
      </c>
    </row>
    <row r="9" spans="3:47" ht="13" customHeight="1" x14ac:dyDescent="0.25">
      <c r="C9" s="50" t="s">
        <v>39</v>
      </c>
      <c r="D9" s="10">
        <v>782839</v>
      </c>
      <c r="E9" s="10">
        <v>811233</v>
      </c>
      <c r="F9" s="10">
        <v>855901</v>
      </c>
      <c r="G9" s="10">
        <v>891676</v>
      </c>
      <c r="H9" s="10">
        <v>921695</v>
      </c>
      <c r="I9" s="10"/>
      <c r="J9" s="32"/>
      <c r="K9" s="32"/>
      <c r="L9" s="32"/>
      <c r="M9" s="32"/>
      <c r="N9" s="32"/>
      <c r="O9" s="32"/>
      <c r="P9" s="27"/>
      <c r="Q9" s="24"/>
      <c r="S9" s="34" t="s">
        <v>93</v>
      </c>
      <c r="T9" s="34"/>
      <c r="U9" s="34" t="s">
        <v>5</v>
      </c>
      <c r="V9" s="34" t="s">
        <v>4</v>
      </c>
      <c r="W9" s="34" t="s">
        <v>92</v>
      </c>
    </row>
    <row r="10" spans="3:47" ht="13" customHeight="1" x14ac:dyDescent="0.25">
      <c r="C10" s="48"/>
      <c r="D10" s="12"/>
      <c r="E10" s="12"/>
      <c r="F10" s="12"/>
      <c r="G10" s="12"/>
      <c r="H10" s="12"/>
      <c r="I10" s="12"/>
      <c r="J10" s="14"/>
      <c r="K10" s="14"/>
      <c r="L10" s="14"/>
      <c r="M10" s="14"/>
      <c r="N10" s="14"/>
      <c r="O10" s="14"/>
      <c r="P10" s="24"/>
      <c r="Q10" s="24"/>
    </row>
    <row r="11" spans="3:47" ht="13" customHeight="1" x14ac:dyDescent="0.3">
      <c r="C11" s="37" t="s">
        <v>43</v>
      </c>
      <c r="D11" s="8"/>
      <c r="E11" s="12"/>
      <c r="F11" s="12"/>
      <c r="G11" s="12"/>
      <c r="H11" s="12"/>
      <c r="I11" s="12"/>
      <c r="J11" s="8"/>
      <c r="K11" s="12"/>
      <c r="L11" s="12"/>
      <c r="M11" s="12"/>
      <c r="N11" s="12"/>
      <c r="O11" s="12"/>
      <c r="P11" s="25"/>
      <c r="Q11" s="25"/>
      <c r="R11" s="3"/>
      <c r="S11" s="34"/>
      <c r="T11" s="34"/>
      <c r="U11" s="34"/>
      <c r="V11" s="34"/>
      <c r="W11" s="34"/>
    </row>
    <row r="12" spans="3:47" ht="13" customHeight="1" x14ac:dyDescent="0.25">
      <c r="C12" s="56" t="s">
        <v>67</v>
      </c>
      <c r="D12" s="6">
        <f>1580+393</f>
        <v>1973</v>
      </c>
      <c r="E12" s="6">
        <f>1860+416</f>
        <v>2276</v>
      </c>
      <c r="F12" s="6">
        <f>2347+466</f>
        <v>2813</v>
      </c>
      <c r="G12" s="6">
        <f>2772+685</f>
        <v>3457</v>
      </c>
      <c r="H12" s="6">
        <f>7163+1245</f>
        <v>8408</v>
      </c>
      <c r="I12" s="6"/>
      <c r="J12" s="15">
        <f>D12/D15</f>
        <v>4.612722979449653E-3</v>
      </c>
      <c r="K12" s="15">
        <f>E12/E15</f>
        <v>4.9915126739682528E-3</v>
      </c>
      <c r="L12" s="15">
        <f>F12/F15</f>
        <v>5.653237297298384E-3</v>
      </c>
      <c r="M12" s="15">
        <f>G12/G15</f>
        <v>6.7572982535013051E-3</v>
      </c>
      <c r="N12" s="15">
        <f>H12/H15</f>
        <v>1.5331511105681303E-2</v>
      </c>
      <c r="O12" s="15"/>
      <c r="P12" s="26">
        <f t="shared" ref="P12:P14" si="1">N12/L12-1</f>
        <v>1.7119878928500052</v>
      </c>
      <c r="Q12" s="24"/>
      <c r="S12" s="1" t="s">
        <v>114</v>
      </c>
      <c r="T12" s="1" t="s">
        <v>115</v>
      </c>
      <c r="U12" s="1" t="s">
        <v>116</v>
      </c>
      <c r="V12" s="1" t="s">
        <v>117</v>
      </c>
      <c r="W12" s="1" t="s">
        <v>118</v>
      </c>
      <c r="Y12" s="5"/>
      <c r="Z12" s="5"/>
      <c r="AA12" s="5"/>
      <c r="AB12" s="5"/>
      <c r="AC12" s="5"/>
    </row>
    <row r="13" spans="3:47" ht="13" customHeight="1" x14ac:dyDescent="0.25">
      <c r="C13" s="48" t="s">
        <v>0</v>
      </c>
      <c r="D13" s="12">
        <f>28382+3693</f>
        <v>32075</v>
      </c>
      <c r="E13" s="12">
        <f>32663+4555</f>
        <v>37218</v>
      </c>
      <c r="F13" s="12">
        <f>40127+5255</f>
        <v>45382</v>
      </c>
      <c r="G13" s="12">
        <f>45798+6257</f>
        <v>52055</v>
      </c>
      <c r="H13" s="12">
        <f>73831+10701</f>
        <v>84532</v>
      </c>
      <c r="I13" s="12"/>
      <c r="J13" s="13">
        <f>D13/D15</f>
        <v>7.4988894863582164E-2</v>
      </c>
      <c r="K13" s="13">
        <f>E13/E15</f>
        <v>8.1623074999890341E-2</v>
      </c>
      <c r="L13" s="13">
        <f>F13/F15</f>
        <v>9.1203418068252842E-2</v>
      </c>
      <c r="M13" s="13">
        <f>G13/G15</f>
        <v>0.10175040803760788</v>
      </c>
      <c r="N13" s="13">
        <f>H13/H15</f>
        <v>0.15413930741977305</v>
      </c>
      <c r="O13" s="14"/>
      <c r="P13" s="24">
        <f t="shared" si="1"/>
        <v>0.69006064338972051</v>
      </c>
      <c r="Q13" s="24"/>
      <c r="S13" s="1" t="s">
        <v>88</v>
      </c>
      <c r="T13" s="1" t="s">
        <v>87</v>
      </c>
      <c r="U13" s="1" t="s">
        <v>86</v>
      </c>
      <c r="V13" s="1" t="s">
        <v>85</v>
      </c>
      <c r="W13" s="1" t="s">
        <v>94</v>
      </c>
      <c r="Y13" s="5"/>
      <c r="Z13" s="5"/>
      <c r="AA13" s="5"/>
      <c r="AB13" s="5"/>
      <c r="AC13" s="5"/>
    </row>
    <row r="14" spans="3:47" ht="13" customHeight="1" x14ac:dyDescent="0.25">
      <c r="C14" s="48" t="s">
        <v>1</v>
      </c>
      <c r="D14" s="12">
        <f>49612+1655</f>
        <v>51267</v>
      </c>
      <c r="E14" s="12">
        <f>51063+2030</f>
        <v>53093</v>
      </c>
      <c r="F14" s="12">
        <f>52863+1866</f>
        <v>54729</v>
      </c>
      <c r="G14" s="12">
        <f>54753+1817</f>
        <v>56570</v>
      </c>
      <c r="H14" s="12">
        <f>60034+2196</f>
        <v>62230</v>
      </c>
      <c r="I14" s="12"/>
      <c r="J14" s="13">
        <f>D14/D15</f>
        <v>0.119858321838543</v>
      </c>
      <c r="K14" s="13">
        <f>E14/E15</f>
        <v>0.11643865659006873</v>
      </c>
      <c r="L14" s="13">
        <f>F14/F15</f>
        <v>0.10998792180726741</v>
      </c>
      <c r="M14" s="13">
        <f>G14/G15</f>
        <v>0.11057574839472629</v>
      </c>
      <c r="N14" s="13">
        <f>H14/H15</f>
        <v>0.1134728753694752</v>
      </c>
      <c r="O14" s="14"/>
      <c r="P14" s="24">
        <f t="shared" si="1"/>
        <v>3.1684875074869501E-2</v>
      </c>
      <c r="Q14" s="24"/>
      <c r="S14" s="1" t="s">
        <v>14</v>
      </c>
      <c r="T14" s="1" t="s">
        <v>13</v>
      </c>
      <c r="U14" s="1" t="s">
        <v>12</v>
      </c>
      <c r="V14" s="1" t="s">
        <v>11</v>
      </c>
      <c r="W14" s="1" t="s">
        <v>10</v>
      </c>
      <c r="Y14" s="5"/>
      <c r="Z14" s="5"/>
      <c r="AA14" s="5"/>
      <c r="AB14" s="5"/>
      <c r="AC14" s="5"/>
    </row>
    <row r="15" spans="3:47" ht="13" customHeight="1" x14ac:dyDescent="0.25">
      <c r="C15" s="50" t="s">
        <v>39</v>
      </c>
      <c r="D15" s="10">
        <f>356569+71161</f>
        <v>427730</v>
      </c>
      <c r="E15" s="10">
        <f>374752+81222</f>
        <v>455974</v>
      </c>
      <c r="F15" s="10">
        <f>415184+82407</f>
        <v>497591</v>
      </c>
      <c r="G15" s="10">
        <f>427231+84364</f>
        <v>511595</v>
      </c>
      <c r="H15" s="10">
        <f>461379+87034</f>
        <v>548413</v>
      </c>
      <c r="I15" s="10"/>
      <c r="J15" s="10"/>
      <c r="K15" s="10"/>
      <c r="L15" s="10"/>
      <c r="M15" s="10"/>
      <c r="N15" s="10"/>
      <c r="O15" s="10"/>
      <c r="P15" s="27"/>
      <c r="Q15" s="24"/>
      <c r="S15" s="34" t="s">
        <v>95</v>
      </c>
      <c r="T15" s="34" t="s">
        <v>6</v>
      </c>
      <c r="U15" s="34" t="s">
        <v>7</v>
      </c>
      <c r="V15" s="34" t="s">
        <v>8</v>
      </c>
      <c r="W15" s="34" t="s">
        <v>9</v>
      </c>
    </row>
    <row r="16" spans="3:47" ht="13" customHeight="1" x14ac:dyDescent="0.25">
      <c r="C16" s="48"/>
      <c r="D16" s="12"/>
      <c r="E16" s="12"/>
      <c r="F16" s="12"/>
      <c r="G16" s="12"/>
      <c r="H16" s="12"/>
      <c r="I16" s="12"/>
      <c r="J16" s="12"/>
      <c r="K16" s="12"/>
      <c r="L16" s="12"/>
      <c r="M16" s="12"/>
      <c r="N16" s="12"/>
      <c r="O16" s="12"/>
      <c r="P16" s="24"/>
      <c r="Q16" s="24"/>
    </row>
    <row r="17" spans="3:23" ht="13" customHeight="1" x14ac:dyDescent="0.3">
      <c r="C17" s="37" t="s">
        <v>44</v>
      </c>
      <c r="D17" s="12"/>
      <c r="E17" s="12"/>
      <c r="F17" s="12"/>
      <c r="G17" s="12"/>
      <c r="H17" s="12"/>
      <c r="I17" s="12"/>
      <c r="J17" s="8"/>
      <c r="K17" s="12"/>
      <c r="L17" s="12"/>
      <c r="M17" s="12"/>
      <c r="N17" s="12"/>
      <c r="O17" s="12"/>
      <c r="P17" s="24"/>
      <c r="Q17" s="24"/>
      <c r="S17" s="34"/>
      <c r="T17" s="34"/>
      <c r="U17" s="34"/>
      <c r="V17" s="34"/>
      <c r="W17" s="34"/>
    </row>
    <row r="18" spans="3:23" ht="13" customHeight="1" x14ac:dyDescent="0.25">
      <c r="C18" s="56" t="s">
        <v>67</v>
      </c>
      <c r="D18" s="6">
        <v>1178</v>
      </c>
      <c r="E18" s="6">
        <v>1215</v>
      </c>
      <c r="F18" s="6">
        <v>1726</v>
      </c>
      <c r="G18" s="6">
        <v>2162</v>
      </c>
      <c r="H18" s="6">
        <v>4989</v>
      </c>
      <c r="I18" s="6"/>
      <c r="J18" s="15">
        <f>D18/D21</f>
        <v>3.9748953974895395E-3</v>
      </c>
      <c r="K18" s="15">
        <f>E18/E21</f>
        <v>4.4799728620573956E-3</v>
      </c>
      <c r="L18" s="15">
        <f>F18/F21</f>
        <v>5.6076102353506867E-3</v>
      </c>
      <c r="M18" s="15">
        <f>G18/G21</f>
        <v>6.6696282037043897E-3</v>
      </c>
      <c r="N18" s="15">
        <f>H18/H21</f>
        <v>1.9161120094019688E-2</v>
      </c>
      <c r="O18" s="15"/>
      <c r="P18" s="26">
        <f>N18/L18-1</f>
        <v>2.4169850060596083</v>
      </c>
      <c r="Q18" s="24"/>
      <c r="S18" s="29" t="s">
        <v>123</v>
      </c>
      <c r="T18" s="1" t="s">
        <v>122</v>
      </c>
      <c r="U18" s="1" t="s">
        <v>121</v>
      </c>
      <c r="V18" s="1" t="s">
        <v>120</v>
      </c>
      <c r="W18" s="1" t="s">
        <v>119</v>
      </c>
    </row>
    <row r="19" spans="3:23" ht="13" customHeight="1" x14ac:dyDescent="0.25">
      <c r="C19" s="48" t="s">
        <v>0</v>
      </c>
      <c r="D19" s="12">
        <v>12688</v>
      </c>
      <c r="E19" s="12">
        <v>13894</v>
      </c>
      <c r="F19" s="12">
        <v>17588</v>
      </c>
      <c r="G19" s="12">
        <v>24220</v>
      </c>
      <c r="H19" s="12">
        <v>41287</v>
      </c>
      <c r="I19" s="12"/>
      <c r="J19" s="13">
        <f>D19/D21</f>
        <v>4.2812795249021457E-2</v>
      </c>
      <c r="K19" s="13">
        <f>E19/E21</f>
        <v>5.1230241107346051E-2</v>
      </c>
      <c r="L19" s="13">
        <f>F19/F21</f>
        <v>5.7141743232530635E-2</v>
      </c>
      <c r="M19" s="13">
        <f>G19/G21</f>
        <v>7.4717111514209206E-2</v>
      </c>
      <c r="N19" s="13">
        <f>H19/H21</f>
        <v>0.15856988681535195</v>
      </c>
      <c r="O19" s="14"/>
      <c r="P19" s="24">
        <f>N19/L19-1</f>
        <v>1.7750271140674361</v>
      </c>
      <c r="Q19" s="24"/>
      <c r="S19" s="1" t="s">
        <v>51</v>
      </c>
      <c r="T19" s="1" t="s">
        <v>50</v>
      </c>
      <c r="U19" s="1" t="s">
        <v>49</v>
      </c>
      <c r="V19" s="30" t="s">
        <v>48</v>
      </c>
      <c r="W19" s="1" t="s">
        <v>47</v>
      </c>
    </row>
    <row r="20" spans="3:23" ht="13" customHeight="1" x14ac:dyDescent="0.25">
      <c r="C20" s="48" t="s">
        <v>1</v>
      </c>
      <c r="D20" s="12">
        <v>8861</v>
      </c>
      <c r="E20" s="12">
        <v>7735</v>
      </c>
      <c r="F20" s="12">
        <v>8490</v>
      </c>
      <c r="G20" s="12">
        <v>8643</v>
      </c>
      <c r="H20" s="12">
        <v>7463</v>
      </c>
      <c r="I20" s="12"/>
      <c r="J20" s="13">
        <f>D20/D21</f>
        <v>2.9899446618976921E-2</v>
      </c>
      <c r="K20" s="13">
        <f>E20/E21</f>
        <v>2.8520650278200783E-2</v>
      </c>
      <c r="L20" s="13">
        <f>F20/F21</f>
        <v>2.7583204460096947E-2</v>
      </c>
      <c r="M20" s="13">
        <f>G20/G21</f>
        <v>2.6663088142746084E-2</v>
      </c>
      <c r="N20" s="13">
        <f>H20/H21</f>
        <v>2.8662946334269176E-2</v>
      </c>
      <c r="O20" s="14"/>
      <c r="P20" s="24">
        <f>N20/L20-1</f>
        <v>3.9144903404324527E-2</v>
      </c>
      <c r="Q20" s="24"/>
      <c r="S20" s="1" t="s">
        <v>55</v>
      </c>
      <c r="T20" s="1" t="s">
        <v>54</v>
      </c>
      <c r="U20" s="1" t="s">
        <v>53</v>
      </c>
      <c r="V20" s="1" t="s">
        <v>52</v>
      </c>
      <c r="W20" s="1" t="s">
        <v>96</v>
      </c>
    </row>
    <row r="21" spans="3:23" ht="13" customHeight="1" x14ac:dyDescent="0.25">
      <c r="C21" s="50" t="s">
        <v>39</v>
      </c>
      <c r="D21" s="10">
        <v>296360</v>
      </c>
      <c r="E21" s="10">
        <v>271207</v>
      </c>
      <c r="F21" s="10">
        <v>307796</v>
      </c>
      <c r="G21" s="10">
        <v>324156</v>
      </c>
      <c r="H21" s="10">
        <v>260371</v>
      </c>
      <c r="I21" s="10"/>
      <c r="J21" s="10"/>
      <c r="K21" s="10"/>
      <c r="L21" s="10"/>
      <c r="M21" s="10"/>
      <c r="N21" s="10"/>
      <c r="O21" s="10"/>
      <c r="P21" s="27"/>
      <c r="Q21" s="24"/>
      <c r="S21" s="35" t="s">
        <v>17</v>
      </c>
      <c r="T21" s="34" t="s">
        <v>97</v>
      </c>
      <c r="U21" s="35" t="s">
        <v>16</v>
      </c>
      <c r="V21" s="35" t="s">
        <v>15</v>
      </c>
      <c r="W21" s="35" t="s">
        <v>2</v>
      </c>
    </row>
    <row r="22" spans="3:23" ht="13" customHeight="1" x14ac:dyDescent="0.25">
      <c r="C22" s="48"/>
      <c r="D22" s="12"/>
      <c r="E22" s="12"/>
      <c r="F22" s="12"/>
      <c r="G22" s="12"/>
      <c r="H22" s="12"/>
      <c r="I22" s="12"/>
      <c r="J22" s="12"/>
      <c r="K22" s="12"/>
      <c r="L22" s="12"/>
      <c r="M22" s="12"/>
      <c r="N22" s="12"/>
      <c r="O22" s="12"/>
      <c r="P22" s="24"/>
      <c r="Q22" s="24"/>
      <c r="S22" s="31"/>
      <c r="T22" s="31"/>
      <c r="U22" s="31"/>
      <c r="V22" s="31"/>
      <c r="W22" s="31"/>
    </row>
    <row r="23" spans="3:23" ht="13" customHeight="1" x14ac:dyDescent="0.3">
      <c r="C23" s="37" t="s">
        <v>105</v>
      </c>
      <c r="D23" s="8"/>
      <c r="E23" s="12"/>
      <c r="F23" s="12"/>
      <c r="G23" s="12"/>
      <c r="H23" s="12"/>
      <c r="I23" s="12"/>
      <c r="J23" s="8"/>
      <c r="K23" s="12"/>
      <c r="L23" s="12"/>
      <c r="M23" s="12"/>
      <c r="N23" s="12"/>
      <c r="O23" s="12"/>
      <c r="P23" s="24"/>
      <c r="Q23" s="24"/>
      <c r="S23" s="34"/>
      <c r="T23" s="34"/>
      <c r="U23" s="34"/>
      <c r="V23" s="34"/>
      <c r="W23" s="34"/>
    </row>
    <row r="24" spans="3:23" ht="13" customHeight="1" x14ac:dyDescent="0.25">
      <c r="C24" s="56" t="s">
        <v>133</v>
      </c>
      <c r="D24" s="6">
        <v>154</v>
      </c>
      <c r="E24" s="6">
        <v>219</v>
      </c>
      <c r="F24" s="6">
        <v>221</v>
      </c>
      <c r="G24" s="6">
        <v>297</v>
      </c>
      <c r="H24" s="6">
        <v>895</v>
      </c>
      <c r="I24" s="6"/>
      <c r="J24" s="22">
        <f>D24/D27</f>
        <v>4.9295774647887321E-2</v>
      </c>
      <c r="K24" s="22">
        <f>E24/E27</f>
        <v>7.0304975922953455E-2</v>
      </c>
      <c r="L24" s="22">
        <f>F24/F27</f>
        <v>6.4525547445255474E-2</v>
      </c>
      <c r="M24" s="22">
        <f>G24/G27</f>
        <v>8.7947882736156349E-2</v>
      </c>
      <c r="N24" s="22">
        <f>H24/H27</f>
        <v>0.25703618609994255</v>
      </c>
      <c r="O24" s="15"/>
      <c r="P24" s="26">
        <f>N24/L24-1</f>
        <v>2.9834793547163043</v>
      </c>
      <c r="Q24" s="24"/>
      <c r="S24" s="1" t="s">
        <v>134</v>
      </c>
      <c r="U24" s="1" t="s">
        <v>134</v>
      </c>
      <c r="V24" s="1" t="s">
        <v>134</v>
      </c>
      <c r="W24" s="1" t="s">
        <v>134</v>
      </c>
    </row>
    <row r="25" spans="3:23" ht="13" customHeight="1" x14ac:dyDescent="0.25">
      <c r="C25" s="48" t="s">
        <v>0</v>
      </c>
      <c r="D25" s="12">
        <v>455</v>
      </c>
      <c r="E25" s="12">
        <v>527</v>
      </c>
      <c r="F25" s="12">
        <v>560</v>
      </c>
      <c r="G25" s="12">
        <v>511</v>
      </c>
      <c r="H25" s="12">
        <v>1110</v>
      </c>
      <c r="I25" s="12"/>
      <c r="J25" s="13">
        <f>D25/D27</f>
        <v>0.14564660691421255</v>
      </c>
      <c r="K25" s="13">
        <f>E25/E27</f>
        <v>0.16918138041733546</v>
      </c>
      <c r="L25" s="13">
        <f>F25/F27</f>
        <v>0.1635036496350365</v>
      </c>
      <c r="M25" s="13">
        <f>G25/G27</f>
        <v>0.15131773763695588</v>
      </c>
      <c r="N25" s="13">
        <f>H25/H27</f>
        <v>0.31878230901780585</v>
      </c>
      <c r="O25" s="14"/>
      <c r="P25" s="24">
        <f>N25/L25-1</f>
        <v>0.94969537211783051</v>
      </c>
      <c r="Q25" s="24"/>
      <c r="S25" s="1" t="s">
        <v>29</v>
      </c>
      <c r="U25" s="1" t="s">
        <v>28</v>
      </c>
      <c r="V25" s="1" t="s">
        <v>27</v>
      </c>
      <c r="W25" s="1" t="s">
        <v>26</v>
      </c>
    </row>
    <row r="26" spans="3:23" ht="13" customHeight="1" x14ac:dyDescent="0.25">
      <c r="C26" s="48" t="s">
        <v>1</v>
      </c>
      <c r="D26" s="12">
        <v>314</v>
      </c>
      <c r="E26" s="12">
        <v>279</v>
      </c>
      <c r="F26" s="12">
        <v>304</v>
      </c>
      <c r="G26" s="12">
        <v>238</v>
      </c>
      <c r="H26" s="12">
        <v>205</v>
      </c>
      <c r="I26" s="12"/>
      <c r="J26" s="13">
        <f>D26/D27</f>
        <v>0.10051216389244558</v>
      </c>
      <c r="K26" s="13">
        <f>E26/E27</f>
        <v>8.956661316211878E-2</v>
      </c>
      <c r="L26" s="13">
        <f>F26/F27</f>
        <v>8.8759124087591235E-2</v>
      </c>
      <c r="M26" s="13">
        <f>G26/G27</f>
        <v>7.0476754515842469E-2</v>
      </c>
      <c r="N26" s="13">
        <f>H26/H27</f>
        <v>5.8874210224009189E-2</v>
      </c>
      <c r="O26" s="14"/>
      <c r="P26" s="24">
        <f>N26/L26-1</f>
        <v>-0.33669680915384381</v>
      </c>
      <c r="Q26" s="24"/>
      <c r="S26" s="1" t="s">
        <v>25</v>
      </c>
      <c r="U26" s="1" t="s">
        <v>24</v>
      </c>
      <c r="V26" s="1" t="s">
        <v>23</v>
      </c>
      <c r="W26" s="1" t="s">
        <v>22</v>
      </c>
    </row>
    <row r="27" spans="3:23" ht="13" customHeight="1" x14ac:dyDescent="0.25">
      <c r="C27" s="50" t="s">
        <v>39</v>
      </c>
      <c r="D27" s="10">
        <v>3124</v>
      </c>
      <c r="E27" s="10">
        <v>3115</v>
      </c>
      <c r="F27" s="10">
        <v>3425</v>
      </c>
      <c r="G27" s="10">
        <v>3377</v>
      </c>
      <c r="H27" s="10">
        <v>3482</v>
      </c>
      <c r="I27" s="10"/>
      <c r="J27" s="23"/>
      <c r="K27" s="23"/>
      <c r="L27" s="23"/>
      <c r="M27" s="23"/>
      <c r="N27" s="23"/>
      <c r="O27" s="10"/>
      <c r="P27" s="27"/>
      <c r="Q27" s="24"/>
      <c r="S27" s="34" t="s">
        <v>21</v>
      </c>
      <c r="T27" s="34"/>
      <c r="U27" s="34" t="s">
        <v>20</v>
      </c>
      <c r="V27" s="34" t="s">
        <v>19</v>
      </c>
      <c r="W27" s="34" t="s">
        <v>18</v>
      </c>
    </row>
    <row r="28" spans="3:23" ht="13" customHeight="1" x14ac:dyDescent="0.25">
      <c r="D28" s="12"/>
      <c r="E28" s="12"/>
      <c r="F28" s="12"/>
      <c r="G28" s="12"/>
      <c r="H28" s="12"/>
      <c r="I28" s="12"/>
      <c r="J28" s="13"/>
      <c r="K28" s="13"/>
      <c r="L28" s="13"/>
      <c r="M28" s="13"/>
      <c r="N28" s="13"/>
      <c r="O28" s="12"/>
      <c r="P28" s="24"/>
      <c r="Q28" s="24"/>
    </row>
    <row r="29" spans="3:23" ht="13" customHeight="1" x14ac:dyDescent="0.3">
      <c r="C29" s="19" t="s">
        <v>106</v>
      </c>
      <c r="D29" s="12"/>
      <c r="E29" s="12"/>
      <c r="F29" s="12"/>
      <c r="G29" s="12"/>
      <c r="H29" s="12"/>
      <c r="I29" s="12"/>
      <c r="J29" s="9"/>
      <c r="K29" s="13"/>
      <c r="L29" s="13"/>
      <c r="M29" s="13"/>
      <c r="N29" s="13"/>
      <c r="O29" s="12"/>
      <c r="P29" s="24"/>
      <c r="Q29" s="24"/>
      <c r="S29" s="34"/>
      <c r="T29" s="34"/>
      <c r="U29" s="34"/>
      <c r="V29" s="34"/>
      <c r="W29" s="34"/>
    </row>
    <row r="30" spans="3:23" ht="13" customHeight="1" x14ac:dyDescent="0.25">
      <c r="C30" s="17" t="s">
        <v>67</v>
      </c>
      <c r="D30" s="6">
        <v>243</v>
      </c>
      <c r="E30" s="6">
        <v>241</v>
      </c>
      <c r="F30" s="6">
        <v>227</v>
      </c>
      <c r="G30" s="6">
        <v>225</v>
      </c>
      <c r="H30" s="6">
        <v>316</v>
      </c>
      <c r="I30" s="6"/>
      <c r="J30" s="22">
        <f>D30/D33</f>
        <v>0.10415773681954565</v>
      </c>
      <c r="K30" s="22">
        <f>E30/E33</f>
        <v>0.10460069444444445</v>
      </c>
      <c r="L30" s="22">
        <f>F30/F33</f>
        <v>0.10622367805334582</v>
      </c>
      <c r="M30" s="22">
        <f>G30/G33</f>
        <v>0.10465116279069768</v>
      </c>
      <c r="N30" s="22">
        <f>H30/H33</f>
        <v>0.15863453815261044</v>
      </c>
      <c r="O30" s="15"/>
      <c r="P30" s="26">
        <f>N30/L30-1</f>
        <v>0.49340091644109463</v>
      </c>
      <c r="Q30" s="24"/>
      <c r="S30" s="1" t="s">
        <v>135</v>
      </c>
      <c r="U30" s="1" t="s">
        <v>135</v>
      </c>
      <c r="V30" s="1" t="s">
        <v>135</v>
      </c>
      <c r="W30" s="1" t="s">
        <v>30</v>
      </c>
    </row>
    <row r="31" spans="3:23" ht="13" customHeight="1" x14ac:dyDescent="0.25">
      <c r="C31" s="16" t="s">
        <v>0</v>
      </c>
      <c r="D31" s="12">
        <v>580</v>
      </c>
      <c r="E31" s="12">
        <v>605</v>
      </c>
      <c r="F31" s="12">
        <v>515</v>
      </c>
      <c r="G31" s="12">
        <v>484</v>
      </c>
      <c r="H31" s="12">
        <v>597</v>
      </c>
      <c r="I31" s="12"/>
      <c r="J31" s="13">
        <f>D31/D33</f>
        <v>0.2486069438491213</v>
      </c>
      <c r="K31" s="13">
        <f>E31/E33</f>
        <v>0.26258680555555558</v>
      </c>
      <c r="L31" s="13">
        <f>F31/F33</f>
        <v>0.24099204492278894</v>
      </c>
      <c r="M31" s="13">
        <f>G31/G33</f>
        <v>0.22511627906976744</v>
      </c>
      <c r="N31" s="13">
        <f>H31/H33</f>
        <v>0.2996987951807229</v>
      </c>
      <c r="O31" s="14"/>
      <c r="P31" s="24">
        <f>N31/L31-1</f>
        <v>0.24360451514797066</v>
      </c>
      <c r="Q31" s="24"/>
      <c r="S31" s="1" t="s">
        <v>102</v>
      </c>
      <c r="U31" s="1" t="s">
        <v>102</v>
      </c>
      <c r="V31" s="1" t="s">
        <v>102</v>
      </c>
      <c r="W31" s="1" t="s">
        <v>102</v>
      </c>
    </row>
    <row r="32" spans="3:23" ht="13" customHeight="1" x14ac:dyDescent="0.25">
      <c r="C32" s="16" t="s">
        <v>1</v>
      </c>
      <c r="D32" s="12">
        <v>17</v>
      </c>
      <c r="E32" s="12">
        <v>25</v>
      </c>
      <c r="F32" s="12">
        <v>18</v>
      </c>
      <c r="G32" s="12">
        <v>21</v>
      </c>
      <c r="H32" s="12">
        <v>11</v>
      </c>
      <c r="I32" s="12"/>
      <c r="J32" s="13">
        <f>D32/D33</f>
        <v>7.2867552507501071E-3</v>
      </c>
      <c r="K32" s="13">
        <f>E32/E33</f>
        <v>1.0850694444444444E-2</v>
      </c>
      <c r="L32" s="13">
        <f>F32/F33</f>
        <v>8.4230229293401973E-3</v>
      </c>
      <c r="M32" s="13">
        <f>G32/G33</f>
        <v>9.7674418604651158E-3</v>
      </c>
      <c r="N32" s="13">
        <f>H32/H33</f>
        <v>5.5220883534136548E-3</v>
      </c>
      <c r="O32" s="14"/>
      <c r="P32" s="24">
        <f>N32/L32-1</f>
        <v>-0.34440539937527892</v>
      </c>
      <c r="Q32" s="24"/>
      <c r="S32" s="1" t="s">
        <v>32</v>
      </c>
      <c r="U32" s="1" t="s">
        <v>32</v>
      </c>
      <c r="V32" s="1" t="s">
        <v>32</v>
      </c>
      <c r="W32" s="1" t="s">
        <v>32</v>
      </c>
    </row>
    <row r="33" spans="3:23" ht="13" customHeight="1" x14ac:dyDescent="0.25">
      <c r="C33" s="18" t="s">
        <v>39</v>
      </c>
      <c r="D33" s="10">
        <v>2333</v>
      </c>
      <c r="E33" s="10">
        <v>2304</v>
      </c>
      <c r="F33" s="10">
        <v>2137</v>
      </c>
      <c r="G33" s="10">
        <v>2150</v>
      </c>
      <c r="H33" s="10">
        <v>1992</v>
      </c>
      <c r="I33" s="10"/>
      <c r="J33" s="23"/>
      <c r="K33" s="23"/>
      <c r="L33" s="23"/>
      <c r="M33" s="23"/>
      <c r="N33" s="23"/>
      <c r="O33" s="10"/>
      <c r="P33" s="27"/>
      <c r="Q33" s="24"/>
      <c r="S33" s="34" t="s">
        <v>31</v>
      </c>
      <c r="T33" s="34"/>
      <c r="U33" s="34" t="s">
        <v>31</v>
      </c>
      <c r="V33" s="34" t="s">
        <v>31</v>
      </c>
      <c r="W33" s="34" t="s">
        <v>31</v>
      </c>
    </row>
    <row r="34" spans="3:23" ht="13" customHeight="1" x14ac:dyDescent="0.25">
      <c r="D34" s="12"/>
      <c r="E34" s="12"/>
      <c r="F34" s="12"/>
      <c r="G34" s="12"/>
      <c r="H34" s="12"/>
      <c r="I34" s="12"/>
      <c r="J34" s="13"/>
      <c r="K34" s="13"/>
      <c r="L34" s="13"/>
      <c r="M34" s="13"/>
      <c r="N34" s="13"/>
      <c r="O34" s="12"/>
      <c r="P34" s="24"/>
      <c r="Q34" s="24"/>
    </row>
    <row r="35" spans="3:23" ht="13" customHeight="1" x14ac:dyDescent="0.3">
      <c r="C35" s="19" t="s">
        <v>107</v>
      </c>
      <c r="D35" s="8"/>
      <c r="E35" s="12"/>
      <c r="F35" s="12"/>
      <c r="G35" s="12"/>
      <c r="H35" s="12"/>
      <c r="I35" s="12"/>
      <c r="J35" s="9"/>
      <c r="K35" s="13"/>
      <c r="L35" s="13"/>
      <c r="M35" s="13"/>
      <c r="N35" s="13"/>
      <c r="O35" s="12"/>
      <c r="P35" s="24"/>
      <c r="Q35" s="24"/>
      <c r="S35" s="34"/>
      <c r="T35" s="34"/>
      <c r="U35" s="34"/>
      <c r="V35" s="34"/>
      <c r="W35" s="34"/>
    </row>
    <row r="36" spans="3:23" ht="13" customHeight="1" x14ac:dyDescent="0.25">
      <c r="C36" s="17" t="s">
        <v>133</v>
      </c>
      <c r="D36" s="6">
        <v>65</v>
      </c>
      <c r="E36" s="6">
        <v>75</v>
      </c>
      <c r="F36" s="6">
        <v>83</v>
      </c>
      <c r="G36" s="6">
        <v>80</v>
      </c>
      <c r="H36" s="6">
        <v>239</v>
      </c>
      <c r="I36" s="6"/>
      <c r="J36" s="22">
        <f>D36/D39</f>
        <v>5.3542009884678748E-2</v>
      </c>
      <c r="K36" s="22">
        <f>E36/E39</f>
        <v>5.9476605868358443E-2</v>
      </c>
      <c r="L36" s="22">
        <f>F36/F39</f>
        <v>6.0232220609579099E-2</v>
      </c>
      <c r="M36" s="22">
        <f>G36/G39</f>
        <v>6.334125098970704E-2</v>
      </c>
      <c r="N36" s="22">
        <f>H36/H39</f>
        <v>0.1857031857031857</v>
      </c>
      <c r="O36" s="15"/>
      <c r="P36" s="26">
        <f>N36/L36-1</f>
        <v>2.083120360228794</v>
      </c>
      <c r="Q36" s="24"/>
      <c r="S36" s="1" t="s">
        <v>136</v>
      </c>
      <c r="U36" s="1" t="s">
        <v>136</v>
      </c>
      <c r="V36" s="1" t="s">
        <v>136</v>
      </c>
      <c r="W36" s="1" t="s">
        <v>136</v>
      </c>
    </row>
    <row r="37" spans="3:23" ht="13" customHeight="1" x14ac:dyDescent="0.25">
      <c r="C37" s="16" t="s">
        <v>0</v>
      </c>
      <c r="D37" s="12">
        <v>152</v>
      </c>
      <c r="E37" s="12">
        <v>180</v>
      </c>
      <c r="F37" s="12">
        <v>192</v>
      </c>
      <c r="G37" s="12">
        <v>172</v>
      </c>
      <c r="H37" s="12">
        <v>334</v>
      </c>
      <c r="I37" s="12"/>
      <c r="J37" s="13">
        <f>D37/D39</f>
        <v>0.12520593080724876</v>
      </c>
      <c r="K37" s="13">
        <f>E37/E39</f>
        <v>0.14274385408406026</v>
      </c>
      <c r="L37" s="13">
        <f>F37/F39</f>
        <v>0.13933236574746008</v>
      </c>
      <c r="M37" s="13">
        <f>G37/G39</f>
        <v>0.13618368962787014</v>
      </c>
      <c r="N37" s="13">
        <f>H37/H39</f>
        <v>0.25951825951825952</v>
      </c>
      <c r="O37" s="14"/>
      <c r="P37" s="24">
        <f>N37/L37-1</f>
        <v>0.86258417508417518</v>
      </c>
      <c r="Q37" s="24"/>
      <c r="S37" s="1" t="s">
        <v>35</v>
      </c>
      <c r="U37" s="1" t="s">
        <v>36</v>
      </c>
      <c r="V37" s="1" t="s">
        <v>37</v>
      </c>
      <c r="W37" s="1" t="s">
        <v>38</v>
      </c>
    </row>
    <row r="38" spans="3:23" ht="13" customHeight="1" x14ac:dyDescent="0.25">
      <c r="C38" s="16" t="s">
        <v>1</v>
      </c>
      <c r="D38" s="12">
        <v>43</v>
      </c>
      <c r="E38" s="12">
        <v>33</v>
      </c>
      <c r="F38" s="12">
        <v>52</v>
      </c>
      <c r="G38" s="12">
        <v>28</v>
      </c>
      <c r="H38" s="12">
        <v>29</v>
      </c>
      <c r="I38" s="12"/>
      <c r="J38" s="13">
        <f>D38/D39</f>
        <v>3.5420098846787477E-2</v>
      </c>
      <c r="K38" s="13">
        <f>E38/E39</f>
        <v>2.6169706582077717E-2</v>
      </c>
      <c r="L38" s="13">
        <f>F38/F39</f>
        <v>3.7735849056603772E-2</v>
      </c>
      <c r="M38" s="13">
        <f>G38/G39</f>
        <v>2.2169437846397466E-2</v>
      </c>
      <c r="N38" s="13">
        <f>H38/H39</f>
        <v>2.2533022533022532E-2</v>
      </c>
      <c r="O38" s="14"/>
      <c r="P38" s="24">
        <f>N38/L38-1</f>
        <v>-0.40287490287490291</v>
      </c>
      <c r="Q38" s="24"/>
      <c r="S38" s="1" t="s">
        <v>73</v>
      </c>
      <c r="U38" s="1" t="s">
        <v>73</v>
      </c>
      <c r="V38" s="1" t="s">
        <v>73</v>
      </c>
      <c r="W38" s="1" t="s">
        <v>73</v>
      </c>
    </row>
    <row r="39" spans="3:23" ht="13" customHeight="1" x14ac:dyDescent="0.25">
      <c r="C39" s="18" t="s">
        <v>39</v>
      </c>
      <c r="D39" s="10">
        <v>1214</v>
      </c>
      <c r="E39" s="10">
        <v>1261</v>
      </c>
      <c r="F39" s="10">
        <v>1378</v>
      </c>
      <c r="G39" s="10">
        <v>1263</v>
      </c>
      <c r="H39" s="10">
        <v>1287</v>
      </c>
      <c r="I39" s="10"/>
      <c r="J39" s="10"/>
      <c r="K39" s="10"/>
      <c r="L39" s="10"/>
      <c r="M39" s="10"/>
      <c r="N39" s="10"/>
      <c r="O39" s="10"/>
      <c r="P39" s="27"/>
      <c r="Q39" s="24"/>
      <c r="S39" s="34" t="s">
        <v>33</v>
      </c>
      <c r="T39" s="34"/>
      <c r="U39" s="34" t="s">
        <v>34</v>
      </c>
      <c r="V39" s="34" t="s">
        <v>103</v>
      </c>
      <c r="W39" s="34" t="s">
        <v>104</v>
      </c>
    </row>
    <row r="40" spans="3:23" s="53" customFormat="1" ht="93" customHeight="1" x14ac:dyDescent="0.25">
      <c r="C40" s="62" t="s">
        <v>205</v>
      </c>
      <c r="D40" s="62"/>
      <c r="E40" s="62"/>
      <c r="F40" s="62"/>
      <c r="G40" s="62"/>
      <c r="H40" s="62"/>
      <c r="I40" s="62"/>
      <c r="J40" s="62"/>
      <c r="K40" s="62"/>
      <c r="L40" s="62"/>
      <c r="M40" s="62"/>
      <c r="N40" s="62"/>
      <c r="O40" s="62"/>
      <c r="P40" s="62"/>
      <c r="Q40" s="54"/>
      <c r="R40" s="55"/>
    </row>
    <row r="41" spans="3:23" ht="7.5" customHeight="1" x14ac:dyDescent="0.25">
      <c r="D41" s="12"/>
      <c r="E41" s="12"/>
      <c r="F41" s="12"/>
      <c r="G41" s="12"/>
      <c r="H41" s="12"/>
      <c r="I41" s="12"/>
      <c r="J41" s="12"/>
      <c r="K41" s="12"/>
      <c r="L41" s="12"/>
      <c r="M41" s="12"/>
      <c r="N41" s="12"/>
      <c r="O41" s="12"/>
      <c r="P41" s="24"/>
      <c r="Q41" s="24"/>
    </row>
    <row r="42" spans="3:23" x14ac:dyDescent="0.25">
      <c r="C42" s="1"/>
    </row>
  </sheetData>
  <mergeCells count="1">
    <mergeCell ref="C40:P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1A317-4D7E-432B-BD69-9E1817D1D00A}">
  <dimension ref="B1:AU38"/>
  <sheetViews>
    <sheetView showGridLines="0" workbookViewId="0"/>
  </sheetViews>
  <sheetFormatPr defaultRowHeight="14.5" x14ac:dyDescent="0.35"/>
  <cols>
    <col min="2" max="2" width="20.08984375" customWidth="1"/>
  </cols>
  <sheetData>
    <row r="1" spans="2:47" s="1" customFormat="1" ht="12.5" x14ac:dyDescent="0.25">
      <c r="C1" s="48"/>
      <c r="P1" s="4"/>
      <c r="Q1" s="4"/>
      <c r="R1" s="4"/>
    </row>
    <row r="2" spans="2:47" s="1" customFormat="1" ht="5.75" customHeight="1" x14ac:dyDescent="0.25">
      <c r="C2" s="48"/>
      <c r="P2" s="4"/>
      <c r="Q2" s="4"/>
      <c r="R2" s="4"/>
      <c r="S2" s="34"/>
      <c r="T2" s="34"/>
      <c r="U2" s="34"/>
      <c r="V2" s="34"/>
      <c r="W2" s="34"/>
    </row>
    <row r="3" spans="2:47" s="1" customFormat="1" ht="13" customHeight="1" x14ac:dyDescent="0.3">
      <c r="B3" s="56"/>
      <c r="C3" s="28" t="s">
        <v>41</v>
      </c>
      <c r="D3" s="7"/>
      <c r="E3" s="7"/>
      <c r="F3" s="7"/>
      <c r="G3" s="7"/>
      <c r="H3" s="7"/>
      <c r="I3" s="28" t="s">
        <v>145</v>
      </c>
      <c r="J3" s="7"/>
      <c r="K3" s="7"/>
      <c r="L3" s="7"/>
      <c r="M3" s="7"/>
      <c r="N3" s="7"/>
      <c r="O3" s="20" t="s">
        <v>46</v>
      </c>
      <c r="P3" s="9"/>
      <c r="Q3" s="4"/>
    </row>
    <row r="4" spans="2:47" s="1" customFormat="1" ht="13" customHeight="1" x14ac:dyDescent="0.3">
      <c r="B4" s="50"/>
      <c r="C4" s="11">
        <v>2019</v>
      </c>
      <c r="D4" s="11">
        <v>2020</v>
      </c>
      <c r="E4" s="11">
        <v>2021</v>
      </c>
      <c r="F4" s="11">
        <v>2022</v>
      </c>
      <c r="G4" s="11">
        <v>2023</v>
      </c>
      <c r="H4" s="10"/>
      <c r="I4" s="11">
        <v>2019</v>
      </c>
      <c r="J4" s="11">
        <v>2020</v>
      </c>
      <c r="K4" s="11">
        <v>2021</v>
      </c>
      <c r="L4" s="11">
        <v>2022</v>
      </c>
      <c r="M4" s="11">
        <v>2023</v>
      </c>
      <c r="N4" s="11"/>
      <c r="O4" s="21" t="s">
        <v>45</v>
      </c>
      <c r="P4" s="9"/>
      <c r="Q4" s="4"/>
      <c r="R4" s="33">
        <v>2019</v>
      </c>
      <c r="S4" s="33">
        <v>2020</v>
      </c>
      <c r="T4" s="33">
        <v>2021</v>
      </c>
      <c r="U4" s="33">
        <v>2022</v>
      </c>
      <c r="V4" s="33">
        <v>2023</v>
      </c>
      <c r="X4" s="2"/>
      <c r="AR4" s="2"/>
      <c r="AS4" s="2"/>
      <c r="AT4" s="2"/>
      <c r="AU4" s="2"/>
    </row>
    <row r="5" spans="2:47" s="1" customFormat="1" ht="13" customHeight="1" x14ac:dyDescent="0.3">
      <c r="B5" s="19" t="s">
        <v>66</v>
      </c>
      <c r="C5" s="12"/>
      <c r="D5" s="12"/>
      <c r="E5" s="12"/>
      <c r="F5" s="12"/>
      <c r="G5" s="12"/>
      <c r="H5" s="12"/>
      <c r="I5" s="8"/>
      <c r="J5" s="12"/>
      <c r="K5" s="12"/>
      <c r="L5" s="12"/>
      <c r="M5" s="12"/>
      <c r="N5" s="12"/>
      <c r="O5" s="24"/>
      <c r="P5" s="24"/>
      <c r="Q5" s="4"/>
      <c r="R5" s="35"/>
      <c r="S5" s="35"/>
      <c r="T5" s="35"/>
      <c r="U5" s="35"/>
      <c r="V5" s="35"/>
    </row>
    <row r="6" spans="2:47" s="1" customFormat="1" ht="13" customHeight="1" x14ac:dyDescent="0.25">
      <c r="B6" s="17" t="s">
        <v>67</v>
      </c>
      <c r="C6" s="6">
        <v>3224</v>
      </c>
      <c r="D6" s="6">
        <v>3609</v>
      </c>
      <c r="E6" s="6">
        <v>3963</v>
      </c>
      <c r="F6" s="6">
        <v>3789</v>
      </c>
      <c r="G6" s="6">
        <v>3817</v>
      </c>
      <c r="H6" s="6"/>
      <c r="I6" s="15">
        <f>C6/C9</f>
        <v>2.0065224426796785E-2</v>
      </c>
      <c r="J6" s="15">
        <f>D6/D9</f>
        <v>2.1907513749104639E-2</v>
      </c>
      <c r="K6" s="15">
        <f>E6/E9</f>
        <v>2.4155060494316278E-2</v>
      </c>
      <c r="L6" s="15">
        <f>F6/F9</f>
        <v>2.5544394256050696E-2</v>
      </c>
      <c r="M6" s="15">
        <f>G6/G9</f>
        <v>3.6553599816130704E-2</v>
      </c>
      <c r="N6" s="15"/>
      <c r="O6" s="26">
        <f>M6/K6-1</f>
        <v>0.51328951648586507</v>
      </c>
      <c r="P6" s="24"/>
      <c r="Q6" s="4"/>
      <c r="R6" s="29" t="s">
        <v>128</v>
      </c>
      <c r="S6" s="31" t="s">
        <v>127</v>
      </c>
      <c r="T6" s="31" t="s">
        <v>126</v>
      </c>
      <c r="U6" s="31" t="s">
        <v>125</v>
      </c>
      <c r="V6" s="31" t="s">
        <v>124</v>
      </c>
    </row>
    <row r="7" spans="2:47" s="1" customFormat="1" ht="13" customHeight="1" x14ac:dyDescent="0.25">
      <c r="B7" s="16" t="s">
        <v>0</v>
      </c>
      <c r="C7" s="12">
        <v>18347</v>
      </c>
      <c r="D7" s="12">
        <v>20573</v>
      </c>
      <c r="E7" s="12">
        <v>22761</v>
      </c>
      <c r="F7" s="12">
        <v>22459</v>
      </c>
      <c r="G7" s="12">
        <v>19735</v>
      </c>
      <c r="H7" s="12"/>
      <c r="I7" s="13">
        <f>C7/C9</f>
        <v>0.11418631282830043</v>
      </c>
      <c r="J7" s="13">
        <f>D7/D9</f>
        <v>0.12488314778618169</v>
      </c>
      <c r="K7" s="13">
        <f>E7/E9</f>
        <v>0.13873160028037668</v>
      </c>
      <c r="L7" s="13">
        <f>F7/F9</f>
        <v>0.15141239128969192</v>
      </c>
      <c r="M7" s="13">
        <f>G7/G9</f>
        <v>0.18899274099327729</v>
      </c>
      <c r="N7" s="14"/>
      <c r="O7" s="24">
        <f>M7/K7-1</f>
        <v>0.36229049914599698</v>
      </c>
      <c r="P7" s="24"/>
      <c r="Q7" s="4"/>
      <c r="R7" s="31" t="s">
        <v>58</v>
      </c>
      <c r="S7" s="1" t="s">
        <v>89</v>
      </c>
      <c r="T7" s="1" t="s">
        <v>61</v>
      </c>
      <c r="U7" s="1" t="s">
        <v>90</v>
      </c>
      <c r="V7" s="31" t="s">
        <v>64</v>
      </c>
    </row>
    <row r="8" spans="2:47" s="1" customFormat="1" ht="13" customHeight="1" x14ac:dyDescent="0.25">
      <c r="B8" s="16" t="s">
        <v>1</v>
      </c>
      <c r="C8" s="12">
        <v>13814</v>
      </c>
      <c r="D8" s="12">
        <v>14515</v>
      </c>
      <c r="E8" s="12">
        <v>13441</v>
      </c>
      <c r="F8" s="12">
        <v>12210</v>
      </c>
      <c r="G8" s="12">
        <v>8110</v>
      </c>
      <c r="H8" s="12"/>
      <c r="I8" s="13">
        <f>C8/C9</f>
        <v>8.5974258756752714E-2</v>
      </c>
      <c r="J8" s="13">
        <f>D8/D9</f>
        <v>8.8109604341439135E-2</v>
      </c>
      <c r="K8" s="13">
        <f>E8/E9</f>
        <v>8.192484685947643E-2</v>
      </c>
      <c r="L8" s="13">
        <f>F8/F9</f>
        <v>8.2316456549585387E-2</v>
      </c>
      <c r="M8" s="13">
        <f>G8/G9</f>
        <v>7.7665626017505887E-2</v>
      </c>
      <c r="N8" s="14"/>
      <c r="O8" s="24">
        <f>M8/K8-1</f>
        <v>-5.1989365927973874E-2</v>
      </c>
      <c r="P8" s="24"/>
      <c r="Q8" s="4"/>
      <c r="R8" s="31" t="s">
        <v>57</v>
      </c>
      <c r="S8" s="31" t="s">
        <v>59</v>
      </c>
      <c r="T8" s="31" t="s">
        <v>60</v>
      </c>
      <c r="U8" s="31" t="s">
        <v>62</v>
      </c>
      <c r="V8" s="31" t="s">
        <v>63</v>
      </c>
    </row>
    <row r="9" spans="2:47" s="1" customFormat="1" ht="13" customHeight="1" x14ac:dyDescent="0.25">
      <c r="B9" s="18" t="s">
        <v>39</v>
      </c>
      <c r="C9" s="10">
        <v>160676</v>
      </c>
      <c r="D9" s="10">
        <v>164738</v>
      </c>
      <c r="E9" s="10">
        <v>164065</v>
      </c>
      <c r="F9" s="10">
        <v>148330</v>
      </c>
      <c r="G9" s="10">
        <v>104422</v>
      </c>
      <c r="H9" s="10"/>
      <c r="I9" s="10"/>
      <c r="J9" s="10"/>
      <c r="K9" s="10"/>
      <c r="L9" s="10"/>
      <c r="M9" s="10"/>
      <c r="N9" s="10"/>
      <c r="O9" s="27"/>
      <c r="P9" s="24"/>
      <c r="Q9" s="4"/>
      <c r="R9" s="35" t="s">
        <v>56</v>
      </c>
      <c r="S9" s="34" t="s">
        <v>98</v>
      </c>
      <c r="T9" s="34" t="s">
        <v>99</v>
      </c>
      <c r="U9" s="34" t="s">
        <v>100</v>
      </c>
      <c r="V9" s="34" t="s">
        <v>101</v>
      </c>
    </row>
    <row r="10" spans="2:47" s="1" customFormat="1" ht="13" customHeight="1" x14ac:dyDescent="0.25">
      <c r="B10" s="16"/>
      <c r="C10" s="12"/>
      <c r="D10" s="12"/>
      <c r="E10" s="12"/>
      <c r="F10" s="12"/>
      <c r="G10" s="12"/>
      <c r="H10" s="12"/>
      <c r="I10" s="12"/>
      <c r="J10" s="12"/>
      <c r="K10" s="12" t="s">
        <v>40</v>
      </c>
      <c r="L10" s="12"/>
      <c r="M10" s="12"/>
      <c r="N10" s="12"/>
      <c r="O10" s="24"/>
      <c r="P10" s="24"/>
      <c r="Q10" s="4"/>
      <c r="R10" s="31"/>
      <c r="S10" s="31"/>
      <c r="T10" s="31"/>
      <c r="U10" s="31"/>
      <c r="V10" s="31"/>
    </row>
    <row r="11" spans="2:47" s="1" customFormat="1" ht="13" customHeight="1" x14ac:dyDescent="0.3">
      <c r="B11" s="19" t="s">
        <v>65</v>
      </c>
      <c r="C11" s="12"/>
      <c r="D11" s="12"/>
      <c r="E11" s="12"/>
      <c r="F11" s="12"/>
      <c r="G11" s="12"/>
      <c r="H11" s="12"/>
      <c r="I11" s="8"/>
      <c r="J11" s="12"/>
      <c r="K11" s="12"/>
      <c r="L11" s="12"/>
      <c r="M11" s="12"/>
      <c r="N11" s="12"/>
      <c r="O11" s="24"/>
      <c r="P11" s="24"/>
      <c r="Q11" s="4"/>
      <c r="R11" s="34"/>
      <c r="S11" s="34"/>
      <c r="T11" s="34"/>
      <c r="U11" s="34"/>
      <c r="V11" s="34"/>
    </row>
    <row r="12" spans="2:47" s="1" customFormat="1" ht="13" customHeight="1" x14ac:dyDescent="0.25">
      <c r="B12" s="17" t="s">
        <v>67</v>
      </c>
      <c r="C12" s="6">
        <v>99</v>
      </c>
      <c r="D12" s="6">
        <v>119</v>
      </c>
      <c r="E12" s="6">
        <v>160</v>
      </c>
      <c r="F12" s="6">
        <v>174</v>
      </c>
      <c r="G12" s="6">
        <v>208</v>
      </c>
      <c r="H12" s="6"/>
      <c r="I12" s="15">
        <f>C12/C15</f>
        <v>5.0440719417129461E-3</v>
      </c>
      <c r="J12" s="15">
        <f>D12/D15</f>
        <v>5.8276199804113615E-3</v>
      </c>
      <c r="K12" s="15">
        <f>E12/E15</f>
        <v>7.6790170858130162E-3</v>
      </c>
      <c r="L12" s="15">
        <f>F12/F15</f>
        <v>8.4363636363636359E-3</v>
      </c>
      <c r="M12" s="15">
        <f>G12/G15</f>
        <v>1.4283752231836287E-2</v>
      </c>
      <c r="N12" s="15"/>
      <c r="O12" s="26">
        <f>M12/K12-1</f>
        <v>0.86010163439088028</v>
      </c>
      <c r="P12" s="24"/>
      <c r="Q12" s="4"/>
      <c r="R12" s="1" t="s">
        <v>146</v>
      </c>
      <c r="S12" s="1" t="s">
        <v>132</v>
      </c>
      <c r="T12" s="1" t="s">
        <v>131</v>
      </c>
      <c r="U12" s="1" t="s">
        <v>130</v>
      </c>
      <c r="V12" s="1" t="s">
        <v>129</v>
      </c>
    </row>
    <row r="13" spans="2:47" s="1" customFormat="1" ht="13" customHeight="1" x14ac:dyDescent="0.25">
      <c r="B13" s="16" t="s">
        <v>0</v>
      </c>
      <c r="C13" s="12">
        <v>2582</v>
      </c>
      <c r="D13" s="12">
        <v>2866</v>
      </c>
      <c r="E13" s="12">
        <v>3120</v>
      </c>
      <c r="F13" s="12">
        <v>3084</v>
      </c>
      <c r="G13" s="12">
        <v>2763</v>
      </c>
      <c r="H13" s="12"/>
      <c r="I13" s="13">
        <f>C13/C15</f>
        <v>0.13155347225760433</v>
      </c>
      <c r="J13" s="13">
        <f>D13/D15</f>
        <v>0.14035259549461312</v>
      </c>
      <c r="K13" s="13">
        <f>E13/E15</f>
        <v>0.14974083317335382</v>
      </c>
      <c r="L13" s="13">
        <f>F13/F15</f>
        <v>0.14952727272727273</v>
      </c>
      <c r="M13" s="13">
        <f>G13/G15</f>
        <v>0.18974042027194066</v>
      </c>
      <c r="N13" s="14"/>
      <c r="O13" s="24">
        <f>M13/K13-1</f>
        <v>0.26712544768787017</v>
      </c>
      <c r="P13" s="24"/>
      <c r="Q13" s="4"/>
      <c r="R13" s="1" t="s">
        <v>83</v>
      </c>
      <c r="S13" s="1" t="s">
        <v>82</v>
      </c>
      <c r="T13" s="1" t="s">
        <v>81</v>
      </c>
      <c r="U13" s="1" t="s">
        <v>80</v>
      </c>
      <c r="V13" s="30" t="s">
        <v>79</v>
      </c>
    </row>
    <row r="14" spans="2:47" s="1" customFormat="1" ht="13" customHeight="1" x14ac:dyDescent="0.25">
      <c r="B14" s="16" t="s">
        <v>1</v>
      </c>
      <c r="C14" s="12">
        <v>3087</v>
      </c>
      <c r="D14" s="12">
        <v>3040</v>
      </c>
      <c r="E14" s="12">
        <v>2785</v>
      </c>
      <c r="F14" s="12">
        <v>2425</v>
      </c>
      <c r="G14" s="12">
        <v>1660</v>
      </c>
      <c r="H14" s="12"/>
      <c r="I14" s="13">
        <f>C14/C15</f>
        <v>0.1572833341825037</v>
      </c>
      <c r="J14" s="13">
        <f>D14/D15</f>
        <v>0.14887365328109697</v>
      </c>
      <c r="K14" s="13">
        <f>E14/E15</f>
        <v>0.13366289114993282</v>
      </c>
      <c r="L14" s="13">
        <f>F14/F15</f>
        <v>0.11757575757575757</v>
      </c>
      <c r="M14" s="13">
        <f>G14/G15</f>
        <v>0.11399533031177037</v>
      </c>
      <c r="N14" s="14"/>
      <c r="O14" s="24">
        <f>M14/K14-1</f>
        <v>-0.14714301530483054</v>
      </c>
      <c r="P14" s="24"/>
      <c r="Q14" s="4"/>
      <c r="R14" s="1" t="s">
        <v>78</v>
      </c>
      <c r="S14" s="1" t="s">
        <v>77</v>
      </c>
      <c r="T14" s="1" t="s">
        <v>76</v>
      </c>
      <c r="U14" s="1" t="s">
        <v>75</v>
      </c>
      <c r="V14" s="1" t="s">
        <v>74</v>
      </c>
    </row>
    <row r="15" spans="2:47" s="1" customFormat="1" ht="13" customHeight="1" x14ac:dyDescent="0.25">
      <c r="B15" s="18" t="s">
        <v>39</v>
      </c>
      <c r="C15" s="10">
        <v>19627</v>
      </c>
      <c r="D15" s="10">
        <v>20420</v>
      </c>
      <c r="E15" s="10">
        <v>20836</v>
      </c>
      <c r="F15" s="10">
        <v>20625</v>
      </c>
      <c r="G15" s="10">
        <v>14562</v>
      </c>
      <c r="H15" s="10"/>
      <c r="I15" s="10"/>
      <c r="J15" s="10"/>
      <c r="K15" s="10"/>
      <c r="L15" s="10"/>
      <c r="M15" s="10"/>
      <c r="N15" s="10"/>
      <c r="O15" s="27"/>
      <c r="P15" s="24"/>
      <c r="Q15" s="4"/>
      <c r="R15" s="34" t="s">
        <v>72</v>
      </c>
      <c r="S15" s="34" t="s">
        <v>71</v>
      </c>
      <c r="T15" s="34" t="s">
        <v>70</v>
      </c>
      <c r="U15" s="34" t="s">
        <v>69</v>
      </c>
      <c r="V15" s="34" t="s">
        <v>68</v>
      </c>
    </row>
    <row r="16" spans="2:47" s="1" customFormat="1" ht="13" customHeight="1" x14ac:dyDescent="0.3">
      <c r="B16" s="16" t="s">
        <v>144</v>
      </c>
      <c r="C16" s="12"/>
      <c r="D16" s="12"/>
      <c r="E16" s="12"/>
      <c r="F16" s="12"/>
      <c r="G16" s="12"/>
      <c r="H16" s="12"/>
      <c r="I16" s="12"/>
      <c r="J16" s="12"/>
      <c r="K16" s="12"/>
      <c r="L16" s="12"/>
      <c r="M16" s="12"/>
      <c r="N16" s="12"/>
      <c r="O16" s="24"/>
      <c r="P16" s="24"/>
      <c r="Q16" s="4"/>
    </row>
    <row r="17" spans="2:22" s="1" customFormat="1" ht="13" customHeight="1" x14ac:dyDescent="0.25">
      <c r="B17" s="16"/>
      <c r="C17" s="12"/>
      <c r="D17" s="12"/>
      <c r="E17" s="12"/>
      <c r="F17" s="12"/>
      <c r="G17" s="12"/>
      <c r="H17" s="12"/>
      <c r="I17" s="12"/>
      <c r="J17" s="12"/>
      <c r="K17" s="12"/>
      <c r="L17" s="12"/>
      <c r="M17" s="12"/>
      <c r="N17" s="12"/>
      <c r="O17" s="24"/>
      <c r="P17" s="24"/>
      <c r="Q17" s="4"/>
    </row>
    <row r="18" spans="2:22" s="31" customFormat="1" ht="13" x14ac:dyDescent="0.3">
      <c r="B18" s="37" t="s">
        <v>109</v>
      </c>
      <c r="C18" s="38"/>
      <c r="D18" s="39"/>
      <c r="E18" s="39"/>
      <c r="F18" s="39"/>
      <c r="G18" s="39"/>
      <c r="H18" s="39"/>
      <c r="I18" s="40"/>
      <c r="J18" s="41"/>
      <c r="K18" s="41"/>
      <c r="L18" s="41"/>
      <c r="M18" s="41"/>
      <c r="N18" s="39"/>
      <c r="O18" s="42"/>
      <c r="P18" s="42"/>
      <c r="Q18" s="43"/>
      <c r="R18" s="34"/>
      <c r="S18" s="35"/>
      <c r="T18" s="35"/>
      <c r="U18" s="35"/>
      <c r="V18" s="35"/>
    </row>
    <row r="19" spans="2:22" s="31" customFormat="1" ht="12.5" x14ac:dyDescent="0.25">
      <c r="B19" s="17" t="s">
        <v>133</v>
      </c>
      <c r="C19" s="44">
        <v>32</v>
      </c>
      <c r="D19" s="44">
        <v>43</v>
      </c>
      <c r="E19" s="44">
        <v>38</v>
      </c>
      <c r="F19" s="44">
        <v>48</v>
      </c>
      <c r="G19" s="44">
        <v>59</v>
      </c>
      <c r="H19" s="44"/>
      <c r="I19" s="45">
        <f>C19/C22</f>
        <v>5.6042031523642732E-2</v>
      </c>
      <c r="J19" s="45">
        <f>D19/D22</f>
        <v>6.6460587326120563E-2</v>
      </c>
      <c r="K19" s="45">
        <f>E19/E22</f>
        <v>5.3445850914205346E-2</v>
      </c>
      <c r="L19" s="45">
        <f>F19/F22</f>
        <v>7.407407407407407E-2</v>
      </c>
      <c r="M19" s="45">
        <f>G19/G22</f>
        <v>0.15324675324675324</v>
      </c>
      <c r="N19" s="46"/>
      <c r="O19" s="47">
        <f>M19/K19-1</f>
        <v>1.8673274094326726</v>
      </c>
      <c r="P19" s="42"/>
      <c r="Q19" s="43"/>
      <c r="R19" s="31" t="s">
        <v>137</v>
      </c>
      <c r="T19" s="31" t="s">
        <v>137</v>
      </c>
      <c r="U19" s="31" t="s">
        <v>137</v>
      </c>
      <c r="V19" s="31" t="s">
        <v>137</v>
      </c>
    </row>
    <row r="20" spans="2:22" s="31" customFormat="1" ht="12.5" x14ac:dyDescent="0.25">
      <c r="B20" s="48" t="s">
        <v>0</v>
      </c>
      <c r="C20" s="39">
        <v>45</v>
      </c>
      <c r="D20" s="39">
        <v>58</v>
      </c>
      <c r="E20" s="39">
        <v>67</v>
      </c>
      <c r="F20" s="39">
        <v>56</v>
      </c>
      <c r="G20" s="39">
        <v>67</v>
      </c>
      <c r="H20" s="39"/>
      <c r="I20" s="41">
        <f>C20/C22</f>
        <v>7.8809106830122586E-2</v>
      </c>
      <c r="J20" s="41">
        <f>D20/D22</f>
        <v>8.964451313755796E-2</v>
      </c>
      <c r="K20" s="41">
        <f>E20/E22</f>
        <v>9.4233473980309429E-2</v>
      </c>
      <c r="L20" s="41">
        <f>F20/F22</f>
        <v>8.6419753086419748E-2</v>
      </c>
      <c r="M20" s="41">
        <f>G20/G22</f>
        <v>0.17402597402597403</v>
      </c>
      <c r="N20" s="49"/>
      <c r="O20" s="42">
        <f>M20/K20-1</f>
        <v>0.84675324675324659</v>
      </c>
      <c r="P20" s="42"/>
      <c r="Q20" s="43"/>
      <c r="R20" s="31" t="s">
        <v>140</v>
      </c>
      <c r="T20" s="31" t="s">
        <v>140</v>
      </c>
      <c r="U20" s="31" t="s">
        <v>140</v>
      </c>
      <c r="V20" s="31" t="s">
        <v>140</v>
      </c>
    </row>
    <row r="21" spans="2:22" s="31" customFormat="1" ht="12.5" x14ac:dyDescent="0.25">
      <c r="B21" s="48" t="s">
        <v>1</v>
      </c>
      <c r="C21" s="39">
        <v>34</v>
      </c>
      <c r="D21" s="39">
        <v>28</v>
      </c>
      <c r="E21" s="39">
        <v>35</v>
      </c>
      <c r="F21" s="39">
        <v>42</v>
      </c>
      <c r="G21" s="39">
        <v>14</v>
      </c>
      <c r="H21" s="39"/>
      <c r="I21" s="41">
        <f>C21/C22</f>
        <v>5.9544658493870403E-2</v>
      </c>
      <c r="J21" s="41">
        <f>D21/D22</f>
        <v>4.3276661514683151E-2</v>
      </c>
      <c r="K21" s="41">
        <f>E21/E22</f>
        <v>4.9226441631504921E-2</v>
      </c>
      <c r="L21" s="41">
        <f>F21/F22</f>
        <v>6.4814814814814811E-2</v>
      </c>
      <c r="M21" s="41">
        <f>G21/G22</f>
        <v>3.6363636363636362E-2</v>
      </c>
      <c r="N21" s="49"/>
      <c r="O21" s="42">
        <f>M21/K21-1</f>
        <v>-0.26129870129870125</v>
      </c>
      <c r="P21" s="42"/>
      <c r="Q21" s="43"/>
      <c r="R21" s="31" t="s">
        <v>142</v>
      </c>
      <c r="T21" s="31" t="s">
        <v>142</v>
      </c>
      <c r="U21" s="31" t="s">
        <v>142</v>
      </c>
      <c r="V21" s="31" t="s">
        <v>142</v>
      </c>
    </row>
    <row r="22" spans="2:22" s="31" customFormat="1" ht="12.5" x14ac:dyDescent="0.25">
      <c r="B22" s="50" t="s">
        <v>39</v>
      </c>
      <c r="C22" s="51">
        <v>571</v>
      </c>
      <c r="D22" s="51">
        <v>647</v>
      </c>
      <c r="E22" s="51">
        <v>711</v>
      </c>
      <c r="F22" s="51">
        <v>648</v>
      </c>
      <c r="G22" s="51">
        <v>385</v>
      </c>
      <c r="H22" s="51"/>
      <c r="I22" s="51"/>
      <c r="J22" s="51"/>
      <c r="K22" s="51"/>
      <c r="L22" s="51"/>
      <c r="M22" s="51"/>
      <c r="N22" s="51"/>
      <c r="O22" s="52"/>
      <c r="P22" s="42"/>
      <c r="Q22" s="43"/>
      <c r="R22" s="35" t="s">
        <v>141</v>
      </c>
      <c r="S22" s="35"/>
      <c r="T22" s="35" t="s">
        <v>141</v>
      </c>
      <c r="U22" s="35" t="s">
        <v>141</v>
      </c>
      <c r="V22" s="35" t="s">
        <v>141</v>
      </c>
    </row>
    <row r="23" spans="2:22" s="31" customFormat="1" ht="13" x14ac:dyDescent="0.3">
      <c r="B23" s="48" t="s">
        <v>143</v>
      </c>
      <c r="C23" s="39"/>
      <c r="D23" s="39"/>
      <c r="E23" s="39"/>
      <c r="F23" s="39"/>
      <c r="G23" s="39"/>
      <c r="H23" s="39"/>
      <c r="I23" s="41"/>
      <c r="J23" s="41"/>
      <c r="K23" s="41"/>
      <c r="L23" s="41"/>
      <c r="M23" s="41"/>
      <c r="N23" s="39"/>
      <c r="O23" s="42"/>
      <c r="P23" s="42"/>
      <c r="Q23" s="43"/>
    </row>
    <row r="24" spans="2:22" s="31" customFormat="1" ht="12.5" x14ac:dyDescent="0.25">
      <c r="B24" s="48"/>
      <c r="C24" s="39"/>
      <c r="D24" s="39"/>
      <c r="E24" s="39"/>
      <c r="F24" s="39"/>
      <c r="G24" s="39"/>
      <c r="H24" s="39"/>
      <c r="I24" s="41"/>
      <c r="J24" s="41"/>
      <c r="K24" s="41"/>
      <c r="L24" s="41"/>
      <c r="M24" s="41"/>
      <c r="N24" s="39"/>
      <c r="O24" s="42"/>
      <c r="P24" s="42"/>
      <c r="Q24" s="43"/>
    </row>
    <row r="25" spans="2:22" s="31" customFormat="1" ht="13" x14ac:dyDescent="0.3">
      <c r="B25" s="37" t="s">
        <v>110</v>
      </c>
      <c r="C25" s="38"/>
      <c r="D25" s="39"/>
      <c r="E25" s="39"/>
      <c r="F25" s="39"/>
      <c r="G25" s="39"/>
      <c r="H25" s="39"/>
      <c r="I25" s="40"/>
      <c r="J25" s="41"/>
      <c r="K25" s="41"/>
      <c r="L25" s="41"/>
      <c r="M25" s="41"/>
      <c r="N25" s="39"/>
      <c r="O25" s="42"/>
      <c r="P25" s="42"/>
      <c r="Q25" s="43"/>
      <c r="R25" s="34"/>
      <c r="S25" s="35"/>
      <c r="T25" s="35"/>
      <c r="U25" s="35"/>
      <c r="V25" s="35"/>
    </row>
    <row r="26" spans="2:22" s="31" customFormat="1" ht="12.5" x14ac:dyDescent="0.25">
      <c r="B26" s="17" t="s">
        <v>133</v>
      </c>
      <c r="C26" s="44">
        <v>24</v>
      </c>
      <c r="D26" s="44">
        <v>35</v>
      </c>
      <c r="E26" s="44">
        <v>55</v>
      </c>
      <c r="F26" s="44">
        <v>51</v>
      </c>
      <c r="G26" s="44">
        <v>157</v>
      </c>
      <c r="H26" s="44"/>
      <c r="I26" s="45">
        <f>C26/C30</f>
        <v>8.1364206529477572E-4</v>
      </c>
      <c r="J26" s="45">
        <f>D26/D30</f>
        <v>1.0957017186864102E-3</v>
      </c>
      <c r="K26" s="45">
        <f>E26/E30</f>
        <v>1.7414431814583794E-3</v>
      </c>
      <c r="L26" s="45">
        <f>F26/F30</f>
        <v>1.6923842707814833E-3</v>
      </c>
      <c r="M26" s="45">
        <f>G26/G30</f>
        <v>6.6615750169721653E-3</v>
      </c>
      <c r="N26" s="46"/>
      <c r="O26" s="47">
        <f>M26/K26-1</f>
        <v>2.8253186138369437</v>
      </c>
      <c r="P26" s="42"/>
      <c r="Q26" s="43"/>
      <c r="R26" s="31" t="s">
        <v>139</v>
      </c>
      <c r="T26" s="31" t="s">
        <v>139</v>
      </c>
      <c r="U26" s="31" t="s">
        <v>139</v>
      </c>
      <c r="V26" s="31" t="s">
        <v>139</v>
      </c>
    </row>
    <row r="27" spans="2:22" s="31" customFormat="1" ht="12.5" x14ac:dyDescent="0.25">
      <c r="B27" s="48" t="s">
        <v>0</v>
      </c>
      <c r="C27" s="39">
        <v>6</v>
      </c>
      <c r="D27" s="39">
        <v>3</v>
      </c>
      <c r="E27" s="39">
        <v>9</v>
      </c>
      <c r="F27" s="39">
        <v>6</v>
      </c>
      <c r="G27" s="39">
        <v>61</v>
      </c>
      <c r="H27" s="39"/>
      <c r="I27" s="41">
        <f>C27/C30</f>
        <v>2.0341051632369393E-4</v>
      </c>
      <c r="J27" s="41">
        <f>D27/D30</f>
        <v>9.3917290173120872E-5</v>
      </c>
      <c r="K27" s="41">
        <f>E27/E30</f>
        <v>2.849634296931894E-4</v>
      </c>
      <c r="L27" s="41">
        <f>F27/F30</f>
        <v>1.9910403185664509E-4</v>
      </c>
      <c r="M27" s="41">
        <f>G27/G30</f>
        <v>2.588255261371351E-3</v>
      </c>
      <c r="N27" s="49"/>
      <c r="O27" s="42">
        <f>M27/K27-1</f>
        <v>8.0827628799879303</v>
      </c>
      <c r="P27" s="42"/>
      <c r="Q27" s="43"/>
      <c r="R27" s="31" t="s">
        <v>113</v>
      </c>
      <c r="T27" s="31" t="s">
        <v>113</v>
      </c>
      <c r="U27" s="31" t="s">
        <v>113</v>
      </c>
      <c r="V27" s="31" t="s">
        <v>113</v>
      </c>
    </row>
    <row r="28" spans="2:22" s="31" customFormat="1" ht="12.5" x14ac:dyDescent="0.25">
      <c r="B28" s="48" t="s">
        <v>108</v>
      </c>
      <c r="C28" s="39">
        <v>1</v>
      </c>
      <c r="D28" s="39">
        <v>5</v>
      </c>
      <c r="E28" s="39">
        <v>2</v>
      </c>
      <c r="F28" s="39">
        <v>4</v>
      </c>
      <c r="G28" s="39">
        <v>85</v>
      </c>
      <c r="H28" s="39"/>
      <c r="I28" s="41">
        <f>C28/C30</f>
        <v>3.3901752720615655E-5</v>
      </c>
      <c r="J28" s="41">
        <f>D28/D30</f>
        <v>1.5652881695520145E-4</v>
      </c>
      <c r="K28" s="41">
        <f>E28/E30</f>
        <v>6.3325206598486522E-5</v>
      </c>
      <c r="L28" s="41">
        <f>F28/F30</f>
        <v>1.3273602123776339E-4</v>
      </c>
      <c r="M28" s="41">
        <f>G28/G30</f>
        <v>3.6065852002715548E-3</v>
      </c>
      <c r="N28" s="49"/>
      <c r="O28" s="42">
        <f>M28/K28-1</f>
        <v>55.953390190088264</v>
      </c>
      <c r="P28" s="42"/>
      <c r="Q28" s="43"/>
      <c r="R28" s="31" t="s">
        <v>112</v>
      </c>
      <c r="T28" s="31" t="s">
        <v>112</v>
      </c>
      <c r="U28" s="31" t="s">
        <v>112</v>
      </c>
      <c r="V28" s="31" t="s">
        <v>112</v>
      </c>
    </row>
    <row r="29" spans="2:22" s="31" customFormat="1" ht="12.5" x14ac:dyDescent="0.25">
      <c r="B29" s="48" t="s">
        <v>1</v>
      </c>
      <c r="C29" s="39">
        <v>17</v>
      </c>
      <c r="D29" s="39">
        <v>33</v>
      </c>
      <c r="E29" s="39">
        <v>36</v>
      </c>
      <c r="F29" s="39">
        <v>22</v>
      </c>
      <c r="G29" s="39">
        <v>14</v>
      </c>
      <c r="H29" s="39"/>
      <c r="I29" s="41">
        <f>C29/C30</f>
        <v>5.7632979625046616E-4</v>
      </c>
      <c r="J29" s="41">
        <f>D29/D30</f>
        <v>1.0330901919043296E-3</v>
      </c>
      <c r="K29" s="41">
        <f>E29/E30</f>
        <v>1.1398537187727576E-3</v>
      </c>
      <c r="L29" s="41">
        <f>F29/F30</f>
        <v>7.3004811680769867E-4</v>
      </c>
      <c r="M29" s="41">
        <f>G29/G30</f>
        <v>5.9402579769178543E-4</v>
      </c>
      <c r="N29" s="49"/>
      <c r="O29" s="42">
        <f>M29/K29-1</f>
        <v>-0.47885786754167614</v>
      </c>
      <c r="P29" s="42"/>
      <c r="Q29" s="43"/>
      <c r="R29" s="31" t="s">
        <v>111</v>
      </c>
      <c r="T29" s="31" t="s">
        <v>111</v>
      </c>
      <c r="U29" s="31" t="s">
        <v>111</v>
      </c>
      <c r="V29" s="31" t="s">
        <v>111</v>
      </c>
    </row>
    <row r="30" spans="2:22" s="31" customFormat="1" ht="12.5" x14ac:dyDescent="0.25">
      <c r="B30" s="50" t="s">
        <v>39</v>
      </c>
      <c r="C30" s="51">
        <v>29497</v>
      </c>
      <c r="D30" s="51">
        <v>31943</v>
      </c>
      <c r="E30" s="51">
        <v>31583</v>
      </c>
      <c r="F30" s="51">
        <v>30135</v>
      </c>
      <c r="G30" s="51">
        <v>23568</v>
      </c>
      <c r="H30" s="51"/>
      <c r="I30" s="51"/>
      <c r="J30" s="51"/>
      <c r="K30" s="51"/>
      <c r="L30" s="51"/>
      <c r="M30" s="51"/>
      <c r="N30" s="51"/>
      <c r="O30" s="52"/>
      <c r="P30" s="42"/>
      <c r="Q30" s="43"/>
      <c r="R30" s="35" t="s">
        <v>138</v>
      </c>
      <c r="S30" s="35"/>
      <c r="T30" s="35" t="s">
        <v>138</v>
      </c>
      <c r="U30" s="35" t="s">
        <v>138</v>
      </c>
      <c r="V30" s="35" t="s">
        <v>138</v>
      </c>
    </row>
    <row r="31" spans="2:22" s="31" customFormat="1" ht="39.5" customHeight="1" x14ac:dyDescent="0.25">
      <c r="B31" s="62" t="s">
        <v>202</v>
      </c>
      <c r="C31" s="62"/>
      <c r="D31" s="62"/>
      <c r="E31" s="62"/>
      <c r="F31" s="62"/>
      <c r="G31" s="62"/>
      <c r="H31" s="62"/>
      <c r="I31" s="62"/>
      <c r="J31" s="62"/>
      <c r="K31" s="62"/>
      <c r="L31" s="62"/>
      <c r="M31" s="62"/>
      <c r="N31" s="62"/>
      <c r="O31" s="62"/>
      <c r="P31" s="42"/>
      <c r="Q31" s="43"/>
    </row>
    <row r="32" spans="2:22" s="31" customFormat="1" ht="5.75" customHeight="1" x14ac:dyDescent="0.25">
      <c r="B32" s="48"/>
      <c r="C32" s="39"/>
      <c r="D32" s="39"/>
      <c r="E32" s="39"/>
      <c r="F32" s="39"/>
      <c r="G32" s="39"/>
      <c r="H32" s="39"/>
      <c r="I32" s="41"/>
      <c r="J32" s="41"/>
      <c r="K32" s="41"/>
      <c r="L32" s="41"/>
      <c r="M32" s="41"/>
      <c r="N32" s="39"/>
      <c r="O32" s="42"/>
      <c r="P32" s="42"/>
      <c r="Q32" s="43"/>
    </row>
    <row r="33" spans="2:17" s="1" customFormat="1" ht="12.5" x14ac:dyDescent="0.25">
      <c r="B33" s="16"/>
      <c r="O33" s="4"/>
      <c r="P33" s="4"/>
      <c r="Q33" s="4"/>
    </row>
    <row r="34" spans="2:17" s="1" customFormat="1" ht="12.5" x14ac:dyDescent="0.25">
      <c r="B34" s="16"/>
      <c r="O34" s="4"/>
      <c r="P34" s="4"/>
      <c r="Q34" s="4"/>
    </row>
    <row r="35" spans="2:17" s="1" customFormat="1" ht="12.5" x14ac:dyDescent="0.25">
      <c r="B35" s="16"/>
      <c r="O35" s="4"/>
      <c r="P35" s="4"/>
      <c r="Q35" s="4"/>
    </row>
    <row r="36" spans="2:17" s="1" customFormat="1" ht="12.5" x14ac:dyDescent="0.25">
      <c r="B36" s="16"/>
      <c r="O36" s="4"/>
      <c r="P36" s="4"/>
      <c r="Q36" s="4"/>
    </row>
    <row r="37" spans="2:17" s="1" customFormat="1" ht="12.5" x14ac:dyDescent="0.25">
      <c r="B37" s="16"/>
      <c r="O37" s="4"/>
      <c r="P37" s="4"/>
      <c r="Q37" s="4"/>
    </row>
    <row r="38" spans="2:17" s="1" customFormat="1" ht="12.5" x14ac:dyDescent="0.25">
      <c r="B38" s="16"/>
      <c r="O38" s="4"/>
      <c r="P38" s="4"/>
      <c r="Q38" s="4"/>
    </row>
  </sheetData>
  <mergeCells count="1">
    <mergeCell ref="B31:O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4B571-B9EB-431A-9262-D8A488C3F5F7}">
  <dimension ref="A1:AU39"/>
  <sheetViews>
    <sheetView showGridLines="0" workbookViewId="0"/>
  </sheetViews>
  <sheetFormatPr defaultRowHeight="14.5" x14ac:dyDescent="0.35"/>
  <cols>
    <col min="2" max="2" width="19.26953125" customWidth="1"/>
  </cols>
  <sheetData>
    <row r="1" spans="2:47" s="1" customFormat="1" ht="12.5" x14ac:dyDescent="0.25">
      <c r="C1" s="48"/>
      <c r="P1" s="4"/>
      <c r="Q1" s="4"/>
      <c r="R1" s="4"/>
    </row>
    <row r="2" spans="2:47" s="1" customFormat="1" ht="5.75" customHeight="1" x14ac:dyDescent="0.25">
      <c r="C2" s="48"/>
      <c r="P2" s="4"/>
      <c r="Q2" s="4"/>
      <c r="R2" s="4"/>
      <c r="S2" s="34"/>
      <c r="T2" s="34"/>
      <c r="U2" s="34"/>
      <c r="V2" s="34"/>
      <c r="W2" s="34"/>
    </row>
    <row r="3" spans="2:47" s="1" customFormat="1" ht="13" customHeight="1" x14ac:dyDescent="0.3">
      <c r="B3" s="56"/>
      <c r="C3" s="28" t="s">
        <v>41</v>
      </c>
      <c r="D3" s="7"/>
      <c r="E3" s="7"/>
      <c r="F3" s="7"/>
      <c r="G3" s="7"/>
      <c r="H3" s="7"/>
      <c r="I3" s="28" t="s">
        <v>145</v>
      </c>
      <c r="J3" s="7"/>
      <c r="K3" s="7"/>
      <c r="L3" s="7"/>
      <c r="M3" s="7"/>
      <c r="N3" s="7"/>
      <c r="O3" s="20" t="s">
        <v>46</v>
      </c>
      <c r="P3" s="9"/>
      <c r="Q3" s="4"/>
    </row>
    <row r="4" spans="2:47" s="1" customFormat="1" ht="13" customHeight="1" x14ac:dyDescent="0.3">
      <c r="B4" s="50"/>
      <c r="C4" s="11">
        <v>2019</v>
      </c>
      <c r="D4" s="11">
        <v>2020</v>
      </c>
      <c r="E4" s="11">
        <v>2021</v>
      </c>
      <c r="F4" s="11">
        <v>2022</v>
      </c>
      <c r="G4" s="11">
        <v>2023</v>
      </c>
      <c r="H4" s="10"/>
      <c r="I4" s="11">
        <v>2019</v>
      </c>
      <c r="J4" s="11">
        <v>2020</v>
      </c>
      <c r="K4" s="11">
        <v>2021</v>
      </c>
      <c r="L4" s="11">
        <v>2022</v>
      </c>
      <c r="M4" s="11">
        <v>2023</v>
      </c>
      <c r="N4" s="11"/>
      <c r="O4" s="21" t="s">
        <v>45</v>
      </c>
      <c r="P4" s="9"/>
      <c r="Q4" s="4"/>
      <c r="R4" s="33">
        <v>2019</v>
      </c>
      <c r="S4" s="33">
        <v>2020</v>
      </c>
      <c r="T4" s="33">
        <v>2021</v>
      </c>
      <c r="U4" s="33">
        <v>2022</v>
      </c>
      <c r="V4" s="33">
        <v>2023</v>
      </c>
      <c r="X4" s="2"/>
      <c r="AR4" s="2"/>
      <c r="AS4" s="2"/>
      <c r="AT4" s="2"/>
      <c r="AU4" s="2"/>
    </row>
    <row r="5" spans="2:47" s="1" customFormat="1" ht="13" customHeight="1" x14ac:dyDescent="0.3">
      <c r="B5" s="19" t="s">
        <v>66</v>
      </c>
      <c r="C5" s="12"/>
      <c r="D5" s="12"/>
      <c r="E5" s="12"/>
      <c r="F5" s="12"/>
      <c r="G5" s="12"/>
      <c r="H5" s="12"/>
      <c r="I5" s="8"/>
      <c r="J5" s="12"/>
      <c r="K5" s="12"/>
      <c r="L5" s="12"/>
      <c r="M5" s="12"/>
      <c r="N5" s="12"/>
      <c r="O5" s="24"/>
      <c r="P5" s="24"/>
      <c r="Q5" s="4"/>
      <c r="R5" s="35"/>
      <c r="S5" s="35"/>
      <c r="T5" s="35"/>
      <c r="U5" s="35"/>
      <c r="V5" s="35"/>
    </row>
    <row r="6" spans="2:47" s="1" customFormat="1" ht="13" customHeight="1" x14ac:dyDescent="0.25">
      <c r="B6" s="17" t="s">
        <v>67</v>
      </c>
      <c r="C6" s="6">
        <v>3223</v>
      </c>
      <c r="D6" s="6">
        <v>3615</v>
      </c>
      <c r="E6" s="6">
        <v>3969</v>
      </c>
      <c r="F6" s="6">
        <v>3806</v>
      </c>
      <c r="G6" s="6">
        <v>5459</v>
      </c>
      <c r="H6" s="6"/>
      <c r="I6" s="15">
        <f>C6/C9</f>
        <v>2.0052012044894606E-2</v>
      </c>
      <c r="J6" s="15">
        <f>D6/D9</f>
        <v>2.1917326510567606E-2</v>
      </c>
      <c r="K6" s="15">
        <f>E6/E9</f>
        <v>2.4172625065471333E-2</v>
      </c>
      <c r="L6" s="15">
        <f>F6/F9</f>
        <v>2.5553742757199158E-2</v>
      </c>
      <c r="M6" s="15">
        <f>G6/G9</f>
        <v>4.299643993572981E-2</v>
      </c>
      <c r="N6" s="15"/>
      <c r="O6" s="26">
        <f>M6/K6-1</f>
        <v>0.77872447941728917</v>
      </c>
      <c r="P6" s="24"/>
      <c r="Q6" s="4"/>
      <c r="R6" s="29" t="s">
        <v>128</v>
      </c>
      <c r="S6" s="31" t="s">
        <v>127</v>
      </c>
      <c r="T6" s="31" t="s">
        <v>126</v>
      </c>
      <c r="U6" s="31" t="s">
        <v>125</v>
      </c>
      <c r="V6" s="31" t="s">
        <v>124</v>
      </c>
    </row>
    <row r="7" spans="2:47" s="1" customFormat="1" ht="13" customHeight="1" x14ac:dyDescent="0.25">
      <c r="B7" s="16" t="s">
        <v>0</v>
      </c>
      <c r="C7" s="12">
        <v>18341</v>
      </c>
      <c r="D7" s="12">
        <v>20600</v>
      </c>
      <c r="E7" s="12">
        <v>22780</v>
      </c>
      <c r="F7" s="12">
        <v>22486</v>
      </c>
      <c r="G7" s="12">
        <v>25175</v>
      </c>
      <c r="H7" s="12"/>
      <c r="I7" s="13">
        <f>C7/C9</f>
        <v>0.1141092004081328</v>
      </c>
      <c r="J7" s="13">
        <f>D7/D9</f>
        <v>0.12489541524694127</v>
      </c>
      <c r="K7" s="13">
        <f>E7/E9</f>
        <v>0.13873832174135473</v>
      </c>
      <c r="L7" s="13">
        <f>F7/F9</f>
        <v>0.15097253274786659</v>
      </c>
      <c r="M7" s="13">
        <f>G7/G9</f>
        <v>0.19828455310166662</v>
      </c>
      <c r="N7" s="14"/>
      <c r="O7" s="24">
        <f>M7/K7-1</f>
        <v>0.4291981524133035</v>
      </c>
      <c r="P7" s="24"/>
      <c r="Q7" s="4"/>
      <c r="R7" s="31" t="s">
        <v>58</v>
      </c>
      <c r="S7" s="1" t="s">
        <v>89</v>
      </c>
      <c r="T7" s="1" t="s">
        <v>61</v>
      </c>
      <c r="U7" s="1" t="s">
        <v>90</v>
      </c>
      <c r="V7" s="31" t="s">
        <v>64</v>
      </c>
    </row>
    <row r="8" spans="2:47" s="1" customFormat="1" ht="13" customHeight="1" x14ac:dyDescent="0.25">
      <c r="B8" s="16" t="s">
        <v>1</v>
      </c>
      <c r="C8" s="12">
        <v>13791</v>
      </c>
      <c r="D8" s="12">
        <v>14527</v>
      </c>
      <c r="E8" s="12">
        <v>13444</v>
      </c>
      <c r="F8" s="12">
        <v>12217</v>
      </c>
      <c r="G8" s="12">
        <v>9748</v>
      </c>
      <c r="H8" s="12"/>
      <c r="I8" s="13">
        <f>C8/C9</f>
        <v>8.5801209466689898E-2</v>
      </c>
      <c r="J8" s="13">
        <f>D8/D9</f>
        <v>8.8075519286034756E-2</v>
      </c>
      <c r="K8" s="13">
        <f>E8/E9</f>
        <v>8.1878753182211286E-2</v>
      </c>
      <c r="L8" s="13">
        <f>F8/F9</f>
        <v>8.2025768592932771E-2</v>
      </c>
      <c r="M8" s="13">
        <f>G8/G9</f>
        <v>7.6777669260577802E-2</v>
      </c>
      <c r="N8" s="14"/>
      <c r="O8" s="24">
        <f>M8/K8-1</f>
        <v>-6.2300459195826274E-2</v>
      </c>
      <c r="P8" s="24"/>
      <c r="Q8" s="4"/>
      <c r="R8" s="31" t="s">
        <v>57</v>
      </c>
      <c r="S8" s="31" t="s">
        <v>59</v>
      </c>
      <c r="T8" s="31" t="s">
        <v>60</v>
      </c>
      <c r="U8" s="31" t="s">
        <v>62</v>
      </c>
      <c r="V8" s="31" t="s">
        <v>63</v>
      </c>
    </row>
    <row r="9" spans="2:47" s="1" customFormat="1" ht="13" customHeight="1" x14ac:dyDescent="0.25">
      <c r="B9" s="18" t="s">
        <v>39</v>
      </c>
      <c r="C9" s="10">
        <v>160732</v>
      </c>
      <c r="D9" s="10">
        <v>164938</v>
      </c>
      <c r="E9" s="10">
        <v>164194</v>
      </c>
      <c r="F9" s="10">
        <v>148941</v>
      </c>
      <c r="G9" s="10">
        <v>126964</v>
      </c>
      <c r="H9" s="10"/>
      <c r="I9" s="10"/>
      <c r="J9" s="10"/>
      <c r="K9" s="10"/>
      <c r="L9" s="10"/>
      <c r="M9" s="10"/>
      <c r="N9" s="10"/>
      <c r="O9" s="27"/>
      <c r="P9" s="24"/>
      <c r="Q9" s="4"/>
      <c r="R9" s="35" t="s">
        <v>56</v>
      </c>
      <c r="S9" s="34" t="s">
        <v>98</v>
      </c>
      <c r="T9" s="34" t="s">
        <v>99</v>
      </c>
      <c r="U9" s="34" t="s">
        <v>100</v>
      </c>
      <c r="V9" s="34" t="s">
        <v>101</v>
      </c>
    </row>
    <row r="10" spans="2:47" s="1" customFormat="1" ht="13" customHeight="1" x14ac:dyDescent="0.25">
      <c r="B10" s="16"/>
      <c r="C10" s="12"/>
      <c r="D10" s="12"/>
      <c r="E10" s="12"/>
      <c r="F10" s="12"/>
      <c r="G10" s="12"/>
      <c r="H10" s="12"/>
      <c r="I10" s="12"/>
      <c r="J10" s="12"/>
      <c r="K10" s="12" t="s">
        <v>40</v>
      </c>
      <c r="L10" s="12"/>
      <c r="M10" s="12"/>
      <c r="N10" s="12"/>
      <c r="O10" s="24"/>
      <c r="P10" s="24"/>
      <c r="Q10" s="4"/>
      <c r="R10" s="31"/>
      <c r="S10" s="31"/>
      <c r="T10" s="31"/>
      <c r="U10" s="31"/>
      <c r="V10" s="31"/>
    </row>
    <row r="11" spans="2:47" s="1" customFormat="1" ht="13" customHeight="1" x14ac:dyDescent="0.3">
      <c r="B11" s="19" t="s">
        <v>65</v>
      </c>
      <c r="C11" s="12"/>
      <c r="D11" s="12"/>
      <c r="E11" s="12"/>
      <c r="F11" s="12"/>
      <c r="G11" s="12"/>
      <c r="H11" s="12"/>
      <c r="I11" s="8"/>
      <c r="J11" s="12"/>
      <c r="K11" s="12"/>
      <c r="L11" s="12"/>
      <c r="M11" s="12"/>
      <c r="N11" s="12"/>
      <c r="O11" s="24"/>
      <c r="P11" s="24"/>
      <c r="Q11" s="4"/>
      <c r="R11" s="34"/>
      <c r="S11" s="34"/>
      <c r="T11" s="34"/>
      <c r="U11" s="34"/>
      <c r="V11" s="34"/>
    </row>
    <row r="12" spans="2:47" s="1" customFormat="1" ht="13" customHeight="1" x14ac:dyDescent="0.25">
      <c r="B12" s="17" t="s">
        <v>67</v>
      </c>
      <c r="C12" s="6">
        <v>99</v>
      </c>
      <c r="D12" s="6">
        <v>119</v>
      </c>
      <c r="E12" s="6">
        <v>160</v>
      </c>
      <c r="F12" s="6">
        <v>174</v>
      </c>
      <c r="G12" s="6">
        <v>316</v>
      </c>
      <c r="H12" s="6"/>
      <c r="I12" s="15">
        <f>C12/C15</f>
        <v>5.0440719417129461E-3</v>
      </c>
      <c r="J12" s="15">
        <f>D12/D15</f>
        <v>5.8276199804113615E-3</v>
      </c>
      <c r="K12" s="15">
        <f>E12/E15</f>
        <v>7.6790170858130162E-3</v>
      </c>
      <c r="L12" s="15">
        <f>F12/F15</f>
        <v>8.4363636363636359E-3</v>
      </c>
      <c r="M12" s="15">
        <f>G12/G15</f>
        <v>1.7899626147048826E-2</v>
      </c>
      <c r="N12" s="15"/>
      <c r="O12" s="26">
        <f>M12/K12-1</f>
        <v>1.3309788149994333</v>
      </c>
      <c r="P12" s="24"/>
      <c r="Q12" s="4"/>
      <c r="R12" s="1" t="s">
        <v>146</v>
      </c>
      <c r="S12" s="1" t="s">
        <v>132</v>
      </c>
      <c r="T12" s="1" t="s">
        <v>131</v>
      </c>
      <c r="U12" s="1" t="s">
        <v>130</v>
      </c>
      <c r="V12" s="1" t="s">
        <v>129</v>
      </c>
    </row>
    <row r="13" spans="2:47" s="1" customFormat="1" ht="13" customHeight="1" x14ac:dyDescent="0.25">
      <c r="B13" s="16" t="s">
        <v>0</v>
      </c>
      <c r="C13" s="12">
        <v>2582</v>
      </c>
      <c r="D13" s="12">
        <v>2866</v>
      </c>
      <c r="E13" s="12">
        <v>3120</v>
      </c>
      <c r="F13" s="12">
        <v>3084</v>
      </c>
      <c r="G13" s="12">
        <v>3527</v>
      </c>
      <c r="H13" s="12"/>
      <c r="I13" s="13">
        <f>C13/C15</f>
        <v>0.13155347225760433</v>
      </c>
      <c r="J13" s="13">
        <f>D13/D15</f>
        <v>0.14035259549461312</v>
      </c>
      <c r="K13" s="13">
        <f>E13/E15</f>
        <v>0.14974083317335382</v>
      </c>
      <c r="L13" s="13">
        <f>F13/F15</f>
        <v>0.14952727272727273</v>
      </c>
      <c r="M13" s="13">
        <f>G13/G15</f>
        <v>0.1997847513311431</v>
      </c>
      <c r="N13" s="14"/>
      <c r="O13" s="24">
        <f>M13/K13-1</f>
        <v>0.33420355087682596</v>
      </c>
      <c r="P13" s="24"/>
      <c r="Q13" s="4"/>
      <c r="R13" s="1" t="s">
        <v>83</v>
      </c>
      <c r="S13" s="1" t="s">
        <v>82</v>
      </c>
      <c r="T13" s="1" t="s">
        <v>81</v>
      </c>
      <c r="U13" s="1" t="s">
        <v>80</v>
      </c>
      <c r="V13" s="30" t="s">
        <v>79</v>
      </c>
    </row>
    <row r="14" spans="2:47" s="1" customFormat="1" ht="13" customHeight="1" x14ac:dyDescent="0.25">
      <c r="B14" s="16" t="s">
        <v>1</v>
      </c>
      <c r="C14" s="12">
        <v>3087</v>
      </c>
      <c r="D14" s="12">
        <v>3040</v>
      </c>
      <c r="E14" s="12">
        <v>2785</v>
      </c>
      <c r="F14" s="12">
        <v>2425</v>
      </c>
      <c r="G14" s="12">
        <v>1975</v>
      </c>
      <c r="H14" s="12"/>
      <c r="I14" s="13">
        <f>C14/C15</f>
        <v>0.1572833341825037</v>
      </c>
      <c r="J14" s="13">
        <f>D14/D15</f>
        <v>0.14887365328109697</v>
      </c>
      <c r="K14" s="13">
        <f>E14/E15</f>
        <v>0.13366289114993282</v>
      </c>
      <c r="L14" s="13">
        <f>F14/F15</f>
        <v>0.11757575757575757</v>
      </c>
      <c r="M14" s="13">
        <f>G14/G15</f>
        <v>0.11187266341905518</v>
      </c>
      <c r="N14" s="14"/>
      <c r="O14" s="24">
        <f>M14/K14-1</f>
        <v>-0.16302376481169356</v>
      </c>
      <c r="P14" s="24"/>
      <c r="Q14" s="4"/>
      <c r="R14" s="1" t="s">
        <v>78</v>
      </c>
      <c r="S14" s="1" t="s">
        <v>77</v>
      </c>
      <c r="T14" s="1" t="s">
        <v>76</v>
      </c>
      <c r="U14" s="1" t="s">
        <v>75</v>
      </c>
      <c r="V14" s="1" t="s">
        <v>74</v>
      </c>
    </row>
    <row r="15" spans="2:47" s="1" customFormat="1" ht="13" customHeight="1" x14ac:dyDescent="0.25">
      <c r="B15" s="18" t="s">
        <v>39</v>
      </c>
      <c r="C15" s="10">
        <v>19627</v>
      </c>
      <c r="D15" s="10">
        <v>20420</v>
      </c>
      <c r="E15" s="10">
        <v>20836</v>
      </c>
      <c r="F15" s="10">
        <v>20625</v>
      </c>
      <c r="G15" s="10">
        <v>17654</v>
      </c>
      <c r="H15" s="10"/>
      <c r="I15" s="10"/>
      <c r="J15" s="10"/>
      <c r="K15" s="10"/>
      <c r="L15" s="10"/>
      <c r="M15" s="10"/>
      <c r="N15" s="10"/>
      <c r="O15" s="27"/>
      <c r="P15" s="24"/>
      <c r="Q15" s="4"/>
      <c r="R15" s="34" t="s">
        <v>72</v>
      </c>
      <c r="S15" s="34" t="s">
        <v>71</v>
      </c>
      <c r="T15" s="34" t="s">
        <v>70</v>
      </c>
      <c r="U15" s="34" t="s">
        <v>69</v>
      </c>
      <c r="V15" s="34" t="s">
        <v>68</v>
      </c>
    </row>
    <row r="16" spans="2:47" s="1" customFormat="1" ht="13" customHeight="1" x14ac:dyDescent="0.3">
      <c r="B16" s="16" t="s">
        <v>144</v>
      </c>
      <c r="C16" s="12"/>
      <c r="D16" s="12"/>
      <c r="E16" s="12"/>
      <c r="F16" s="12"/>
      <c r="G16" s="12"/>
      <c r="H16" s="12"/>
      <c r="I16" s="12"/>
      <c r="J16" s="12"/>
      <c r="K16" s="12"/>
      <c r="L16" s="12"/>
      <c r="M16" s="12"/>
      <c r="N16" s="12"/>
      <c r="O16" s="24"/>
      <c r="P16" s="24"/>
      <c r="Q16" s="4"/>
    </row>
    <row r="17" spans="1:22" s="1" customFormat="1" ht="13" customHeight="1" x14ac:dyDescent="0.25">
      <c r="B17" s="16"/>
      <c r="C17" s="12"/>
      <c r="D17" s="12"/>
      <c r="E17" s="12"/>
      <c r="F17" s="12"/>
      <c r="G17" s="12"/>
      <c r="H17" s="12"/>
      <c r="I17" s="12"/>
      <c r="J17" s="12"/>
      <c r="K17" s="12"/>
      <c r="L17" s="12"/>
      <c r="M17" s="12"/>
      <c r="N17" s="12"/>
      <c r="O17" s="24"/>
      <c r="P17" s="24"/>
      <c r="Q17" s="4"/>
    </row>
    <row r="18" spans="1:22" s="31" customFormat="1" ht="13" x14ac:dyDescent="0.3">
      <c r="A18" s="1"/>
      <c r="B18" s="37" t="s">
        <v>109</v>
      </c>
      <c r="C18" s="38"/>
      <c r="D18" s="39"/>
      <c r="E18" s="39"/>
      <c r="F18" s="39"/>
      <c r="G18" s="39"/>
      <c r="H18" s="39"/>
      <c r="I18" s="40"/>
      <c r="J18" s="41"/>
      <c r="K18" s="41"/>
      <c r="L18" s="41"/>
      <c r="M18" s="41"/>
      <c r="N18" s="39"/>
      <c r="O18" s="42"/>
      <c r="P18" s="42"/>
      <c r="Q18" s="43"/>
      <c r="R18" s="34"/>
      <c r="S18" s="35"/>
      <c r="T18" s="35"/>
      <c r="U18" s="35"/>
      <c r="V18" s="35"/>
    </row>
    <row r="19" spans="1:22" s="31" customFormat="1" ht="12.5" x14ac:dyDescent="0.25">
      <c r="B19" s="17" t="s">
        <v>133</v>
      </c>
      <c r="C19" s="44">
        <v>32</v>
      </c>
      <c r="D19" s="44">
        <v>43</v>
      </c>
      <c r="E19" s="44">
        <v>38</v>
      </c>
      <c r="F19" s="44">
        <v>48</v>
      </c>
      <c r="G19" s="44">
        <v>112</v>
      </c>
      <c r="H19" s="44"/>
      <c r="I19" s="45">
        <f>C19/C22</f>
        <v>5.6042031523642732E-2</v>
      </c>
      <c r="J19" s="45">
        <f>D19/D22</f>
        <v>6.6460587326120563E-2</v>
      </c>
      <c r="K19" s="45">
        <f>E19/E22</f>
        <v>5.3445850914205346E-2</v>
      </c>
      <c r="L19" s="45">
        <f>F19/F22</f>
        <v>7.3732718894009217E-2</v>
      </c>
      <c r="M19" s="45">
        <f>G19/G22</f>
        <v>0.1797752808988764</v>
      </c>
      <c r="N19" s="46"/>
      <c r="O19" s="47">
        <f>M19/K19-1</f>
        <v>2.3636901241868715</v>
      </c>
      <c r="P19" s="42"/>
      <c r="Q19" s="43"/>
      <c r="R19" s="31" t="s">
        <v>137</v>
      </c>
      <c r="T19" s="31" t="s">
        <v>137</v>
      </c>
      <c r="U19" s="31" t="s">
        <v>137</v>
      </c>
      <c r="V19" s="31" t="s">
        <v>137</v>
      </c>
    </row>
    <row r="20" spans="1:22" s="31" customFormat="1" ht="12.5" x14ac:dyDescent="0.25">
      <c r="B20" s="48" t="s">
        <v>0</v>
      </c>
      <c r="C20" s="39">
        <v>45</v>
      </c>
      <c r="D20" s="39">
        <v>58</v>
      </c>
      <c r="E20" s="39">
        <v>67</v>
      </c>
      <c r="F20" s="39">
        <v>56</v>
      </c>
      <c r="G20" s="39">
        <v>95</v>
      </c>
      <c r="H20" s="39"/>
      <c r="I20" s="41">
        <f>C20/C22</f>
        <v>7.8809106830122586E-2</v>
      </c>
      <c r="J20" s="41">
        <f>D20/D22</f>
        <v>8.964451313755796E-2</v>
      </c>
      <c r="K20" s="41">
        <f>E20/E22</f>
        <v>9.4233473980309429E-2</v>
      </c>
      <c r="L20" s="41">
        <f>F20/F22</f>
        <v>8.6021505376344093E-2</v>
      </c>
      <c r="M20" s="41">
        <f>G20/G22</f>
        <v>0.15248796147672553</v>
      </c>
      <c r="N20" s="49"/>
      <c r="O20" s="42">
        <f>M20/K20-1</f>
        <v>0.61819314343211706</v>
      </c>
      <c r="P20" s="42"/>
      <c r="Q20" s="43"/>
      <c r="R20" s="31" t="s">
        <v>140</v>
      </c>
      <c r="T20" s="31" t="s">
        <v>140</v>
      </c>
      <c r="U20" s="31" t="s">
        <v>140</v>
      </c>
      <c r="V20" s="31" t="s">
        <v>140</v>
      </c>
    </row>
    <row r="21" spans="1:22" s="31" customFormat="1" ht="12.5" x14ac:dyDescent="0.25">
      <c r="B21" s="48" t="s">
        <v>1</v>
      </c>
      <c r="C21" s="39">
        <v>34</v>
      </c>
      <c r="D21" s="39">
        <v>28</v>
      </c>
      <c r="E21" s="39">
        <v>35</v>
      </c>
      <c r="F21" s="39">
        <v>42</v>
      </c>
      <c r="G21" s="39">
        <v>34</v>
      </c>
      <c r="H21" s="39"/>
      <c r="I21" s="41">
        <f>C21/C22</f>
        <v>5.9544658493870403E-2</v>
      </c>
      <c r="J21" s="41">
        <f>D21/D22</f>
        <v>4.3276661514683151E-2</v>
      </c>
      <c r="K21" s="41">
        <f>E21/E22</f>
        <v>4.9226441631504921E-2</v>
      </c>
      <c r="L21" s="41">
        <f>F21/F22</f>
        <v>6.4516129032258063E-2</v>
      </c>
      <c r="M21" s="41">
        <f>G21/G22</f>
        <v>5.4574638844301769E-2</v>
      </c>
      <c r="N21" s="49"/>
      <c r="O21" s="42">
        <f>M21/K21-1</f>
        <v>0.10864480623710171</v>
      </c>
      <c r="P21" s="42"/>
      <c r="Q21" s="43"/>
      <c r="R21" s="31" t="s">
        <v>142</v>
      </c>
      <c r="T21" s="31" t="s">
        <v>142</v>
      </c>
      <c r="U21" s="31" t="s">
        <v>142</v>
      </c>
      <c r="V21" s="31" t="s">
        <v>142</v>
      </c>
    </row>
    <row r="22" spans="1:22" s="31" customFormat="1" ht="12.5" x14ac:dyDescent="0.25">
      <c r="B22" s="50" t="s">
        <v>39</v>
      </c>
      <c r="C22" s="51">
        <v>571</v>
      </c>
      <c r="D22" s="51">
        <v>647</v>
      </c>
      <c r="E22" s="51">
        <v>711</v>
      </c>
      <c r="F22" s="51">
        <v>651</v>
      </c>
      <c r="G22" s="51">
        <v>623</v>
      </c>
      <c r="H22" s="51"/>
      <c r="I22" s="51"/>
      <c r="J22" s="51"/>
      <c r="K22" s="51"/>
      <c r="L22" s="51"/>
      <c r="M22" s="51"/>
      <c r="N22" s="51"/>
      <c r="O22" s="52"/>
      <c r="P22" s="42"/>
      <c r="Q22" s="43"/>
      <c r="R22" s="35" t="s">
        <v>141</v>
      </c>
      <c r="S22" s="35"/>
      <c r="T22" s="35" t="s">
        <v>141</v>
      </c>
      <c r="U22" s="35" t="s">
        <v>141</v>
      </c>
      <c r="V22" s="35" t="s">
        <v>141</v>
      </c>
    </row>
    <row r="23" spans="1:22" s="31" customFormat="1" ht="13" x14ac:dyDescent="0.3">
      <c r="B23" s="48" t="s">
        <v>143</v>
      </c>
      <c r="C23" s="39"/>
      <c r="D23" s="39"/>
      <c r="E23" s="39"/>
      <c r="F23" s="39"/>
      <c r="G23" s="39"/>
      <c r="H23" s="39"/>
      <c r="I23" s="41"/>
      <c r="J23" s="41"/>
      <c r="K23" s="41"/>
      <c r="L23" s="41"/>
      <c r="M23" s="41"/>
      <c r="N23" s="39"/>
      <c r="O23" s="42"/>
      <c r="P23" s="42"/>
      <c r="Q23" s="43"/>
    </row>
    <row r="24" spans="1:22" s="31" customFormat="1" ht="12.5" x14ac:dyDescent="0.25">
      <c r="B24" s="48"/>
      <c r="C24" s="39"/>
      <c r="D24" s="39"/>
      <c r="E24" s="39"/>
      <c r="F24" s="39"/>
      <c r="G24" s="39"/>
      <c r="H24" s="39"/>
      <c r="I24" s="41"/>
      <c r="J24" s="41"/>
      <c r="K24" s="41"/>
      <c r="L24" s="41"/>
      <c r="M24" s="41"/>
      <c r="N24" s="39"/>
      <c r="O24" s="42"/>
      <c r="P24" s="42"/>
      <c r="Q24" s="43"/>
    </row>
    <row r="25" spans="1:22" s="31" customFormat="1" ht="13" x14ac:dyDescent="0.3">
      <c r="B25" s="37" t="s">
        <v>110</v>
      </c>
      <c r="C25" s="38"/>
      <c r="D25" s="39"/>
      <c r="E25" s="39"/>
      <c r="F25" s="39"/>
      <c r="G25" s="39"/>
      <c r="H25" s="39"/>
      <c r="I25" s="40"/>
      <c r="J25" s="41"/>
      <c r="K25" s="41"/>
      <c r="L25" s="41"/>
      <c r="M25" s="41"/>
      <c r="N25" s="39"/>
      <c r="O25" s="42"/>
      <c r="P25" s="42"/>
      <c r="Q25" s="43"/>
      <c r="R25" s="34"/>
      <c r="S25" s="35"/>
      <c r="T25" s="35"/>
      <c r="U25" s="35"/>
      <c r="V25" s="35"/>
    </row>
    <row r="26" spans="1:22" s="31" customFormat="1" ht="12.5" x14ac:dyDescent="0.25">
      <c r="B26" s="17" t="s">
        <v>133</v>
      </c>
      <c r="C26" s="44">
        <v>24</v>
      </c>
      <c r="D26" s="44">
        <v>35</v>
      </c>
      <c r="E26" s="44">
        <v>55</v>
      </c>
      <c r="F26" s="44">
        <v>51</v>
      </c>
      <c r="G26" s="44">
        <v>205</v>
      </c>
      <c r="H26" s="44"/>
      <c r="I26" s="45">
        <f>C26/C30</f>
        <v>8.1361448233778564E-4</v>
      </c>
      <c r="J26" s="45">
        <f>D26/D30</f>
        <v>1.0954959466649974E-3</v>
      </c>
      <c r="K26" s="45">
        <f>E26/E30</f>
        <v>1.7408368677597013E-3</v>
      </c>
      <c r="L26" s="45">
        <f>F26/F30</f>
        <v>1.6897488569345969E-3</v>
      </c>
      <c r="M26" s="45">
        <f>G26/G30</f>
        <v>7.9004162170494829E-3</v>
      </c>
      <c r="N26" s="46"/>
      <c r="O26" s="47">
        <f>M26/K26-1</f>
        <v>3.5382863629356613</v>
      </c>
      <c r="P26" s="42"/>
      <c r="Q26" s="43"/>
      <c r="R26" s="31" t="s">
        <v>139</v>
      </c>
      <c r="T26" s="31" t="s">
        <v>139</v>
      </c>
      <c r="U26" s="31" t="s">
        <v>139</v>
      </c>
      <c r="V26" s="31" t="s">
        <v>139</v>
      </c>
    </row>
    <row r="27" spans="1:22" s="31" customFormat="1" ht="12.5" x14ac:dyDescent="0.25">
      <c r="B27" s="48" t="s">
        <v>0</v>
      </c>
      <c r="C27" s="39">
        <v>6</v>
      </c>
      <c r="D27" s="39">
        <v>3</v>
      </c>
      <c r="E27" s="39">
        <v>9</v>
      </c>
      <c r="F27" s="39">
        <v>6</v>
      </c>
      <c r="G27" s="39">
        <v>77</v>
      </c>
      <c r="H27" s="39"/>
      <c r="I27" s="41">
        <f>C27/C30</f>
        <v>2.0340362058444641E-4</v>
      </c>
      <c r="J27" s="41">
        <f>D27/D30</f>
        <v>9.3899652571285491E-5</v>
      </c>
      <c r="K27" s="41">
        <f>E27/E30</f>
        <v>2.8486421472431473E-4</v>
      </c>
      <c r="L27" s="41">
        <f>F27/F30</f>
        <v>1.9879398316877608E-4</v>
      </c>
      <c r="M27" s="41">
        <f>G27/G30</f>
        <v>2.9674734083551717E-3</v>
      </c>
      <c r="N27" s="49"/>
      <c r="O27" s="42">
        <f>M27/K27-1</f>
        <v>9.4171505403970333</v>
      </c>
      <c r="P27" s="42"/>
      <c r="Q27" s="43"/>
      <c r="R27" s="31" t="s">
        <v>113</v>
      </c>
      <c r="T27" s="31" t="s">
        <v>113</v>
      </c>
      <c r="U27" s="31" t="s">
        <v>113</v>
      </c>
      <c r="V27" s="31" t="s">
        <v>113</v>
      </c>
    </row>
    <row r="28" spans="1:22" s="31" customFormat="1" ht="12.5" x14ac:dyDescent="0.25">
      <c r="B28" s="48" t="s">
        <v>108</v>
      </c>
      <c r="C28" s="39">
        <v>1</v>
      </c>
      <c r="D28" s="39">
        <v>5</v>
      </c>
      <c r="E28" s="39">
        <v>2</v>
      </c>
      <c r="F28" s="39">
        <v>4</v>
      </c>
      <c r="G28" s="39">
        <v>116</v>
      </c>
      <c r="H28" s="39"/>
      <c r="I28" s="41">
        <f>C28/C30</f>
        <v>3.3900603430741069E-5</v>
      </c>
      <c r="J28" s="41">
        <f>D28/D30</f>
        <v>1.5649942095214247E-4</v>
      </c>
      <c r="K28" s="41">
        <f>E28/E30</f>
        <v>6.3303158827625504E-5</v>
      </c>
      <c r="L28" s="41">
        <f>F28/F30</f>
        <v>1.325293221125174E-4</v>
      </c>
      <c r="M28" s="41">
        <f>G28/G30</f>
        <v>4.4704794203792196E-3</v>
      </c>
      <c r="N28" s="49"/>
      <c r="O28" s="42">
        <f>M28/K28-1</f>
        <v>69.62016340373053</v>
      </c>
      <c r="P28" s="42"/>
      <c r="Q28" s="43"/>
      <c r="R28" s="31" t="s">
        <v>112</v>
      </c>
      <c r="T28" s="31" t="s">
        <v>112</v>
      </c>
      <c r="U28" s="31" t="s">
        <v>112</v>
      </c>
      <c r="V28" s="31" t="s">
        <v>112</v>
      </c>
    </row>
    <row r="29" spans="1:22" s="31" customFormat="1" ht="12.5" x14ac:dyDescent="0.25">
      <c r="B29" s="48" t="s">
        <v>1</v>
      </c>
      <c r="C29" s="39">
        <v>17</v>
      </c>
      <c r="D29" s="39">
        <v>33</v>
      </c>
      <c r="E29" s="39">
        <v>36</v>
      </c>
      <c r="F29" s="39">
        <v>22</v>
      </c>
      <c r="G29" s="39">
        <v>21</v>
      </c>
      <c r="H29" s="39"/>
      <c r="I29" s="41">
        <f>C29/C30</f>
        <v>5.7631025832259814E-4</v>
      </c>
      <c r="J29" s="41">
        <f>D29/D30</f>
        <v>1.0328961782841404E-3</v>
      </c>
      <c r="K29" s="41">
        <f>E29/E30</f>
        <v>1.1394568588972589E-3</v>
      </c>
      <c r="L29" s="41">
        <f>F29/F30</f>
        <v>7.2891127161884563E-4</v>
      </c>
      <c r="M29" s="41">
        <f>G29/G30</f>
        <v>8.093109295514105E-4</v>
      </c>
      <c r="N29" s="49"/>
      <c r="O29" s="42">
        <f>M29/K29-1</f>
        <v>-0.2897397358820204</v>
      </c>
      <c r="P29" s="42"/>
      <c r="Q29" s="43"/>
      <c r="R29" s="31" t="s">
        <v>111</v>
      </c>
      <c r="T29" s="31" t="s">
        <v>111</v>
      </c>
      <c r="U29" s="31" t="s">
        <v>111</v>
      </c>
      <c r="V29" s="31" t="s">
        <v>111</v>
      </c>
    </row>
    <row r="30" spans="1:22" s="31" customFormat="1" ht="12.5" x14ac:dyDescent="0.25">
      <c r="B30" s="50" t="s">
        <v>39</v>
      </c>
      <c r="C30" s="51">
        <v>29498</v>
      </c>
      <c r="D30" s="51">
        <v>31949</v>
      </c>
      <c r="E30" s="51">
        <v>31594</v>
      </c>
      <c r="F30" s="51">
        <v>30182</v>
      </c>
      <c r="G30" s="51">
        <v>25948</v>
      </c>
      <c r="H30" s="51"/>
      <c r="I30" s="51"/>
      <c r="J30" s="51"/>
      <c r="K30" s="51"/>
      <c r="L30" s="51"/>
      <c r="M30" s="51"/>
      <c r="N30" s="51"/>
      <c r="O30" s="52"/>
      <c r="P30" s="42"/>
      <c r="Q30" s="43"/>
      <c r="R30" s="35" t="s">
        <v>138</v>
      </c>
      <c r="S30" s="35"/>
      <c r="T30" s="35" t="s">
        <v>138</v>
      </c>
      <c r="U30" s="35" t="s">
        <v>138</v>
      </c>
      <c r="V30" s="35" t="s">
        <v>138</v>
      </c>
    </row>
    <row r="31" spans="1:22" s="31" customFormat="1" ht="40.5" customHeight="1" x14ac:dyDescent="0.25">
      <c r="B31" s="62" t="s">
        <v>203</v>
      </c>
      <c r="C31" s="62"/>
      <c r="D31" s="62"/>
      <c r="E31" s="62"/>
      <c r="F31" s="62"/>
      <c r="G31" s="62"/>
      <c r="H31" s="62"/>
      <c r="I31" s="62"/>
      <c r="J31" s="62"/>
      <c r="K31" s="62"/>
      <c r="L31" s="62"/>
      <c r="M31" s="62"/>
      <c r="N31" s="62"/>
      <c r="O31" s="62"/>
      <c r="P31" s="42"/>
      <c r="Q31" s="43"/>
    </row>
    <row r="32" spans="1:22" s="31" customFormat="1" ht="5.75" customHeight="1" x14ac:dyDescent="0.25">
      <c r="B32" s="48"/>
      <c r="C32" s="39"/>
      <c r="D32" s="39"/>
      <c r="E32" s="39"/>
      <c r="F32" s="39"/>
      <c r="G32" s="39"/>
      <c r="H32" s="39"/>
      <c r="I32" s="41"/>
      <c r="J32" s="41"/>
      <c r="K32" s="41"/>
      <c r="L32" s="41"/>
      <c r="M32" s="41"/>
      <c r="N32" s="39"/>
      <c r="O32" s="42"/>
      <c r="P32" s="42"/>
      <c r="Q32" s="43"/>
    </row>
    <row r="33" spans="1:17" s="1" customFormat="1" ht="12.5" x14ac:dyDescent="0.25">
      <c r="A33" s="31"/>
      <c r="B33" s="16"/>
      <c r="O33" s="4"/>
      <c r="P33" s="4"/>
      <c r="Q33" s="4"/>
    </row>
    <row r="34" spans="1:17" s="1" customFormat="1" ht="12.5" x14ac:dyDescent="0.25">
      <c r="B34" s="16"/>
      <c r="O34" s="4"/>
      <c r="P34" s="4"/>
      <c r="Q34" s="4"/>
    </row>
    <row r="35" spans="1:17" s="1" customFormat="1" ht="12.5" x14ac:dyDescent="0.25">
      <c r="B35" s="16"/>
      <c r="O35" s="4"/>
      <c r="P35" s="4"/>
      <c r="Q35" s="4"/>
    </row>
    <row r="36" spans="1:17" s="1" customFormat="1" ht="12.5" x14ac:dyDescent="0.25">
      <c r="B36" s="16"/>
      <c r="O36" s="4"/>
      <c r="P36" s="4"/>
      <c r="Q36" s="4"/>
    </row>
    <row r="37" spans="1:17" s="1" customFormat="1" ht="12.5" x14ac:dyDescent="0.25">
      <c r="B37" s="16"/>
      <c r="O37" s="4"/>
      <c r="P37" s="4"/>
      <c r="Q37" s="4"/>
    </row>
    <row r="38" spans="1:17" s="1" customFormat="1" ht="12.5" x14ac:dyDescent="0.25">
      <c r="B38" s="16"/>
      <c r="O38" s="4"/>
      <c r="P38" s="4"/>
      <c r="Q38" s="4"/>
    </row>
    <row r="39" spans="1:17" x14ac:dyDescent="0.35">
      <c r="A39" s="1"/>
    </row>
  </sheetData>
  <mergeCells count="1">
    <mergeCell ref="B31:O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BA159-1632-42E8-BAC5-1B8E818375BA}">
  <dimension ref="B2:AE33"/>
  <sheetViews>
    <sheetView showGridLines="0" workbookViewId="0"/>
  </sheetViews>
  <sheetFormatPr defaultRowHeight="14.5" x14ac:dyDescent="0.35"/>
  <cols>
    <col min="2" max="2" width="13.90625" bestFit="1" customWidth="1"/>
    <col min="14" max="14" width="3.36328125" style="1" customWidth="1"/>
  </cols>
  <sheetData>
    <row r="2" spans="2:31" s="1" customFormat="1" x14ac:dyDescent="0.35">
      <c r="B2" s="37" t="s">
        <v>172</v>
      </c>
      <c r="D2" s="48"/>
      <c r="O2"/>
      <c r="P2"/>
      <c r="Q2"/>
      <c r="R2"/>
      <c r="S2"/>
      <c r="T2"/>
      <c r="U2"/>
      <c r="V2"/>
      <c r="W2"/>
      <c r="X2"/>
      <c r="Y2"/>
      <c r="Z2"/>
    </row>
    <row r="3" spans="2:31" s="1" customFormat="1" ht="5.75" customHeight="1" x14ac:dyDescent="0.35">
      <c r="C3" s="48"/>
      <c r="O3"/>
      <c r="P3"/>
      <c r="Q3"/>
      <c r="R3"/>
      <c r="S3"/>
      <c r="T3"/>
      <c r="U3"/>
      <c r="V3"/>
      <c r="W3"/>
      <c r="X3"/>
      <c r="Y3"/>
      <c r="Z3"/>
    </row>
    <row r="4" spans="2:31" s="1" customFormat="1" ht="13" customHeight="1" x14ac:dyDescent="0.35">
      <c r="B4" s="56"/>
      <c r="C4" s="56"/>
      <c r="D4" s="28" t="s">
        <v>41</v>
      </c>
      <c r="E4" s="7"/>
      <c r="F4" s="7"/>
      <c r="G4" s="7"/>
      <c r="H4" s="7"/>
      <c r="I4" s="7"/>
      <c r="J4" s="7"/>
      <c r="K4" s="7"/>
      <c r="L4" s="7"/>
      <c r="M4" s="7"/>
      <c r="N4" s="7"/>
      <c r="O4" s="28" t="s">
        <v>145</v>
      </c>
      <c r="P4" s="60"/>
      <c r="Q4" s="60"/>
      <c r="R4" s="60"/>
      <c r="S4" s="60"/>
      <c r="T4" s="60"/>
      <c r="U4" s="60"/>
      <c r="V4" s="60"/>
      <c r="W4" s="60"/>
      <c r="X4" s="60"/>
      <c r="Y4" s="60"/>
      <c r="Z4"/>
    </row>
    <row r="5" spans="2:31" x14ac:dyDescent="0.35">
      <c r="B5" s="57">
        <v>2013</v>
      </c>
      <c r="C5" s="57">
        <v>2013</v>
      </c>
      <c r="D5" s="57">
        <v>2014</v>
      </c>
      <c r="E5" s="57">
        <v>2015</v>
      </c>
      <c r="F5" s="57">
        <v>2016</v>
      </c>
      <c r="G5" s="57">
        <v>2017</v>
      </c>
      <c r="H5" s="57">
        <v>2018</v>
      </c>
      <c r="I5" s="57">
        <v>2019</v>
      </c>
      <c r="J5" s="57">
        <v>2020</v>
      </c>
      <c r="K5" s="57">
        <v>2021</v>
      </c>
      <c r="L5" s="57">
        <v>2022</v>
      </c>
      <c r="M5" s="57">
        <v>2023</v>
      </c>
      <c r="N5" s="10"/>
      <c r="O5" s="57">
        <v>2013</v>
      </c>
      <c r="P5" s="57">
        <v>2014</v>
      </c>
      <c r="Q5" s="57">
        <v>2015</v>
      </c>
      <c r="R5" s="57">
        <v>2016</v>
      </c>
      <c r="S5" s="57">
        <v>2017</v>
      </c>
      <c r="T5" s="57">
        <v>2018</v>
      </c>
      <c r="U5" s="57">
        <v>2019</v>
      </c>
      <c r="V5" s="57">
        <v>2020</v>
      </c>
      <c r="W5" s="57">
        <v>2021</v>
      </c>
      <c r="X5" s="57">
        <v>2022</v>
      </c>
      <c r="Y5" s="57">
        <v>2023</v>
      </c>
      <c r="AA5" s="33"/>
      <c r="AB5" s="33"/>
      <c r="AC5" s="33"/>
      <c r="AD5" s="33"/>
      <c r="AE5" s="33"/>
    </row>
    <row r="6" spans="2:31" x14ac:dyDescent="0.35">
      <c r="B6" t="s">
        <v>147</v>
      </c>
      <c r="C6">
        <v>3</v>
      </c>
      <c r="D6">
        <v>6</v>
      </c>
      <c r="E6">
        <v>4</v>
      </c>
      <c r="F6">
        <v>2</v>
      </c>
      <c r="G6">
        <v>9</v>
      </c>
      <c r="H6">
        <v>4</v>
      </c>
      <c r="I6">
        <v>9</v>
      </c>
      <c r="J6">
        <v>8</v>
      </c>
      <c r="K6">
        <v>13</v>
      </c>
      <c r="L6">
        <v>6</v>
      </c>
      <c r="M6">
        <v>32</v>
      </c>
      <c r="N6" s="12"/>
      <c r="O6" s="59">
        <f>C6/$C$31</f>
        <v>1.876172607879925E-3</v>
      </c>
      <c r="P6" s="59">
        <f>D6/$D$31</f>
        <v>3.4682080924855491E-3</v>
      </c>
      <c r="Q6" s="59">
        <f>E6/$E$31</f>
        <v>1.9675356615838661E-3</v>
      </c>
      <c r="R6" s="59">
        <f>F6/$F$31</f>
        <v>8.0192461908580592E-4</v>
      </c>
      <c r="S6" s="59">
        <f>G6/$G$31</f>
        <v>3.1567870922483338E-3</v>
      </c>
      <c r="T6" s="59">
        <f>H6/$H$31</f>
        <v>1.3769363166953529E-3</v>
      </c>
      <c r="U6" s="59">
        <f>I6/$I$31</f>
        <v>2.8809218950064022E-3</v>
      </c>
      <c r="V6" s="59">
        <f>J6/$J$31</f>
        <v>2.5682182985553772E-3</v>
      </c>
      <c r="W6" s="59">
        <f>K6/$K$31</f>
        <v>3.7956204379562043E-3</v>
      </c>
      <c r="X6" s="59">
        <f>L6/$L$31</f>
        <v>1.7783046828689982E-3</v>
      </c>
      <c r="Y6" s="59">
        <f>M6/$M$31</f>
        <v>1.1243851018973999E-2</v>
      </c>
      <c r="AA6" t="s">
        <v>177</v>
      </c>
    </row>
    <row r="7" spans="2:31" x14ac:dyDescent="0.35">
      <c r="B7" t="s">
        <v>148</v>
      </c>
      <c r="C7">
        <v>21</v>
      </c>
      <c r="D7">
        <v>30</v>
      </c>
      <c r="E7">
        <v>34</v>
      </c>
      <c r="F7">
        <v>41</v>
      </c>
      <c r="G7">
        <v>50</v>
      </c>
      <c r="H7">
        <v>54</v>
      </c>
      <c r="I7">
        <v>59</v>
      </c>
      <c r="J7">
        <v>53</v>
      </c>
      <c r="K7">
        <v>66</v>
      </c>
      <c r="L7">
        <v>62</v>
      </c>
      <c r="M7">
        <v>246</v>
      </c>
      <c r="N7"/>
      <c r="O7" s="59">
        <f t="shared" ref="O7:O30" si="0">C7/$C$31</f>
        <v>1.3133208255159476E-2</v>
      </c>
      <c r="P7" s="59">
        <f t="shared" ref="P7:P30" si="1">D7/$D$31</f>
        <v>1.7341040462427744E-2</v>
      </c>
      <c r="Q7" s="59">
        <f t="shared" ref="Q7:Q30" si="2">E7/$E$31</f>
        <v>1.6724053123462864E-2</v>
      </c>
      <c r="R7" s="59">
        <f t="shared" ref="R7:R30" si="3">F7/$F$31</f>
        <v>1.6439454691259021E-2</v>
      </c>
      <c r="S7" s="59">
        <f t="shared" ref="S7:S30" si="4">G7/$G$31</f>
        <v>1.7537706068046298E-2</v>
      </c>
      <c r="T7" s="59">
        <f t="shared" ref="T7:T30" si="5">H7/$H$31</f>
        <v>1.8588640275387262E-2</v>
      </c>
      <c r="U7" s="59">
        <f t="shared" ref="U7:U30" si="6">I7/$I$31</f>
        <v>1.888604353393086E-2</v>
      </c>
      <c r="V7" s="59">
        <f t="shared" ref="V7:V30" si="7">J7/$J$31</f>
        <v>1.7014446227929372E-2</v>
      </c>
      <c r="W7" s="59">
        <f t="shared" ref="W7:W30" si="8">K7/$K$31</f>
        <v>1.927007299270073E-2</v>
      </c>
      <c r="X7" s="59">
        <f t="shared" ref="X7:X30" si="9">L7/$L$31</f>
        <v>1.8375815056312982E-2</v>
      </c>
      <c r="Y7" s="59">
        <f t="shared" ref="Y7:Y30" si="10">M7/$M$31</f>
        <v>8.6437104708362619E-2</v>
      </c>
      <c r="AA7" t="s">
        <v>176</v>
      </c>
    </row>
    <row r="8" spans="2:31" x14ac:dyDescent="0.35">
      <c r="B8" t="s">
        <v>149</v>
      </c>
      <c r="C8">
        <v>23</v>
      </c>
      <c r="D8">
        <v>46</v>
      </c>
      <c r="E8">
        <v>57</v>
      </c>
      <c r="F8">
        <v>54</v>
      </c>
      <c r="G8">
        <v>86</v>
      </c>
      <c r="H8">
        <v>122</v>
      </c>
      <c r="I8">
        <v>122</v>
      </c>
      <c r="J8">
        <v>155</v>
      </c>
      <c r="K8">
        <v>162</v>
      </c>
      <c r="L8">
        <v>154</v>
      </c>
      <c r="M8">
        <v>326</v>
      </c>
      <c r="N8" s="12"/>
      <c r="O8" s="59">
        <f t="shared" si="0"/>
        <v>1.4383989993746092E-2</v>
      </c>
      <c r="P8" s="59">
        <f t="shared" si="1"/>
        <v>2.6589595375722544E-2</v>
      </c>
      <c r="Q8" s="59">
        <f t="shared" si="2"/>
        <v>2.8037383177570093E-2</v>
      </c>
      <c r="R8" s="59">
        <f t="shared" si="3"/>
        <v>2.165196471531676E-2</v>
      </c>
      <c r="S8" s="59">
        <f t="shared" si="4"/>
        <v>3.0164854437039635E-2</v>
      </c>
      <c r="T8" s="59">
        <f t="shared" si="5"/>
        <v>4.1996557659208261E-2</v>
      </c>
      <c r="U8" s="59">
        <f t="shared" si="6"/>
        <v>3.9052496798975669E-2</v>
      </c>
      <c r="V8" s="59">
        <f t="shared" si="7"/>
        <v>4.9759229534510431E-2</v>
      </c>
      <c r="W8" s="59">
        <f t="shared" si="8"/>
        <v>4.72992700729927E-2</v>
      </c>
      <c r="X8" s="59">
        <f t="shared" si="9"/>
        <v>4.5643153526970952E-2</v>
      </c>
      <c r="Y8" s="58">
        <f t="shared" si="10"/>
        <v>0.11454673225579762</v>
      </c>
      <c r="AA8" t="s">
        <v>175</v>
      </c>
    </row>
    <row r="9" spans="2:31" x14ac:dyDescent="0.35">
      <c r="B9" t="s">
        <v>150</v>
      </c>
      <c r="C9">
        <v>0</v>
      </c>
      <c r="D9">
        <v>0</v>
      </c>
      <c r="E9">
        <v>0</v>
      </c>
      <c r="F9">
        <v>0</v>
      </c>
      <c r="G9">
        <v>2</v>
      </c>
      <c r="H9">
        <v>0</v>
      </c>
      <c r="I9">
        <v>0</v>
      </c>
      <c r="J9">
        <v>0</v>
      </c>
      <c r="K9">
        <v>0</v>
      </c>
      <c r="L9">
        <v>1</v>
      </c>
      <c r="M9">
        <v>9</v>
      </c>
      <c r="N9"/>
      <c r="O9" s="59">
        <f t="shared" si="0"/>
        <v>0</v>
      </c>
      <c r="P9" s="59">
        <f t="shared" si="1"/>
        <v>0</v>
      </c>
      <c r="Q9" s="59">
        <f t="shared" si="2"/>
        <v>0</v>
      </c>
      <c r="R9" s="59">
        <f t="shared" si="3"/>
        <v>0</v>
      </c>
      <c r="S9" s="59">
        <f t="shared" si="4"/>
        <v>7.0150824272185194E-4</v>
      </c>
      <c r="T9" s="59">
        <f t="shared" si="5"/>
        <v>0</v>
      </c>
      <c r="U9" s="59">
        <f t="shared" si="6"/>
        <v>0</v>
      </c>
      <c r="V9" s="59">
        <f t="shared" si="7"/>
        <v>0</v>
      </c>
      <c r="W9" s="59">
        <f t="shared" si="8"/>
        <v>0</v>
      </c>
      <c r="X9" s="59">
        <f t="shared" si="9"/>
        <v>2.9638411381149968E-4</v>
      </c>
      <c r="Y9" s="59">
        <f t="shared" si="10"/>
        <v>3.1623330990864372E-3</v>
      </c>
      <c r="AA9" t="s">
        <v>178</v>
      </c>
    </row>
    <row r="10" spans="2:31" x14ac:dyDescent="0.35">
      <c r="B10" t="s">
        <v>151</v>
      </c>
      <c r="C10">
        <v>0</v>
      </c>
      <c r="D10">
        <v>0</v>
      </c>
      <c r="E10">
        <v>0</v>
      </c>
      <c r="F10">
        <v>0</v>
      </c>
      <c r="G10">
        <v>1</v>
      </c>
      <c r="H10">
        <v>0</v>
      </c>
      <c r="I10">
        <v>2</v>
      </c>
      <c r="J10">
        <v>1</v>
      </c>
      <c r="K10">
        <v>2</v>
      </c>
      <c r="L10">
        <v>2</v>
      </c>
      <c r="M10">
        <v>45</v>
      </c>
      <c r="N10"/>
      <c r="O10" s="59">
        <f t="shared" si="0"/>
        <v>0</v>
      </c>
      <c r="P10" s="59">
        <f t="shared" si="1"/>
        <v>0</v>
      </c>
      <c r="Q10" s="59">
        <f t="shared" si="2"/>
        <v>0</v>
      </c>
      <c r="R10" s="59">
        <f t="shared" si="3"/>
        <v>0</v>
      </c>
      <c r="S10" s="59">
        <f t="shared" si="4"/>
        <v>3.5075412136092597E-4</v>
      </c>
      <c r="T10" s="59">
        <f t="shared" si="5"/>
        <v>0</v>
      </c>
      <c r="U10" s="59">
        <f t="shared" si="6"/>
        <v>6.4020486555697821E-4</v>
      </c>
      <c r="V10" s="59">
        <f t="shared" si="7"/>
        <v>3.2102728731942215E-4</v>
      </c>
      <c r="W10" s="59">
        <f t="shared" si="8"/>
        <v>5.8394160583941611E-4</v>
      </c>
      <c r="X10" s="59">
        <f t="shared" si="9"/>
        <v>5.9276822762299936E-4</v>
      </c>
      <c r="Y10" s="59">
        <f t="shared" si="10"/>
        <v>1.5811665495432184E-2</v>
      </c>
      <c r="AA10" t="s">
        <v>179</v>
      </c>
    </row>
    <row r="11" spans="2:31" x14ac:dyDescent="0.35">
      <c r="B11" t="s">
        <v>152</v>
      </c>
      <c r="C11">
        <v>3</v>
      </c>
      <c r="D11">
        <v>4</v>
      </c>
      <c r="E11">
        <v>4</v>
      </c>
      <c r="F11">
        <v>3</v>
      </c>
      <c r="G11">
        <v>8</v>
      </c>
      <c r="H11">
        <v>8</v>
      </c>
      <c r="I11">
        <v>10</v>
      </c>
      <c r="J11">
        <v>5</v>
      </c>
      <c r="K11">
        <v>10</v>
      </c>
      <c r="L11">
        <v>9</v>
      </c>
      <c r="M11">
        <v>53</v>
      </c>
      <c r="N11"/>
      <c r="O11" s="59">
        <f t="shared" si="0"/>
        <v>1.876172607879925E-3</v>
      </c>
      <c r="P11" s="59">
        <f t="shared" si="1"/>
        <v>2.3121387283236996E-3</v>
      </c>
      <c r="Q11" s="59">
        <f t="shared" si="2"/>
        <v>1.9675356615838661E-3</v>
      </c>
      <c r="R11" s="59">
        <f t="shared" si="3"/>
        <v>1.2028869286287089E-3</v>
      </c>
      <c r="S11" s="59">
        <f t="shared" si="4"/>
        <v>2.8060329708874078E-3</v>
      </c>
      <c r="T11" s="59">
        <f t="shared" si="5"/>
        <v>2.7538726333907059E-3</v>
      </c>
      <c r="U11" s="59">
        <f t="shared" si="6"/>
        <v>3.201024327784891E-3</v>
      </c>
      <c r="V11" s="59">
        <f t="shared" si="7"/>
        <v>1.6051364365971107E-3</v>
      </c>
      <c r="W11" s="59">
        <f t="shared" si="8"/>
        <v>2.9197080291970801E-3</v>
      </c>
      <c r="X11" s="59">
        <f t="shared" si="9"/>
        <v>2.6674570243034974E-3</v>
      </c>
      <c r="Y11" s="59">
        <f t="shared" si="10"/>
        <v>1.8622628250175684E-2</v>
      </c>
      <c r="AA11" t="s">
        <v>180</v>
      </c>
    </row>
    <row r="12" spans="2:31" x14ac:dyDescent="0.35">
      <c r="B12" t="s">
        <v>153</v>
      </c>
      <c r="C12">
        <v>12</v>
      </c>
      <c r="D12">
        <v>4</v>
      </c>
      <c r="E12">
        <v>11</v>
      </c>
      <c r="F12">
        <v>16</v>
      </c>
      <c r="G12">
        <v>24</v>
      </c>
      <c r="H12">
        <v>29</v>
      </c>
      <c r="I12">
        <v>40</v>
      </c>
      <c r="J12">
        <v>36</v>
      </c>
      <c r="K12">
        <v>29</v>
      </c>
      <c r="L12">
        <v>35</v>
      </c>
      <c r="M12">
        <v>80</v>
      </c>
      <c r="N12"/>
      <c r="O12" s="59">
        <f t="shared" si="0"/>
        <v>7.5046904315196998E-3</v>
      </c>
      <c r="P12" s="59">
        <f t="shared" si="1"/>
        <v>2.3121387283236996E-3</v>
      </c>
      <c r="Q12" s="59">
        <f t="shared" si="2"/>
        <v>5.4107230693556324E-3</v>
      </c>
      <c r="R12" s="59">
        <f t="shared" si="3"/>
        <v>6.4153969526864474E-3</v>
      </c>
      <c r="S12" s="59">
        <f t="shared" si="4"/>
        <v>8.4180989126622242E-3</v>
      </c>
      <c r="T12" s="59">
        <f t="shared" si="5"/>
        <v>9.9827882960413089E-3</v>
      </c>
      <c r="U12" s="59">
        <f t="shared" si="6"/>
        <v>1.2804097311139564E-2</v>
      </c>
      <c r="V12" s="59">
        <f t="shared" si="7"/>
        <v>1.1556982343499198E-2</v>
      </c>
      <c r="W12" s="59">
        <f t="shared" si="8"/>
        <v>8.4671532846715327E-3</v>
      </c>
      <c r="X12" s="59">
        <f t="shared" si="9"/>
        <v>1.0373443983402489E-2</v>
      </c>
      <c r="Y12" s="59">
        <f t="shared" si="10"/>
        <v>2.8109627547434995E-2</v>
      </c>
      <c r="AA12" t="s">
        <v>181</v>
      </c>
    </row>
    <row r="13" spans="2:31" x14ac:dyDescent="0.35">
      <c r="B13" t="s">
        <v>154</v>
      </c>
      <c r="C13">
        <v>23</v>
      </c>
      <c r="D13">
        <v>20</v>
      </c>
      <c r="E13">
        <v>31</v>
      </c>
      <c r="F13">
        <v>24</v>
      </c>
      <c r="G13">
        <v>28</v>
      </c>
      <c r="H13">
        <v>41</v>
      </c>
      <c r="I13">
        <v>48</v>
      </c>
      <c r="J13">
        <v>55</v>
      </c>
      <c r="K13">
        <v>54</v>
      </c>
      <c r="L13">
        <v>47</v>
      </c>
      <c r="M13">
        <v>183</v>
      </c>
      <c r="N13"/>
      <c r="O13" s="59">
        <f t="shared" si="0"/>
        <v>1.4383989993746092E-2</v>
      </c>
      <c r="P13" s="59">
        <f t="shared" si="1"/>
        <v>1.1560693641618497E-2</v>
      </c>
      <c r="Q13" s="59">
        <f t="shared" si="2"/>
        <v>1.5248401377274963E-2</v>
      </c>
      <c r="R13" s="59">
        <f t="shared" si="3"/>
        <v>9.6230954290296711E-3</v>
      </c>
      <c r="S13" s="59">
        <f t="shared" si="4"/>
        <v>9.8211153981059285E-3</v>
      </c>
      <c r="T13" s="59">
        <f t="shared" si="5"/>
        <v>1.4113597246127367E-2</v>
      </c>
      <c r="U13" s="59">
        <f t="shared" si="6"/>
        <v>1.5364916773367477E-2</v>
      </c>
      <c r="V13" s="59">
        <f t="shared" si="7"/>
        <v>1.7656500802568219E-2</v>
      </c>
      <c r="W13" s="59">
        <f t="shared" si="8"/>
        <v>1.5766423357664233E-2</v>
      </c>
      <c r="X13" s="59">
        <f t="shared" si="9"/>
        <v>1.3930053349140487E-2</v>
      </c>
      <c r="Y13" s="59">
        <f t="shared" si="10"/>
        <v>6.4300773014757548E-2</v>
      </c>
      <c r="AA13" t="s">
        <v>182</v>
      </c>
    </row>
    <row r="14" spans="2:31" x14ac:dyDescent="0.35">
      <c r="B14" t="s">
        <v>155</v>
      </c>
      <c r="C14">
        <v>9</v>
      </c>
      <c r="D14">
        <v>20</v>
      </c>
      <c r="E14">
        <v>13</v>
      </c>
      <c r="F14">
        <v>15</v>
      </c>
      <c r="G14">
        <v>35</v>
      </c>
      <c r="H14">
        <v>31</v>
      </c>
      <c r="I14">
        <v>35</v>
      </c>
      <c r="J14">
        <v>40</v>
      </c>
      <c r="K14">
        <v>43</v>
      </c>
      <c r="L14">
        <v>44</v>
      </c>
      <c r="M14">
        <v>79</v>
      </c>
      <c r="N14"/>
      <c r="O14" s="59">
        <f t="shared" si="0"/>
        <v>5.6285178236397749E-3</v>
      </c>
      <c r="P14" s="59">
        <f t="shared" si="1"/>
        <v>1.1560693641618497E-2</v>
      </c>
      <c r="Q14" s="59">
        <f t="shared" si="2"/>
        <v>6.3944909001475651E-3</v>
      </c>
      <c r="R14" s="59">
        <f t="shared" si="3"/>
        <v>6.0144346431435444E-3</v>
      </c>
      <c r="S14" s="59">
        <f t="shared" si="4"/>
        <v>1.2276394247632409E-2</v>
      </c>
      <c r="T14" s="59">
        <f t="shared" si="5"/>
        <v>1.0671256454388985E-2</v>
      </c>
      <c r="U14" s="59">
        <f t="shared" si="6"/>
        <v>1.1203585147247119E-2</v>
      </c>
      <c r="V14" s="59">
        <f t="shared" si="7"/>
        <v>1.2841091492776886E-2</v>
      </c>
      <c r="W14" s="59">
        <f t="shared" si="8"/>
        <v>1.2554744525547445E-2</v>
      </c>
      <c r="X14" s="59">
        <f t="shared" si="9"/>
        <v>1.3040901007705987E-2</v>
      </c>
      <c r="Y14" s="59">
        <f t="shared" si="10"/>
        <v>2.7758257203092059E-2</v>
      </c>
      <c r="AA14" t="s">
        <v>183</v>
      </c>
    </row>
    <row r="15" spans="2:31" x14ac:dyDescent="0.35">
      <c r="B15" t="s">
        <v>156</v>
      </c>
      <c r="C15">
        <v>2</v>
      </c>
      <c r="D15">
        <v>2</v>
      </c>
      <c r="E15">
        <v>2</v>
      </c>
      <c r="F15">
        <v>1</v>
      </c>
      <c r="G15">
        <v>6</v>
      </c>
      <c r="H15">
        <v>4</v>
      </c>
      <c r="I15">
        <v>14</v>
      </c>
      <c r="J15">
        <v>14</v>
      </c>
      <c r="K15">
        <v>10</v>
      </c>
      <c r="L15">
        <v>14</v>
      </c>
      <c r="M15">
        <v>65</v>
      </c>
      <c r="N15"/>
      <c r="O15" s="59">
        <f t="shared" si="0"/>
        <v>1.2507817385866166E-3</v>
      </c>
      <c r="P15" s="59">
        <f t="shared" si="1"/>
        <v>1.1560693641618498E-3</v>
      </c>
      <c r="Q15" s="59">
        <f t="shared" si="2"/>
        <v>9.8376783079193305E-4</v>
      </c>
      <c r="R15" s="59">
        <f t="shared" si="3"/>
        <v>4.0096230954290296E-4</v>
      </c>
      <c r="S15" s="59">
        <f t="shared" si="4"/>
        <v>2.104524728165556E-3</v>
      </c>
      <c r="T15" s="59">
        <f t="shared" si="5"/>
        <v>1.3769363166953529E-3</v>
      </c>
      <c r="U15" s="59">
        <f t="shared" si="6"/>
        <v>4.4814340588988479E-3</v>
      </c>
      <c r="V15" s="59">
        <f t="shared" si="7"/>
        <v>4.4943820224719105E-3</v>
      </c>
      <c r="W15" s="59">
        <f t="shared" si="8"/>
        <v>2.9197080291970801E-3</v>
      </c>
      <c r="X15" s="59">
        <f t="shared" si="9"/>
        <v>4.1493775933609959E-3</v>
      </c>
      <c r="Y15" s="59">
        <f t="shared" si="10"/>
        <v>2.2839072382290933E-2</v>
      </c>
      <c r="AA15" t="s">
        <v>184</v>
      </c>
    </row>
    <row r="16" spans="2:31" x14ac:dyDescent="0.35">
      <c r="B16" t="s">
        <v>157</v>
      </c>
      <c r="C16">
        <v>0</v>
      </c>
      <c r="D16">
        <v>0</v>
      </c>
      <c r="E16">
        <v>0</v>
      </c>
      <c r="F16">
        <v>0</v>
      </c>
      <c r="G16">
        <v>1</v>
      </c>
      <c r="H16">
        <v>3</v>
      </c>
      <c r="I16">
        <v>3</v>
      </c>
      <c r="J16">
        <v>1</v>
      </c>
      <c r="K16">
        <v>3</v>
      </c>
      <c r="L16">
        <v>3</v>
      </c>
      <c r="M16">
        <v>6</v>
      </c>
      <c r="N16"/>
      <c r="O16" s="59">
        <f t="shared" si="0"/>
        <v>0</v>
      </c>
      <c r="P16" s="59">
        <f t="shared" si="1"/>
        <v>0</v>
      </c>
      <c r="Q16" s="59">
        <f t="shared" si="2"/>
        <v>0</v>
      </c>
      <c r="R16" s="59">
        <f t="shared" si="3"/>
        <v>0</v>
      </c>
      <c r="S16" s="59">
        <f t="shared" si="4"/>
        <v>3.5075412136092597E-4</v>
      </c>
      <c r="T16" s="59">
        <f t="shared" si="5"/>
        <v>1.0327022375215145E-3</v>
      </c>
      <c r="U16" s="59">
        <f t="shared" si="6"/>
        <v>9.6030729833546731E-4</v>
      </c>
      <c r="V16" s="59">
        <f t="shared" si="7"/>
        <v>3.2102728731942215E-4</v>
      </c>
      <c r="W16" s="59">
        <f t="shared" si="8"/>
        <v>8.7591240875912405E-4</v>
      </c>
      <c r="X16" s="59">
        <f t="shared" si="9"/>
        <v>8.891523414344991E-4</v>
      </c>
      <c r="Y16" s="59">
        <f t="shared" si="10"/>
        <v>2.1082220660576245E-3</v>
      </c>
      <c r="AA16" t="s">
        <v>185</v>
      </c>
    </row>
    <row r="17" spans="2:27" x14ac:dyDescent="0.35">
      <c r="B17" t="s">
        <v>158</v>
      </c>
      <c r="C17">
        <v>0</v>
      </c>
      <c r="D17">
        <v>3</v>
      </c>
      <c r="E17">
        <v>3</v>
      </c>
      <c r="F17">
        <v>1</v>
      </c>
      <c r="G17">
        <v>3</v>
      </c>
      <c r="H17">
        <v>5</v>
      </c>
      <c r="I17">
        <v>7</v>
      </c>
      <c r="J17">
        <v>6</v>
      </c>
      <c r="K17">
        <v>9</v>
      </c>
      <c r="L17">
        <v>11</v>
      </c>
      <c r="M17">
        <v>53</v>
      </c>
      <c r="N17"/>
      <c r="O17" s="59">
        <f t="shared" si="0"/>
        <v>0</v>
      </c>
      <c r="P17" s="59">
        <f t="shared" si="1"/>
        <v>1.7341040462427746E-3</v>
      </c>
      <c r="Q17" s="59">
        <f t="shared" si="2"/>
        <v>1.4756517461878996E-3</v>
      </c>
      <c r="R17" s="59">
        <f t="shared" si="3"/>
        <v>4.0096230954290296E-4</v>
      </c>
      <c r="S17" s="59">
        <f t="shared" si="4"/>
        <v>1.052262364082778E-3</v>
      </c>
      <c r="T17" s="59">
        <f t="shared" si="5"/>
        <v>1.7211703958691911E-3</v>
      </c>
      <c r="U17" s="59">
        <f t="shared" si="6"/>
        <v>2.2407170294494239E-3</v>
      </c>
      <c r="V17" s="59">
        <f t="shared" si="7"/>
        <v>1.9261637239165329E-3</v>
      </c>
      <c r="W17" s="59">
        <f t="shared" si="8"/>
        <v>2.6277372262773721E-3</v>
      </c>
      <c r="X17" s="59">
        <f t="shared" si="9"/>
        <v>3.2602252519264969E-3</v>
      </c>
      <c r="Y17" s="59">
        <f t="shared" si="10"/>
        <v>1.8622628250175684E-2</v>
      </c>
      <c r="AA17" t="s">
        <v>186</v>
      </c>
    </row>
    <row r="18" spans="2:27" x14ac:dyDescent="0.35">
      <c r="B18" t="s">
        <v>159</v>
      </c>
      <c r="C18">
        <v>2</v>
      </c>
      <c r="D18">
        <v>5</v>
      </c>
      <c r="E18">
        <v>6</v>
      </c>
      <c r="F18">
        <v>4</v>
      </c>
      <c r="G18">
        <v>8</v>
      </c>
      <c r="H18">
        <v>5</v>
      </c>
      <c r="I18">
        <v>11</v>
      </c>
      <c r="J18">
        <v>23</v>
      </c>
      <c r="K18">
        <v>20</v>
      </c>
      <c r="L18">
        <v>18</v>
      </c>
      <c r="M18">
        <v>70</v>
      </c>
      <c r="N18"/>
      <c r="O18" s="59">
        <f t="shared" si="0"/>
        <v>1.2507817385866166E-3</v>
      </c>
      <c r="P18" s="59">
        <f t="shared" si="1"/>
        <v>2.8901734104046241E-3</v>
      </c>
      <c r="Q18" s="59">
        <f t="shared" si="2"/>
        <v>2.9513034923757992E-3</v>
      </c>
      <c r="R18" s="59">
        <f t="shared" si="3"/>
        <v>1.6038492381716118E-3</v>
      </c>
      <c r="S18" s="59">
        <f t="shared" si="4"/>
        <v>2.8060329708874078E-3</v>
      </c>
      <c r="T18" s="59">
        <f t="shared" si="5"/>
        <v>1.7211703958691911E-3</v>
      </c>
      <c r="U18" s="59">
        <f t="shared" si="6"/>
        <v>3.5211267605633804E-3</v>
      </c>
      <c r="V18" s="59">
        <f t="shared" si="7"/>
        <v>7.3836276083467092E-3</v>
      </c>
      <c r="W18" s="59">
        <f t="shared" si="8"/>
        <v>5.8394160583941602E-3</v>
      </c>
      <c r="X18" s="59">
        <f t="shared" si="9"/>
        <v>5.3349140486069948E-3</v>
      </c>
      <c r="Y18" s="59">
        <f t="shared" si="10"/>
        <v>2.4595924104005622E-2</v>
      </c>
      <c r="AA18" t="s">
        <v>187</v>
      </c>
    </row>
    <row r="19" spans="2:27" x14ac:dyDescent="0.35">
      <c r="B19" t="s">
        <v>160</v>
      </c>
      <c r="C19">
        <v>0</v>
      </c>
      <c r="D19">
        <v>1</v>
      </c>
      <c r="E19">
        <v>1</v>
      </c>
      <c r="F19">
        <v>1</v>
      </c>
      <c r="G19">
        <v>0</v>
      </c>
      <c r="H19">
        <v>0</v>
      </c>
      <c r="I19">
        <v>2</v>
      </c>
      <c r="J19">
        <v>1</v>
      </c>
      <c r="K19">
        <v>1</v>
      </c>
      <c r="L19">
        <v>1</v>
      </c>
      <c r="M19">
        <v>7</v>
      </c>
      <c r="N19"/>
      <c r="O19" s="59">
        <f t="shared" si="0"/>
        <v>0</v>
      </c>
      <c r="P19" s="59">
        <f t="shared" si="1"/>
        <v>5.7803468208092489E-4</v>
      </c>
      <c r="Q19" s="59">
        <f t="shared" si="2"/>
        <v>4.9188391539596653E-4</v>
      </c>
      <c r="R19" s="59">
        <f t="shared" si="3"/>
        <v>4.0096230954290296E-4</v>
      </c>
      <c r="S19" s="59">
        <f t="shared" si="4"/>
        <v>0</v>
      </c>
      <c r="T19" s="59">
        <f t="shared" si="5"/>
        <v>0</v>
      </c>
      <c r="U19" s="59">
        <f t="shared" si="6"/>
        <v>6.4020486555697821E-4</v>
      </c>
      <c r="V19" s="59">
        <f t="shared" si="7"/>
        <v>3.2102728731942215E-4</v>
      </c>
      <c r="W19" s="59">
        <f t="shared" si="8"/>
        <v>2.9197080291970805E-4</v>
      </c>
      <c r="X19" s="59">
        <f t="shared" si="9"/>
        <v>2.9638411381149968E-4</v>
      </c>
      <c r="Y19" s="59">
        <f t="shared" si="10"/>
        <v>2.4595924104005621E-3</v>
      </c>
      <c r="AA19" t="s">
        <v>188</v>
      </c>
    </row>
    <row r="20" spans="2:27" x14ac:dyDescent="0.35">
      <c r="B20" t="s">
        <v>161</v>
      </c>
      <c r="C20">
        <v>3</v>
      </c>
      <c r="D20">
        <v>6</v>
      </c>
      <c r="E20">
        <v>7</v>
      </c>
      <c r="F20">
        <v>6</v>
      </c>
      <c r="G20">
        <v>4</v>
      </c>
      <c r="H20">
        <v>10</v>
      </c>
      <c r="I20">
        <v>8</v>
      </c>
      <c r="J20">
        <v>10</v>
      </c>
      <c r="K20">
        <v>12</v>
      </c>
      <c r="L20">
        <v>11</v>
      </c>
      <c r="M20">
        <v>37</v>
      </c>
      <c r="N20"/>
      <c r="O20" s="59">
        <f t="shared" si="0"/>
        <v>1.876172607879925E-3</v>
      </c>
      <c r="P20" s="59">
        <f t="shared" si="1"/>
        <v>3.4682080924855491E-3</v>
      </c>
      <c r="Q20" s="59">
        <f t="shared" si="2"/>
        <v>3.4431874077717659E-3</v>
      </c>
      <c r="R20" s="59">
        <f t="shared" si="3"/>
        <v>2.4057738572574178E-3</v>
      </c>
      <c r="S20" s="59">
        <f t="shared" si="4"/>
        <v>1.4030164854437039E-3</v>
      </c>
      <c r="T20" s="59">
        <f t="shared" si="5"/>
        <v>3.4423407917383822E-3</v>
      </c>
      <c r="U20" s="59">
        <f t="shared" si="6"/>
        <v>2.5608194622279128E-3</v>
      </c>
      <c r="V20" s="59">
        <f t="shared" si="7"/>
        <v>3.2102728731942215E-3</v>
      </c>
      <c r="W20" s="59">
        <f t="shared" si="8"/>
        <v>3.5036496350364962E-3</v>
      </c>
      <c r="X20" s="59">
        <f t="shared" si="9"/>
        <v>3.2602252519264969E-3</v>
      </c>
      <c r="Y20" s="59">
        <f t="shared" si="10"/>
        <v>1.3000702740688685E-2</v>
      </c>
      <c r="AA20" t="s">
        <v>190</v>
      </c>
    </row>
    <row r="21" spans="2:27" x14ac:dyDescent="0.35">
      <c r="B21" t="s">
        <v>162</v>
      </c>
      <c r="C21">
        <v>1</v>
      </c>
      <c r="D21">
        <v>1</v>
      </c>
      <c r="E21">
        <v>0</v>
      </c>
      <c r="F21">
        <v>0</v>
      </c>
      <c r="G21">
        <v>1</v>
      </c>
      <c r="H21">
        <v>2</v>
      </c>
      <c r="I21">
        <v>4</v>
      </c>
      <c r="J21">
        <v>5</v>
      </c>
      <c r="K21">
        <v>2</v>
      </c>
      <c r="L21">
        <v>3</v>
      </c>
      <c r="M21">
        <v>14</v>
      </c>
      <c r="N21"/>
      <c r="O21" s="59">
        <f t="shared" si="0"/>
        <v>6.2539086929330832E-4</v>
      </c>
      <c r="P21" s="59">
        <f t="shared" si="1"/>
        <v>5.7803468208092489E-4</v>
      </c>
      <c r="Q21" s="59">
        <f t="shared" si="2"/>
        <v>0</v>
      </c>
      <c r="R21" s="59">
        <f t="shared" si="3"/>
        <v>0</v>
      </c>
      <c r="S21" s="59">
        <f t="shared" si="4"/>
        <v>3.5075412136092597E-4</v>
      </c>
      <c r="T21" s="59">
        <f t="shared" si="5"/>
        <v>6.8846815834767647E-4</v>
      </c>
      <c r="U21" s="59">
        <f t="shared" si="6"/>
        <v>1.2804097311139564E-3</v>
      </c>
      <c r="V21" s="59">
        <f t="shared" si="7"/>
        <v>1.6051364365971107E-3</v>
      </c>
      <c r="W21" s="59">
        <f t="shared" si="8"/>
        <v>5.8394160583941611E-4</v>
      </c>
      <c r="X21" s="59">
        <f t="shared" si="9"/>
        <v>8.891523414344991E-4</v>
      </c>
      <c r="Y21" s="59">
        <f t="shared" si="10"/>
        <v>4.9191848208011242E-3</v>
      </c>
      <c r="AA21" t="s">
        <v>191</v>
      </c>
    </row>
    <row r="22" spans="2:27" x14ac:dyDescent="0.35">
      <c r="B22" t="s">
        <v>163</v>
      </c>
      <c r="C22">
        <v>2</v>
      </c>
      <c r="D22">
        <v>1</v>
      </c>
      <c r="E22">
        <v>2</v>
      </c>
      <c r="F22">
        <v>3</v>
      </c>
      <c r="G22">
        <v>2</v>
      </c>
      <c r="H22">
        <v>1</v>
      </c>
      <c r="I22">
        <v>3</v>
      </c>
      <c r="J22">
        <v>11</v>
      </c>
      <c r="K22">
        <v>9</v>
      </c>
      <c r="L22">
        <v>12</v>
      </c>
      <c r="M22">
        <v>36</v>
      </c>
      <c r="N22"/>
      <c r="O22" s="59">
        <f t="shared" si="0"/>
        <v>1.2507817385866166E-3</v>
      </c>
      <c r="P22" s="59">
        <f t="shared" si="1"/>
        <v>5.7803468208092489E-4</v>
      </c>
      <c r="Q22" s="59">
        <f t="shared" si="2"/>
        <v>9.8376783079193305E-4</v>
      </c>
      <c r="R22" s="59">
        <f t="shared" si="3"/>
        <v>1.2028869286287089E-3</v>
      </c>
      <c r="S22" s="59">
        <f t="shared" si="4"/>
        <v>7.0150824272185194E-4</v>
      </c>
      <c r="T22" s="59">
        <f t="shared" si="5"/>
        <v>3.4423407917383823E-4</v>
      </c>
      <c r="U22" s="59">
        <f t="shared" si="6"/>
        <v>9.6030729833546731E-4</v>
      </c>
      <c r="V22" s="59">
        <f t="shared" si="7"/>
        <v>3.5313001605136438E-3</v>
      </c>
      <c r="W22" s="59">
        <f t="shared" si="8"/>
        <v>2.6277372262773721E-3</v>
      </c>
      <c r="X22" s="59">
        <f t="shared" si="9"/>
        <v>3.5566093657379964E-3</v>
      </c>
      <c r="Y22" s="59">
        <f t="shared" si="10"/>
        <v>1.2649332396345749E-2</v>
      </c>
      <c r="AA22" t="s">
        <v>192</v>
      </c>
    </row>
    <row r="23" spans="2:27" x14ac:dyDescent="0.35">
      <c r="B23" t="s">
        <v>164</v>
      </c>
      <c r="C23">
        <v>2</v>
      </c>
      <c r="D23">
        <v>1</v>
      </c>
      <c r="E23">
        <v>1</v>
      </c>
      <c r="F23">
        <v>2</v>
      </c>
      <c r="G23">
        <v>2</v>
      </c>
      <c r="H23">
        <v>6</v>
      </c>
      <c r="I23">
        <v>9</v>
      </c>
      <c r="J23">
        <v>12</v>
      </c>
      <c r="K23">
        <v>13</v>
      </c>
      <c r="L23">
        <v>15</v>
      </c>
      <c r="M23">
        <v>34</v>
      </c>
      <c r="N23"/>
      <c r="O23" s="59">
        <f t="shared" si="0"/>
        <v>1.2507817385866166E-3</v>
      </c>
      <c r="P23" s="59">
        <f t="shared" si="1"/>
        <v>5.7803468208092489E-4</v>
      </c>
      <c r="Q23" s="59">
        <f t="shared" si="2"/>
        <v>4.9188391539596653E-4</v>
      </c>
      <c r="R23" s="59">
        <f t="shared" si="3"/>
        <v>8.0192461908580592E-4</v>
      </c>
      <c r="S23" s="59">
        <f t="shared" si="4"/>
        <v>7.0150824272185194E-4</v>
      </c>
      <c r="T23" s="59">
        <f t="shared" si="5"/>
        <v>2.0654044750430291E-3</v>
      </c>
      <c r="U23" s="59">
        <f t="shared" si="6"/>
        <v>2.8809218950064022E-3</v>
      </c>
      <c r="V23" s="59">
        <f t="shared" si="7"/>
        <v>3.8523274478330658E-3</v>
      </c>
      <c r="W23" s="59">
        <f t="shared" si="8"/>
        <v>3.7956204379562043E-3</v>
      </c>
      <c r="X23" s="59">
        <f t="shared" si="9"/>
        <v>4.4457617071724954E-3</v>
      </c>
      <c r="Y23" s="59">
        <f t="shared" si="10"/>
        <v>1.1946591707659873E-2</v>
      </c>
      <c r="AA23" t="s">
        <v>193</v>
      </c>
    </row>
    <row r="24" spans="2:27" x14ac:dyDescent="0.35">
      <c r="B24" t="s">
        <v>165</v>
      </c>
      <c r="C24">
        <v>11</v>
      </c>
      <c r="D24">
        <v>8</v>
      </c>
      <c r="E24">
        <v>11</v>
      </c>
      <c r="F24">
        <v>20</v>
      </c>
      <c r="G24">
        <v>17</v>
      </c>
      <c r="H24">
        <v>24</v>
      </c>
      <c r="I24">
        <v>33</v>
      </c>
      <c r="J24">
        <v>17</v>
      </c>
      <c r="K24">
        <v>36</v>
      </c>
      <c r="L24">
        <v>31</v>
      </c>
      <c r="M24">
        <v>95</v>
      </c>
      <c r="N24"/>
      <c r="O24" s="59">
        <f t="shared" si="0"/>
        <v>6.8792995622263915E-3</v>
      </c>
      <c r="P24" s="59">
        <f t="shared" si="1"/>
        <v>4.6242774566473991E-3</v>
      </c>
      <c r="Q24" s="59">
        <f t="shared" si="2"/>
        <v>5.4107230693556324E-3</v>
      </c>
      <c r="R24" s="59">
        <f t="shared" si="3"/>
        <v>8.0192461908580592E-3</v>
      </c>
      <c r="S24" s="59">
        <f t="shared" si="4"/>
        <v>5.962820063135742E-3</v>
      </c>
      <c r="T24" s="59">
        <f t="shared" si="5"/>
        <v>8.2616179001721163E-3</v>
      </c>
      <c r="U24" s="59">
        <f t="shared" si="6"/>
        <v>1.0563380281690141E-2</v>
      </c>
      <c r="V24" s="59">
        <f t="shared" si="7"/>
        <v>5.4574638844301767E-3</v>
      </c>
      <c r="W24" s="59">
        <f t="shared" si="8"/>
        <v>1.0510948905109488E-2</v>
      </c>
      <c r="X24" s="59">
        <f t="shared" si="9"/>
        <v>9.1879075281564911E-3</v>
      </c>
      <c r="Y24" s="59">
        <f t="shared" si="10"/>
        <v>3.338018271257906E-2</v>
      </c>
      <c r="AA24" t="s">
        <v>194</v>
      </c>
    </row>
    <row r="25" spans="2:27" x14ac:dyDescent="0.35">
      <c r="B25" t="s">
        <v>166</v>
      </c>
      <c r="C25">
        <v>1</v>
      </c>
      <c r="D25">
        <v>4</v>
      </c>
      <c r="E25">
        <v>2</v>
      </c>
      <c r="F25">
        <v>0</v>
      </c>
      <c r="G25">
        <v>8</v>
      </c>
      <c r="H25">
        <v>2</v>
      </c>
      <c r="I25">
        <v>4</v>
      </c>
      <c r="J25">
        <v>6</v>
      </c>
      <c r="K25">
        <v>3</v>
      </c>
      <c r="L25">
        <v>1</v>
      </c>
      <c r="M25">
        <v>13</v>
      </c>
      <c r="N25"/>
      <c r="O25" s="59">
        <f t="shared" si="0"/>
        <v>6.2539086929330832E-4</v>
      </c>
      <c r="P25" s="59">
        <f t="shared" si="1"/>
        <v>2.3121387283236996E-3</v>
      </c>
      <c r="Q25" s="59">
        <f t="shared" si="2"/>
        <v>9.8376783079193305E-4</v>
      </c>
      <c r="R25" s="59">
        <f t="shared" si="3"/>
        <v>0</v>
      </c>
      <c r="S25" s="59">
        <f t="shared" si="4"/>
        <v>2.8060329708874078E-3</v>
      </c>
      <c r="T25" s="59">
        <f t="shared" si="5"/>
        <v>6.8846815834767647E-4</v>
      </c>
      <c r="U25" s="59">
        <f t="shared" si="6"/>
        <v>1.2804097311139564E-3</v>
      </c>
      <c r="V25" s="59">
        <f t="shared" si="7"/>
        <v>1.9261637239165329E-3</v>
      </c>
      <c r="W25" s="59">
        <f t="shared" si="8"/>
        <v>8.7591240875912405E-4</v>
      </c>
      <c r="X25" s="59">
        <f t="shared" si="9"/>
        <v>2.9638411381149968E-4</v>
      </c>
      <c r="Y25" s="59">
        <f t="shared" si="10"/>
        <v>4.567814476458187E-3</v>
      </c>
      <c r="AA25" t="s">
        <v>195</v>
      </c>
    </row>
    <row r="26" spans="2:27" x14ac:dyDescent="0.35">
      <c r="B26" t="s">
        <v>167</v>
      </c>
      <c r="C26">
        <v>1</v>
      </c>
      <c r="D26">
        <v>1</v>
      </c>
      <c r="E26">
        <v>2</v>
      </c>
      <c r="F26">
        <v>4</v>
      </c>
      <c r="G26">
        <v>6</v>
      </c>
      <c r="H26">
        <v>2</v>
      </c>
      <c r="I26">
        <v>4</v>
      </c>
      <c r="J26">
        <v>8</v>
      </c>
      <c r="K26">
        <v>3</v>
      </c>
      <c r="L26">
        <v>3</v>
      </c>
      <c r="M26">
        <v>8</v>
      </c>
      <c r="N26"/>
      <c r="O26" s="59">
        <f t="shared" si="0"/>
        <v>6.2539086929330832E-4</v>
      </c>
      <c r="P26" s="59">
        <f t="shared" si="1"/>
        <v>5.7803468208092489E-4</v>
      </c>
      <c r="Q26" s="59">
        <f t="shared" si="2"/>
        <v>9.8376783079193305E-4</v>
      </c>
      <c r="R26" s="59">
        <f t="shared" si="3"/>
        <v>1.6038492381716118E-3</v>
      </c>
      <c r="S26" s="59">
        <f t="shared" si="4"/>
        <v>2.104524728165556E-3</v>
      </c>
      <c r="T26" s="59">
        <f t="shared" si="5"/>
        <v>6.8846815834767647E-4</v>
      </c>
      <c r="U26" s="59">
        <f t="shared" si="6"/>
        <v>1.2804097311139564E-3</v>
      </c>
      <c r="V26" s="59">
        <f t="shared" si="7"/>
        <v>2.5682182985553772E-3</v>
      </c>
      <c r="W26" s="59">
        <f t="shared" si="8"/>
        <v>8.7591240875912405E-4</v>
      </c>
      <c r="X26" s="59">
        <f t="shared" si="9"/>
        <v>8.891523414344991E-4</v>
      </c>
      <c r="Y26" s="59">
        <f t="shared" si="10"/>
        <v>2.8109627547434997E-3</v>
      </c>
      <c r="AA26" t="s">
        <v>196</v>
      </c>
    </row>
    <row r="27" spans="2:27" x14ac:dyDescent="0.35">
      <c r="B27" t="s">
        <v>168</v>
      </c>
      <c r="C27">
        <v>0</v>
      </c>
      <c r="D27">
        <v>0</v>
      </c>
      <c r="E27">
        <v>1</v>
      </c>
      <c r="F27">
        <v>0</v>
      </c>
      <c r="G27">
        <v>0</v>
      </c>
      <c r="H27">
        <v>1</v>
      </c>
      <c r="I27">
        <v>0</v>
      </c>
      <c r="J27">
        <v>0</v>
      </c>
      <c r="K27">
        <v>0</v>
      </c>
      <c r="L27">
        <v>0</v>
      </c>
      <c r="M27">
        <v>29</v>
      </c>
      <c r="N27"/>
      <c r="O27" s="59">
        <f t="shared" si="0"/>
        <v>0</v>
      </c>
      <c r="P27" s="59">
        <f t="shared" si="1"/>
        <v>0</v>
      </c>
      <c r="Q27" s="59">
        <f t="shared" si="2"/>
        <v>4.9188391539596653E-4</v>
      </c>
      <c r="R27" s="59">
        <f t="shared" si="3"/>
        <v>0</v>
      </c>
      <c r="S27" s="59">
        <f t="shared" si="4"/>
        <v>0</v>
      </c>
      <c r="T27" s="59">
        <f t="shared" si="5"/>
        <v>3.4423407917383823E-4</v>
      </c>
      <c r="U27" s="59">
        <f t="shared" si="6"/>
        <v>0</v>
      </c>
      <c r="V27" s="59">
        <f t="shared" si="7"/>
        <v>0</v>
      </c>
      <c r="W27" s="59">
        <f t="shared" si="8"/>
        <v>0</v>
      </c>
      <c r="X27" s="59">
        <f t="shared" si="9"/>
        <v>0</v>
      </c>
      <c r="Y27" s="59">
        <f t="shared" si="10"/>
        <v>1.0189739985945186E-2</v>
      </c>
      <c r="AA27" t="s">
        <v>197</v>
      </c>
    </row>
    <row r="28" spans="2:27" x14ac:dyDescent="0.35">
      <c r="B28" t="s">
        <v>169</v>
      </c>
      <c r="C28">
        <v>7</v>
      </c>
      <c r="D28">
        <v>22</v>
      </c>
      <c r="E28">
        <v>19</v>
      </c>
      <c r="F28">
        <v>20</v>
      </c>
      <c r="G28">
        <v>33</v>
      </c>
      <c r="H28">
        <v>53</v>
      </c>
      <c r="I28">
        <v>51</v>
      </c>
      <c r="J28">
        <v>48</v>
      </c>
      <c r="K28">
        <v>58</v>
      </c>
      <c r="L28">
        <v>61</v>
      </c>
      <c r="M28">
        <v>125</v>
      </c>
      <c r="N28"/>
      <c r="O28" s="59">
        <f t="shared" si="0"/>
        <v>4.3777360850531582E-3</v>
      </c>
      <c r="P28" s="59">
        <f t="shared" si="1"/>
        <v>1.2716763005780347E-2</v>
      </c>
      <c r="Q28" s="59">
        <f t="shared" si="2"/>
        <v>9.3457943925233638E-3</v>
      </c>
      <c r="R28" s="59">
        <f t="shared" si="3"/>
        <v>8.0192461908580592E-3</v>
      </c>
      <c r="S28" s="59">
        <f t="shared" si="4"/>
        <v>1.1574886004910558E-2</v>
      </c>
      <c r="T28" s="59">
        <f t="shared" si="5"/>
        <v>1.8244406196213425E-2</v>
      </c>
      <c r="U28" s="59">
        <f t="shared" si="6"/>
        <v>1.6325224071702945E-2</v>
      </c>
      <c r="V28" s="59">
        <f t="shared" si="7"/>
        <v>1.5409309791332263E-2</v>
      </c>
      <c r="W28" s="59">
        <f t="shared" si="8"/>
        <v>1.6934306569343065E-2</v>
      </c>
      <c r="X28" s="59">
        <f t="shared" si="9"/>
        <v>1.8079430942501484E-2</v>
      </c>
      <c r="Y28" s="59">
        <f t="shared" si="10"/>
        <v>4.3921293042867182E-2</v>
      </c>
      <c r="AA28" t="s">
        <v>198</v>
      </c>
    </row>
    <row r="29" spans="2:27" x14ac:dyDescent="0.35">
      <c r="B29" t="s">
        <v>170</v>
      </c>
      <c r="C29">
        <v>430</v>
      </c>
      <c r="D29">
        <v>481</v>
      </c>
      <c r="E29">
        <v>674</v>
      </c>
      <c r="F29">
        <v>781</v>
      </c>
      <c r="G29">
        <v>1019</v>
      </c>
      <c r="H29">
        <v>1126</v>
      </c>
      <c r="I29">
        <v>1296</v>
      </c>
      <c r="J29">
        <v>1324</v>
      </c>
      <c r="K29">
        <v>1514</v>
      </c>
      <c r="L29">
        <v>1498</v>
      </c>
      <c r="M29">
        <v>1236</v>
      </c>
      <c r="N29" s="58"/>
      <c r="O29" s="58">
        <f t="shared" si="0"/>
        <v>0.26891807379612259</v>
      </c>
      <c r="P29" s="58">
        <f t="shared" si="1"/>
        <v>0.27803468208092486</v>
      </c>
      <c r="Q29" s="58">
        <f t="shared" si="2"/>
        <v>0.33152975897688147</v>
      </c>
      <c r="R29" s="58">
        <f t="shared" si="3"/>
        <v>0.31315156375300723</v>
      </c>
      <c r="S29" s="58">
        <f t="shared" si="4"/>
        <v>0.3574184496667836</v>
      </c>
      <c r="T29" s="58">
        <f t="shared" si="5"/>
        <v>0.38760757314974181</v>
      </c>
      <c r="U29" s="58">
        <f t="shared" si="6"/>
        <v>0.41485275288092188</v>
      </c>
      <c r="V29" s="58">
        <f t="shared" si="7"/>
        <v>0.42504012841091493</v>
      </c>
      <c r="W29" s="58">
        <f t="shared" si="8"/>
        <v>0.44204379562043794</v>
      </c>
      <c r="X29" s="58">
        <f t="shared" si="9"/>
        <v>0.44398340248962653</v>
      </c>
      <c r="Y29" s="58">
        <f t="shared" si="10"/>
        <v>0.43429374560787071</v>
      </c>
      <c r="AA29" t="s">
        <v>199</v>
      </c>
    </row>
    <row r="30" spans="2:27" x14ac:dyDescent="0.35">
      <c r="B30" t="s">
        <v>171</v>
      </c>
      <c r="C30">
        <v>1417</v>
      </c>
      <c r="D30">
        <v>1647</v>
      </c>
      <c r="E30">
        <v>1948</v>
      </c>
      <c r="F30">
        <v>2295</v>
      </c>
      <c r="G30">
        <v>2699</v>
      </c>
      <c r="H30">
        <v>2842</v>
      </c>
      <c r="I30">
        <v>3094</v>
      </c>
      <c r="J30">
        <v>3096</v>
      </c>
      <c r="K30">
        <v>3393</v>
      </c>
      <c r="L30">
        <v>3331</v>
      </c>
      <c r="M30">
        <v>2792</v>
      </c>
      <c r="N30" s="58"/>
      <c r="O30" s="58">
        <f t="shared" si="0"/>
        <v>0.88617886178861793</v>
      </c>
      <c r="P30" s="58">
        <f t="shared" si="1"/>
        <v>0.95202312138728329</v>
      </c>
      <c r="Q30" s="58">
        <f t="shared" si="2"/>
        <v>0.9581898671913428</v>
      </c>
      <c r="R30" s="58">
        <f t="shared" si="3"/>
        <v>0.92020850040096236</v>
      </c>
      <c r="S30" s="58">
        <f t="shared" si="4"/>
        <v>0.9466853735531392</v>
      </c>
      <c r="T30" s="58">
        <f t="shared" si="5"/>
        <v>0.97831325301204819</v>
      </c>
      <c r="U30" s="58">
        <f t="shared" si="6"/>
        <v>0.99039692701664528</v>
      </c>
      <c r="V30" s="58">
        <f t="shared" si="7"/>
        <v>0.99390048154093102</v>
      </c>
      <c r="W30" s="58">
        <f t="shared" si="8"/>
        <v>0.99065693430656931</v>
      </c>
      <c r="X30" s="58">
        <f t="shared" si="9"/>
        <v>0.98725548310610556</v>
      </c>
      <c r="Y30" s="58">
        <f t="shared" si="10"/>
        <v>0.98102600140548135</v>
      </c>
      <c r="AA30" t="s">
        <v>200</v>
      </c>
    </row>
    <row r="31" spans="2:27" x14ac:dyDescent="0.35">
      <c r="B31" s="61" t="s">
        <v>39</v>
      </c>
      <c r="C31" s="61">
        <v>1599</v>
      </c>
      <c r="D31" s="61">
        <v>1730</v>
      </c>
      <c r="E31" s="61">
        <v>2033</v>
      </c>
      <c r="F31" s="61">
        <v>2494</v>
      </c>
      <c r="G31" s="61">
        <v>2851</v>
      </c>
      <c r="H31" s="61">
        <v>2905</v>
      </c>
      <c r="I31" s="61">
        <v>3124</v>
      </c>
      <c r="J31" s="61">
        <v>3115</v>
      </c>
      <c r="K31" s="61">
        <v>3425</v>
      </c>
      <c r="L31" s="61">
        <v>3374</v>
      </c>
      <c r="M31" s="61">
        <v>2846</v>
      </c>
      <c r="N31" s="61"/>
      <c r="O31" s="61"/>
      <c r="P31" s="61"/>
      <c r="Q31" s="61"/>
      <c r="R31" s="61"/>
      <c r="S31" s="61"/>
      <c r="T31" s="61"/>
      <c r="U31" s="61"/>
      <c r="V31" s="61"/>
      <c r="W31" s="61"/>
      <c r="X31" s="61"/>
      <c r="Y31" s="61"/>
    </row>
    <row r="32" spans="2:27" x14ac:dyDescent="0.35">
      <c r="N32" s="12"/>
    </row>
    <row r="33" spans="14:14" x14ac:dyDescent="0.35">
      <c r="N33" s="12"/>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1F11-C35C-49DE-AF06-F38F8093A0CA}">
  <dimension ref="B2:AA34"/>
  <sheetViews>
    <sheetView showGridLines="0" workbookViewId="0"/>
  </sheetViews>
  <sheetFormatPr defaultRowHeight="14.5" x14ac:dyDescent="0.35"/>
  <cols>
    <col min="2" max="2" width="13.90625" bestFit="1" customWidth="1"/>
    <col min="14" max="14" width="3.36328125" style="1" customWidth="1"/>
  </cols>
  <sheetData>
    <row r="2" spans="2:27" s="1" customFormat="1" x14ac:dyDescent="0.35">
      <c r="B2" s="37" t="s">
        <v>172</v>
      </c>
      <c r="D2" s="48"/>
      <c r="O2"/>
      <c r="P2"/>
      <c r="Q2"/>
      <c r="R2"/>
      <c r="S2"/>
      <c r="T2"/>
      <c r="U2"/>
      <c r="V2"/>
      <c r="W2"/>
      <c r="X2"/>
      <c r="Y2"/>
      <c r="Z2"/>
    </row>
    <row r="3" spans="2:27" s="1" customFormat="1" ht="5.75" customHeight="1" x14ac:dyDescent="0.35">
      <c r="C3" s="48"/>
      <c r="O3"/>
      <c r="P3"/>
      <c r="Q3"/>
      <c r="R3"/>
      <c r="S3"/>
      <c r="T3"/>
      <c r="U3"/>
      <c r="V3"/>
      <c r="W3"/>
      <c r="X3"/>
      <c r="Y3"/>
      <c r="Z3"/>
    </row>
    <row r="4" spans="2:27" s="1" customFormat="1" ht="13" customHeight="1" x14ac:dyDescent="0.35">
      <c r="B4" s="56"/>
      <c r="C4" s="56"/>
      <c r="D4" s="28" t="s">
        <v>41</v>
      </c>
      <c r="E4" s="7"/>
      <c r="F4" s="7"/>
      <c r="G4" s="7"/>
      <c r="H4" s="7"/>
      <c r="I4" s="7"/>
      <c r="J4" s="7"/>
      <c r="K4" s="7"/>
      <c r="L4" s="7"/>
      <c r="M4" s="7"/>
      <c r="N4" s="7"/>
      <c r="O4" s="28" t="s">
        <v>145</v>
      </c>
      <c r="P4" s="60"/>
      <c r="Q4" s="60"/>
      <c r="R4" s="60"/>
      <c r="S4" s="60"/>
      <c r="T4" s="60"/>
      <c r="U4" s="60"/>
      <c r="V4" s="60"/>
      <c r="W4" s="60"/>
      <c r="X4" s="60"/>
      <c r="Y4" s="60"/>
      <c r="Z4"/>
    </row>
    <row r="5" spans="2:27" x14ac:dyDescent="0.35">
      <c r="B5" s="57">
        <v>2013</v>
      </c>
      <c r="C5" s="57">
        <v>2013</v>
      </c>
      <c r="D5" s="57">
        <v>2014</v>
      </c>
      <c r="E5" s="57">
        <v>2015</v>
      </c>
      <c r="F5" s="57">
        <v>2016</v>
      </c>
      <c r="G5" s="57">
        <v>2017</v>
      </c>
      <c r="H5" s="57">
        <v>2018</v>
      </c>
      <c r="I5" s="57">
        <v>2019</v>
      </c>
      <c r="J5" s="57">
        <v>2020</v>
      </c>
      <c r="K5" s="57">
        <v>2021</v>
      </c>
      <c r="L5" s="57">
        <v>2022</v>
      </c>
      <c r="M5" s="57">
        <v>2023</v>
      </c>
      <c r="N5" s="10"/>
      <c r="O5" s="57">
        <v>2013</v>
      </c>
      <c r="P5" s="57">
        <v>2014</v>
      </c>
      <c r="Q5" s="57">
        <v>2015</v>
      </c>
      <c r="R5" s="57">
        <v>2016</v>
      </c>
      <c r="S5" s="57">
        <v>2017</v>
      </c>
      <c r="T5" s="57">
        <v>2018</v>
      </c>
      <c r="U5" s="57">
        <v>2019</v>
      </c>
      <c r="V5" s="57">
        <v>2020</v>
      </c>
      <c r="W5" s="57">
        <v>2021</v>
      </c>
      <c r="X5" s="57">
        <v>2022</v>
      </c>
      <c r="Y5" s="57">
        <v>2023</v>
      </c>
      <c r="AA5" s="61"/>
    </row>
    <row r="6" spans="2:27" x14ac:dyDescent="0.35">
      <c r="B6" t="s">
        <v>147</v>
      </c>
      <c r="C6">
        <v>3</v>
      </c>
      <c r="D6">
        <v>6</v>
      </c>
      <c r="E6">
        <v>4</v>
      </c>
      <c r="F6">
        <v>2</v>
      </c>
      <c r="G6">
        <v>9</v>
      </c>
      <c r="H6">
        <v>4</v>
      </c>
      <c r="I6">
        <v>9</v>
      </c>
      <c r="J6">
        <v>8</v>
      </c>
      <c r="K6">
        <v>13</v>
      </c>
      <c r="L6">
        <v>6</v>
      </c>
      <c r="M6">
        <v>48</v>
      </c>
      <c r="N6" s="12"/>
      <c r="O6" s="59">
        <f t="shared" ref="O6:O30" si="0">C6/$C$31</f>
        <v>1.876172607879925E-3</v>
      </c>
      <c r="P6" s="59">
        <f t="shared" ref="P6:P30" si="1">D6/$D$31</f>
        <v>3.4682080924855491E-3</v>
      </c>
      <c r="Q6" s="59">
        <f t="shared" ref="Q6:Q30" si="2">E6/$E$31</f>
        <v>1.9675356615838661E-3</v>
      </c>
      <c r="R6" s="59">
        <f t="shared" ref="R6:R30" si="3">F6/$F$31</f>
        <v>8.0192461908580592E-4</v>
      </c>
      <c r="S6" s="59">
        <f t="shared" ref="S6:S30" si="4">G6/$G$31</f>
        <v>3.1567870922483338E-3</v>
      </c>
      <c r="T6" s="59">
        <f t="shared" ref="T6:T30" si="5">H6/$H$31</f>
        <v>1.3769363166953529E-3</v>
      </c>
      <c r="U6" s="59">
        <f t="shared" ref="U6:U30" si="6">I6/$I$31</f>
        <v>2.8809218950064022E-3</v>
      </c>
      <c r="V6" s="59">
        <f t="shared" ref="V6:V30" si="7">J6/$J$31</f>
        <v>2.5682182985553772E-3</v>
      </c>
      <c r="W6" s="59">
        <f t="shared" ref="W6:W30" si="8">K6/$K$31</f>
        <v>3.7956204379562043E-3</v>
      </c>
      <c r="X6" s="59">
        <f t="shared" ref="X6:X30" si="9">L6/$L$31</f>
        <v>1.7767249037607344E-3</v>
      </c>
      <c r="Y6" s="59">
        <f t="shared" ref="Y6:Y30" si="10">M6/$M$31</f>
        <v>1.3785180930499713E-2</v>
      </c>
      <c r="AA6" t="s">
        <v>177</v>
      </c>
    </row>
    <row r="7" spans="2:27" x14ac:dyDescent="0.35">
      <c r="B7" t="s">
        <v>148</v>
      </c>
      <c r="C7">
        <v>21</v>
      </c>
      <c r="D7">
        <v>30</v>
      </c>
      <c r="E7">
        <v>34</v>
      </c>
      <c r="F7">
        <v>41</v>
      </c>
      <c r="G7">
        <v>50</v>
      </c>
      <c r="H7">
        <v>54</v>
      </c>
      <c r="I7">
        <v>59</v>
      </c>
      <c r="J7">
        <v>53</v>
      </c>
      <c r="K7">
        <v>66</v>
      </c>
      <c r="L7">
        <v>62</v>
      </c>
      <c r="M7">
        <v>300</v>
      </c>
      <c r="N7"/>
      <c r="O7" s="59">
        <f t="shared" si="0"/>
        <v>1.3133208255159476E-2</v>
      </c>
      <c r="P7" s="59">
        <f t="shared" si="1"/>
        <v>1.7341040462427744E-2</v>
      </c>
      <c r="Q7" s="59">
        <f t="shared" si="2"/>
        <v>1.6724053123462864E-2</v>
      </c>
      <c r="R7" s="59">
        <f t="shared" si="3"/>
        <v>1.6439454691259021E-2</v>
      </c>
      <c r="S7" s="59">
        <f t="shared" si="4"/>
        <v>1.7537706068046298E-2</v>
      </c>
      <c r="T7" s="59">
        <f t="shared" si="5"/>
        <v>1.8588640275387262E-2</v>
      </c>
      <c r="U7" s="59">
        <f t="shared" si="6"/>
        <v>1.888604353393086E-2</v>
      </c>
      <c r="V7" s="59">
        <f t="shared" si="7"/>
        <v>1.7014446227929372E-2</v>
      </c>
      <c r="W7" s="59">
        <f t="shared" si="8"/>
        <v>1.927007299270073E-2</v>
      </c>
      <c r="X7" s="59">
        <f t="shared" si="9"/>
        <v>1.8359490672194254E-2</v>
      </c>
      <c r="Y7" s="59">
        <f t="shared" si="10"/>
        <v>8.61573808156232E-2</v>
      </c>
      <c r="AA7" t="s">
        <v>176</v>
      </c>
    </row>
    <row r="8" spans="2:27" x14ac:dyDescent="0.35">
      <c r="B8" t="s">
        <v>149</v>
      </c>
      <c r="C8">
        <v>23</v>
      </c>
      <c r="D8">
        <v>46</v>
      </c>
      <c r="E8">
        <v>58</v>
      </c>
      <c r="F8">
        <v>54</v>
      </c>
      <c r="G8">
        <v>86</v>
      </c>
      <c r="H8">
        <v>122</v>
      </c>
      <c r="I8">
        <v>122</v>
      </c>
      <c r="J8">
        <v>155</v>
      </c>
      <c r="K8">
        <v>162</v>
      </c>
      <c r="L8">
        <v>155</v>
      </c>
      <c r="M8">
        <v>413</v>
      </c>
      <c r="N8" s="12"/>
      <c r="O8" s="59">
        <f t="shared" si="0"/>
        <v>1.4383989993746092E-2</v>
      </c>
      <c r="P8" s="59">
        <f t="shared" si="1"/>
        <v>2.6589595375722544E-2</v>
      </c>
      <c r="Q8" s="59">
        <f t="shared" si="2"/>
        <v>2.8529267092966059E-2</v>
      </c>
      <c r="R8" s="59">
        <f t="shared" si="3"/>
        <v>2.165196471531676E-2</v>
      </c>
      <c r="S8" s="59">
        <f t="shared" si="4"/>
        <v>3.0164854437039635E-2</v>
      </c>
      <c r="T8" s="59">
        <f t="shared" si="5"/>
        <v>4.1996557659208261E-2</v>
      </c>
      <c r="U8" s="59">
        <f t="shared" si="6"/>
        <v>3.9052496798975669E-2</v>
      </c>
      <c r="V8" s="59">
        <f t="shared" si="7"/>
        <v>4.9759229534510431E-2</v>
      </c>
      <c r="W8" s="59">
        <f t="shared" si="8"/>
        <v>4.72992700729927E-2</v>
      </c>
      <c r="X8" s="59">
        <f t="shared" si="9"/>
        <v>4.5898726680485641E-2</v>
      </c>
      <c r="Y8" s="58">
        <f t="shared" si="10"/>
        <v>0.11860999425617461</v>
      </c>
      <c r="AA8" t="s">
        <v>175</v>
      </c>
    </row>
    <row r="9" spans="2:27" x14ac:dyDescent="0.35">
      <c r="B9" t="s">
        <v>150</v>
      </c>
      <c r="C9">
        <v>0</v>
      </c>
      <c r="D9">
        <v>0</v>
      </c>
      <c r="E9">
        <v>0</v>
      </c>
      <c r="F9">
        <v>0</v>
      </c>
      <c r="G9">
        <v>2</v>
      </c>
      <c r="H9">
        <v>0</v>
      </c>
      <c r="I9">
        <v>0</v>
      </c>
      <c r="J9">
        <v>0</v>
      </c>
      <c r="K9">
        <v>0</v>
      </c>
      <c r="L9">
        <v>1</v>
      </c>
      <c r="M9">
        <v>9</v>
      </c>
      <c r="N9"/>
      <c r="O9" s="59">
        <f t="shared" si="0"/>
        <v>0</v>
      </c>
      <c r="P9" s="59">
        <f t="shared" si="1"/>
        <v>0</v>
      </c>
      <c r="Q9" s="59">
        <f t="shared" si="2"/>
        <v>0</v>
      </c>
      <c r="R9" s="59">
        <f t="shared" si="3"/>
        <v>0</v>
      </c>
      <c r="S9" s="59">
        <f t="shared" si="4"/>
        <v>7.0150824272185194E-4</v>
      </c>
      <c r="T9" s="59">
        <f t="shared" si="5"/>
        <v>0</v>
      </c>
      <c r="U9" s="59">
        <f t="shared" si="6"/>
        <v>0</v>
      </c>
      <c r="V9" s="59">
        <f t="shared" si="7"/>
        <v>0</v>
      </c>
      <c r="W9" s="59">
        <f t="shared" si="8"/>
        <v>0</v>
      </c>
      <c r="X9" s="59">
        <f t="shared" si="9"/>
        <v>2.9612081729345571E-4</v>
      </c>
      <c r="Y9" s="59">
        <f t="shared" si="10"/>
        <v>2.5847214244686962E-3</v>
      </c>
      <c r="AA9" t="s">
        <v>178</v>
      </c>
    </row>
    <row r="10" spans="2:27" x14ac:dyDescent="0.35">
      <c r="B10" t="s">
        <v>151</v>
      </c>
      <c r="C10">
        <v>0</v>
      </c>
      <c r="D10">
        <v>0</v>
      </c>
      <c r="E10">
        <v>0</v>
      </c>
      <c r="F10">
        <v>0</v>
      </c>
      <c r="G10">
        <v>1</v>
      </c>
      <c r="H10">
        <v>0</v>
      </c>
      <c r="I10">
        <v>2</v>
      </c>
      <c r="J10">
        <v>1</v>
      </c>
      <c r="K10">
        <v>2</v>
      </c>
      <c r="L10">
        <v>2</v>
      </c>
      <c r="M10">
        <v>72</v>
      </c>
      <c r="N10"/>
      <c r="O10" s="59">
        <f t="shared" si="0"/>
        <v>0</v>
      </c>
      <c r="P10" s="59">
        <f t="shared" si="1"/>
        <v>0</v>
      </c>
      <c r="Q10" s="59">
        <f t="shared" si="2"/>
        <v>0</v>
      </c>
      <c r="R10" s="59">
        <f t="shared" si="3"/>
        <v>0</v>
      </c>
      <c r="S10" s="59">
        <f t="shared" si="4"/>
        <v>3.5075412136092597E-4</v>
      </c>
      <c r="T10" s="59">
        <f t="shared" si="5"/>
        <v>0</v>
      </c>
      <c r="U10" s="59">
        <f t="shared" si="6"/>
        <v>6.4020486555697821E-4</v>
      </c>
      <c r="V10" s="59">
        <f t="shared" si="7"/>
        <v>3.2102728731942215E-4</v>
      </c>
      <c r="W10" s="59">
        <f t="shared" si="8"/>
        <v>5.8394160583941611E-4</v>
      </c>
      <c r="X10" s="59">
        <f t="shared" si="9"/>
        <v>5.9224163458691142E-4</v>
      </c>
      <c r="Y10" s="59">
        <f t="shared" si="10"/>
        <v>2.067777139574957E-2</v>
      </c>
      <c r="AA10" t="s">
        <v>179</v>
      </c>
    </row>
    <row r="11" spans="2:27" x14ac:dyDescent="0.35">
      <c r="B11" t="s">
        <v>152</v>
      </c>
      <c r="C11">
        <v>3</v>
      </c>
      <c r="D11">
        <v>4</v>
      </c>
      <c r="E11">
        <v>4</v>
      </c>
      <c r="F11">
        <v>3</v>
      </c>
      <c r="G11">
        <v>8</v>
      </c>
      <c r="H11">
        <v>8</v>
      </c>
      <c r="I11">
        <v>10</v>
      </c>
      <c r="J11">
        <v>5</v>
      </c>
      <c r="K11">
        <v>10</v>
      </c>
      <c r="L11">
        <v>9</v>
      </c>
      <c r="M11">
        <v>75</v>
      </c>
      <c r="N11"/>
      <c r="O11" s="59">
        <f t="shared" si="0"/>
        <v>1.876172607879925E-3</v>
      </c>
      <c r="P11" s="59">
        <f t="shared" si="1"/>
        <v>2.3121387283236996E-3</v>
      </c>
      <c r="Q11" s="59">
        <f t="shared" si="2"/>
        <v>1.9675356615838661E-3</v>
      </c>
      <c r="R11" s="59">
        <f t="shared" si="3"/>
        <v>1.2028869286287089E-3</v>
      </c>
      <c r="S11" s="59">
        <f t="shared" si="4"/>
        <v>2.8060329708874078E-3</v>
      </c>
      <c r="T11" s="59">
        <f t="shared" si="5"/>
        <v>2.7538726333907059E-3</v>
      </c>
      <c r="U11" s="59">
        <f t="shared" si="6"/>
        <v>3.201024327784891E-3</v>
      </c>
      <c r="V11" s="59">
        <f t="shared" si="7"/>
        <v>1.6051364365971107E-3</v>
      </c>
      <c r="W11" s="59">
        <f t="shared" si="8"/>
        <v>2.9197080291970801E-3</v>
      </c>
      <c r="X11" s="59">
        <f t="shared" si="9"/>
        <v>2.6650873556411016E-3</v>
      </c>
      <c r="Y11" s="59">
        <f t="shared" si="10"/>
        <v>2.15393452039058E-2</v>
      </c>
      <c r="AA11" t="s">
        <v>180</v>
      </c>
    </row>
    <row r="12" spans="2:27" x14ac:dyDescent="0.35">
      <c r="B12" t="s">
        <v>153</v>
      </c>
      <c r="C12">
        <v>12</v>
      </c>
      <c r="D12">
        <v>4</v>
      </c>
      <c r="E12">
        <v>11</v>
      </c>
      <c r="F12">
        <v>16</v>
      </c>
      <c r="G12">
        <v>24</v>
      </c>
      <c r="H12">
        <v>29</v>
      </c>
      <c r="I12">
        <v>40</v>
      </c>
      <c r="J12">
        <v>36</v>
      </c>
      <c r="K12">
        <v>29</v>
      </c>
      <c r="L12">
        <v>35</v>
      </c>
      <c r="M12">
        <v>111</v>
      </c>
      <c r="N12"/>
      <c r="O12" s="59">
        <f t="shared" si="0"/>
        <v>7.5046904315196998E-3</v>
      </c>
      <c r="P12" s="59">
        <f t="shared" si="1"/>
        <v>2.3121387283236996E-3</v>
      </c>
      <c r="Q12" s="59">
        <f t="shared" si="2"/>
        <v>5.4107230693556324E-3</v>
      </c>
      <c r="R12" s="59">
        <f t="shared" si="3"/>
        <v>6.4153969526864474E-3</v>
      </c>
      <c r="S12" s="59">
        <f t="shared" si="4"/>
        <v>8.4180989126622242E-3</v>
      </c>
      <c r="T12" s="59">
        <f t="shared" si="5"/>
        <v>9.9827882960413089E-3</v>
      </c>
      <c r="U12" s="59">
        <f t="shared" si="6"/>
        <v>1.2804097311139564E-2</v>
      </c>
      <c r="V12" s="59">
        <f t="shared" si="7"/>
        <v>1.1556982343499198E-2</v>
      </c>
      <c r="W12" s="59">
        <f t="shared" si="8"/>
        <v>8.4671532846715327E-3</v>
      </c>
      <c r="X12" s="59">
        <f t="shared" si="9"/>
        <v>1.0364228605270951E-2</v>
      </c>
      <c r="Y12" s="59">
        <f t="shared" si="10"/>
        <v>3.1878230901780588E-2</v>
      </c>
      <c r="AA12" t="s">
        <v>181</v>
      </c>
    </row>
    <row r="13" spans="2:27" x14ac:dyDescent="0.35">
      <c r="B13" t="s">
        <v>154</v>
      </c>
      <c r="C13">
        <v>23</v>
      </c>
      <c r="D13">
        <v>20</v>
      </c>
      <c r="E13">
        <v>31</v>
      </c>
      <c r="F13">
        <v>24</v>
      </c>
      <c r="G13">
        <v>28</v>
      </c>
      <c r="H13">
        <v>41</v>
      </c>
      <c r="I13">
        <v>48</v>
      </c>
      <c r="J13">
        <v>55</v>
      </c>
      <c r="K13">
        <v>54</v>
      </c>
      <c r="L13">
        <v>47</v>
      </c>
      <c r="M13">
        <v>241</v>
      </c>
      <c r="N13"/>
      <c r="O13" s="59">
        <f t="shared" si="0"/>
        <v>1.4383989993746092E-2</v>
      </c>
      <c r="P13" s="59">
        <f t="shared" si="1"/>
        <v>1.1560693641618497E-2</v>
      </c>
      <c r="Q13" s="59">
        <f t="shared" si="2"/>
        <v>1.5248401377274963E-2</v>
      </c>
      <c r="R13" s="59">
        <f t="shared" si="3"/>
        <v>9.6230954290296711E-3</v>
      </c>
      <c r="S13" s="59">
        <f t="shared" si="4"/>
        <v>9.8211153981059285E-3</v>
      </c>
      <c r="T13" s="59">
        <f t="shared" si="5"/>
        <v>1.4113597246127367E-2</v>
      </c>
      <c r="U13" s="59">
        <f t="shared" si="6"/>
        <v>1.5364916773367477E-2</v>
      </c>
      <c r="V13" s="59">
        <f t="shared" si="7"/>
        <v>1.7656500802568219E-2</v>
      </c>
      <c r="W13" s="59">
        <f t="shared" si="8"/>
        <v>1.5766423357664233E-2</v>
      </c>
      <c r="X13" s="59">
        <f t="shared" si="9"/>
        <v>1.3917678412792419E-2</v>
      </c>
      <c r="Y13" s="59">
        <f t="shared" si="10"/>
        <v>6.9213095921883974E-2</v>
      </c>
      <c r="AA13" t="s">
        <v>182</v>
      </c>
    </row>
    <row r="14" spans="2:27" x14ac:dyDescent="0.35">
      <c r="B14" t="s">
        <v>155</v>
      </c>
      <c r="C14">
        <v>9</v>
      </c>
      <c r="D14">
        <v>20</v>
      </c>
      <c r="E14">
        <v>13</v>
      </c>
      <c r="F14">
        <v>15</v>
      </c>
      <c r="G14">
        <v>35</v>
      </c>
      <c r="H14">
        <v>31</v>
      </c>
      <c r="I14">
        <v>35</v>
      </c>
      <c r="J14">
        <v>40</v>
      </c>
      <c r="K14">
        <v>43</v>
      </c>
      <c r="L14">
        <v>44</v>
      </c>
      <c r="M14">
        <v>95</v>
      </c>
      <c r="N14"/>
      <c r="O14" s="59">
        <f t="shared" si="0"/>
        <v>5.6285178236397749E-3</v>
      </c>
      <c r="P14" s="59">
        <f t="shared" si="1"/>
        <v>1.1560693641618497E-2</v>
      </c>
      <c r="Q14" s="59">
        <f t="shared" si="2"/>
        <v>6.3944909001475651E-3</v>
      </c>
      <c r="R14" s="59">
        <f t="shared" si="3"/>
        <v>6.0144346431435444E-3</v>
      </c>
      <c r="S14" s="59">
        <f t="shared" si="4"/>
        <v>1.2276394247632409E-2</v>
      </c>
      <c r="T14" s="59">
        <f t="shared" si="5"/>
        <v>1.0671256454388985E-2</v>
      </c>
      <c r="U14" s="59">
        <f t="shared" si="6"/>
        <v>1.1203585147247119E-2</v>
      </c>
      <c r="V14" s="59">
        <f t="shared" si="7"/>
        <v>1.2841091492776886E-2</v>
      </c>
      <c r="W14" s="59">
        <f t="shared" si="8"/>
        <v>1.2554744525547445E-2</v>
      </c>
      <c r="X14" s="59">
        <f t="shared" si="9"/>
        <v>1.3029315960912053E-2</v>
      </c>
      <c r="Y14" s="59">
        <f t="shared" si="10"/>
        <v>2.7283170591614014E-2</v>
      </c>
      <c r="AA14" t="s">
        <v>183</v>
      </c>
    </row>
    <row r="15" spans="2:27" x14ac:dyDescent="0.35">
      <c r="B15" t="s">
        <v>156</v>
      </c>
      <c r="C15">
        <v>2</v>
      </c>
      <c r="D15">
        <v>2</v>
      </c>
      <c r="E15">
        <v>2</v>
      </c>
      <c r="F15">
        <v>1</v>
      </c>
      <c r="G15">
        <v>6</v>
      </c>
      <c r="H15">
        <v>4</v>
      </c>
      <c r="I15">
        <v>14</v>
      </c>
      <c r="J15">
        <v>14</v>
      </c>
      <c r="K15">
        <v>10</v>
      </c>
      <c r="L15">
        <v>14</v>
      </c>
      <c r="M15">
        <v>87</v>
      </c>
      <c r="N15"/>
      <c r="O15" s="59">
        <f t="shared" si="0"/>
        <v>1.2507817385866166E-3</v>
      </c>
      <c r="P15" s="59">
        <f t="shared" si="1"/>
        <v>1.1560693641618498E-3</v>
      </c>
      <c r="Q15" s="59">
        <f t="shared" si="2"/>
        <v>9.8376783079193305E-4</v>
      </c>
      <c r="R15" s="59">
        <f t="shared" si="3"/>
        <v>4.0096230954290296E-4</v>
      </c>
      <c r="S15" s="59">
        <f t="shared" si="4"/>
        <v>2.104524728165556E-3</v>
      </c>
      <c r="T15" s="59">
        <f t="shared" si="5"/>
        <v>1.3769363166953529E-3</v>
      </c>
      <c r="U15" s="59">
        <f t="shared" si="6"/>
        <v>4.4814340588988479E-3</v>
      </c>
      <c r="V15" s="59">
        <f t="shared" si="7"/>
        <v>4.4943820224719105E-3</v>
      </c>
      <c r="W15" s="59">
        <f t="shared" si="8"/>
        <v>2.9197080291970801E-3</v>
      </c>
      <c r="X15" s="59">
        <f t="shared" si="9"/>
        <v>4.1456914421083802E-3</v>
      </c>
      <c r="Y15" s="59">
        <f t="shared" si="10"/>
        <v>2.4985640436530728E-2</v>
      </c>
      <c r="AA15" t="s">
        <v>184</v>
      </c>
    </row>
    <row r="16" spans="2:27" x14ac:dyDescent="0.35">
      <c r="B16" t="s">
        <v>157</v>
      </c>
      <c r="C16">
        <v>0</v>
      </c>
      <c r="D16">
        <v>0</v>
      </c>
      <c r="E16">
        <v>0</v>
      </c>
      <c r="F16">
        <v>0</v>
      </c>
      <c r="G16">
        <v>1</v>
      </c>
      <c r="H16">
        <v>3</v>
      </c>
      <c r="I16">
        <v>3</v>
      </c>
      <c r="J16">
        <v>1</v>
      </c>
      <c r="K16">
        <v>3</v>
      </c>
      <c r="L16">
        <v>3</v>
      </c>
      <c r="M16">
        <v>10</v>
      </c>
      <c r="N16"/>
      <c r="O16" s="59">
        <f t="shared" si="0"/>
        <v>0</v>
      </c>
      <c r="P16" s="59">
        <f t="shared" si="1"/>
        <v>0</v>
      </c>
      <c r="Q16" s="59">
        <f t="shared" si="2"/>
        <v>0</v>
      </c>
      <c r="R16" s="59">
        <f t="shared" si="3"/>
        <v>0</v>
      </c>
      <c r="S16" s="59">
        <f t="shared" si="4"/>
        <v>3.5075412136092597E-4</v>
      </c>
      <c r="T16" s="59">
        <f t="shared" si="5"/>
        <v>1.0327022375215145E-3</v>
      </c>
      <c r="U16" s="59">
        <f t="shared" si="6"/>
        <v>9.6030729833546731E-4</v>
      </c>
      <c r="V16" s="59">
        <f t="shared" si="7"/>
        <v>3.2102728731942215E-4</v>
      </c>
      <c r="W16" s="59">
        <f t="shared" si="8"/>
        <v>8.7591240875912405E-4</v>
      </c>
      <c r="X16" s="59">
        <f t="shared" si="9"/>
        <v>8.8836245188036718E-4</v>
      </c>
      <c r="Y16" s="59">
        <f t="shared" si="10"/>
        <v>2.8719126938541069E-3</v>
      </c>
      <c r="AA16" t="s">
        <v>185</v>
      </c>
    </row>
    <row r="17" spans="2:27" x14ac:dyDescent="0.35">
      <c r="B17" t="s">
        <v>158</v>
      </c>
      <c r="C17">
        <v>0</v>
      </c>
      <c r="D17">
        <v>3</v>
      </c>
      <c r="E17">
        <v>3</v>
      </c>
      <c r="F17">
        <v>1</v>
      </c>
      <c r="G17">
        <v>3</v>
      </c>
      <c r="H17">
        <v>5</v>
      </c>
      <c r="I17">
        <v>7</v>
      </c>
      <c r="J17">
        <v>6</v>
      </c>
      <c r="K17">
        <v>9</v>
      </c>
      <c r="L17">
        <v>11</v>
      </c>
      <c r="M17">
        <v>81</v>
      </c>
      <c r="N17"/>
      <c r="O17" s="59">
        <f t="shared" si="0"/>
        <v>0</v>
      </c>
      <c r="P17" s="59">
        <f t="shared" si="1"/>
        <v>1.7341040462427746E-3</v>
      </c>
      <c r="Q17" s="59">
        <f t="shared" si="2"/>
        <v>1.4756517461878996E-3</v>
      </c>
      <c r="R17" s="59">
        <f t="shared" si="3"/>
        <v>4.0096230954290296E-4</v>
      </c>
      <c r="S17" s="59">
        <f t="shared" si="4"/>
        <v>1.052262364082778E-3</v>
      </c>
      <c r="T17" s="59">
        <f t="shared" si="5"/>
        <v>1.7211703958691911E-3</v>
      </c>
      <c r="U17" s="59">
        <f t="shared" si="6"/>
        <v>2.2407170294494239E-3</v>
      </c>
      <c r="V17" s="59">
        <f t="shared" si="7"/>
        <v>1.9261637239165329E-3</v>
      </c>
      <c r="W17" s="59">
        <f t="shared" si="8"/>
        <v>2.6277372262773721E-3</v>
      </c>
      <c r="X17" s="59">
        <f t="shared" si="9"/>
        <v>3.2573289902280132E-3</v>
      </c>
      <c r="Y17" s="59">
        <f t="shared" si="10"/>
        <v>2.3262492820218264E-2</v>
      </c>
      <c r="AA17" t="s">
        <v>186</v>
      </c>
    </row>
    <row r="18" spans="2:27" x14ac:dyDescent="0.35">
      <c r="B18" t="s">
        <v>159</v>
      </c>
      <c r="C18">
        <v>2</v>
      </c>
      <c r="D18">
        <v>5</v>
      </c>
      <c r="E18">
        <v>6</v>
      </c>
      <c r="F18">
        <v>4</v>
      </c>
      <c r="G18">
        <v>8</v>
      </c>
      <c r="H18">
        <v>5</v>
      </c>
      <c r="I18">
        <v>11</v>
      </c>
      <c r="J18">
        <v>23</v>
      </c>
      <c r="K18">
        <v>20</v>
      </c>
      <c r="L18">
        <v>18</v>
      </c>
      <c r="M18">
        <v>89</v>
      </c>
      <c r="N18"/>
      <c r="O18" s="59">
        <f t="shared" si="0"/>
        <v>1.2507817385866166E-3</v>
      </c>
      <c r="P18" s="59">
        <f t="shared" si="1"/>
        <v>2.8901734104046241E-3</v>
      </c>
      <c r="Q18" s="59">
        <f t="shared" si="2"/>
        <v>2.9513034923757992E-3</v>
      </c>
      <c r="R18" s="59">
        <f t="shared" si="3"/>
        <v>1.6038492381716118E-3</v>
      </c>
      <c r="S18" s="59">
        <f t="shared" si="4"/>
        <v>2.8060329708874078E-3</v>
      </c>
      <c r="T18" s="59">
        <f t="shared" si="5"/>
        <v>1.7211703958691911E-3</v>
      </c>
      <c r="U18" s="59">
        <f t="shared" si="6"/>
        <v>3.5211267605633804E-3</v>
      </c>
      <c r="V18" s="59">
        <f t="shared" si="7"/>
        <v>7.3836276083467092E-3</v>
      </c>
      <c r="W18" s="59">
        <f t="shared" si="8"/>
        <v>5.8394160583941602E-3</v>
      </c>
      <c r="X18" s="59">
        <f t="shared" si="9"/>
        <v>5.3301747112822033E-3</v>
      </c>
      <c r="Y18" s="59">
        <f t="shared" si="10"/>
        <v>2.556002297530155E-2</v>
      </c>
      <c r="AA18" t="s">
        <v>187</v>
      </c>
    </row>
    <row r="19" spans="2:27" x14ac:dyDescent="0.35">
      <c r="B19" t="s">
        <v>160</v>
      </c>
      <c r="C19">
        <v>0</v>
      </c>
      <c r="D19">
        <v>1</v>
      </c>
      <c r="E19">
        <v>1</v>
      </c>
      <c r="F19">
        <v>1</v>
      </c>
      <c r="G19">
        <v>0</v>
      </c>
      <c r="H19">
        <v>0</v>
      </c>
      <c r="I19">
        <v>2</v>
      </c>
      <c r="J19">
        <v>1</v>
      </c>
      <c r="K19">
        <v>1</v>
      </c>
      <c r="L19">
        <v>1</v>
      </c>
      <c r="M19">
        <v>10</v>
      </c>
      <c r="N19"/>
      <c r="O19" s="59">
        <f t="shared" si="0"/>
        <v>0</v>
      </c>
      <c r="P19" s="59">
        <f t="shared" si="1"/>
        <v>5.7803468208092489E-4</v>
      </c>
      <c r="Q19" s="59">
        <f t="shared" si="2"/>
        <v>4.9188391539596653E-4</v>
      </c>
      <c r="R19" s="59">
        <f t="shared" si="3"/>
        <v>4.0096230954290296E-4</v>
      </c>
      <c r="S19" s="59">
        <f t="shared" si="4"/>
        <v>0</v>
      </c>
      <c r="T19" s="59">
        <f t="shared" si="5"/>
        <v>0</v>
      </c>
      <c r="U19" s="59">
        <f t="shared" si="6"/>
        <v>6.4020486555697821E-4</v>
      </c>
      <c r="V19" s="59">
        <f t="shared" si="7"/>
        <v>3.2102728731942215E-4</v>
      </c>
      <c r="W19" s="59">
        <f t="shared" si="8"/>
        <v>2.9197080291970805E-4</v>
      </c>
      <c r="X19" s="59">
        <f t="shared" si="9"/>
        <v>2.9612081729345571E-4</v>
      </c>
      <c r="Y19" s="59">
        <f t="shared" si="10"/>
        <v>2.8719126938541069E-3</v>
      </c>
      <c r="AA19" t="s">
        <v>188</v>
      </c>
    </row>
    <row r="20" spans="2:27" x14ac:dyDescent="0.35">
      <c r="B20" t="s">
        <v>173</v>
      </c>
      <c r="C20">
        <v>3</v>
      </c>
      <c r="D20">
        <v>0</v>
      </c>
      <c r="E20">
        <v>2</v>
      </c>
      <c r="F20">
        <v>2</v>
      </c>
      <c r="G20">
        <v>2</v>
      </c>
      <c r="H20">
        <v>3</v>
      </c>
      <c r="I20">
        <v>5</v>
      </c>
      <c r="J20">
        <v>4</v>
      </c>
      <c r="K20">
        <v>16</v>
      </c>
      <c r="L20">
        <v>10</v>
      </c>
      <c r="M20">
        <v>46</v>
      </c>
      <c r="N20"/>
      <c r="O20" s="59">
        <f t="shared" si="0"/>
        <v>1.876172607879925E-3</v>
      </c>
      <c r="P20" s="59">
        <f t="shared" si="1"/>
        <v>0</v>
      </c>
      <c r="Q20" s="59">
        <f t="shared" si="2"/>
        <v>9.8376783079193305E-4</v>
      </c>
      <c r="R20" s="59">
        <f t="shared" si="3"/>
        <v>8.0192461908580592E-4</v>
      </c>
      <c r="S20" s="59">
        <f t="shared" si="4"/>
        <v>7.0150824272185194E-4</v>
      </c>
      <c r="T20" s="59">
        <f t="shared" si="5"/>
        <v>1.0327022375215145E-3</v>
      </c>
      <c r="U20" s="59">
        <f t="shared" si="6"/>
        <v>1.6005121638924455E-3</v>
      </c>
      <c r="V20" s="59">
        <f t="shared" si="7"/>
        <v>1.2841091492776886E-3</v>
      </c>
      <c r="W20" s="59">
        <f t="shared" si="8"/>
        <v>4.6715328467153289E-3</v>
      </c>
      <c r="X20" s="59">
        <f t="shared" si="9"/>
        <v>2.9612081729345572E-3</v>
      </c>
      <c r="Y20" s="59">
        <f t="shared" si="10"/>
        <v>1.3210798391728892E-2</v>
      </c>
      <c r="AA20" t="s">
        <v>189</v>
      </c>
    </row>
    <row r="21" spans="2:27" x14ac:dyDescent="0.35">
      <c r="B21" t="s">
        <v>161</v>
      </c>
      <c r="C21">
        <v>3</v>
      </c>
      <c r="D21">
        <v>6</v>
      </c>
      <c r="E21">
        <v>7</v>
      </c>
      <c r="F21">
        <v>6</v>
      </c>
      <c r="G21">
        <v>4</v>
      </c>
      <c r="H21">
        <v>10</v>
      </c>
      <c r="I21">
        <v>8</v>
      </c>
      <c r="J21">
        <v>10</v>
      </c>
      <c r="K21">
        <v>12</v>
      </c>
      <c r="L21">
        <v>11</v>
      </c>
      <c r="M21">
        <v>53</v>
      </c>
      <c r="N21"/>
      <c r="O21" s="59">
        <f t="shared" si="0"/>
        <v>1.876172607879925E-3</v>
      </c>
      <c r="P21" s="59">
        <f t="shared" si="1"/>
        <v>3.4682080924855491E-3</v>
      </c>
      <c r="Q21" s="59">
        <f t="shared" si="2"/>
        <v>3.4431874077717659E-3</v>
      </c>
      <c r="R21" s="59">
        <f t="shared" si="3"/>
        <v>2.4057738572574178E-3</v>
      </c>
      <c r="S21" s="59">
        <f t="shared" si="4"/>
        <v>1.4030164854437039E-3</v>
      </c>
      <c r="T21" s="59">
        <f t="shared" si="5"/>
        <v>3.4423407917383822E-3</v>
      </c>
      <c r="U21" s="59">
        <f t="shared" si="6"/>
        <v>2.5608194622279128E-3</v>
      </c>
      <c r="V21" s="59">
        <f t="shared" si="7"/>
        <v>3.2102728731942215E-3</v>
      </c>
      <c r="W21" s="59">
        <f t="shared" si="8"/>
        <v>3.5036496350364962E-3</v>
      </c>
      <c r="X21" s="59">
        <f t="shared" si="9"/>
        <v>3.2573289902280132E-3</v>
      </c>
      <c r="Y21" s="59">
        <f t="shared" si="10"/>
        <v>1.5221137277426766E-2</v>
      </c>
      <c r="AA21" t="s">
        <v>190</v>
      </c>
    </row>
    <row r="22" spans="2:27" x14ac:dyDescent="0.35">
      <c r="B22" t="s">
        <v>162</v>
      </c>
      <c r="C22">
        <v>1</v>
      </c>
      <c r="D22">
        <v>1</v>
      </c>
      <c r="E22">
        <v>0</v>
      </c>
      <c r="F22">
        <v>0</v>
      </c>
      <c r="G22">
        <v>1</v>
      </c>
      <c r="H22">
        <v>2</v>
      </c>
      <c r="I22">
        <v>4</v>
      </c>
      <c r="J22">
        <v>5</v>
      </c>
      <c r="K22">
        <v>2</v>
      </c>
      <c r="L22">
        <v>3</v>
      </c>
      <c r="M22">
        <v>21</v>
      </c>
      <c r="N22"/>
      <c r="O22" s="59">
        <f t="shared" si="0"/>
        <v>6.2539086929330832E-4</v>
      </c>
      <c r="P22" s="59">
        <f t="shared" si="1"/>
        <v>5.7803468208092489E-4</v>
      </c>
      <c r="Q22" s="59">
        <f t="shared" si="2"/>
        <v>0</v>
      </c>
      <c r="R22" s="59">
        <f t="shared" si="3"/>
        <v>0</v>
      </c>
      <c r="S22" s="59">
        <f t="shared" si="4"/>
        <v>3.5075412136092597E-4</v>
      </c>
      <c r="T22" s="59">
        <f t="shared" si="5"/>
        <v>6.8846815834767647E-4</v>
      </c>
      <c r="U22" s="59">
        <f t="shared" si="6"/>
        <v>1.2804097311139564E-3</v>
      </c>
      <c r="V22" s="59">
        <f t="shared" si="7"/>
        <v>1.6051364365971107E-3</v>
      </c>
      <c r="W22" s="59">
        <f t="shared" si="8"/>
        <v>5.8394160583941611E-4</v>
      </c>
      <c r="X22" s="59">
        <f t="shared" si="9"/>
        <v>8.8836245188036718E-4</v>
      </c>
      <c r="Y22" s="59">
        <f t="shared" si="10"/>
        <v>6.0310166570936245E-3</v>
      </c>
      <c r="AA22" t="s">
        <v>191</v>
      </c>
    </row>
    <row r="23" spans="2:27" x14ac:dyDescent="0.35">
      <c r="B23" t="s">
        <v>163</v>
      </c>
      <c r="C23">
        <v>2</v>
      </c>
      <c r="D23">
        <v>1</v>
      </c>
      <c r="E23">
        <v>2</v>
      </c>
      <c r="F23">
        <v>3</v>
      </c>
      <c r="G23">
        <v>2</v>
      </c>
      <c r="H23">
        <v>1</v>
      </c>
      <c r="I23">
        <v>3</v>
      </c>
      <c r="J23">
        <v>11</v>
      </c>
      <c r="K23">
        <v>9</v>
      </c>
      <c r="L23">
        <v>12</v>
      </c>
      <c r="M23">
        <v>70</v>
      </c>
      <c r="N23"/>
      <c r="O23" s="59">
        <f t="shared" si="0"/>
        <v>1.2507817385866166E-3</v>
      </c>
      <c r="P23" s="59">
        <f t="shared" si="1"/>
        <v>5.7803468208092489E-4</v>
      </c>
      <c r="Q23" s="59">
        <f t="shared" si="2"/>
        <v>9.8376783079193305E-4</v>
      </c>
      <c r="R23" s="59">
        <f t="shared" si="3"/>
        <v>1.2028869286287089E-3</v>
      </c>
      <c r="S23" s="59">
        <f t="shared" si="4"/>
        <v>7.0150824272185194E-4</v>
      </c>
      <c r="T23" s="59">
        <f t="shared" si="5"/>
        <v>3.4423407917383823E-4</v>
      </c>
      <c r="U23" s="59">
        <f t="shared" si="6"/>
        <v>9.6030729833546731E-4</v>
      </c>
      <c r="V23" s="59">
        <f t="shared" si="7"/>
        <v>3.5313001605136438E-3</v>
      </c>
      <c r="W23" s="59">
        <f t="shared" si="8"/>
        <v>2.6277372262773721E-3</v>
      </c>
      <c r="X23" s="59">
        <f t="shared" si="9"/>
        <v>3.5534498075214687E-3</v>
      </c>
      <c r="Y23" s="59">
        <f t="shared" si="10"/>
        <v>2.0103388856978748E-2</v>
      </c>
      <c r="AA23" t="s">
        <v>192</v>
      </c>
    </row>
    <row r="24" spans="2:27" x14ac:dyDescent="0.35">
      <c r="B24" t="s">
        <v>164</v>
      </c>
      <c r="C24">
        <v>2</v>
      </c>
      <c r="D24">
        <v>1</v>
      </c>
      <c r="E24">
        <v>1</v>
      </c>
      <c r="F24">
        <v>2</v>
      </c>
      <c r="G24">
        <v>2</v>
      </c>
      <c r="H24">
        <v>6</v>
      </c>
      <c r="I24">
        <v>9</v>
      </c>
      <c r="J24">
        <v>12</v>
      </c>
      <c r="K24">
        <v>13</v>
      </c>
      <c r="L24">
        <v>15</v>
      </c>
      <c r="M24">
        <v>45</v>
      </c>
      <c r="N24"/>
      <c r="O24" s="59">
        <f t="shared" si="0"/>
        <v>1.2507817385866166E-3</v>
      </c>
      <c r="P24" s="59">
        <f t="shared" si="1"/>
        <v>5.7803468208092489E-4</v>
      </c>
      <c r="Q24" s="59">
        <f t="shared" si="2"/>
        <v>4.9188391539596653E-4</v>
      </c>
      <c r="R24" s="59">
        <f t="shared" si="3"/>
        <v>8.0192461908580592E-4</v>
      </c>
      <c r="S24" s="59">
        <f t="shared" si="4"/>
        <v>7.0150824272185194E-4</v>
      </c>
      <c r="T24" s="59">
        <f t="shared" si="5"/>
        <v>2.0654044750430291E-3</v>
      </c>
      <c r="U24" s="59">
        <f t="shared" si="6"/>
        <v>2.8809218950064022E-3</v>
      </c>
      <c r="V24" s="59">
        <f t="shared" si="7"/>
        <v>3.8523274478330658E-3</v>
      </c>
      <c r="W24" s="59">
        <f t="shared" si="8"/>
        <v>3.7956204379562043E-3</v>
      </c>
      <c r="X24" s="59">
        <f t="shared" si="9"/>
        <v>4.4418122594018358E-3</v>
      </c>
      <c r="Y24" s="59">
        <f t="shared" si="10"/>
        <v>1.2923607122343481E-2</v>
      </c>
      <c r="AA24" t="s">
        <v>193</v>
      </c>
    </row>
    <row r="25" spans="2:27" x14ac:dyDescent="0.35">
      <c r="B25" t="s">
        <v>165</v>
      </c>
      <c r="C25">
        <v>11</v>
      </c>
      <c r="D25">
        <v>8</v>
      </c>
      <c r="E25">
        <v>11</v>
      </c>
      <c r="F25">
        <v>20</v>
      </c>
      <c r="G25">
        <v>17</v>
      </c>
      <c r="H25">
        <v>24</v>
      </c>
      <c r="I25">
        <v>33</v>
      </c>
      <c r="J25">
        <v>17</v>
      </c>
      <c r="K25">
        <v>36</v>
      </c>
      <c r="L25">
        <v>31</v>
      </c>
      <c r="M25">
        <v>126</v>
      </c>
      <c r="N25"/>
      <c r="O25" s="59">
        <f t="shared" si="0"/>
        <v>6.8792995622263915E-3</v>
      </c>
      <c r="P25" s="59">
        <f t="shared" si="1"/>
        <v>4.6242774566473991E-3</v>
      </c>
      <c r="Q25" s="59">
        <f t="shared" si="2"/>
        <v>5.4107230693556324E-3</v>
      </c>
      <c r="R25" s="59">
        <f t="shared" si="3"/>
        <v>8.0192461908580592E-3</v>
      </c>
      <c r="S25" s="59">
        <f t="shared" si="4"/>
        <v>5.962820063135742E-3</v>
      </c>
      <c r="T25" s="59">
        <f t="shared" si="5"/>
        <v>8.2616179001721163E-3</v>
      </c>
      <c r="U25" s="59">
        <f t="shared" si="6"/>
        <v>1.0563380281690141E-2</v>
      </c>
      <c r="V25" s="59">
        <f t="shared" si="7"/>
        <v>5.4574638844301767E-3</v>
      </c>
      <c r="W25" s="59">
        <f t="shared" si="8"/>
        <v>1.0510948905109488E-2</v>
      </c>
      <c r="X25" s="59">
        <f t="shared" si="9"/>
        <v>9.1797453360971271E-3</v>
      </c>
      <c r="Y25" s="59">
        <f t="shared" si="10"/>
        <v>3.6186099942561743E-2</v>
      </c>
      <c r="AA25" t="s">
        <v>194</v>
      </c>
    </row>
    <row r="26" spans="2:27" x14ac:dyDescent="0.35">
      <c r="B26" t="s">
        <v>166</v>
      </c>
      <c r="C26">
        <v>1</v>
      </c>
      <c r="D26">
        <v>4</v>
      </c>
      <c r="E26">
        <v>2</v>
      </c>
      <c r="F26">
        <v>0</v>
      </c>
      <c r="G26">
        <v>8</v>
      </c>
      <c r="H26">
        <v>2</v>
      </c>
      <c r="I26">
        <v>4</v>
      </c>
      <c r="J26">
        <v>6</v>
      </c>
      <c r="K26">
        <v>3</v>
      </c>
      <c r="L26">
        <v>1</v>
      </c>
      <c r="M26">
        <v>18</v>
      </c>
      <c r="N26"/>
      <c r="O26" s="59">
        <f t="shared" si="0"/>
        <v>6.2539086929330832E-4</v>
      </c>
      <c r="P26" s="59">
        <f t="shared" si="1"/>
        <v>2.3121387283236996E-3</v>
      </c>
      <c r="Q26" s="59">
        <f t="shared" si="2"/>
        <v>9.8376783079193305E-4</v>
      </c>
      <c r="R26" s="59">
        <f t="shared" si="3"/>
        <v>0</v>
      </c>
      <c r="S26" s="59">
        <f t="shared" si="4"/>
        <v>2.8060329708874078E-3</v>
      </c>
      <c r="T26" s="59">
        <f t="shared" si="5"/>
        <v>6.8846815834767647E-4</v>
      </c>
      <c r="U26" s="59">
        <f t="shared" si="6"/>
        <v>1.2804097311139564E-3</v>
      </c>
      <c r="V26" s="59">
        <f t="shared" si="7"/>
        <v>1.9261637239165329E-3</v>
      </c>
      <c r="W26" s="59">
        <f t="shared" si="8"/>
        <v>8.7591240875912405E-4</v>
      </c>
      <c r="X26" s="59">
        <f t="shared" si="9"/>
        <v>2.9612081729345571E-4</v>
      </c>
      <c r="Y26" s="59">
        <f t="shared" si="10"/>
        <v>5.1694428489373924E-3</v>
      </c>
      <c r="AA26" t="s">
        <v>195</v>
      </c>
    </row>
    <row r="27" spans="2:27" x14ac:dyDescent="0.35">
      <c r="B27" t="s">
        <v>168</v>
      </c>
      <c r="C27">
        <v>0</v>
      </c>
      <c r="D27">
        <v>0</v>
      </c>
      <c r="E27">
        <v>1</v>
      </c>
      <c r="F27">
        <v>0</v>
      </c>
      <c r="G27">
        <v>0</v>
      </c>
      <c r="H27">
        <v>1</v>
      </c>
      <c r="I27">
        <v>0</v>
      </c>
      <c r="J27">
        <v>0</v>
      </c>
      <c r="K27">
        <v>0</v>
      </c>
      <c r="L27">
        <v>0</v>
      </c>
      <c r="M27">
        <v>52</v>
      </c>
      <c r="N27"/>
      <c r="O27" s="59">
        <f t="shared" si="0"/>
        <v>0</v>
      </c>
      <c r="P27" s="59">
        <f t="shared" si="1"/>
        <v>0</v>
      </c>
      <c r="Q27" s="59">
        <f t="shared" si="2"/>
        <v>4.9188391539596653E-4</v>
      </c>
      <c r="R27" s="59">
        <f t="shared" si="3"/>
        <v>0</v>
      </c>
      <c r="S27" s="59">
        <f t="shared" si="4"/>
        <v>0</v>
      </c>
      <c r="T27" s="59">
        <f t="shared" si="5"/>
        <v>3.4423407917383823E-4</v>
      </c>
      <c r="U27" s="59">
        <f t="shared" si="6"/>
        <v>0</v>
      </c>
      <c r="V27" s="59">
        <f t="shared" si="7"/>
        <v>0</v>
      </c>
      <c r="W27" s="59">
        <f t="shared" si="8"/>
        <v>0</v>
      </c>
      <c r="X27" s="59">
        <f t="shared" si="9"/>
        <v>0</v>
      </c>
      <c r="Y27" s="59">
        <f t="shared" si="10"/>
        <v>1.4933946008041356E-2</v>
      </c>
      <c r="AA27" t="s">
        <v>197</v>
      </c>
    </row>
    <row r="28" spans="2:27" x14ac:dyDescent="0.35">
      <c r="B28" t="s">
        <v>169</v>
      </c>
      <c r="C28">
        <v>7</v>
      </c>
      <c r="D28">
        <v>22</v>
      </c>
      <c r="E28">
        <v>19</v>
      </c>
      <c r="F28">
        <v>20</v>
      </c>
      <c r="G28">
        <v>33</v>
      </c>
      <c r="H28">
        <v>53</v>
      </c>
      <c r="I28">
        <v>51</v>
      </c>
      <c r="J28">
        <v>48</v>
      </c>
      <c r="K28">
        <v>58</v>
      </c>
      <c r="L28">
        <v>61</v>
      </c>
      <c r="M28">
        <v>156</v>
      </c>
      <c r="N28"/>
      <c r="O28" s="59">
        <f t="shared" si="0"/>
        <v>4.3777360850531582E-3</v>
      </c>
      <c r="P28" s="59">
        <f t="shared" si="1"/>
        <v>1.2716763005780347E-2</v>
      </c>
      <c r="Q28" s="59">
        <f t="shared" si="2"/>
        <v>9.3457943925233638E-3</v>
      </c>
      <c r="R28" s="59">
        <f t="shared" si="3"/>
        <v>8.0192461908580592E-3</v>
      </c>
      <c r="S28" s="59">
        <f t="shared" si="4"/>
        <v>1.1574886004910558E-2</v>
      </c>
      <c r="T28" s="59">
        <f t="shared" si="5"/>
        <v>1.8244406196213425E-2</v>
      </c>
      <c r="U28" s="59">
        <f t="shared" si="6"/>
        <v>1.6325224071702945E-2</v>
      </c>
      <c r="V28" s="59">
        <f t="shared" si="7"/>
        <v>1.5409309791332263E-2</v>
      </c>
      <c r="W28" s="59">
        <f t="shared" si="8"/>
        <v>1.6934306569343065E-2</v>
      </c>
      <c r="X28" s="59">
        <f t="shared" si="9"/>
        <v>1.8063369854900799E-2</v>
      </c>
      <c r="Y28" s="59">
        <f t="shared" si="10"/>
        <v>4.4801838024124067E-2</v>
      </c>
      <c r="AA28" t="s">
        <v>198</v>
      </c>
    </row>
    <row r="29" spans="2:27" x14ac:dyDescent="0.35">
      <c r="B29" t="s">
        <v>170</v>
      </c>
      <c r="C29">
        <v>430</v>
      </c>
      <c r="D29">
        <v>481</v>
      </c>
      <c r="E29">
        <v>674</v>
      </c>
      <c r="F29">
        <v>781</v>
      </c>
      <c r="G29">
        <v>1019</v>
      </c>
      <c r="H29">
        <v>1126</v>
      </c>
      <c r="I29">
        <v>1296</v>
      </c>
      <c r="J29">
        <v>1324</v>
      </c>
      <c r="K29">
        <v>1514</v>
      </c>
      <c r="L29">
        <v>1498</v>
      </c>
      <c r="M29">
        <v>1520</v>
      </c>
      <c r="N29" s="58"/>
      <c r="O29" s="58">
        <f t="shared" si="0"/>
        <v>0.26891807379612259</v>
      </c>
      <c r="P29" s="58">
        <f t="shared" si="1"/>
        <v>0.27803468208092486</v>
      </c>
      <c r="Q29" s="58">
        <f t="shared" si="2"/>
        <v>0.33152975897688147</v>
      </c>
      <c r="R29" s="58">
        <f t="shared" si="3"/>
        <v>0.31315156375300723</v>
      </c>
      <c r="S29" s="58">
        <f t="shared" si="4"/>
        <v>0.3574184496667836</v>
      </c>
      <c r="T29" s="58">
        <f t="shared" si="5"/>
        <v>0.38760757314974181</v>
      </c>
      <c r="U29" s="58">
        <f t="shared" si="6"/>
        <v>0.41485275288092188</v>
      </c>
      <c r="V29" s="58">
        <f t="shared" si="7"/>
        <v>0.42504012841091493</v>
      </c>
      <c r="W29" s="58">
        <f t="shared" si="8"/>
        <v>0.44204379562043794</v>
      </c>
      <c r="X29" s="58">
        <f t="shared" si="9"/>
        <v>0.44358898430559668</v>
      </c>
      <c r="Y29" s="58">
        <f t="shared" si="10"/>
        <v>0.43653072946582422</v>
      </c>
      <c r="AA29" t="s">
        <v>199</v>
      </c>
    </row>
    <row r="30" spans="2:27" x14ac:dyDescent="0.35">
      <c r="B30" t="s">
        <v>174</v>
      </c>
      <c r="C30">
        <v>0</v>
      </c>
      <c r="D30">
        <v>2</v>
      </c>
      <c r="E30">
        <v>5</v>
      </c>
      <c r="F30">
        <v>8</v>
      </c>
      <c r="G30">
        <v>7</v>
      </c>
      <c r="H30">
        <v>10</v>
      </c>
      <c r="I30">
        <v>15</v>
      </c>
      <c r="J30">
        <v>6</v>
      </c>
      <c r="K30">
        <v>12</v>
      </c>
      <c r="L30">
        <v>10</v>
      </c>
      <c r="M30">
        <v>16</v>
      </c>
      <c r="N30" s="58"/>
      <c r="O30" s="58">
        <f t="shared" si="0"/>
        <v>0</v>
      </c>
      <c r="P30" s="58">
        <f t="shared" si="1"/>
        <v>1.1560693641618498E-3</v>
      </c>
      <c r="Q30" s="58">
        <f t="shared" si="2"/>
        <v>2.4594195769798328E-3</v>
      </c>
      <c r="R30" s="58">
        <f t="shared" si="3"/>
        <v>3.2076984763432237E-3</v>
      </c>
      <c r="S30" s="58">
        <f t="shared" si="4"/>
        <v>2.4552788495264821E-3</v>
      </c>
      <c r="T30" s="58">
        <f t="shared" si="5"/>
        <v>3.4423407917383822E-3</v>
      </c>
      <c r="U30" s="58">
        <f t="shared" si="6"/>
        <v>4.8015364916773363E-3</v>
      </c>
      <c r="V30" s="58">
        <f t="shared" si="7"/>
        <v>1.9261637239165329E-3</v>
      </c>
      <c r="W30" s="58">
        <f t="shared" si="8"/>
        <v>3.5036496350364962E-3</v>
      </c>
      <c r="X30" s="58">
        <f t="shared" si="9"/>
        <v>2.9612081729345572E-3</v>
      </c>
      <c r="Y30" s="58">
        <f t="shared" si="10"/>
        <v>4.595060310166571E-3</v>
      </c>
      <c r="AA30" t="s">
        <v>201</v>
      </c>
    </row>
    <row r="31" spans="2:27" x14ac:dyDescent="0.35">
      <c r="B31" s="61" t="s">
        <v>39</v>
      </c>
      <c r="C31" s="61">
        <v>1599</v>
      </c>
      <c r="D31" s="61">
        <v>1730</v>
      </c>
      <c r="E31" s="61">
        <v>2033</v>
      </c>
      <c r="F31" s="61">
        <v>2494</v>
      </c>
      <c r="G31" s="61">
        <v>2851</v>
      </c>
      <c r="H31" s="61">
        <v>2905</v>
      </c>
      <c r="I31" s="61">
        <v>3124</v>
      </c>
      <c r="J31" s="61">
        <v>3115</v>
      </c>
      <c r="K31" s="61">
        <v>3425</v>
      </c>
      <c r="L31" s="61">
        <v>3377</v>
      </c>
      <c r="M31" s="61">
        <v>3482</v>
      </c>
      <c r="N31" s="61"/>
      <c r="O31" s="61"/>
      <c r="P31" s="61"/>
      <c r="Q31" s="61"/>
      <c r="R31" s="61"/>
      <c r="S31" s="61"/>
      <c r="T31" s="61"/>
      <c r="U31" s="61"/>
      <c r="V31" s="61"/>
      <c r="W31" s="61"/>
      <c r="X31" s="61"/>
      <c r="Y31" s="61"/>
    </row>
    <row r="32" spans="2:27" ht="16" customHeight="1" x14ac:dyDescent="0.35">
      <c r="B32" s="63" t="s">
        <v>206</v>
      </c>
      <c r="C32" s="63"/>
      <c r="D32" s="63"/>
      <c r="E32" s="63"/>
      <c r="F32" s="63"/>
      <c r="G32" s="63"/>
      <c r="H32" s="63"/>
      <c r="I32" s="63"/>
      <c r="J32" s="63"/>
      <c r="K32" s="63"/>
      <c r="L32" s="63"/>
      <c r="M32" s="63"/>
      <c r="N32" s="63"/>
      <c r="O32" s="63"/>
      <c r="P32" s="63"/>
      <c r="Q32" s="63"/>
      <c r="R32" s="63"/>
      <c r="S32" s="63"/>
      <c r="T32" s="63"/>
      <c r="U32" s="63"/>
      <c r="V32" s="63"/>
      <c r="W32" s="63"/>
      <c r="X32" s="63"/>
      <c r="Y32" s="63"/>
    </row>
    <row r="33" spans="14:14" x14ac:dyDescent="0.35">
      <c r="N33" s="12"/>
    </row>
    <row r="34" spans="14:14" x14ac:dyDescent="0.35">
      <c r="N34" s="12"/>
    </row>
  </sheetData>
  <mergeCells count="1">
    <mergeCell ref="B32:Y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1 (as in paper, 1 Oct)</vt:lpstr>
      <vt:lpstr>Table 1 (update 25 Nov)</vt:lpstr>
      <vt:lpstr>Other publishers (1 Oct)</vt:lpstr>
      <vt:lpstr>Other publishers (25 Nov)</vt:lpstr>
      <vt:lpstr>Figure 1 (as in paper, 23 Sep)</vt:lpstr>
      <vt:lpstr>Figure 1 (update 25 Nov)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Joost de Winter</dc:creator>
  <cp:lastModifiedBy>Joost de Winter</cp:lastModifiedBy>
  <dcterms:created xsi:type="dcterms:W3CDTF">2023-09-23T10:26:29Z</dcterms:created>
  <dcterms:modified xsi:type="dcterms:W3CDTF">2023-11-29T03:08:24Z</dcterms:modified>
</cp:coreProperties>
</file>