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koen_vangijn_wur_nl/Documents/PHD onedrive/4. Papers/3 effluents fractionation/data/fraction compositions/"/>
    </mc:Choice>
  </mc:AlternateContent>
  <xr:revisionPtr revIDLastSave="239" documentId="13_ncr:1_{C5A24C43-5EE2-4DF8-A152-0D52FAF55C36}" xr6:coauthVersionLast="47" xr6:coauthVersionMax="47" xr10:uidLastSave="{5A34F819-E8F6-41BF-9672-FB7E401AFCD7}"/>
  <bookViews>
    <workbookView xWindow="-19310" yWindow="-130" windowWidth="19420" windowHeight="10420" activeTab="1" xr2:uid="{00000000-000D-0000-FFFF-FFFF00000000}"/>
  </bookViews>
  <sheets>
    <sheet name="resin fractions" sheetId="1" r:id="rId1"/>
    <sheet name="size frac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3" i="2" l="1"/>
  <c r="P63" i="2"/>
  <c r="R66" i="2"/>
  <c r="S66" i="2"/>
  <c r="S62" i="2"/>
  <c r="R62" i="2"/>
  <c r="S63" i="2"/>
  <c r="R63" i="2"/>
  <c r="S64" i="2"/>
  <c r="R64" i="2"/>
  <c r="S65" i="2"/>
  <c r="R65" i="2"/>
  <c r="N64" i="2"/>
  <c r="O64" i="2"/>
  <c r="P64" i="2"/>
  <c r="N63" i="2"/>
  <c r="O63" i="2"/>
  <c r="N62" i="2"/>
  <c r="O62" i="2"/>
  <c r="P62" i="2"/>
  <c r="P66" i="2"/>
  <c r="O66" i="2"/>
  <c r="N66" i="2"/>
  <c r="P65" i="2"/>
  <c r="O65" i="2"/>
  <c r="N65" i="2"/>
  <c r="O61" i="2"/>
  <c r="P61" i="2"/>
  <c r="N61" i="2"/>
  <c r="M64" i="2"/>
  <c r="M63" i="2"/>
  <c r="M62" i="2"/>
  <c r="M66" i="2"/>
  <c r="M65" i="2"/>
  <c r="P19" i="2"/>
  <c r="O19" i="2"/>
  <c r="P18" i="2"/>
  <c r="O18" i="2"/>
  <c r="P17" i="2"/>
  <c r="O17" i="2"/>
  <c r="P16" i="2"/>
  <c r="O16" i="2"/>
  <c r="P15" i="2"/>
  <c r="O15" i="2"/>
  <c r="N19" i="2"/>
  <c r="M19" i="2"/>
  <c r="L19" i="2"/>
  <c r="L16" i="2"/>
  <c r="M16" i="2"/>
  <c r="N16" i="2"/>
  <c r="L17" i="2"/>
  <c r="M17" i="2"/>
  <c r="N17" i="2"/>
  <c r="L18" i="2"/>
  <c r="M18" i="2"/>
  <c r="N18" i="2"/>
  <c r="N15" i="2"/>
  <c r="M15" i="2"/>
  <c r="L15" i="2"/>
  <c r="K16" i="2"/>
  <c r="K17" i="2"/>
  <c r="K18" i="2"/>
  <c r="K19" i="2"/>
  <c r="K15" i="2"/>
  <c r="L5" i="2"/>
  <c r="I95" i="2"/>
  <c r="I79" i="2"/>
  <c r="I63" i="2"/>
  <c r="I32" i="2"/>
  <c r="I48" i="2"/>
  <c r="I14" i="2"/>
  <c r="I87" i="2"/>
  <c r="I88" i="2"/>
  <c r="I89" i="2"/>
  <c r="I86" i="2"/>
  <c r="I71" i="2"/>
  <c r="I72" i="2"/>
  <c r="I73" i="2"/>
  <c r="I70" i="2"/>
  <c r="I55" i="2"/>
  <c r="I56" i="2"/>
  <c r="I57" i="2"/>
  <c r="I54" i="2"/>
  <c r="I40" i="2"/>
  <c r="I41" i="2"/>
  <c r="I42" i="2"/>
  <c r="I39" i="2"/>
  <c r="I26" i="2"/>
  <c r="I25" i="2"/>
  <c r="I24" i="2"/>
  <c r="I23" i="2"/>
  <c r="H10" i="2" l="1"/>
  <c r="N53" i="2"/>
  <c r="P52" i="2"/>
  <c r="O52" i="2"/>
  <c r="N52" i="2"/>
  <c r="K6" i="2"/>
  <c r="K7" i="2"/>
  <c r="K8" i="2"/>
  <c r="K9" i="2"/>
  <c r="K5" i="2"/>
  <c r="L9" i="2"/>
  <c r="M9" i="2"/>
  <c r="N9" i="2"/>
  <c r="M6" i="2"/>
  <c r="M7" i="2"/>
  <c r="M8" i="2"/>
  <c r="M5" i="2"/>
  <c r="L6" i="2"/>
  <c r="N6" i="2"/>
  <c r="L7" i="2"/>
  <c r="N7" i="2"/>
  <c r="L8" i="2"/>
  <c r="N8" i="2"/>
  <c r="N5" i="2"/>
  <c r="N4" i="2"/>
  <c r="M4" i="2"/>
  <c r="L4" i="2"/>
  <c r="P9" i="2" l="1"/>
  <c r="O9" i="2"/>
  <c r="F91" i="2"/>
  <c r="H90" i="2"/>
  <c r="F89" i="2"/>
  <c r="H89" i="2" s="1"/>
  <c r="F88" i="2"/>
  <c r="H88" i="2" s="1"/>
  <c r="F87" i="2"/>
  <c r="H87" i="2" s="1"/>
  <c r="F86" i="2"/>
  <c r="H86" i="2" s="1"/>
  <c r="F85" i="2"/>
  <c r="F75" i="2"/>
  <c r="H74" i="2"/>
  <c r="F73" i="2"/>
  <c r="H73" i="2" s="1"/>
  <c r="F72" i="2"/>
  <c r="H72" i="2" s="1"/>
  <c r="F71" i="2"/>
  <c r="H71" i="2" s="1"/>
  <c r="F70" i="2"/>
  <c r="H70" i="2" s="1"/>
  <c r="F69" i="2"/>
  <c r="F59" i="2"/>
  <c r="P58" i="2"/>
  <c r="N58" i="2"/>
  <c r="M58" i="2"/>
  <c r="H58" i="2"/>
  <c r="P57" i="2"/>
  <c r="O58" i="2"/>
  <c r="N57" i="2"/>
  <c r="M57" i="2"/>
  <c r="F57" i="2"/>
  <c r="H57" i="2" s="1"/>
  <c r="P56" i="2"/>
  <c r="O57" i="2"/>
  <c r="N56" i="2"/>
  <c r="R56" i="2" s="1"/>
  <c r="M56" i="2"/>
  <c r="F56" i="2"/>
  <c r="H56" i="2" s="1"/>
  <c r="P55" i="2"/>
  <c r="O56" i="2"/>
  <c r="N55" i="2"/>
  <c r="M55" i="2"/>
  <c r="F55" i="2"/>
  <c r="H55" i="2" s="1"/>
  <c r="P54" i="2"/>
  <c r="O55" i="2"/>
  <c r="N54" i="2"/>
  <c r="M54" i="2"/>
  <c r="F54" i="2"/>
  <c r="H54" i="2" s="1"/>
  <c r="P53" i="2"/>
  <c r="O54" i="2"/>
  <c r="R53" i="2"/>
  <c r="M53" i="2"/>
  <c r="F53" i="2"/>
  <c r="O53" i="2"/>
  <c r="S53" i="2" s="1"/>
  <c r="F44" i="2"/>
  <c r="H43" i="2"/>
  <c r="F42" i="2"/>
  <c r="H42" i="2" s="1"/>
  <c r="F41" i="2"/>
  <c r="H41" i="2" s="1"/>
  <c r="F40" i="2"/>
  <c r="H40" i="2" s="1"/>
  <c r="F39" i="2"/>
  <c r="H39" i="2" s="1"/>
  <c r="F38" i="2"/>
  <c r="H38" i="2" s="1"/>
  <c r="F28" i="2"/>
  <c r="H27" i="2"/>
  <c r="F26" i="2"/>
  <c r="H26" i="2" s="1"/>
  <c r="F25" i="2"/>
  <c r="H25" i="2" s="1"/>
  <c r="F24" i="2"/>
  <c r="H24" i="2" s="1"/>
  <c r="F23" i="2"/>
  <c r="H23" i="2" s="1"/>
  <c r="F22" i="2"/>
  <c r="F29" i="2" s="1"/>
  <c r="F30" i="2" s="1"/>
  <c r="F11" i="2"/>
  <c r="F9" i="2"/>
  <c r="H9" i="2" s="1"/>
  <c r="P8" i="2"/>
  <c r="O8" i="2"/>
  <c r="F8" i="2"/>
  <c r="H8" i="2" s="1"/>
  <c r="P7" i="2"/>
  <c r="O7" i="2"/>
  <c r="F7" i="2"/>
  <c r="H7" i="2" s="1"/>
  <c r="P6" i="2"/>
  <c r="O6" i="2"/>
  <c r="F6" i="2"/>
  <c r="H6" i="2" s="1"/>
  <c r="P5" i="2"/>
  <c r="O5" i="2"/>
  <c r="F5" i="2"/>
  <c r="I6" i="2" l="1"/>
  <c r="F12" i="2"/>
  <c r="I9" i="2"/>
  <c r="H13" i="2"/>
  <c r="S57" i="2"/>
  <c r="I8" i="2"/>
  <c r="S55" i="2"/>
  <c r="I7" i="2"/>
  <c r="H22" i="2"/>
  <c r="S54" i="2"/>
  <c r="S58" i="2"/>
  <c r="F45" i="2"/>
  <c r="F46" i="2" s="1"/>
  <c r="R55" i="2"/>
  <c r="S56" i="2"/>
  <c r="T56" i="2" s="1"/>
  <c r="R57" i="2"/>
  <c r="T57" i="2" s="1"/>
  <c r="R54" i="2"/>
  <c r="T54" i="2" s="1"/>
  <c r="R7" i="2"/>
  <c r="R6" i="2"/>
  <c r="R8" i="2"/>
  <c r="R5" i="2"/>
  <c r="H62" i="2"/>
  <c r="H31" i="2"/>
  <c r="M10" i="2" s="1"/>
  <c r="H47" i="2"/>
  <c r="N10" i="2" s="1"/>
  <c r="H78" i="2"/>
  <c r="H94" i="2"/>
  <c r="H95" i="2" s="1"/>
  <c r="P59" i="2" s="1"/>
  <c r="H5" i="2"/>
  <c r="H53" i="2"/>
  <c r="R58" i="2"/>
  <c r="F60" i="2"/>
  <c r="F61" i="2" s="1"/>
  <c r="F76" i="2"/>
  <c r="F77" i="2" s="1"/>
  <c r="F92" i="2"/>
  <c r="F93" i="2" s="1"/>
  <c r="H69" i="2"/>
  <c r="H85" i="2"/>
  <c r="H9" i="1"/>
  <c r="T58" i="2" l="1"/>
  <c r="T55" i="2"/>
  <c r="H79" i="2"/>
  <c r="O59" i="2" s="1"/>
  <c r="L10" i="2"/>
  <c r="H63" i="2"/>
  <c r="N59" i="2" s="1"/>
  <c r="H29" i="1"/>
  <c r="F29" i="1"/>
  <c r="F28" i="1"/>
  <c r="H28" i="1" s="1"/>
  <c r="F27" i="1"/>
  <c r="H27" i="1" s="1"/>
  <c r="H26" i="1"/>
  <c r="F26" i="1"/>
  <c r="F25" i="1"/>
  <c r="H25" i="1" s="1"/>
  <c r="F18" i="1"/>
  <c r="H18" i="1" s="1"/>
  <c r="F17" i="1"/>
  <c r="H17" i="1" s="1"/>
  <c r="F16" i="1"/>
  <c r="H16" i="1" s="1"/>
  <c r="H15" i="1"/>
  <c r="H19" i="1" s="1"/>
  <c r="H20" i="1" s="1"/>
  <c r="F15" i="1"/>
  <c r="F14" i="1"/>
  <c r="H14" i="1" s="1"/>
  <c r="P7" i="1"/>
  <c r="O7" i="1"/>
  <c r="F7" i="1"/>
  <c r="H7" i="1" s="1"/>
  <c r="P6" i="1"/>
  <c r="O6" i="1"/>
  <c r="F6" i="1"/>
  <c r="H6" i="1" s="1"/>
  <c r="P5" i="1"/>
  <c r="O5" i="1"/>
  <c r="F5" i="1"/>
  <c r="H5" i="1" s="1"/>
  <c r="P4" i="1"/>
  <c r="O4" i="1"/>
  <c r="H4" i="1"/>
  <c r="F4" i="1"/>
  <c r="F3" i="1"/>
  <c r="H3" i="1" s="1"/>
  <c r="I29" i="1" s="1"/>
  <c r="R59" i="2" l="1"/>
  <c r="S59" i="2"/>
  <c r="T59" i="2" s="1"/>
  <c r="I28" i="1"/>
  <c r="H8" i="1"/>
  <c r="I18" i="1"/>
  <c r="I16" i="1"/>
  <c r="I17" i="1"/>
  <c r="I7" i="1"/>
  <c r="I5" i="1"/>
  <c r="I6" i="1"/>
  <c r="I26" i="1"/>
  <c r="H30" i="1"/>
  <c r="H31" i="1" s="1"/>
  <c r="I27" i="1"/>
  <c r="I4" i="1"/>
  <c r="I15" i="1"/>
</calcChain>
</file>

<file path=xl/sharedStrings.xml><?xml version="1.0" encoding="utf-8"?>
<sst xmlns="http://schemas.openxmlformats.org/spreadsheetml/2006/main" count="198" uniqueCount="38">
  <si>
    <t>bottle</t>
  </si>
  <si>
    <t>total</t>
  </si>
  <si>
    <t>volume ml</t>
  </si>
  <si>
    <t>absorbance</t>
  </si>
  <si>
    <t xml:space="preserve">Eaf </t>
  </si>
  <si>
    <t>mean</t>
  </si>
  <si>
    <t>stdev</t>
  </si>
  <si>
    <t>HOB</t>
  </si>
  <si>
    <t>HI</t>
  </si>
  <si>
    <t>HOA</t>
  </si>
  <si>
    <t>HON</t>
  </si>
  <si>
    <t>Total fractions</t>
  </si>
  <si>
    <t>loss</t>
  </si>
  <si>
    <t xml:space="preserve"> </t>
  </si>
  <si>
    <t>UV 254 balance</t>
  </si>
  <si>
    <t>Pollution check</t>
  </si>
  <si>
    <t>1 Demi MP</t>
  </si>
  <si>
    <t xml:space="preserve">Yes or no?  Actually there is a little bit increacing very little  </t>
  </si>
  <si>
    <t>Ration of fraction</t>
  </si>
  <si>
    <t>F4</t>
  </si>
  <si>
    <t>F3</t>
  </si>
  <si>
    <t>F2</t>
  </si>
  <si>
    <t>F1</t>
  </si>
  <si>
    <t>Eaf may diluted</t>
  </si>
  <si>
    <t>Dilution factor</t>
  </si>
  <si>
    <t>volume loss</t>
  </si>
  <si>
    <t>the volume loss came from the tube residue, membrane residue and when I change the membrane, there is leakage, so I don’t think I can assume it is F1</t>
  </si>
  <si>
    <t xml:space="preserve">Fractions </t>
  </si>
  <si>
    <t>2 Demi</t>
  </si>
  <si>
    <t>No?</t>
  </si>
  <si>
    <t>2 Demi MP</t>
  </si>
  <si>
    <t>Revised V loss</t>
  </si>
  <si>
    <t>Fractions</t>
  </si>
  <si>
    <t>3 DM</t>
  </si>
  <si>
    <t>3 DM MP</t>
  </si>
  <si>
    <t>av</t>
  </si>
  <si>
    <t>Absolute absorbance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</si>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</sst>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0" xfId="0" applyNumberFormat="1"/>
    <xf numFmtId="0" fontId="0" fillId="0" borderId="5" xfId="0" applyBorder="1"/>
    <xf numFmtId="10" fontId="0" fillId="0" borderId="0" xfId="1" applyNumberFormat="1" applyFont="1"/>
    <xf numFmtId="9" fontId="0" fillId="2" borderId="5" xfId="1" applyFont="1" applyFill="1" applyBorder="1"/>
    <xf numFmtId="9" fontId="0" fillId="0" borderId="0" xfId="1" applyFont="1" applyFill="1" applyBorder="1"/>
    <xf numFmtId="0" fontId="0" fillId="3" borderId="0" xfId="0" applyFill="1"/>
    <xf numFmtId="10" fontId="0" fillId="0" borderId="0" xfId="0" applyNumberFormat="1"/>
    <xf numFmtId="0" fontId="0" fillId="0" borderId="6" xfId="0" applyBorder="1"/>
    <xf numFmtId="164" fontId="0" fillId="0" borderId="6" xfId="0" applyNumberFormat="1" applyBorder="1"/>
    <xf numFmtId="0" fontId="0" fillId="0" borderId="7" xfId="0" applyBorder="1"/>
    <xf numFmtId="1" fontId="0" fillId="0" borderId="0" xfId="0" applyNumberFormat="1"/>
    <xf numFmtId="9" fontId="0" fillId="0" borderId="0" xfId="1" applyFont="1"/>
    <xf numFmtId="2" fontId="0" fillId="0" borderId="0" xfId="0" applyNumberFormat="1"/>
    <xf numFmtId="9" fontId="0" fillId="2" borderId="0" xfId="1" applyFont="1" applyFill="1"/>
    <xf numFmtId="0" fontId="0" fillId="2" borderId="0" xfId="0" applyFill="1"/>
    <xf numFmtId="0" fontId="0" fillId="2" borderId="5" xfId="0" applyFill="1" applyBorder="1"/>
    <xf numFmtId="2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165" fontId="0" fillId="0" borderId="0" xfId="1" applyNumberFormat="1" applyFont="1"/>
    <xf numFmtId="165" fontId="0" fillId="2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aseline="0"/>
              <a:t>Resin fractions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'resin fractions'!$P$4:$P$7</c:f>
                <c:numCache>
                  <c:formatCode>General</c:formatCode>
                  <c:ptCount val="4"/>
                  <c:pt idx="0">
                    <c:v>1.2654607771152031E-3</c:v>
                  </c:pt>
                  <c:pt idx="1">
                    <c:v>1.3550968271765523E-2</c:v>
                  </c:pt>
                  <c:pt idx="2">
                    <c:v>2.7734617192000594E-3</c:v>
                  </c:pt>
                  <c:pt idx="3">
                    <c:v>2.0019853663749011E-2</c:v>
                  </c:pt>
                </c:numCache>
              </c:numRef>
            </c:plus>
            <c:minus>
              <c:numRef>
                <c:f>'resin fractions'!$P$4:$P$7</c:f>
                <c:numCache>
                  <c:formatCode>General</c:formatCode>
                  <c:ptCount val="4"/>
                  <c:pt idx="0">
                    <c:v>1.2654607771152031E-3</c:v>
                  </c:pt>
                  <c:pt idx="1">
                    <c:v>1.3550968271765523E-2</c:v>
                  </c:pt>
                  <c:pt idx="2">
                    <c:v>2.7734617192000594E-3</c:v>
                  </c:pt>
                  <c:pt idx="3">
                    <c:v>2.0019853663749011E-2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'resin fractions'!$K$4:$K$7</c:f>
              <c:strCache>
                <c:ptCount val="4"/>
                <c:pt idx="0">
                  <c:v>HOB</c:v>
                </c:pt>
                <c:pt idx="1">
                  <c:v>HI</c:v>
                </c:pt>
                <c:pt idx="2">
                  <c:v>HOA</c:v>
                </c:pt>
                <c:pt idx="3">
                  <c:v>HON</c:v>
                </c:pt>
              </c:strCache>
            </c:strRef>
          </c:cat>
          <c:val>
            <c:numRef>
              <c:f>'resin fractions'!$O$4:$O$7</c:f>
              <c:numCache>
                <c:formatCode>0.00</c:formatCode>
                <c:ptCount val="4"/>
                <c:pt idx="0">
                  <c:v>3.9592714509586777E-2</c:v>
                </c:pt>
                <c:pt idx="1">
                  <c:v>0.31815183230587224</c:v>
                </c:pt>
                <c:pt idx="2">
                  <c:v>0.34651603704515027</c:v>
                </c:pt>
                <c:pt idx="3">
                  <c:v>0.16246591031243454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77-44CB-8D90-4AFFB69D2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4261376"/>
        <c:axId val="239515296"/>
      </c:barChart>
      <c:catAx>
        <c:axId val="31426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515296"/>
        <c:crosses val="autoZero"/>
        <c:auto val="1"/>
        <c:lblAlgn val="ctr"/>
        <c:lblOffset val="100"/>
        <c:noMultiLvlLbl val="0"/>
      </c:catAx>
      <c:valAx>
        <c:axId val="239515296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UV254 in resin fractions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261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</a:t>
            </a:r>
          </a:p>
        </c:rich>
      </c:tx>
      <c:layout>
        <c:manualLayout>
          <c:xMode val="edge"/>
          <c:yMode val="edge"/>
          <c:x val="0.94346522309711289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'size fractions'!$P$6:$P$9</c:f>
                <c:numCache>
                  <c:formatCode>General</c:formatCode>
                  <c:ptCount val="4"/>
                  <c:pt idx="0">
                    <c:v>1.1812530942311862E-2</c:v>
                  </c:pt>
                  <c:pt idx="1">
                    <c:v>8.0760386007516435E-3</c:v>
                  </c:pt>
                  <c:pt idx="2">
                    <c:v>5.5283381612251997E-3</c:v>
                  </c:pt>
                  <c:pt idx="3">
                    <c:v>6.6400873229525434E-3</c:v>
                  </c:pt>
                </c:numCache>
              </c:numRef>
            </c:plus>
            <c:minus>
              <c:numRef>
                <c:f>'size fractions'!$P$6:$P$9</c:f>
                <c:numCache>
                  <c:formatCode>General</c:formatCode>
                  <c:ptCount val="4"/>
                  <c:pt idx="0">
                    <c:v>1.1812530942311862E-2</c:v>
                  </c:pt>
                  <c:pt idx="1">
                    <c:v>8.0760386007516435E-3</c:v>
                  </c:pt>
                  <c:pt idx="2">
                    <c:v>5.5283381612251997E-3</c:v>
                  </c:pt>
                  <c:pt idx="3">
                    <c:v>6.6400873229525434E-3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'size fractions'!$K$6:$K$9</c:f>
              <c:strCache>
                <c:ptCount val="4"/>
                <c:pt idx="0">
                  <c:v>F4</c:v>
                </c:pt>
                <c:pt idx="1">
                  <c:v>F3</c:v>
                </c:pt>
                <c:pt idx="2">
                  <c:v>F2</c:v>
                </c:pt>
                <c:pt idx="3">
                  <c:v>F1</c:v>
                </c:pt>
              </c:strCache>
            </c:strRef>
          </c:cat>
          <c:val>
            <c:numRef>
              <c:f>'size fractions'!$O$6:$O$9</c:f>
              <c:numCache>
                <c:formatCode>0.00</c:formatCode>
                <c:ptCount val="4"/>
                <c:pt idx="0">
                  <c:v>2.6666665449738503E-2</c:v>
                </c:pt>
                <c:pt idx="1">
                  <c:v>0.10129999928176403</c:v>
                </c:pt>
                <c:pt idx="2">
                  <c:v>0.20590000165005526</c:v>
                </c:pt>
                <c:pt idx="3">
                  <c:v>0.31173333339393139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35-4707-BF8F-2B28A17AF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7236336"/>
        <c:axId val="697236992"/>
      </c:barChart>
      <c:catAx>
        <c:axId val="69723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992"/>
        <c:crosses val="autoZero"/>
        <c:auto val="1"/>
        <c:lblAlgn val="ctr"/>
        <c:lblOffset val="100"/>
        <c:noMultiLvlLbl val="0"/>
      </c:catAx>
      <c:valAx>
        <c:axId val="697236992"/>
        <c:scaling>
          <c:orientation val="minMax"/>
          <c:max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UV254 absorbace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'size fractions'!$S$54:$S$57</c:f>
                <c:numCache>
                  <c:formatCode>General</c:formatCode>
                  <c:ptCount val="4"/>
                  <c:pt idx="0">
                    <c:v>1.9157254298523374E-3</c:v>
                  </c:pt>
                  <c:pt idx="1">
                    <c:v>1.1514482285007703E-2</c:v>
                  </c:pt>
                  <c:pt idx="2">
                    <c:v>9.8147835412124157E-3</c:v>
                  </c:pt>
                  <c:pt idx="3">
                    <c:v>7.7693842437937125E-3</c:v>
                  </c:pt>
                </c:numCache>
              </c:numRef>
            </c:plus>
            <c:minus>
              <c:numRef>
                <c:f>'size fractions'!$S$54:$S$57</c:f>
                <c:numCache>
                  <c:formatCode>General</c:formatCode>
                  <c:ptCount val="4"/>
                  <c:pt idx="0">
                    <c:v>1.9157254298523374E-3</c:v>
                  </c:pt>
                  <c:pt idx="1">
                    <c:v>1.1514482285007703E-2</c:v>
                  </c:pt>
                  <c:pt idx="2">
                    <c:v>9.8147835412124157E-3</c:v>
                  </c:pt>
                  <c:pt idx="3">
                    <c:v>7.7693842437937125E-3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'size fractions'!$K$5:$K$8</c:f>
              <c:strCache>
                <c:ptCount val="4"/>
                <c:pt idx="0">
                  <c:v>Eaf </c:v>
                </c:pt>
                <c:pt idx="1">
                  <c:v>F4</c:v>
                </c:pt>
                <c:pt idx="2">
                  <c:v>F3</c:v>
                </c:pt>
                <c:pt idx="3">
                  <c:v>F2</c:v>
                </c:pt>
              </c:strCache>
            </c:strRef>
          </c:cat>
          <c:val>
            <c:numRef>
              <c:f>'size fractions'!$R$54:$R$57</c:f>
              <c:numCache>
                <c:formatCode>0.00</c:formatCode>
                <c:ptCount val="4"/>
                <c:pt idx="0">
                  <c:v>1.7000002165635426E-2</c:v>
                </c:pt>
                <c:pt idx="1">
                  <c:v>0.1060333326458931</c:v>
                </c:pt>
                <c:pt idx="2">
                  <c:v>0.20170000443855921</c:v>
                </c:pt>
                <c:pt idx="3">
                  <c:v>0.27986667801936466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0D-4811-9122-2A14144D7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7236336"/>
        <c:axId val="697236992"/>
      </c:barChart>
      <c:catAx>
        <c:axId val="69723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992"/>
        <c:crosses val="autoZero"/>
        <c:auto val="1"/>
        <c:lblAlgn val="ctr"/>
        <c:lblOffset val="100"/>
        <c:noMultiLvlLbl val="0"/>
      </c:catAx>
      <c:valAx>
        <c:axId val="69723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UV in membrane</a:t>
                </a:r>
                <a:r>
                  <a:rPr lang="en-GB" baseline="0"/>
                  <a:t> fractions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Membrane fractions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'size fractions'!$P$15:$P$19</c:f>
                <c:numCache>
                  <c:formatCode>General</c:formatCode>
                  <c:ptCount val="5"/>
                  <c:pt idx="0">
                    <c:v>1.0556919718306907</c:v>
                  </c:pt>
                  <c:pt idx="1">
                    <c:v>1.7850160322900073</c:v>
                  </c:pt>
                  <c:pt idx="2">
                    <c:v>1.733201850352428</c:v>
                  </c:pt>
                  <c:pt idx="3">
                    <c:v>4.9519655823741431</c:v>
                  </c:pt>
                  <c:pt idx="4">
                    <c:v>2.4931723772013958</c:v>
                  </c:pt>
                </c:numCache>
              </c:numRef>
            </c:plus>
            <c:minus>
              <c:numRef>
                <c:f>'size fractions'!$P$15:$P$19</c:f>
                <c:numCache>
                  <c:formatCode>General</c:formatCode>
                  <c:ptCount val="5"/>
                  <c:pt idx="0">
                    <c:v>1.0556919718306907</c:v>
                  </c:pt>
                  <c:pt idx="1">
                    <c:v>1.7850160322900073</c:v>
                  </c:pt>
                  <c:pt idx="2">
                    <c:v>1.733201850352428</c:v>
                  </c:pt>
                  <c:pt idx="3">
                    <c:v>4.9519655823741431</c:v>
                  </c:pt>
                  <c:pt idx="4">
                    <c:v>2.4931723772013958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'size fractions'!$K$15:$K$19</c:f>
              <c:strCache>
                <c:ptCount val="5"/>
                <c:pt idx="0">
                  <c:v>F4</c:v>
                </c:pt>
                <c:pt idx="1">
                  <c:v>F3</c:v>
                </c:pt>
                <c:pt idx="2">
                  <c:v>F2</c:v>
                </c:pt>
                <c:pt idx="3">
                  <c:v>F1</c:v>
                </c:pt>
                <c:pt idx="4">
                  <c:v>loss</c:v>
                </c:pt>
              </c:strCache>
            </c:strRef>
          </c:cat>
          <c:val>
            <c:numRef>
              <c:f>'size fractions'!$O$15:$O$19</c:f>
              <c:numCache>
                <c:formatCode>0.0</c:formatCode>
                <c:ptCount val="5"/>
                <c:pt idx="0">
                  <c:v>2.6817529984690647</c:v>
                </c:pt>
                <c:pt idx="1">
                  <c:v>11.044775954421324</c:v>
                </c:pt>
                <c:pt idx="2">
                  <c:v>21.39824297236181</c:v>
                </c:pt>
                <c:pt idx="3">
                  <c:v>56.790313088152097</c:v>
                </c:pt>
                <c:pt idx="4">
                  <c:v>8.0021562932321757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3F-44D8-8261-CBCF17AA4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7236336"/>
        <c:axId val="697236992"/>
      </c:barChart>
      <c:catAx>
        <c:axId val="69723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992"/>
        <c:crosses val="autoZero"/>
        <c:auto val="1"/>
        <c:lblAlgn val="ctr"/>
        <c:lblOffset val="100"/>
        <c:noMultiLvlLbl val="0"/>
      </c:catAx>
      <c:valAx>
        <c:axId val="69723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Fraction of total absorbance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</a:t>
            </a:r>
          </a:p>
        </c:rich>
      </c:tx>
      <c:layout>
        <c:manualLayout>
          <c:xMode val="edge"/>
          <c:yMode val="edge"/>
          <c:x val="0.93208333333333337"/>
          <c:y val="4.77949163588963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'size fractions'!$S$62:$S$66</c:f>
                <c:numCache>
                  <c:formatCode>General</c:formatCode>
                  <c:ptCount val="5"/>
                  <c:pt idx="0">
                    <c:v>2.6790947682828699</c:v>
                  </c:pt>
                  <c:pt idx="1">
                    <c:v>4.3948763442785683</c:v>
                  </c:pt>
                  <c:pt idx="2">
                    <c:v>1.2161035326171168</c:v>
                  </c:pt>
                  <c:pt idx="3">
                    <c:v>0.20983091030645298</c:v>
                  </c:pt>
                  <c:pt idx="4">
                    <c:v>3.8859023212823138</c:v>
                  </c:pt>
                </c:numCache>
              </c:numRef>
            </c:plus>
            <c:minus>
              <c:numRef>
                <c:f>'size fractions'!$S$62:$S$66</c:f>
                <c:numCache>
                  <c:formatCode>General</c:formatCode>
                  <c:ptCount val="5"/>
                  <c:pt idx="0">
                    <c:v>2.6790947682828699</c:v>
                  </c:pt>
                  <c:pt idx="1">
                    <c:v>4.3948763442785683</c:v>
                  </c:pt>
                  <c:pt idx="2">
                    <c:v>1.2161035326171168</c:v>
                  </c:pt>
                  <c:pt idx="3">
                    <c:v>0.20983091030645298</c:v>
                  </c:pt>
                  <c:pt idx="4">
                    <c:v>3.8859023212823138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'size fractions'!$M$62:$M$66</c:f>
              <c:strCache>
                <c:ptCount val="5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loss</c:v>
                </c:pt>
              </c:strCache>
            </c:strRef>
          </c:cat>
          <c:val>
            <c:numRef>
              <c:f>'size fractions'!$R$62:$R$66</c:f>
              <c:numCache>
                <c:formatCode>0.0</c:formatCode>
                <c:ptCount val="5"/>
                <c:pt idx="0">
                  <c:v>52.483515706323743</c:v>
                </c:pt>
                <c:pt idx="1">
                  <c:v>22.490021035899691</c:v>
                </c:pt>
                <c:pt idx="2">
                  <c:v>11.267683650683923</c:v>
                </c:pt>
                <c:pt idx="3">
                  <c:v>1.7384070644884437</c:v>
                </c:pt>
                <c:pt idx="4">
                  <c:v>19.705557692396464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9D-453C-B660-01E5224B4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7236336"/>
        <c:axId val="697236992"/>
      </c:barChart>
      <c:catAx>
        <c:axId val="697236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Size fractions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992"/>
        <c:crosses val="autoZero"/>
        <c:auto val="1"/>
        <c:lblAlgn val="ctr"/>
        <c:lblOffset val="100"/>
        <c:noMultiLvlLbl val="0"/>
      </c:catAx>
      <c:valAx>
        <c:axId val="69723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Part</a:t>
                </a:r>
                <a:r>
                  <a:rPr lang="en-GB" baseline="0"/>
                  <a:t> </a:t>
                </a:r>
                <a:r>
                  <a:rPr lang="en-GB"/>
                  <a:t>of total UV254 absorbance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264318</xdr:colOff>
      <xdr:row>9</xdr:row>
      <xdr:rowOff>54768</xdr:rowOff>
    </xdr:from>
    <xdr:to>
      <xdr:col>17</xdr:col>
      <xdr:colOff>302418</xdr:colOff>
      <xdr:row>24</xdr:row>
      <xdr:rowOff>83343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5DE45BA-920A-495E-9086-0342E1ECFC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519112</xdr:colOff>
      <xdr:row>1</xdr:row>
      <xdr:rowOff>14287</xdr:rowOff>
    </xdr:from>
    <xdr:to>
      <xdr:col>26</xdr:col>
      <xdr:colOff>214312</xdr:colOff>
      <xdr:row>15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031853-D37A-4295-95B2-B41061A467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180975</xdr:colOff>
      <xdr:row>47</xdr:row>
      <xdr:rowOff>57150</xdr:rowOff>
    </xdr:from>
    <xdr:to>
      <xdr:col>27</xdr:col>
      <xdr:colOff>485775</xdr:colOff>
      <xdr:row>61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8BC655-01AD-48E7-A6D9-E0B95221A5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57150</xdr:colOff>
      <xdr:row>21</xdr:row>
      <xdr:rowOff>95250</xdr:rowOff>
    </xdr:from>
    <xdr:to>
      <xdr:col>20</xdr:col>
      <xdr:colOff>361950</xdr:colOff>
      <xdr:row>35</xdr:row>
      <xdr:rowOff>171450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FBA2BEDE-A341-46BA-A121-F519A2BA6F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247650</xdr:colOff>
      <xdr:row>67</xdr:row>
      <xdr:rowOff>161924</xdr:rowOff>
    </xdr:from>
    <xdr:to>
      <xdr:col>20</xdr:col>
      <xdr:colOff>552450</xdr:colOff>
      <xdr:row>83</xdr:row>
      <xdr:rowOff>40004</xdr:rowOff>
    </xdr:to>
    <xdr:graphicFrame macro="">
      <xdr:nvGraphicFramePr>
        <xdr:cNvPr id="5" name="Chart 2">
          <a:extLst>
            <a:ext uri="{FF2B5EF4-FFF2-40B4-BE49-F238E27FC236}">
              <a16:creationId xmlns:a16="http://schemas.microsoft.com/office/drawing/2014/main" id="{6D05E36D-1167-46B3-8543-BDFED3128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1"/>
  <sheetViews>
    <sheetView topLeftCell="A4" workbookViewId="0">
      <selection activeCell="V22" sqref="V22"/>
    </sheetView>
  </sheetViews>
  <sheetFormatPr defaultRowHeight="15" x14ac:dyDescent="0.25"/>
  <sheetData>
    <row r="1" spans="1:16" x14ac:dyDescent="0.25">
      <c r="A1">
        <v>1</v>
      </c>
    </row>
    <row r="2" spans="1:16" x14ac:dyDescent="0.25">
      <c r="B2" t="s">
        <v>0</v>
      </c>
      <c r="C2" t="s">
        <v>1</v>
      </c>
      <c r="E2" s="1"/>
      <c r="F2" s="2" t="s">
        <v>2</v>
      </c>
      <c r="G2" s="2" t="s">
        <v>3</v>
      </c>
      <c r="H2" s="3"/>
    </row>
    <row r="3" spans="1:16" x14ac:dyDescent="0.25">
      <c r="A3" s="4" t="s">
        <v>4</v>
      </c>
      <c r="B3">
        <v>122.09</v>
      </c>
      <c r="C3">
        <v>331.86</v>
      </c>
      <c r="E3" s="4" t="s">
        <v>4</v>
      </c>
      <c r="F3">
        <f>C3-B3</f>
        <v>209.77</v>
      </c>
      <c r="G3" s="5">
        <v>0.19675000570714474</v>
      </c>
      <c r="H3" s="6">
        <f>F3*G3</f>
        <v>41.272248697187756</v>
      </c>
      <c r="O3" t="s">
        <v>5</v>
      </c>
      <c r="P3" t="s">
        <v>6</v>
      </c>
    </row>
    <row r="4" spans="1:16" x14ac:dyDescent="0.25">
      <c r="A4" s="4" t="s">
        <v>7</v>
      </c>
      <c r="B4">
        <v>137.36000000000001</v>
      </c>
      <c r="C4">
        <v>237.01</v>
      </c>
      <c r="D4">
        <v>2.9</v>
      </c>
      <c r="E4" s="4" t="s">
        <v>7</v>
      </c>
      <c r="F4">
        <f>C4-B4+D4</f>
        <v>102.54999999999998</v>
      </c>
      <c r="G4" s="5">
        <v>1.6300000250339508E-2</v>
      </c>
      <c r="H4" s="6">
        <f t="shared" ref="H4:H7" si="0">F4*G4</f>
        <v>1.6715650256723162</v>
      </c>
      <c r="I4" s="7">
        <f>H4/$H$3</f>
        <v>4.0500943816667176E-2</v>
      </c>
      <c r="J4" s="7"/>
      <c r="K4" t="s">
        <v>7</v>
      </c>
      <c r="L4">
        <v>4.0500943816667176E-2</v>
      </c>
      <c r="M4">
        <v>3.8147272149010598E-2</v>
      </c>
      <c r="N4">
        <v>4.0129927563082549E-2</v>
      </c>
      <c r="O4" s="21">
        <f>AVERAGE(L4:N4)</f>
        <v>3.9592714509586777E-2</v>
      </c>
      <c r="P4">
        <f>_xlfn.STDEV.S(L4:N4)</f>
        <v>1.2654607771152031E-3</v>
      </c>
    </row>
    <row r="5" spans="1:16" x14ac:dyDescent="0.25">
      <c r="A5" s="4" t="s">
        <v>8</v>
      </c>
      <c r="B5">
        <v>139.65</v>
      </c>
      <c r="C5">
        <v>347.22</v>
      </c>
      <c r="D5">
        <v>0.4</v>
      </c>
      <c r="E5" s="4" t="s">
        <v>8</v>
      </c>
      <c r="F5">
        <f>C5-B5+D5</f>
        <v>207.97000000000003</v>
      </c>
      <c r="G5" s="5">
        <v>6.0199998319149017E-2</v>
      </c>
      <c r="H5" s="6">
        <f t="shared" si="0"/>
        <v>12.519793650433423</v>
      </c>
      <c r="I5" s="7">
        <f t="shared" ref="I5:I7" si="1">H5/$H$3</f>
        <v>0.30334653539937861</v>
      </c>
      <c r="J5" s="7"/>
      <c r="K5" t="s">
        <v>8</v>
      </c>
      <c r="L5">
        <v>0.30334653539937861</v>
      </c>
      <c r="M5">
        <v>0.32116914967294952</v>
      </c>
      <c r="N5">
        <v>0.32993981184528848</v>
      </c>
      <c r="O5" s="21">
        <f t="shared" ref="O5:O7" si="2">AVERAGE(L5:N5)</f>
        <v>0.31815183230587224</v>
      </c>
      <c r="P5">
        <f t="shared" ref="P5:P7" si="3">_xlfn.STDEV.S(L5:N5)</f>
        <v>1.3550968271765523E-2</v>
      </c>
    </row>
    <row r="6" spans="1:16" x14ac:dyDescent="0.25">
      <c r="A6" s="4" t="s">
        <v>9</v>
      </c>
      <c r="B6">
        <v>139.57</v>
      </c>
      <c r="C6">
        <v>346.15</v>
      </c>
      <c r="D6">
        <v>3</v>
      </c>
      <c r="E6" s="4" t="s">
        <v>9</v>
      </c>
      <c r="F6">
        <f>C6-B6+D6</f>
        <v>209.57999999999998</v>
      </c>
      <c r="G6" s="5">
        <v>6.7699998617172241E-2</v>
      </c>
      <c r="H6" s="6">
        <f t="shared" si="0"/>
        <v>14.188565710186957</v>
      </c>
      <c r="I6" s="7">
        <f t="shared" si="1"/>
        <v>0.34377980745095066</v>
      </c>
      <c r="J6" s="7"/>
      <c r="K6" t="s">
        <v>9</v>
      </c>
      <c r="L6">
        <v>0.34377980745095066</v>
      </c>
      <c r="M6">
        <v>0.34644301492518159</v>
      </c>
      <c r="N6">
        <v>0.34932528875931862</v>
      </c>
      <c r="O6" s="21">
        <f t="shared" si="2"/>
        <v>0.34651603704515027</v>
      </c>
      <c r="P6">
        <f t="shared" si="3"/>
        <v>2.7734617192000594E-3</v>
      </c>
    </row>
    <row r="7" spans="1:16" x14ac:dyDescent="0.25">
      <c r="A7" s="4" t="s">
        <v>10</v>
      </c>
      <c r="B7">
        <v>258.61</v>
      </c>
      <c r="C7">
        <v>450.48</v>
      </c>
      <c r="E7" s="4" t="s">
        <v>10</v>
      </c>
      <c r="F7">
        <f t="shared" ref="F7" si="4">C7-B7</f>
        <v>191.87</v>
      </c>
      <c r="G7" s="5">
        <v>3.2099999487400055E-2</v>
      </c>
      <c r="H7" s="6">
        <f t="shared" si="0"/>
        <v>6.159026901647449</v>
      </c>
      <c r="I7" s="7">
        <f t="shared" si="1"/>
        <v>0.14922925442797882</v>
      </c>
      <c r="J7" s="7"/>
      <c r="K7" t="s">
        <v>10</v>
      </c>
      <c r="L7">
        <v>0.14922925442797882</v>
      </c>
      <c r="M7">
        <v>0.15267120238480267</v>
      </c>
      <c r="N7">
        <v>0.18549727412452216</v>
      </c>
      <c r="O7" s="21">
        <f t="shared" si="2"/>
        <v>0.16246591031243454</v>
      </c>
      <c r="P7">
        <f t="shared" si="3"/>
        <v>2.0019853663749011E-2</v>
      </c>
    </row>
    <row r="8" spans="1:16" x14ac:dyDescent="0.25">
      <c r="E8" s="4" t="s">
        <v>11</v>
      </c>
      <c r="H8" s="6">
        <f>SUM(H4:H7)</f>
        <v>34.538951287940144</v>
      </c>
    </row>
    <row r="9" spans="1:16" x14ac:dyDescent="0.25">
      <c r="E9" s="4" t="s">
        <v>12</v>
      </c>
      <c r="G9" t="s">
        <v>13</v>
      </c>
      <c r="H9" s="8">
        <f>H8/H3-1</f>
        <v>-0.1631434589050248</v>
      </c>
    </row>
    <row r="12" spans="1:16" x14ac:dyDescent="0.25">
      <c r="A12">
        <v>2</v>
      </c>
    </row>
    <row r="13" spans="1:16" x14ac:dyDescent="0.25">
      <c r="B13" t="s">
        <v>0</v>
      </c>
      <c r="C13" t="s">
        <v>1</v>
      </c>
      <c r="E13" s="1"/>
      <c r="F13" s="2" t="s">
        <v>2</v>
      </c>
      <c r="G13" s="2" t="s">
        <v>3</v>
      </c>
      <c r="H13" s="3"/>
    </row>
    <row r="14" spans="1:16" x14ac:dyDescent="0.25">
      <c r="A14" s="4" t="s">
        <v>4</v>
      </c>
      <c r="B14">
        <v>102.04</v>
      </c>
      <c r="C14">
        <v>309.14999999999998</v>
      </c>
      <c r="E14" s="4" t="s">
        <v>4</v>
      </c>
      <c r="F14">
        <f>C14-B14</f>
        <v>207.10999999999996</v>
      </c>
      <c r="G14" s="5">
        <v>0.19675000570714474</v>
      </c>
      <c r="H14" s="6">
        <f>F14*G14</f>
        <v>40.748893682006738</v>
      </c>
    </row>
    <row r="15" spans="1:16" x14ac:dyDescent="0.25">
      <c r="A15" s="4" t="s">
        <v>7</v>
      </c>
      <c r="B15">
        <v>137.38999999999999</v>
      </c>
      <c r="C15">
        <v>241.32</v>
      </c>
      <c r="D15">
        <v>2.4500000000000002</v>
      </c>
      <c r="E15" s="4" t="s">
        <v>7</v>
      </c>
      <c r="F15">
        <f>C15-B15+D15</f>
        <v>106.38000000000001</v>
      </c>
      <c r="G15" s="5">
        <v>1.4799997210502625E-2</v>
      </c>
      <c r="H15" s="6">
        <f t="shared" ref="H15:H18" si="5">F15*G15</f>
        <v>1.5744237032532693</v>
      </c>
      <c r="I15" s="7">
        <f>H15/$H$3</f>
        <v>3.8147272149010598E-2</v>
      </c>
      <c r="J15" s="7"/>
    </row>
    <row r="16" spans="1:16" x14ac:dyDescent="0.25">
      <c r="A16" s="4" t="s">
        <v>8</v>
      </c>
      <c r="B16">
        <v>138.93</v>
      </c>
      <c r="C16">
        <v>345</v>
      </c>
      <c r="D16">
        <v>0.4</v>
      </c>
      <c r="E16" s="4" t="s">
        <v>8</v>
      </c>
      <c r="F16">
        <f>C16-B16+D16</f>
        <v>206.47</v>
      </c>
      <c r="G16" s="5">
        <v>6.4199995249509811E-2</v>
      </c>
      <c r="H16" s="6">
        <f t="shared" si="5"/>
        <v>13.25537301916629</v>
      </c>
      <c r="I16" s="7">
        <f t="shared" ref="I16:I18" si="6">H16/$H$3</f>
        <v>0.32116914967294952</v>
      </c>
      <c r="J16" s="7"/>
    </row>
    <row r="17" spans="1:10" x14ac:dyDescent="0.25">
      <c r="A17" s="4" t="s">
        <v>9</v>
      </c>
      <c r="B17">
        <v>139.03</v>
      </c>
      <c r="C17">
        <v>342.06</v>
      </c>
      <c r="D17">
        <v>3</v>
      </c>
      <c r="E17" s="4" t="s">
        <v>9</v>
      </c>
      <c r="F17">
        <f>C17-B17+D17</f>
        <v>206.03</v>
      </c>
      <c r="G17" s="5">
        <v>6.940000131726265E-2</v>
      </c>
      <c r="H17" s="6">
        <f t="shared" si="5"/>
        <v>14.298482271395624</v>
      </c>
      <c r="I17" s="7">
        <f t="shared" si="6"/>
        <v>0.34644301492518159</v>
      </c>
      <c r="J17" s="7"/>
    </row>
    <row r="18" spans="1:10" x14ac:dyDescent="0.25">
      <c r="A18" s="4" t="s">
        <v>10</v>
      </c>
      <c r="B18">
        <v>259.79000000000002</v>
      </c>
      <c r="C18">
        <v>454.87</v>
      </c>
      <c r="E18" s="4" t="s">
        <v>10</v>
      </c>
      <c r="F18">
        <f t="shared" ref="F18" si="7">C18-B18</f>
        <v>195.07999999999998</v>
      </c>
      <c r="G18" s="5">
        <v>3.229999914765358E-2</v>
      </c>
      <c r="H18" s="6">
        <f t="shared" si="5"/>
        <v>6.3010838337242596</v>
      </c>
      <c r="I18" s="7">
        <f t="shared" si="6"/>
        <v>0.15267120238480267</v>
      </c>
      <c r="J18" s="7"/>
    </row>
    <row r="19" spans="1:10" x14ac:dyDescent="0.25">
      <c r="E19" s="4" t="s">
        <v>11</v>
      </c>
      <c r="H19" s="6">
        <f>SUM(H15:H18)</f>
        <v>35.429362827539443</v>
      </c>
    </row>
    <row r="20" spans="1:10" x14ac:dyDescent="0.25">
      <c r="E20" s="4" t="s">
        <v>12</v>
      </c>
      <c r="G20" t="s">
        <v>13</v>
      </c>
      <c r="H20" s="8">
        <f>H19/H14-1</f>
        <v>-0.13054417859732503</v>
      </c>
    </row>
    <row r="21" spans="1:10" x14ac:dyDescent="0.25">
      <c r="H21" s="9"/>
    </row>
    <row r="23" spans="1:10" x14ac:dyDescent="0.25">
      <c r="A23">
        <v>3</v>
      </c>
    </row>
    <row r="24" spans="1:10" x14ac:dyDescent="0.25">
      <c r="B24" t="s">
        <v>0</v>
      </c>
      <c r="C24" t="s">
        <v>1</v>
      </c>
      <c r="E24" s="1"/>
      <c r="F24" s="2" t="s">
        <v>2</v>
      </c>
      <c r="G24" s="2" t="s">
        <v>3</v>
      </c>
      <c r="H24" s="3"/>
    </row>
    <row r="25" spans="1:10" x14ac:dyDescent="0.25">
      <c r="A25" s="4" t="s">
        <v>4</v>
      </c>
      <c r="B25">
        <v>105.32</v>
      </c>
      <c r="C25">
        <v>314.36</v>
      </c>
      <c r="E25" s="4" t="s">
        <v>4</v>
      </c>
      <c r="F25">
        <f>C25-B25</f>
        <v>209.04000000000002</v>
      </c>
      <c r="G25" s="5">
        <v>0.19675000570714474</v>
      </c>
      <c r="H25" s="6">
        <f>F25*G25</f>
        <v>41.128621193021537</v>
      </c>
    </row>
    <row r="26" spans="1:10" x14ac:dyDescent="0.25">
      <c r="A26" s="4" t="s">
        <v>7</v>
      </c>
      <c r="B26">
        <v>139.09</v>
      </c>
      <c r="C26">
        <v>242.81</v>
      </c>
      <c r="D26">
        <v>2.4500000000000002</v>
      </c>
      <c r="E26" s="4" t="s">
        <v>7</v>
      </c>
      <c r="F26">
        <f>C26-B26+D26</f>
        <v>106.17</v>
      </c>
      <c r="G26" s="5">
        <v>1.5600003302097321E-2</v>
      </c>
      <c r="H26" s="6">
        <f t="shared" ref="H26:H29" si="8">F26*G26</f>
        <v>1.6562523505836726</v>
      </c>
      <c r="I26" s="7">
        <f>H26/$H$3</f>
        <v>4.0129927563082549E-2</v>
      </c>
      <c r="J26" s="7"/>
    </row>
    <row r="27" spans="1:10" x14ac:dyDescent="0.25">
      <c r="A27" s="4" t="s">
        <v>8</v>
      </c>
      <c r="B27">
        <v>139.4</v>
      </c>
      <c r="C27">
        <v>344.39</v>
      </c>
      <c r="D27">
        <v>0.4</v>
      </c>
      <c r="E27" s="4" t="s">
        <v>8</v>
      </c>
      <c r="F27">
        <f>C27-B27+D27</f>
        <v>205.39</v>
      </c>
      <c r="G27" s="5">
        <v>6.6300004720687866E-2</v>
      </c>
      <c r="H27" s="6">
        <f t="shared" si="8"/>
        <v>13.617357969582081</v>
      </c>
      <c r="I27" s="7">
        <f t="shared" ref="I27:I29" si="9">H27/$H$3</f>
        <v>0.32993981184528848</v>
      </c>
      <c r="J27" s="7"/>
    </row>
    <row r="28" spans="1:10" x14ac:dyDescent="0.25">
      <c r="A28" s="4" t="s">
        <v>9</v>
      </c>
      <c r="B28">
        <v>139.54</v>
      </c>
      <c r="C28">
        <v>337.34</v>
      </c>
      <c r="D28">
        <v>3</v>
      </c>
      <c r="E28" s="4" t="s">
        <v>9</v>
      </c>
      <c r="F28">
        <f>C28-B28+D28</f>
        <v>200.79999999999998</v>
      </c>
      <c r="G28" s="5">
        <v>7.1800000965595245E-2</v>
      </c>
      <c r="H28" s="6">
        <f t="shared" si="8"/>
        <v>14.417440193891524</v>
      </c>
      <c r="I28" s="7">
        <f t="shared" si="9"/>
        <v>0.34932528875931862</v>
      </c>
      <c r="J28" s="7"/>
    </row>
    <row r="29" spans="1:10" x14ac:dyDescent="0.25">
      <c r="A29" s="4" t="s">
        <v>10</v>
      </c>
      <c r="B29">
        <v>257.58999999999997</v>
      </c>
      <c r="C29">
        <v>451.41</v>
      </c>
      <c r="E29" s="4" t="s">
        <v>10</v>
      </c>
      <c r="F29">
        <f t="shared" ref="F29" si="10">C29-B29</f>
        <v>193.82000000000005</v>
      </c>
      <c r="G29" s="5">
        <v>3.9499998092651367E-2</v>
      </c>
      <c r="H29" s="6">
        <f t="shared" si="8"/>
        <v>7.6558896303176898</v>
      </c>
      <c r="I29" s="7">
        <f t="shared" si="9"/>
        <v>0.18549727412452216</v>
      </c>
      <c r="J29" s="7"/>
    </row>
    <row r="30" spans="1:10" x14ac:dyDescent="0.25">
      <c r="E30" s="4" t="s">
        <v>11</v>
      </c>
      <c r="H30" s="6">
        <f>SUM(H26:H29)</f>
        <v>37.346940144374969</v>
      </c>
    </row>
    <row r="31" spans="1:10" x14ac:dyDescent="0.25">
      <c r="E31" s="4" t="s">
        <v>12</v>
      </c>
      <c r="G31" t="s">
        <v>13</v>
      </c>
      <c r="H31" s="8">
        <f>H30/H25-1</f>
        <v>-9.1947673881375369E-2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AB658-FEE7-450F-A5AD-9518EFE97301}">
  <dimension ref="A1:T95"/>
  <sheetViews>
    <sheetView tabSelected="1" topLeftCell="F67" workbookViewId="0">
      <selection activeCell="X72" sqref="X72"/>
    </sheetView>
  </sheetViews>
  <sheetFormatPr defaultRowHeight="15" x14ac:dyDescent="0.25"/>
  <cols>
    <col min="1" max="1" width="13.28515625" customWidth="1"/>
    <col min="5" max="5" width="13.7109375" customWidth="1"/>
    <col min="6" max="6" width="10.140625" bestFit="1" customWidth="1"/>
    <col min="7" max="7" width="11.28515625" customWidth="1"/>
    <col min="9" max="9" width="16.5703125" customWidth="1"/>
  </cols>
  <sheetData>
    <row r="1" spans="1:18" x14ac:dyDescent="0.25">
      <c r="A1">
        <v>1</v>
      </c>
      <c r="E1" t="s">
        <v>14</v>
      </c>
    </row>
    <row r="2" spans="1:18" x14ac:dyDescent="0.25">
      <c r="E2" s="10" t="s">
        <v>15</v>
      </c>
      <c r="F2" s="10">
        <v>-1.4999695122241974E-4</v>
      </c>
      <c r="G2" s="10" t="s">
        <v>16</v>
      </c>
    </row>
    <row r="3" spans="1:18" x14ac:dyDescent="0.25">
      <c r="E3" t="s">
        <v>17</v>
      </c>
    </row>
    <row r="4" spans="1:18" x14ac:dyDescent="0.25">
      <c r="B4" t="s">
        <v>0</v>
      </c>
      <c r="C4" t="s">
        <v>1</v>
      </c>
      <c r="E4" s="1"/>
      <c r="F4" s="2" t="s">
        <v>2</v>
      </c>
      <c r="G4" s="2" t="s">
        <v>3</v>
      </c>
      <c r="H4" s="3"/>
      <c r="I4" t="s">
        <v>18</v>
      </c>
      <c r="K4" t="s">
        <v>36</v>
      </c>
      <c r="L4">
        <f>A1</f>
        <v>1</v>
      </c>
      <c r="M4">
        <f>A18</f>
        <v>2</v>
      </c>
      <c r="N4">
        <f>A34</f>
        <v>3</v>
      </c>
      <c r="O4" t="s">
        <v>5</v>
      </c>
      <c r="P4" t="s">
        <v>6</v>
      </c>
    </row>
    <row r="5" spans="1:18" x14ac:dyDescent="0.25">
      <c r="A5" s="4" t="s">
        <v>4</v>
      </c>
      <c r="B5">
        <v>286.18</v>
      </c>
      <c r="C5">
        <v>1285.95</v>
      </c>
      <c r="E5" s="4" t="s">
        <v>4</v>
      </c>
      <c r="F5">
        <f>C5-B5</f>
        <v>999.77</v>
      </c>
      <c r="G5" s="5">
        <v>0.19675000570714474</v>
      </c>
      <c r="H5" s="6">
        <f>F5*G5</f>
        <v>196.70475320583208</v>
      </c>
      <c r="K5" s="4" t="str">
        <f>E5</f>
        <v xml:space="preserve">Eaf </v>
      </c>
      <c r="L5" s="5">
        <f>G5</f>
        <v>0.19675000570714474</v>
      </c>
      <c r="M5" s="5">
        <f>G22</f>
        <v>0.19659999758005142</v>
      </c>
      <c r="N5">
        <f>G38</f>
        <v>0.19795000180602074</v>
      </c>
      <c r="O5" s="17">
        <f>AVERAGE(L5:N5)</f>
        <v>0.19710000169773897</v>
      </c>
      <c r="P5">
        <f>_xlfn.STDEV.S(L5:N5)</f>
        <v>7.3993293453378489E-4</v>
      </c>
      <c r="R5" s="11">
        <f>P5/O5</f>
        <v>3.7540990774241733E-3</v>
      </c>
    </row>
    <row r="6" spans="1:18" x14ac:dyDescent="0.25">
      <c r="A6" s="4" t="s">
        <v>19</v>
      </c>
      <c r="B6">
        <v>108.82</v>
      </c>
      <c r="C6">
        <v>296.85000000000002</v>
      </c>
      <c r="E6" s="4" t="s">
        <v>19</v>
      </c>
      <c r="F6">
        <f t="shared" ref="F6:F9" si="0">C6-B6</f>
        <v>188.03000000000003</v>
      </c>
      <c r="G6" s="5">
        <v>4.0250001475214958E-2</v>
      </c>
      <c r="H6" s="6">
        <f t="shared" ref="H6:H9" si="1">F6*G6</f>
        <v>7.5682077773846697</v>
      </c>
      <c r="I6" s="23">
        <f>H6/($H$5-$H$10)*100</f>
        <v>3.8902992719307714</v>
      </c>
      <c r="K6" s="4" t="str">
        <f t="shared" ref="K6:K9" si="2">E6</f>
        <v>F4</v>
      </c>
      <c r="L6" s="5">
        <f t="shared" ref="L6:L8" si="3">G6</f>
        <v>4.0250001475214958E-2</v>
      </c>
      <c r="M6" s="5">
        <f t="shared" ref="M6:M8" si="4">G23</f>
        <v>1.8799997866153717E-2</v>
      </c>
      <c r="N6">
        <f t="shared" ref="N6:N8" si="5">G39</f>
        <v>2.0949997007846832E-2</v>
      </c>
      <c r="O6" s="17">
        <f t="shared" ref="O6:O8" si="6">AVERAGE(L6:N6)</f>
        <v>2.6666665449738503E-2</v>
      </c>
      <c r="P6">
        <f t="shared" ref="P6:P8" si="7">_xlfn.STDEV.S(L6:N6)</f>
        <v>1.1812530942311862E-2</v>
      </c>
      <c r="R6" s="11">
        <f t="shared" ref="R6:R8" si="8">P6/O6</f>
        <v>0.44296993055154177</v>
      </c>
    </row>
    <row r="7" spans="1:18" x14ac:dyDescent="0.25">
      <c r="A7" s="4" t="s">
        <v>20</v>
      </c>
      <c r="B7">
        <v>117.13</v>
      </c>
      <c r="C7">
        <v>308.39999999999998</v>
      </c>
      <c r="E7" s="4" t="s">
        <v>20</v>
      </c>
      <c r="F7">
        <f t="shared" si="0"/>
        <v>191.26999999999998</v>
      </c>
      <c r="G7" s="5">
        <v>9.2050006613135338E-2</v>
      </c>
      <c r="H7" s="6">
        <f t="shared" si="1"/>
        <v>17.606404764894393</v>
      </c>
      <c r="I7" s="23">
        <f t="shared" ref="I7:I9" si="9">H7/($H$5-$H$10)*100</f>
        <v>9.0502514799952447</v>
      </c>
      <c r="K7" s="4" t="str">
        <f t="shared" si="2"/>
        <v>F3</v>
      </c>
      <c r="L7" s="5">
        <f t="shared" si="3"/>
        <v>9.2050006613135338E-2</v>
      </c>
      <c r="M7" s="5">
        <f t="shared" si="4"/>
        <v>0.10489999502897263</v>
      </c>
      <c r="N7">
        <f t="shared" si="5"/>
        <v>0.10694999620318413</v>
      </c>
      <c r="O7" s="17">
        <f t="shared" si="6"/>
        <v>0.10129999928176403</v>
      </c>
      <c r="P7">
        <f t="shared" si="7"/>
        <v>8.0760386007516435E-3</v>
      </c>
      <c r="R7" s="11">
        <f t="shared" si="8"/>
        <v>7.972397490634027E-2</v>
      </c>
    </row>
    <row r="8" spans="1:18" x14ac:dyDescent="0.25">
      <c r="A8" s="4" t="s">
        <v>21</v>
      </c>
      <c r="B8">
        <v>107.21</v>
      </c>
      <c r="C8">
        <v>294.35000000000002</v>
      </c>
      <c r="E8" s="4" t="s">
        <v>21</v>
      </c>
      <c r="F8">
        <f t="shared" si="0"/>
        <v>187.14000000000004</v>
      </c>
      <c r="G8" s="5">
        <v>0.20164999924600124</v>
      </c>
      <c r="H8" s="6">
        <f t="shared" si="1"/>
        <v>37.73678085889668</v>
      </c>
      <c r="I8" s="23">
        <f t="shared" si="9"/>
        <v>19.397904420524348</v>
      </c>
      <c r="K8" s="4" t="str">
        <f t="shared" si="2"/>
        <v>F2</v>
      </c>
      <c r="L8" s="5">
        <f t="shared" si="3"/>
        <v>0.20164999924600124</v>
      </c>
      <c r="M8" s="5">
        <f t="shared" si="4"/>
        <v>0.20390000194311142</v>
      </c>
      <c r="N8">
        <f t="shared" si="5"/>
        <v>0.21215000376105309</v>
      </c>
      <c r="O8" s="17">
        <f t="shared" si="6"/>
        <v>0.20590000165005526</v>
      </c>
      <c r="P8">
        <f t="shared" si="7"/>
        <v>5.5283381612251997E-3</v>
      </c>
      <c r="R8" s="11">
        <f t="shared" si="8"/>
        <v>2.6849626599911764E-2</v>
      </c>
    </row>
    <row r="9" spans="1:18" x14ac:dyDescent="0.25">
      <c r="A9" s="4" t="s">
        <v>22</v>
      </c>
      <c r="B9">
        <v>286.18</v>
      </c>
      <c r="C9">
        <v>674.96</v>
      </c>
      <c r="E9" s="4" t="s">
        <v>22</v>
      </c>
      <c r="F9">
        <f t="shared" si="0"/>
        <v>388.78000000000003</v>
      </c>
      <c r="G9" s="5">
        <v>0.31224999390542507</v>
      </c>
      <c r="H9" s="6">
        <f t="shared" si="1"/>
        <v>121.39655263055117</v>
      </c>
      <c r="I9" s="23">
        <f t="shared" si="9"/>
        <v>62.401685340190262</v>
      </c>
      <c r="K9" s="4" t="str">
        <f t="shared" si="2"/>
        <v>F1</v>
      </c>
      <c r="L9" s="5">
        <f t="shared" ref="L9" si="10">G9</f>
        <v>0.31224999390542507</v>
      </c>
      <c r="M9" s="5">
        <f t="shared" ref="M9" si="11">G26</f>
        <v>0.31809999793767929</v>
      </c>
      <c r="N9">
        <f t="shared" ref="N9" si="12">G42</f>
        <v>0.3048500083386898</v>
      </c>
      <c r="O9" s="17">
        <f t="shared" ref="O9" si="13">AVERAGE(L9:N9)</f>
        <v>0.31173333339393139</v>
      </c>
      <c r="P9">
        <f t="shared" ref="P9" si="14">_xlfn.STDEV.S(L9:N9)</f>
        <v>6.6400873229525434E-3</v>
      </c>
    </row>
    <row r="10" spans="1:18" x14ac:dyDescent="0.25">
      <c r="E10" s="4" t="s">
        <v>23</v>
      </c>
      <c r="F10" s="12">
        <v>11</v>
      </c>
      <c r="G10" s="13">
        <v>0.19675000570714474</v>
      </c>
      <c r="H10" s="14">
        <f>F10*G10</f>
        <v>2.1642500627785921</v>
      </c>
      <c r="I10" s="23"/>
      <c r="K10" t="s">
        <v>12</v>
      </c>
      <c r="L10" s="22">
        <f>I14</f>
        <v>5.2019877224925075</v>
      </c>
      <c r="M10" s="22">
        <f>H32</f>
        <v>0</v>
      </c>
      <c r="N10" s="22">
        <f>H48</f>
        <v>0</v>
      </c>
    </row>
    <row r="11" spans="1:18" x14ac:dyDescent="0.25">
      <c r="E11" s="2" t="s">
        <v>24</v>
      </c>
      <c r="F11" s="15">
        <f>G5/G10</f>
        <v>1</v>
      </c>
      <c r="I11" s="23"/>
    </row>
    <row r="12" spans="1:18" x14ac:dyDescent="0.25">
      <c r="E12" t="s">
        <v>25</v>
      </c>
      <c r="F12" s="15">
        <f>F5-F6-F7-F8-F9-F10</f>
        <v>33.549999999999955</v>
      </c>
      <c r="G12" t="s">
        <v>26</v>
      </c>
      <c r="I12" s="23"/>
    </row>
    <row r="13" spans="1:18" x14ac:dyDescent="0.25">
      <c r="E13" t="s">
        <v>27</v>
      </c>
      <c r="H13">
        <f>H9+H8+H7+H6</f>
        <v>184.30794603172691</v>
      </c>
      <c r="I13" s="23"/>
    </row>
    <row r="14" spans="1:18" x14ac:dyDescent="0.25">
      <c r="I14" s="24">
        <f>(H5-H13-H10)/H5*100</f>
        <v>5.2019877224925075</v>
      </c>
      <c r="K14" t="s">
        <v>37</v>
      </c>
      <c r="O14" t="s">
        <v>5</v>
      </c>
      <c r="P14" t="s">
        <v>6</v>
      </c>
    </row>
    <row r="15" spans="1:18" x14ac:dyDescent="0.25">
      <c r="I15" s="23"/>
      <c r="K15" t="str">
        <f>K6</f>
        <v>F4</v>
      </c>
      <c r="L15" s="23">
        <f>I6</f>
        <v>3.8902992719307714</v>
      </c>
      <c r="M15" s="23">
        <f>I23</f>
        <v>1.9394672968604525</v>
      </c>
      <c r="N15" s="23">
        <f>I39</f>
        <v>2.2154924266159695</v>
      </c>
      <c r="O15" s="23">
        <f>AVERAGE(L15:N15)</f>
        <v>2.6817529984690647</v>
      </c>
      <c r="P15">
        <f>_xlfn.STDEV.S(L15:N15)</f>
        <v>1.0556919718306907</v>
      </c>
    </row>
    <row r="16" spans="1:18" x14ac:dyDescent="0.25">
      <c r="I16" s="23"/>
      <c r="K16" t="str">
        <f t="shared" ref="K16:K19" si="15">K7</f>
        <v>F3</v>
      </c>
      <c r="L16" s="23">
        <f t="shared" ref="L16:L18" si="16">I7</f>
        <v>9.0502514799952447</v>
      </c>
      <c r="M16" s="23">
        <f t="shared" ref="M16:M18" si="17">I24</f>
        <v>12.49224517316501</v>
      </c>
      <c r="N16" s="23">
        <f t="shared" ref="N16:N18" si="18">I40</f>
        <v>11.591831210103713</v>
      </c>
      <c r="O16" s="23">
        <f t="shared" ref="O16:O19" si="19">AVERAGE(L16:N16)</f>
        <v>11.044775954421324</v>
      </c>
      <c r="P16">
        <f t="shared" ref="P16:P19" si="20">_xlfn.STDEV.S(L16:N16)</f>
        <v>1.7850160322900073</v>
      </c>
    </row>
    <row r="17" spans="1:16" x14ac:dyDescent="0.25">
      <c r="I17" s="23"/>
      <c r="K17" t="str">
        <f t="shared" si="15"/>
        <v>F2</v>
      </c>
      <c r="L17" s="23">
        <f t="shared" si="16"/>
        <v>19.397904420524348</v>
      </c>
      <c r="M17" s="23">
        <f t="shared" si="17"/>
        <v>22.452936670237044</v>
      </c>
      <c r="N17" s="23">
        <f t="shared" si="18"/>
        <v>22.343887826324032</v>
      </c>
      <c r="O17" s="23">
        <f t="shared" si="19"/>
        <v>21.39824297236181</v>
      </c>
      <c r="P17">
        <f t="shared" si="20"/>
        <v>1.733201850352428</v>
      </c>
    </row>
    <row r="18" spans="1:16" x14ac:dyDescent="0.25">
      <c r="A18">
        <v>2</v>
      </c>
      <c r="E18" t="s">
        <v>14</v>
      </c>
      <c r="I18" s="23"/>
      <c r="K18" t="str">
        <f t="shared" si="15"/>
        <v>F1</v>
      </c>
      <c r="L18" s="23">
        <f t="shared" si="16"/>
        <v>62.401685340190262</v>
      </c>
      <c r="M18" s="23">
        <f t="shared" si="17"/>
        <v>53.032608466614064</v>
      </c>
      <c r="N18" s="23">
        <f t="shared" si="18"/>
        <v>54.936645457651956</v>
      </c>
      <c r="O18" s="23">
        <f t="shared" si="19"/>
        <v>56.790313088152097</v>
      </c>
      <c r="P18">
        <f t="shared" si="20"/>
        <v>4.9519655823741431</v>
      </c>
    </row>
    <row r="19" spans="1:16" x14ac:dyDescent="0.25">
      <c r="E19" s="10" t="s">
        <v>15</v>
      </c>
      <c r="F19" s="10">
        <v>0</v>
      </c>
      <c r="G19" s="10" t="s">
        <v>28</v>
      </c>
      <c r="I19" s="23"/>
      <c r="K19" t="str">
        <f t="shared" si="15"/>
        <v>loss</v>
      </c>
      <c r="L19" s="23">
        <f>I14</f>
        <v>5.2019877224925075</v>
      </c>
      <c r="M19" s="23">
        <f>I32</f>
        <v>9.9812055896530811</v>
      </c>
      <c r="N19" s="23">
        <f>I48</f>
        <v>8.8232755675509402</v>
      </c>
      <c r="O19" s="23">
        <f t="shared" si="19"/>
        <v>8.0021562932321757</v>
      </c>
      <c r="P19">
        <f t="shared" si="20"/>
        <v>2.4931723772013958</v>
      </c>
    </row>
    <row r="20" spans="1:16" x14ac:dyDescent="0.25">
      <c r="E20" s="10" t="s">
        <v>29</v>
      </c>
      <c r="F20" s="10">
        <v>3.9999932050704956E-4</v>
      </c>
      <c r="G20" s="10" t="s">
        <v>30</v>
      </c>
      <c r="I20" s="23"/>
      <c r="O20" s="23"/>
    </row>
    <row r="21" spans="1:16" x14ac:dyDescent="0.25">
      <c r="B21" t="s">
        <v>0</v>
      </c>
      <c r="C21" t="s">
        <v>1</v>
      </c>
      <c r="E21" s="1"/>
      <c r="F21" s="2" t="s">
        <v>2</v>
      </c>
      <c r="G21" s="2" t="s">
        <v>3</v>
      </c>
      <c r="H21" s="3"/>
      <c r="I21" s="23"/>
    </row>
    <row r="22" spans="1:16" x14ac:dyDescent="0.25">
      <c r="A22" s="4" t="s">
        <v>4</v>
      </c>
      <c r="B22">
        <v>286.97000000000003</v>
      </c>
      <c r="C22">
        <v>1260.79</v>
      </c>
      <c r="E22" s="4" t="s">
        <v>4</v>
      </c>
      <c r="F22">
        <f>C22-B22</f>
        <v>973.81999999999994</v>
      </c>
      <c r="G22" s="5">
        <v>0.19659999758005142</v>
      </c>
      <c r="H22" s="6">
        <f>F22*G22</f>
        <v>191.45300964340566</v>
      </c>
      <c r="I22" s="23"/>
    </row>
    <row r="23" spans="1:16" x14ac:dyDescent="0.25">
      <c r="A23" s="4" t="s">
        <v>19</v>
      </c>
      <c r="B23">
        <v>110.1</v>
      </c>
      <c r="C23">
        <v>305.62</v>
      </c>
      <c r="E23" s="4" t="s">
        <v>19</v>
      </c>
      <c r="F23">
        <f t="shared" ref="F23:F26" si="21">C23-B23</f>
        <v>195.52</v>
      </c>
      <c r="G23" s="5">
        <v>1.8799997866153717E-2</v>
      </c>
      <c r="H23" s="6">
        <f t="shared" ref="H23:H27" si="22">F23*G23</f>
        <v>3.6757755827903749</v>
      </c>
      <c r="I23" s="23">
        <f>H23/($H$22-$H$27)*100</f>
        <v>1.9394672968604525</v>
      </c>
    </row>
    <row r="24" spans="1:16" x14ac:dyDescent="0.25">
      <c r="A24" s="4" t="s">
        <v>20</v>
      </c>
      <c r="B24">
        <v>135.6</v>
      </c>
      <c r="C24">
        <v>361.3</v>
      </c>
      <c r="E24" s="4" t="s">
        <v>20</v>
      </c>
      <c r="F24">
        <f t="shared" si="21"/>
        <v>225.70000000000002</v>
      </c>
      <c r="G24" s="5">
        <v>0.10489999502897263</v>
      </c>
      <c r="H24" s="6">
        <f t="shared" si="22"/>
        <v>23.675928878039123</v>
      </c>
      <c r="I24" s="23">
        <f t="shared" ref="I24:I26" si="23">H24/($H$22-$H$27)*100</f>
        <v>12.49224517316501</v>
      </c>
    </row>
    <row r="25" spans="1:16" x14ac:dyDescent="0.25">
      <c r="A25" s="4" t="s">
        <v>21</v>
      </c>
      <c r="B25">
        <v>131.81</v>
      </c>
      <c r="C25">
        <v>340.51</v>
      </c>
      <c r="E25" s="4" t="s">
        <v>21</v>
      </c>
      <c r="F25">
        <f t="shared" si="21"/>
        <v>208.7</v>
      </c>
      <c r="G25" s="5">
        <v>0.20390000194311142</v>
      </c>
      <c r="H25" s="6">
        <f t="shared" si="22"/>
        <v>42.553930405527353</v>
      </c>
      <c r="I25" s="23">
        <f t="shared" si="23"/>
        <v>22.452936670237044</v>
      </c>
    </row>
    <row r="26" spans="1:16" x14ac:dyDescent="0.25">
      <c r="A26" s="4" t="s">
        <v>22</v>
      </c>
      <c r="B26">
        <v>286.97000000000003</v>
      </c>
      <c r="C26">
        <v>602.94000000000005</v>
      </c>
      <c r="E26" s="4" t="s">
        <v>22</v>
      </c>
      <c r="F26">
        <f t="shared" si="21"/>
        <v>315.97000000000003</v>
      </c>
      <c r="G26" s="5">
        <v>0.31809999793767929</v>
      </c>
      <c r="H26" s="6">
        <f t="shared" si="22"/>
        <v>100.51005634836854</v>
      </c>
      <c r="I26" s="23">
        <f t="shared" si="23"/>
        <v>53.032608466614064</v>
      </c>
    </row>
    <row r="27" spans="1:16" x14ac:dyDescent="0.25">
      <c r="E27" s="4" t="s">
        <v>23</v>
      </c>
      <c r="F27" s="12">
        <v>10</v>
      </c>
      <c r="G27" s="13">
        <v>0.19279999285936356</v>
      </c>
      <c r="H27" s="14">
        <f t="shared" si="22"/>
        <v>1.9279999285936356</v>
      </c>
      <c r="I27" s="23"/>
    </row>
    <row r="28" spans="1:16" x14ac:dyDescent="0.25">
      <c r="E28" s="2" t="s">
        <v>24</v>
      </c>
      <c r="F28" s="17">
        <f>G22/G27</f>
        <v>1.0197095687833337</v>
      </c>
      <c r="I28" s="23"/>
    </row>
    <row r="29" spans="1:16" x14ac:dyDescent="0.25">
      <c r="E29" t="s">
        <v>25</v>
      </c>
      <c r="F29" s="17">
        <f>F22-F23-F24-F25-F26-F27</f>
        <v>17.929999999999893</v>
      </c>
      <c r="I29" s="23"/>
    </row>
    <row r="30" spans="1:16" x14ac:dyDescent="0.25">
      <c r="E30" t="s">
        <v>31</v>
      </c>
      <c r="F30" s="17">
        <f>F22*F28-F22+F29</f>
        <v>37.123572272585932</v>
      </c>
      <c r="I30" s="23"/>
    </row>
    <row r="31" spans="1:16" x14ac:dyDescent="0.25">
      <c r="E31" t="s">
        <v>32</v>
      </c>
      <c r="F31" s="17"/>
      <c r="H31">
        <f>H23+H24+H25+H26</f>
        <v>170.41569121472537</v>
      </c>
      <c r="I31" s="23"/>
    </row>
    <row r="32" spans="1:16" x14ac:dyDescent="0.25">
      <c r="F32" s="17"/>
      <c r="H32" s="16"/>
      <c r="I32" s="24">
        <f>(H22-H31-H27)/H22*100</f>
        <v>9.9812055896530811</v>
      </c>
    </row>
    <row r="33" spans="1:9" x14ac:dyDescent="0.25">
      <c r="I33" s="23"/>
    </row>
    <row r="34" spans="1:9" x14ac:dyDescent="0.25">
      <c r="A34">
        <v>3</v>
      </c>
      <c r="E34" t="s">
        <v>14</v>
      </c>
      <c r="I34" s="23"/>
    </row>
    <row r="35" spans="1:9" x14ac:dyDescent="0.25">
      <c r="E35" s="10" t="s">
        <v>15</v>
      </c>
      <c r="F35" s="10">
        <v>-5.5000185966491699E-4</v>
      </c>
      <c r="G35" s="10" t="s">
        <v>33</v>
      </c>
      <c r="I35" s="23"/>
    </row>
    <row r="36" spans="1:9" x14ac:dyDescent="0.25">
      <c r="E36" s="10" t="s">
        <v>29</v>
      </c>
      <c r="F36" s="10">
        <v>-2.5000050663948059E-4</v>
      </c>
      <c r="G36" s="10" t="s">
        <v>34</v>
      </c>
      <c r="I36" s="23"/>
    </row>
    <row r="37" spans="1:9" x14ac:dyDescent="0.25">
      <c r="B37" t="s">
        <v>0</v>
      </c>
      <c r="C37" t="s">
        <v>1</v>
      </c>
      <c r="E37" s="1"/>
      <c r="F37" s="2" t="s">
        <v>2</v>
      </c>
      <c r="G37" s="2" t="s">
        <v>3</v>
      </c>
      <c r="H37" s="3"/>
      <c r="I37" s="23"/>
    </row>
    <row r="38" spans="1:9" x14ac:dyDescent="0.25">
      <c r="A38" s="4" t="s">
        <v>4</v>
      </c>
      <c r="B38">
        <v>289.77999999999997</v>
      </c>
      <c r="C38">
        <v>1262.24</v>
      </c>
      <c r="E38" s="4" t="s">
        <v>4</v>
      </c>
      <c r="F38">
        <f>C38-B38</f>
        <v>972.46</v>
      </c>
      <c r="G38">
        <v>0.19795000180602074</v>
      </c>
      <c r="H38" s="6">
        <f>F38*G38</f>
        <v>192.49845875628293</v>
      </c>
      <c r="I38" s="23"/>
    </row>
    <row r="39" spans="1:9" x14ac:dyDescent="0.25">
      <c r="A39" s="4" t="s">
        <v>19</v>
      </c>
      <c r="B39">
        <v>111.87</v>
      </c>
      <c r="C39">
        <v>313.41000000000003</v>
      </c>
      <c r="E39" s="4" t="s">
        <v>19</v>
      </c>
      <c r="F39">
        <f t="shared" ref="F39:F42" si="24">C39-B39</f>
        <v>201.54000000000002</v>
      </c>
      <c r="G39">
        <v>2.0949997007846832E-2</v>
      </c>
      <c r="H39" s="6">
        <f t="shared" ref="H39:H43" si="25">F39*G39</f>
        <v>4.222262396961451</v>
      </c>
      <c r="I39" s="23">
        <f>H39/($H$38-$H$43)*100</f>
        <v>2.2154924266159695</v>
      </c>
    </row>
    <row r="40" spans="1:9" x14ac:dyDescent="0.25">
      <c r="A40" s="4" t="s">
        <v>20</v>
      </c>
      <c r="B40">
        <v>113.07</v>
      </c>
      <c r="C40">
        <v>319.63</v>
      </c>
      <c r="E40" s="4" t="s">
        <v>20</v>
      </c>
      <c r="F40">
        <f t="shared" si="24"/>
        <v>206.56</v>
      </c>
      <c r="G40">
        <v>0.10694999620318413</v>
      </c>
      <c r="H40" s="6">
        <f t="shared" si="25"/>
        <v>22.091591215729714</v>
      </c>
      <c r="I40" s="23">
        <f t="shared" ref="I40:I42" si="26">H40/($H$38-$H$43)*100</f>
        <v>11.591831210103713</v>
      </c>
    </row>
    <row r="41" spans="1:9" x14ac:dyDescent="0.25">
      <c r="A41" s="4" t="s">
        <v>21</v>
      </c>
      <c r="B41">
        <v>132.99</v>
      </c>
      <c r="C41">
        <v>333.71</v>
      </c>
      <c r="E41" s="4" t="s">
        <v>21</v>
      </c>
      <c r="F41">
        <f t="shared" si="24"/>
        <v>200.71999999999997</v>
      </c>
      <c r="G41">
        <v>0.21215000376105309</v>
      </c>
      <c r="H41" s="6">
        <f t="shared" si="25"/>
        <v>42.582748754918569</v>
      </c>
      <c r="I41" s="23">
        <f t="shared" si="26"/>
        <v>22.343887826324032</v>
      </c>
    </row>
    <row r="42" spans="1:9" x14ac:dyDescent="0.25">
      <c r="A42" s="4" t="s">
        <v>22</v>
      </c>
      <c r="B42">
        <v>286.18</v>
      </c>
      <c r="C42">
        <v>629.62</v>
      </c>
      <c r="E42" s="4" t="s">
        <v>22</v>
      </c>
      <c r="F42">
        <f t="shared" si="24"/>
        <v>343.44</v>
      </c>
      <c r="G42" s="5">
        <v>0.3048500083386898</v>
      </c>
      <c r="H42" s="6">
        <f t="shared" si="25"/>
        <v>104.69768686383962</v>
      </c>
      <c r="I42" s="23">
        <f t="shared" si="26"/>
        <v>54.936645457651956</v>
      </c>
    </row>
    <row r="43" spans="1:9" x14ac:dyDescent="0.25">
      <c r="E43" s="4" t="s">
        <v>23</v>
      </c>
      <c r="F43" s="12">
        <v>10</v>
      </c>
      <c r="G43" s="12">
        <v>0.1919500045478344</v>
      </c>
      <c r="H43" s="14">
        <f t="shared" si="25"/>
        <v>1.919500045478344</v>
      </c>
      <c r="I43" s="23"/>
    </row>
    <row r="44" spans="1:9" x14ac:dyDescent="0.25">
      <c r="E44" s="2" t="s">
        <v>24</v>
      </c>
      <c r="F44" s="17">
        <f>G38/G43</f>
        <v>1.0312581251160695</v>
      </c>
      <c r="I44" s="23"/>
    </row>
    <row r="45" spans="1:9" x14ac:dyDescent="0.25">
      <c r="E45" t="s">
        <v>25</v>
      </c>
      <c r="F45">
        <f>F38-F39-F40-F41-F42-F43</f>
        <v>10.200000000000159</v>
      </c>
      <c r="I45" s="23"/>
    </row>
    <row r="46" spans="1:9" x14ac:dyDescent="0.25">
      <c r="E46" t="s">
        <v>31</v>
      </c>
      <c r="F46">
        <f>F38*F44-F38+F45</f>
        <v>40.597276350373136</v>
      </c>
      <c r="I46" s="23"/>
    </row>
    <row r="47" spans="1:9" x14ac:dyDescent="0.25">
      <c r="E47" t="s">
        <v>32</v>
      </c>
      <c r="H47">
        <f>H39+H40+H41+H42</f>
        <v>173.59428923144935</v>
      </c>
      <c r="I47" s="23"/>
    </row>
    <row r="48" spans="1:9" x14ac:dyDescent="0.25">
      <c r="H48" s="16"/>
      <c r="I48" s="24">
        <f>(H38-H47-H43)/H38*100</f>
        <v>8.8232755675509402</v>
      </c>
    </row>
    <row r="49" spans="1:20" x14ac:dyDescent="0.25">
      <c r="I49" s="23"/>
    </row>
    <row r="50" spans="1:20" x14ac:dyDescent="0.25">
      <c r="I50" s="23"/>
    </row>
    <row r="51" spans="1:20" x14ac:dyDescent="0.25">
      <c r="A51">
        <v>4</v>
      </c>
      <c r="I51" s="23"/>
    </row>
    <row r="52" spans="1:20" x14ac:dyDescent="0.25">
      <c r="B52" t="s">
        <v>0</v>
      </c>
      <c r="C52" t="s">
        <v>1</v>
      </c>
      <c r="E52" s="1"/>
      <c r="F52" s="2" t="s">
        <v>2</v>
      </c>
      <c r="G52" s="2" t="s">
        <v>3</v>
      </c>
      <c r="H52" s="3"/>
      <c r="I52" s="23"/>
      <c r="N52">
        <f>A51</f>
        <v>4</v>
      </c>
      <c r="O52">
        <f>A67</f>
        <v>5</v>
      </c>
      <c r="P52">
        <f>A83</f>
        <v>6</v>
      </c>
      <c r="R52" t="s">
        <v>35</v>
      </c>
      <c r="S52" t="s">
        <v>6</v>
      </c>
    </row>
    <row r="53" spans="1:20" x14ac:dyDescent="0.25">
      <c r="A53" s="4" t="s">
        <v>4</v>
      </c>
      <c r="B53">
        <v>473.97</v>
      </c>
      <c r="C53">
        <v>1462.46</v>
      </c>
      <c r="E53" s="4" t="s">
        <v>4</v>
      </c>
      <c r="F53">
        <f>C53-B53</f>
        <v>988.49</v>
      </c>
      <c r="G53">
        <v>0.21230000257492065</v>
      </c>
      <c r="H53" s="6">
        <f>F53*G53</f>
        <v>209.85642954528333</v>
      </c>
      <c r="I53" s="23"/>
      <c r="M53" t="str">
        <f>E53</f>
        <v xml:space="preserve">Eaf </v>
      </c>
      <c r="N53">
        <f>G53</f>
        <v>0.21230000257492065</v>
      </c>
      <c r="O53">
        <f t="shared" ref="O53:O58" si="27">G69</f>
        <v>0.21300000138580799</v>
      </c>
      <c r="P53">
        <f>G85</f>
        <v>0.21159999631345272</v>
      </c>
      <c r="R53" s="17">
        <f>AVERAGE(N53:P53)</f>
        <v>0.2123000000913938</v>
      </c>
      <c r="S53">
        <f>_xlfn.STDEV.S(N53:P53)</f>
        <v>7.0000253618093941E-4</v>
      </c>
      <c r="T53" s="11">
        <f>S53/R53</f>
        <v>3.2972328585944076E-3</v>
      </c>
    </row>
    <row r="54" spans="1:20" x14ac:dyDescent="0.25">
      <c r="A54" s="4" t="s">
        <v>19</v>
      </c>
      <c r="B54">
        <v>107.17</v>
      </c>
      <c r="C54">
        <v>310.01</v>
      </c>
      <c r="E54" s="4" t="s">
        <v>19</v>
      </c>
      <c r="F54">
        <f t="shared" ref="F54:F57" si="28">C54-B54</f>
        <v>202.83999999999997</v>
      </c>
      <c r="G54">
        <v>1.4800000935792923E-2</v>
      </c>
      <c r="H54" s="6">
        <f t="shared" ref="H54:H58" si="29">F54*G54</f>
        <v>3.0020321898162363</v>
      </c>
      <c r="I54" s="23">
        <f>H54/($H$38-$H$43)*100</f>
        <v>1.575217017725284</v>
      </c>
      <c r="M54" t="str">
        <f>E54</f>
        <v>F4</v>
      </c>
      <c r="N54">
        <f t="shared" ref="N54:N58" si="30">G54</f>
        <v>1.4800000935792923E-2</v>
      </c>
      <c r="O54">
        <f t="shared" si="27"/>
        <v>1.8300002440810204E-2</v>
      </c>
      <c r="P54">
        <f t="shared" ref="P54:P58" si="31">G86</f>
        <v>1.7900003120303154E-2</v>
      </c>
      <c r="R54" s="17">
        <f>AVERAGE(N54:P54)</f>
        <v>1.7000002165635426E-2</v>
      </c>
      <c r="S54">
        <f t="shared" ref="S54:S59" si="32">_xlfn.STDEV.S(N54:P54)</f>
        <v>1.9157254298523374E-3</v>
      </c>
      <c r="T54" s="11">
        <f t="shared" ref="T54:T59" si="33">S54/R54</f>
        <v>0.11268971681220556</v>
      </c>
    </row>
    <row r="55" spans="1:20" x14ac:dyDescent="0.25">
      <c r="A55" s="4" t="s">
        <v>20</v>
      </c>
      <c r="B55">
        <v>110.09</v>
      </c>
      <c r="C55">
        <v>307.95</v>
      </c>
      <c r="E55" s="4" t="s">
        <v>20</v>
      </c>
      <c r="F55">
        <f t="shared" si="28"/>
        <v>197.85999999999999</v>
      </c>
      <c r="G55">
        <v>9.620000422000885E-2</v>
      </c>
      <c r="H55" s="6">
        <f t="shared" si="29"/>
        <v>19.034132834970951</v>
      </c>
      <c r="I55" s="23">
        <f t="shared" ref="I55:I57" si="34">H55/($H$38-$H$43)*100</f>
        <v>9.9875311334103944</v>
      </c>
      <c r="M55" t="str">
        <f t="shared" ref="M55:M57" si="35">E55</f>
        <v>F3</v>
      </c>
      <c r="N55">
        <f t="shared" si="30"/>
        <v>9.620000422000885E-2</v>
      </c>
      <c r="O55">
        <f t="shared" si="27"/>
        <v>0.11869999952614307</v>
      </c>
      <c r="P55">
        <f t="shared" si="31"/>
        <v>0.10319999419152737</v>
      </c>
      <c r="R55" s="17">
        <f t="shared" ref="R55:R59" si="36">AVERAGE(N55:P55)</f>
        <v>0.1060333326458931</v>
      </c>
      <c r="S55">
        <f t="shared" si="32"/>
        <v>1.1514482285007703E-2</v>
      </c>
      <c r="T55" s="11">
        <f t="shared" si="33"/>
        <v>0.10859304331649415</v>
      </c>
    </row>
    <row r="56" spans="1:20" x14ac:dyDescent="0.25">
      <c r="A56" s="4" t="s">
        <v>21</v>
      </c>
      <c r="B56">
        <v>113.07</v>
      </c>
      <c r="C56">
        <v>314</v>
      </c>
      <c r="E56" s="4" t="s">
        <v>21</v>
      </c>
      <c r="F56">
        <f t="shared" si="28"/>
        <v>200.93</v>
      </c>
      <c r="G56">
        <v>0.19050000607967377</v>
      </c>
      <c r="H56" s="6">
        <f t="shared" si="29"/>
        <v>38.27716622158885</v>
      </c>
      <c r="I56" s="23">
        <f t="shared" si="34"/>
        <v>20.084675916228932</v>
      </c>
      <c r="M56" t="str">
        <f t="shared" si="35"/>
        <v>F2</v>
      </c>
      <c r="N56">
        <f t="shared" si="30"/>
        <v>0.19050000607967377</v>
      </c>
      <c r="O56">
        <f t="shared" si="27"/>
        <v>0.20880000479519367</v>
      </c>
      <c r="P56">
        <f t="shared" si="31"/>
        <v>0.2058000024408102</v>
      </c>
      <c r="R56" s="17">
        <f t="shared" si="36"/>
        <v>0.20170000443855921</v>
      </c>
      <c r="S56">
        <f t="shared" si="32"/>
        <v>9.8147835412124157E-3</v>
      </c>
      <c r="T56" s="11">
        <f t="shared" si="33"/>
        <v>4.8660304041798587E-2</v>
      </c>
    </row>
    <row r="57" spans="1:20" x14ac:dyDescent="0.25">
      <c r="A57" s="4" t="s">
        <v>22</v>
      </c>
      <c r="B57">
        <v>473.97</v>
      </c>
      <c r="C57">
        <v>829.92</v>
      </c>
      <c r="E57" s="4" t="s">
        <v>22</v>
      </c>
      <c r="F57">
        <f t="shared" si="28"/>
        <v>355.94999999999993</v>
      </c>
      <c r="G57" s="5">
        <v>0.27180001139640808</v>
      </c>
      <c r="H57" s="6">
        <f t="shared" si="29"/>
        <v>96.747214056551442</v>
      </c>
      <c r="I57" s="23">
        <f t="shared" si="34"/>
        <v>50.764898030197138</v>
      </c>
      <c r="M57" t="str">
        <f t="shared" si="35"/>
        <v>F1</v>
      </c>
      <c r="N57">
        <f t="shared" si="30"/>
        <v>0.27180001139640808</v>
      </c>
      <c r="O57">
        <f t="shared" si="27"/>
        <v>0.2805000115185976</v>
      </c>
      <c r="P57">
        <f t="shared" si="31"/>
        <v>0.28730001114308834</v>
      </c>
      <c r="R57" s="17">
        <f t="shared" si="36"/>
        <v>0.27986667801936466</v>
      </c>
      <c r="S57">
        <f t="shared" si="32"/>
        <v>7.7693842437937125E-3</v>
      </c>
      <c r="T57" s="11">
        <f t="shared" si="33"/>
        <v>2.7761019278101162E-2</v>
      </c>
    </row>
    <row r="58" spans="1:20" x14ac:dyDescent="0.25">
      <c r="E58" s="4" t="s">
        <v>23</v>
      </c>
      <c r="F58" s="12">
        <v>10</v>
      </c>
      <c r="G58" s="12">
        <v>0.20630000531673431</v>
      </c>
      <c r="H58" s="14">
        <f t="shared" si="29"/>
        <v>2.0630000531673431</v>
      </c>
      <c r="I58" s="23"/>
      <c r="M58" t="str">
        <f>E58</f>
        <v>Eaf may diluted</v>
      </c>
      <c r="N58">
        <f t="shared" si="30"/>
        <v>0.20630000531673431</v>
      </c>
      <c r="O58">
        <f t="shared" si="27"/>
        <v>0.20829999633133411</v>
      </c>
      <c r="P58">
        <f t="shared" si="31"/>
        <v>0.20480000041425228</v>
      </c>
      <c r="R58">
        <f t="shared" si="36"/>
        <v>0.2064666673541069</v>
      </c>
      <c r="S58">
        <f t="shared" si="32"/>
        <v>1.7559399280508608E-3</v>
      </c>
      <c r="T58" s="11">
        <f t="shared" si="33"/>
        <v>8.5047138627916286E-3</v>
      </c>
    </row>
    <row r="59" spans="1:20" x14ac:dyDescent="0.25">
      <c r="E59" s="2" t="s">
        <v>24</v>
      </c>
      <c r="F59" s="17">
        <f>G53/G58</f>
        <v>1.0290838444185908</v>
      </c>
      <c r="I59" s="23"/>
      <c r="N59" s="22">
        <f>H63</f>
        <v>-0.24175044004663784</v>
      </c>
      <c r="O59" s="22">
        <f>H79</f>
        <v>-0.17814334446731775</v>
      </c>
      <c r="P59" s="22">
        <f>H95</f>
        <v>-0.17127294625793832</v>
      </c>
      <c r="R59">
        <f t="shared" si="36"/>
        <v>-0.19705557692396466</v>
      </c>
      <c r="S59">
        <f t="shared" si="32"/>
        <v>3.885902321282305E-2</v>
      </c>
      <c r="T59" s="11">
        <f t="shared" si="33"/>
        <v>-0.19719829207278455</v>
      </c>
    </row>
    <row r="60" spans="1:20" x14ac:dyDescent="0.25">
      <c r="E60" t="s">
        <v>25</v>
      </c>
      <c r="F60">
        <f>F53-F54-F55-F56-F57-F58</f>
        <v>20.910000000000139</v>
      </c>
      <c r="I60" s="23"/>
    </row>
    <row r="61" spans="1:20" x14ac:dyDescent="0.25">
      <c r="E61" t="s">
        <v>31</v>
      </c>
      <c r="F61">
        <f>F53*F59-F53+F60</f>
        <v>49.659089369333003</v>
      </c>
      <c r="I61" s="23"/>
      <c r="M61" t="s">
        <v>37</v>
      </c>
      <c r="N61">
        <f>N52</f>
        <v>4</v>
      </c>
      <c r="O61">
        <f t="shared" ref="O61:P61" si="37">O52</f>
        <v>5</v>
      </c>
      <c r="P61">
        <f t="shared" si="37"/>
        <v>6</v>
      </c>
      <c r="R61" t="s">
        <v>35</v>
      </c>
      <c r="S61" t="s">
        <v>6</v>
      </c>
    </row>
    <row r="62" spans="1:20" x14ac:dyDescent="0.25">
      <c r="E62" t="s">
        <v>32</v>
      </c>
      <c r="H62">
        <f>H54+H55+H56+H57</f>
        <v>157.06054530292749</v>
      </c>
      <c r="I62" s="23"/>
      <c r="M62" t="str">
        <f>K18</f>
        <v>F1</v>
      </c>
      <c r="N62" s="23">
        <f>I57</f>
        <v>50.764898030197138</v>
      </c>
      <c r="O62" s="23">
        <f>I73</f>
        <v>55.570449678901277</v>
      </c>
      <c r="P62" s="23">
        <f>I89</f>
        <v>51.115199409872822</v>
      </c>
      <c r="R62" s="23">
        <f>AVERAGE(N62:P62)</f>
        <v>52.483515706323743</v>
      </c>
      <c r="S62">
        <f>_xlfn.STDEV.S(N62:P62)</f>
        <v>2.6790947682828699</v>
      </c>
    </row>
    <row r="63" spans="1:20" x14ac:dyDescent="0.25">
      <c r="H63" s="18">
        <f>(H62+H58-H53)/H53</f>
        <v>-0.24175044004663784</v>
      </c>
      <c r="I63" s="24">
        <f>(H53-H62-H58)/H53*100</f>
        <v>24.175044004663786</v>
      </c>
      <c r="M63" t="str">
        <f>K17</f>
        <v>F2</v>
      </c>
      <c r="N63" s="23">
        <f>I56</f>
        <v>20.084675916228932</v>
      </c>
      <c r="O63" s="23">
        <f>I72</f>
        <v>19.822851968102714</v>
      </c>
      <c r="P63" s="23">
        <f>I88</f>
        <v>27.562535223367441</v>
      </c>
      <c r="R63" s="23">
        <f>AVERAGE(N63:P63)</f>
        <v>22.490021035899691</v>
      </c>
      <c r="S63">
        <f>_xlfn.STDEV.S(N63:P63)</f>
        <v>4.3948763442785683</v>
      </c>
    </row>
    <row r="64" spans="1:20" x14ac:dyDescent="0.25">
      <c r="I64" s="23"/>
      <c r="M64" t="str">
        <f>K16</f>
        <v>F3</v>
      </c>
      <c r="N64" s="23">
        <f>I55</f>
        <v>9.9875311334103944</v>
      </c>
      <c r="O64" s="23">
        <f>I71</f>
        <v>12.407574826497553</v>
      </c>
      <c r="P64" s="23">
        <f>I87</f>
        <v>11.40794499214382</v>
      </c>
      <c r="R64" s="23">
        <f>AVERAGE(N64:P64)</f>
        <v>11.267683650683923</v>
      </c>
      <c r="S64">
        <f>_xlfn.STDEV.S(N64:P64)</f>
        <v>1.2161035326171168</v>
      </c>
    </row>
    <row r="65" spans="1:19" x14ac:dyDescent="0.25">
      <c r="I65" s="23"/>
      <c r="M65" t="str">
        <f>K15</f>
        <v>F4</v>
      </c>
      <c r="N65" s="23">
        <f>I54</f>
        <v>1.575217017725284</v>
      </c>
      <c r="O65" s="23">
        <f>I70</f>
        <v>1.9751013057858888</v>
      </c>
      <c r="P65" s="23">
        <f>I86</f>
        <v>1.6649028699541588</v>
      </c>
      <c r="R65" s="23">
        <f>AVERAGE(N65:P65)</f>
        <v>1.7384070644884437</v>
      </c>
      <c r="S65">
        <f>_xlfn.STDEV.S(N65:P65)</f>
        <v>0.20983091030645298</v>
      </c>
    </row>
    <row r="66" spans="1:19" x14ac:dyDescent="0.25">
      <c r="I66" s="23"/>
      <c r="M66" t="str">
        <f>K19</f>
        <v>loss</v>
      </c>
      <c r="N66" s="23">
        <f>I63</f>
        <v>24.175044004663786</v>
      </c>
      <c r="O66" s="23">
        <f>I79</f>
        <v>17.814334446731774</v>
      </c>
      <c r="P66" s="23">
        <f>I95</f>
        <v>17.12729462579383</v>
      </c>
      <c r="R66" s="23">
        <f>AVERAGE(N66:P66)</f>
        <v>19.705557692396464</v>
      </c>
      <c r="S66">
        <f>_xlfn.STDEV.S(N66:P66)</f>
        <v>3.8859023212823138</v>
      </c>
    </row>
    <row r="67" spans="1:19" x14ac:dyDescent="0.25">
      <c r="A67">
        <v>5</v>
      </c>
      <c r="I67" s="23"/>
    </row>
    <row r="68" spans="1:19" x14ac:dyDescent="0.25">
      <c r="B68" t="s">
        <v>0</v>
      </c>
      <c r="C68" t="s">
        <v>1</v>
      </c>
      <c r="E68" s="1"/>
      <c r="F68" s="2" t="s">
        <v>2</v>
      </c>
      <c r="G68" s="2" t="s">
        <v>3</v>
      </c>
      <c r="H68" s="3"/>
      <c r="I68" s="23"/>
    </row>
    <row r="69" spans="1:19" x14ac:dyDescent="0.25">
      <c r="A69" s="4" t="s">
        <v>4</v>
      </c>
      <c r="B69">
        <v>286.17</v>
      </c>
      <c r="C69">
        <v>1275.44</v>
      </c>
      <c r="E69" s="4" t="s">
        <v>4</v>
      </c>
      <c r="F69">
        <f>C69-B69</f>
        <v>989.27</v>
      </c>
      <c r="G69">
        <v>0.21300000138580799</v>
      </c>
      <c r="H69" s="6">
        <f>F69*G69</f>
        <v>210.71451137093825</v>
      </c>
      <c r="I69" s="23"/>
    </row>
    <row r="70" spans="1:19" x14ac:dyDescent="0.25">
      <c r="A70" s="4" t="s">
        <v>19</v>
      </c>
      <c r="B70">
        <v>111.91</v>
      </c>
      <c r="C70">
        <v>317.60000000000002</v>
      </c>
      <c r="E70" s="4" t="s">
        <v>19</v>
      </c>
      <c r="F70">
        <f t="shared" ref="F70:F73" si="38">C70-B70</f>
        <v>205.69000000000003</v>
      </c>
      <c r="G70">
        <v>1.8300002440810204E-2</v>
      </c>
      <c r="H70" s="6">
        <f t="shared" ref="H70:H74" si="39">F70*G70</f>
        <v>3.7641275020502514</v>
      </c>
      <c r="I70" s="23">
        <f>H70/($H$38-$H$43)*100</f>
        <v>1.9751013057858888</v>
      </c>
    </row>
    <row r="71" spans="1:19" x14ac:dyDescent="0.25">
      <c r="A71" s="4" t="s">
        <v>20</v>
      </c>
      <c r="B71">
        <v>117.12</v>
      </c>
      <c r="C71">
        <v>316.33</v>
      </c>
      <c r="E71" s="4" t="s">
        <v>20</v>
      </c>
      <c r="F71">
        <f t="shared" si="38"/>
        <v>199.20999999999998</v>
      </c>
      <c r="G71">
        <v>0.11869999952614307</v>
      </c>
      <c r="H71" s="6">
        <f t="shared" si="39"/>
        <v>23.646226905602958</v>
      </c>
      <c r="I71" s="23">
        <f t="shared" ref="I71:I73" si="40">H71/($H$38-$H$43)*100</f>
        <v>12.407574826497553</v>
      </c>
    </row>
    <row r="72" spans="1:19" x14ac:dyDescent="0.25">
      <c r="A72" s="4" t="s">
        <v>21</v>
      </c>
      <c r="B72">
        <v>132.97</v>
      </c>
      <c r="C72">
        <v>313.89999999999998</v>
      </c>
      <c r="E72" s="4" t="s">
        <v>21</v>
      </c>
      <c r="F72">
        <f t="shared" si="38"/>
        <v>180.92999999999998</v>
      </c>
      <c r="G72">
        <v>0.20880000479519367</v>
      </c>
      <c r="H72" s="6">
        <f t="shared" si="39"/>
        <v>37.778184867594383</v>
      </c>
      <c r="I72" s="23">
        <f t="shared" si="40"/>
        <v>19.822851968102714</v>
      </c>
    </row>
    <row r="73" spans="1:19" x14ac:dyDescent="0.25">
      <c r="A73" s="4" t="s">
        <v>22</v>
      </c>
      <c r="B73">
        <v>286.17</v>
      </c>
      <c r="C73">
        <v>663.73</v>
      </c>
      <c r="E73" s="4" t="s">
        <v>22</v>
      </c>
      <c r="F73">
        <f t="shared" si="38"/>
        <v>377.56</v>
      </c>
      <c r="G73" s="5">
        <v>0.2805000115185976</v>
      </c>
      <c r="H73" s="6">
        <f t="shared" si="39"/>
        <v>105.90558434896171</v>
      </c>
      <c r="I73" s="23">
        <f t="shared" si="40"/>
        <v>55.570449678901277</v>
      </c>
    </row>
    <row r="74" spans="1:19" x14ac:dyDescent="0.25">
      <c r="E74" s="4" t="s">
        <v>23</v>
      </c>
      <c r="F74" s="12">
        <v>10</v>
      </c>
      <c r="G74" s="12">
        <v>0.20829999633133411</v>
      </c>
      <c r="H74" s="14">
        <f t="shared" si="39"/>
        <v>2.0829999633133411</v>
      </c>
      <c r="I74" s="23"/>
    </row>
    <row r="75" spans="1:19" x14ac:dyDescent="0.25">
      <c r="E75" s="2" t="s">
        <v>24</v>
      </c>
      <c r="F75" s="17">
        <f>G69/G74</f>
        <v>1.0225636348403855</v>
      </c>
      <c r="I75" s="23"/>
    </row>
    <row r="76" spans="1:19" x14ac:dyDescent="0.25">
      <c r="E76" t="s">
        <v>25</v>
      </c>
      <c r="F76">
        <f>F69-F70-F71-F72-F73-F74</f>
        <v>15.879999999999939</v>
      </c>
      <c r="I76" s="23"/>
    </row>
    <row r="77" spans="1:19" x14ac:dyDescent="0.25">
      <c r="E77" t="s">
        <v>31</v>
      </c>
      <c r="F77">
        <f>F69*F75-F69+F76</f>
        <v>38.201527038548136</v>
      </c>
      <c r="I77" s="23"/>
    </row>
    <row r="78" spans="1:19" x14ac:dyDescent="0.25">
      <c r="E78" t="s">
        <v>32</v>
      </c>
      <c r="H78">
        <f>H70+H71+H72+H73</f>
        <v>171.09412362420932</v>
      </c>
      <c r="I78" s="23"/>
    </row>
    <row r="79" spans="1:19" x14ac:dyDescent="0.25">
      <c r="H79" s="18">
        <f>(H78+H74-H69)/H69</f>
        <v>-0.17814334446731775</v>
      </c>
      <c r="I79" s="24">
        <f>(H69-H78-H74)/H69*100</f>
        <v>17.814334446731774</v>
      </c>
    </row>
    <row r="80" spans="1:19" x14ac:dyDescent="0.25">
      <c r="I80" s="23"/>
    </row>
    <row r="81" spans="1:9" x14ac:dyDescent="0.25">
      <c r="I81" s="23"/>
    </row>
    <row r="82" spans="1:9" x14ac:dyDescent="0.25">
      <c r="I82" s="23"/>
    </row>
    <row r="83" spans="1:9" x14ac:dyDescent="0.25">
      <c r="A83">
        <v>6</v>
      </c>
      <c r="I83" s="23"/>
    </row>
    <row r="84" spans="1:9" x14ac:dyDescent="0.25">
      <c r="B84" t="s">
        <v>0</v>
      </c>
      <c r="C84" t="s">
        <v>1</v>
      </c>
      <c r="E84" s="1"/>
      <c r="F84" s="2" t="s">
        <v>2</v>
      </c>
      <c r="G84" s="2" t="s">
        <v>3</v>
      </c>
      <c r="H84" s="3"/>
      <c r="I84" s="23"/>
    </row>
    <row r="85" spans="1:9" x14ac:dyDescent="0.25">
      <c r="A85" s="4" t="s">
        <v>4</v>
      </c>
      <c r="B85">
        <v>288.54000000000002</v>
      </c>
      <c r="C85">
        <v>1297.3599999999999</v>
      </c>
      <c r="E85" s="4" t="s">
        <v>4</v>
      </c>
      <c r="F85">
        <f>C85-B85</f>
        <v>1008.8199999999999</v>
      </c>
      <c r="G85">
        <v>0.21159999631345272</v>
      </c>
      <c r="H85" s="6">
        <f>F85*G85</f>
        <v>213.46630828093737</v>
      </c>
      <c r="I85" s="23"/>
    </row>
    <row r="86" spans="1:9" x14ac:dyDescent="0.25">
      <c r="A86" s="4" t="s">
        <v>19</v>
      </c>
      <c r="B86">
        <v>135.49</v>
      </c>
      <c r="C86">
        <v>312.75</v>
      </c>
      <c r="E86" s="4" t="s">
        <v>19</v>
      </c>
      <c r="F86">
        <f t="shared" ref="F86:F89" si="41">C86-B86</f>
        <v>177.26</v>
      </c>
      <c r="G86">
        <v>1.7900003120303154E-2</v>
      </c>
      <c r="H86" s="6">
        <f t="shared" ref="H86:H90" si="42">F86*G86</f>
        <v>3.1729545531049368</v>
      </c>
      <c r="I86" s="23">
        <f>H86/($H$38-$H$43)*100</f>
        <v>1.6649028699541588</v>
      </c>
    </row>
    <row r="87" spans="1:9" x14ac:dyDescent="0.25">
      <c r="A87" s="4" t="s">
        <v>20</v>
      </c>
      <c r="B87">
        <v>121.57</v>
      </c>
      <c r="C87">
        <v>332.24</v>
      </c>
      <c r="E87" s="4" t="s">
        <v>20</v>
      </c>
      <c r="F87">
        <f t="shared" si="41"/>
        <v>210.67000000000002</v>
      </c>
      <c r="G87">
        <v>0.10319999419152737</v>
      </c>
      <c r="H87" s="6">
        <f t="shared" si="42"/>
        <v>21.74114277632907</v>
      </c>
      <c r="I87" s="23">
        <f t="shared" ref="I87:I89" si="43">H87/($H$38-$H$43)*100</f>
        <v>11.40794499214382</v>
      </c>
    </row>
    <row r="88" spans="1:9" x14ac:dyDescent="0.25">
      <c r="A88" s="4" t="s">
        <v>21</v>
      </c>
      <c r="B88">
        <v>108.7</v>
      </c>
      <c r="C88">
        <v>363.94</v>
      </c>
      <c r="E88" s="4" t="s">
        <v>21</v>
      </c>
      <c r="F88" s="19">
        <f t="shared" si="41"/>
        <v>255.24</v>
      </c>
      <c r="G88" s="19">
        <v>0.2058000024408102</v>
      </c>
      <c r="H88" s="20">
        <f t="shared" si="42"/>
        <v>52.528392622992399</v>
      </c>
      <c r="I88" s="25">
        <f t="shared" si="43"/>
        <v>27.562535223367441</v>
      </c>
    </row>
    <row r="89" spans="1:9" x14ac:dyDescent="0.25">
      <c r="A89" s="4" t="s">
        <v>22</v>
      </c>
      <c r="B89">
        <v>288.54000000000002</v>
      </c>
      <c r="C89">
        <v>627.61</v>
      </c>
      <c r="E89" s="4" t="s">
        <v>22</v>
      </c>
      <c r="F89">
        <f t="shared" si="41"/>
        <v>339.07</v>
      </c>
      <c r="G89" s="5">
        <v>0.28730001114308834</v>
      </c>
      <c r="H89" s="6">
        <f t="shared" si="42"/>
        <v>97.414814778286967</v>
      </c>
      <c r="I89" s="23">
        <f t="shared" si="43"/>
        <v>51.115199409872822</v>
      </c>
    </row>
    <row r="90" spans="1:9" x14ac:dyDescent="0.25">
      <c r="E90" s="4" t="s">
        <v>23</v>
      </c>
      <c r="F90" s="12">
        <v>10</v>
      </c>
      <c r="G90" s="12">
        <v>0.20480000041425228</v>
      </c>
      <c r="H90" s="14">
        <f t="shared" si="42"/>
        <v>2.0480000041425228</v>
      </c>
      <c r="I90" s="23"/>
    </row>
    <row r="91" spans="1:9" x14ac:dyDescent="0.25">
      <c r="E91" s="2" t="s">
        <v>24</v>
      </c>
      <c r="F91" s="17">
        <f>G85/G90</f>
        <v>1.0332031049094041</v>
      </c>
      <c r="I91" s="23"/>
    </row>
    <row r="92" spans="1:9" x14ac:dyDescent="0.25">
      <c r="E92" t="s">
        <v>25</v>
      </c>
      <c r="F92">
        <f>F85-F86-F87-F88-F89-F90</f>
        <v>16.57999999999987</v>
      </c>
      <c r="I92" s="23"/>
    </row>
    <row r="93" spans="1:9" x14ac:dyDescent="0.25">
      <c r="E93" t="s">
        <v>31</v>
      </c>
      <c r="F93">
        <f>F85*F91-F85+F92</f>
        <v>50.075956294705009</v>
      </c>
      <c r="I93" s="23"/>
    </row>
    <row r="94" spans="1:9" x14ac:dyDescent="0.25">
      <c r="E94" t="s">
        <v>32</v>
      </c>
      <c r="H94">
        <f>H86+H87+H88+H89</f>
        <v>174.85730473071337</v>
      </c>
      <c r="I94" s="23"/>
    </row>
    <row r="95" spans="1:9" x14ac:dyDescent="0.25">
      <c r="H95" s="18">
        <f>(H94+H90-H85)/H85</f>
        <v>-0.17127294625793832</v>
      </c>
      <c r="I95" s="24">
        <f>(H85-H94-H90)/H85*100</f>
        <v>17.12729462579383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resin fractions</vt:lpstr>
      <vt:lpstr>size fractions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zhaoyd</dc:creator>
  <cp:lastModifiedBy>Gijn, Koen van</cp:lastModifiedBy>
  <dcterms:created xsi:type="dcterms:W3CDTF">2015-06-05T18:19:34Z</dcterms:created>
  <dcterms:modified xsi:type="dcterms:W3CDTF">2022-07-12T08:28:48Z</dcterms:modified>
</cp:coreProperties>
</file>