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dodou\Replication Dropbox\D. Dodou\Nachtwacht (1)\Article in Word\Supplementary material\Think-aloud\"/>
    </mc:Choice>
  </mc:AlternateContent>
  <bookViews>
    <workbookView xWindow="-105" yWindow="-105" windowWidth="29025" windowHeight="17505"/>
  </bookViews>
  <sheets>
    <sheet name="Transcripts"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557" i="1" l="1"/>
  <c r="C556" i="1"/>
  <c r="C555" i="1"/>
  <c r="C554" i="1"/>
  <c r="C553" i="1"/>
  <c r="C552" i="1"/>
  <c r="C551" i="1"/>
  <c r="C550" i="1"/>
  <c r="C549" i="1"/>
  <c r="C548" i="1"/>
  <c r="C547" i="1"/>
  <c r="C546" i="1"/>
  <c r="C545" i="1"/>
  <c r="C544" i="1"/>
  <c r="C543" i="1"/>
  <c r="C542" i="1"/>
  <c r="C541" i="1"/>
  <c r="C540" i="1"/>
  <c r="C539" i="1"/>
  <c r="C538" i="1"/>
  <c r="C537" i="1"/>
  <c r="C536" i="1"/>
  <c r="C535" i="1"/>
  <c r="C534" i="1"/>
  <c r="C533" i="1"/>
  <c r="C532" i="1"/>
  <c r="C531" i="1"/>
  <c r="C530" i="1"/>
  <c r="C529" i="1"/>
  <c r="C528" i="1"/>
  <c r="C527" i="1"/>
  <c r="C526" i="1"/>
  <c r="C525" i="1"/>
  <c r="C524" i="1"/>
  <c r="C523" i="1"/>
  <c r="C522" i="1"/>
  <c r="C521" i="1"/>
  <c r="C520" i="1"/>
  <c r="C519" i="1"/>
  <c r="C518" i="1"/>
  <c r="C517" i="1"/>
  <c r="C516" i="1"/>
  <c r="C515" i="1"/>
  <c r="C514" i="1"/>
  <c r="C513" i="1"/>
  <c r="C512" i="1"/>
  <c r="C511" i="1"/>
  <c r="C510" i="1"/>
  <c r="C509" i="1"/>
  <c r="C508" i="1"/>
  <c r="C507" i="1"/>
  <c r="C506" i="1"/>
  <c r="C505" i="1"/>
  <c r="C504" i="1"/>
  <c r="C503" i="1"/>
  <c r="C502" i="1"/>
  <c r="C501" i="1"/>
  <c r="C500" i="1"/>
  <c r="C499" i="1"/>
  <c r="C498" i="1"/>
  <c r="C497" i="1"/>
  <c r="C496" i="1"/>
  <c r="C495" i="1"/>
  <c r="C494" i="1"/>
  <c r="C493" i="1"/>
  <c r="C492" i="1"/>
  <c r="C491" i="1"/>
  <c r="C490" i="1"/>
  <c r="C489" i="1"/>
  <c r="C488" i="1"/>
  <c r="C487" i="1"/>
  <c r="C486" i="1"/>
  <c r="C485" i="1"/>
  <c r="C484" i="1"/>
  <c r="C483" i="1"/>
  <c r="C482" i="1"/>
  <c r="C481" i="1"/>
  <c r="C480" i="1"/>
  <c r="C479" i="1"/>
  <c r="C478" i="1"/>
  <c r="C477" i="1"/>
  <c r="C476" i="1"/>
  <c r="C475" i="1"/>
  <c r="C474" i="1"/>
  <c r="C473" i="1"/>
  <c r="C472" i="1"/>
  <c r="C471" i="1"/>
  <c r="C470" i="1"/>
  <c r="C469" i="1"/>
  <c r="C468" i="1"/>
  <c r="C467" i="1"/>
  <c r="C466" i="1"/>
  <c r="C465" i="1"/>
  <c r="C464" i="1"/>
  <c r="C463" i="1"/>
  <c r="C462" i="1"/>
  <c r="C461" i="1"/>
  <c r="C460" i="1"/>
  <c r="C459" i="1"/>
  <c r="C458" i="1"/>
  <c r="C457" i="1"/>
  <c r="C456" i="1"/>
  <c r="C455" i="1"/>
  <c r="C454" i="1"/>
  <c r="C453" i="1"/>
  <c r="C452" i="1"/>
  <c r="C451" i="1"/>
  <c r="C450" i="1"/>
  <c r="C449" i="1"/>
  <c r="C448" i="1"/>
  <c r="C447" i="1"/>
  <c r="C446" i="1"/>
  <c r="C445" i="1"/>
  <c r="C444" i="1"/>
  <c r="C443" i="1"/>
  <c r="C440" i="1"/>
  <c r="C439" i="1"/>
  <c r="C438" i="1"/>
  <c r="C437" i="1"/>
  <c r="C436" i="1"/>
  <c r="C435" i="1"/>
  <c r="C434" i="1"/>
  <c r="C433" i="1"/>
  <c r="C432" i="1"/>
  <c r="C431" i="1"/>
  <c r="C430" i="1"/>
  <c r="C429" i="1"/>
  <c r="C428" i="1"/>
  <c r="C427" i="1"/>
  <c r="C426" i="1"/>
  <c r="C425" i="1"/>
  <c r="C424" i="1"/>
  <c r="C423" i="1"/>
  <c r="C422" i="1"/>
  <c r="C421" i="1"/>
  <c r="C420" i="1"/>
  <c r="C419" i="1"/>
  <c r="C418" i="1"/>
  <c r="C417" i="1"/>
  <c r="C416" i="1"/>
  <c r="C415" i="1"/>
  <c r="C414" i="1"/>
  <c r="C413" i="1"/>
  <c r="C412" i="1"/>
  <c r="C411" i="1"/>
  <c r="C410" i="1"/>
  <c r="C409" i="1"/>
  <c r="C408" i="1"/>
  <c r="C407" i="1"/>
  <c r="C406" i="1"/>
  <c r="C405" i="1"/>
  <c r="C404" i="1"/>
  <c r="C403" i="1"/>
  <c r="C402" i="1"/>
  <c r="C401" i="1"/>
  <c r="C400" i="1"/>
  <c r="C399" i="1"/>
  <c r="C398" i="1"/>
  <c r="C397" i="1"/>
  <c r="C396" i="1"/>
  <c r="C395" i="1"/>
  <c r="C394" i="1"/>
  <c r="C393" i="1"/>
  <c r="C392" i="1"/>
  <c r="C391" i="1"/>
  <c r="C390" i="1"/>
  <c r="C387" i="1"/>
  <c r="C386" i="1"/>
  <c r="C385" i="1"/>
  <c r="C384" i="1"/>
  <c r="C383" i="1"/>
  <c r="C382" i="1"/>
  <c r="C381" i="1"/>
  <c r="C380" i="1"/>
  <c r="C379" i="1"/>
  <c r="C378" i="1"/>
  <c r="C377" i="1"/>
  <c r="C376" i="1"/>
  <c r="C375" i="1"/>
  <c r="C374" i="1"/>
  <c r="C373" i="1"/>
  <c r="C372" i="1"/>
  <c r="C371" i="1"/>
  <c r="C370" i="1"/>
  <c r="C369" i="1"/>
  <c r="C368" i="1"/>
  <c r="C367" i="1"/>
  <c r="C366" i="1"/>
  <c r="C365" i="1"/>
  <c r="C364" i="1"/>
  <c r="C363" i="1"/>
  <c r="C362" i="1"/>
  <c r="C361" i="1"/>
  <c r="C360" i="1"/>
  <c r="C357" i="1"/>
  <c r="C356" i="1"/>
  <c r="C355" i="1"/>
  <c r="C354" i="1"/>
  <c r="C353" i="1"/>
  <c r="C352" i="1"/>
  <c r="C351" i="1"/>
  <c r="C350" i="1"/>
  <c r="C349" i="1"/>
  <c r="C348" i="1"/>
  <c r="C347" i="1"/>
  <c r="C346" i="1"/>
  <c r="C345" i="1"/>
  <c r="C344" i="1"/>
  <c r="C343" i="1"/>
  <c r="C342" i="1"/>
  <c r="C341" i="1"/>
  <c r="C340" i="1"/>
  <c r="C339" i="1"/>
  <c r="C338" i="1"/>
  <c r="C332" i="1"/>
  <c r="C331" i="1"/>
  <c r="C330" i="1"/>
  <c r="C329" i="1"/>
  <c r="C328" i="1"/>
  <c r="C327" i="1"/>
  <c r="C326" i="1"/>
  <c r="C325" i="1"/>
  <c r="C324" i="1"/>
  <c r="C323" i="1"/>
  <c r="C322" i="1"/>
  <c r="C321" i="1"/>
  <c r="C320" i="1"/>
  <c r="C319" i="1"/>
  <c r="C318" i="1"/>
  <c r="C317" i="1"/>
  <c r="C316" i="1"/>
  <c r="C315" i="1"/>
  <c r="C314" i="1"/>
  <c r="C313" i="1"/>
  <c r="C312" i="1"/>
  <c r="C311" i="1"/>
  <c r="C310" i="1"/>
  <c r="C309" i="1"/>
  <c r="C308" i="1"/>
  <c r="C307" i="1"/>
  <c r="C306" i="1"/>
  <c r="C305" i="1"/>
  <c r="C304" i="1"/>
  <c r="C303" i="1"/>
  <c r="C302" i="1"/>
  <c r="C301" i="1"/>
  <c r="C300" i="1"/>
  <c r="C299" i="1"/>
  <c r="C298" i="1"/>
  <c r="C297" i="1"/>
  <c r="C296" i="1"/>
  <c r="C295" i="1"/>
  <c r="C294" i="1"/>
  <c r="C293" i="1"/>
  <c r="C292" i="1"/>
  <c r="C291" i="1"/>
  <c r="C290" i="1"/>
  <c r="C289" i="1"/>
  <c r="C288" i="1"/>
  <c r="C287" i="1"/>
  <c r="C286" i="1"/>
  <c r="C285" i="1"/>
  <c r="C284" i="1"/>
  <c r="C283" i="1"/>
  <c r="C282" i="1"/>
  <c r="C281" i="1"/>
  <c r="C280" i="1"/>
  <c r="C279" i="1"/>
  <c r="C274" i="1"/>
  <c r="C273" i="1"/>
  <c r="C272" i="1"/>
  <c r="C271" i="1"/>
  <c r="C270" i="1"/>
  <c r="C269" i="1"/>
  <c r="C268" i="1"/>
  <c r="C267" i="1"/>
  <c r="C266" i="1"/>
  <c r="C265" i="1"/>
  <c r="C264" i="1"/>
  <c r="C263" i="1"/>
  <c r="C262" i="1"/>
  <c r="C261" i="1"/>
  <c r="C260" i="1"/>
  <c r="C259" i="1"/>
  <c r="C258" i="1"/>
  <c r="C257" i="1"/>
  <c r="C256" i="1"/>
  <c r="C255" i="1"/>
  <c r="C254" i="1"/>
  <c r="C253" i="1"/>
  <c r="C252" i="1"/>
  <c r="C251" i="1"/>
  <c r="C250" i="1"/>
  <c r="C249" i="1"/>
  <c r="C248" i="1"/>
  <c r="C246" i="1"/>
  <c r="C245" i="1"/>
  <c r="C244" i="1"/>
  <c r="C243" i="1"/>
  <c r="C242" i="1"/>
  <c r="C241" i="1"/>
  <c r="C240" i="1"/>
  <c r="C239" i="1"/>
  <c r="C238" i="1"/>
  <c r="C237" i="1"/>
  <c r="C236" i="1"/>
  <c r="C235" i="1"/>
  <c r="C234" i="1"/>
  <c r="C233" i="1"/>
  <c r="C232" i="1"/>
  <c r="C231" i="1"/>
  <c r="C230" i="1"/>
  <c r="C229" i="1"/>
  <c r="C228" i="1"/>
  <c r="C227" i="1"/>
  <c r="C226" i="1"/>
  <c r="C225" i="1"/>
  <c r="C224" i="1"/>
  <c r="C223" i="1"/>
  <c r="C222" i="1"/>
  <c r="C217" i="1"/>
  <c r="C216" i="1"/>
  <c r="C215" i="1"/>
  <c r="C214" i="1"/>
  <c r="C213" i="1"/>
  <c r="C212" i="1"/>
  <c r="C211" i="1"/>
  <c r="C210" i="1"/>
  <c r="C209" i="1"/>
  <c r="C208" i="1"/>
  <c r="C207" i="1"/>
  <c r="C206" i="1"/>
  <c r="C205" i="1"/>
  <c r="C204" i="1"/>
  <c r="C203" i="1"/>
  <c r="C202" i="1"/>
  <c r="C201" i="1"/>
  <c r="C200" i="1"/>
  <c r="C199" i="1"/>
  <c r="C198" i="1"/>
  <c r="C197" i="1"/>
  <c r="C196" i="1"/>
  <c r="C195" i="1"/>
  <c r="C194" i="1"/>
  <c r="C193" i="1"/>
  <c r="C192" i="1"/>
  <c r="C191" i="1"/>
  <c r="C190" i="1"/>
  <c r="C189" i="1"/>
  <c r="C188" i="1"/>
  <c r="C187" i="1"/>
  <c r="C186" i="1"/>
  <c r="C185" i="1"/>
  <c r="C184" i="1"/>
  <c r="C183" i="1"/>
  <c r="C182" i="1"/>
  <c r="C181" i="1"/>
  <c r="C180" i="1"/>
  <c r="C179" i="1"/>
  <c r="C178" i="1"/>
  <c r="C177" i="1"/>
  <c r="C176" i="1"/>
  <c r="C175" i="1"/>
  <c r="C174" i="1"/>
  <c r="C173" i="1"/>
  <c r="C172" i="1"/>
  <c r="C171" i="1"/>
  <c r="C170" i="1"/>
  <c r="C169" i="1"/>
  <c r="C168" i="1"/>
  <c r="C167" i="1"/>
  <c r="C166" i="1"/>
  <c r="C165" i="1"/>
  <c r="C164" i="1"/>
  <c r="C163" i="1"/>
  <c r="C162" i="1"/>
  <c r="C161" i="1"/>
  <c r="C160" i="1"/>
  <c r="C159" i="1"/>
  <c r="C158" i="1"/>
  <c r="C157" i="1"/>
  <c r="C156" i="1"/>
  <c r="C155" i="1"/>
  <c r="C154" i="1"/>
  <c r="C153" i="1"/>
  <c r="C152" i="1"/>
  <c r="C151" i="1"/>
  <c r="C150" i="1"/>
  <c r="C149" i="1"/>
  <c r="C148" i="1"/>
  <c r="C147" i="1"/>
  <c r="C146" i="1"/>
  <c r="C145" i="1"/>
  <c r="C144" i="1"/>
  <c r="C143" i="1"/>
  <c r="C142" i="1"/>
  <c r="C141" i="1"/>
  <c r="C140" i="1"/>
  <c r="C139" i="1"/>
  <c r="C138" i="1"/>
  <c r="C137" i="1"/>
  <c r="C136" i="1"/>
  <c r="C135" i="1"/>
  <c r="C134" i="1"/>
  <c r="C133" i="1"/>
  <c r="C132" i="1"/>
  <c r="C131" i="1"/>
  <c r="C130" i="1"/>
  <c r="C129" i="1"/>
  <c r="C128" i="1"/>
  <c r="C127" i="1"/>
  <c r="C126" i="1"/>
  <c r="C125" i="1"/>
  <c r="C124" i="1"/>
  <c r="C123" i="1"/>
  <c r="C122" i="1"/>
  <c r="C121" i="1"/>
  <c r="C120" i="1"/>
  <c r="C119" i="1"/>
  <c r="C118" i="1"/>
  <c r="C117" i="1"/>
  <c r="C116" i="1"/>
  <c r="C115" i="1"/>
  <c r="C114" i="1"/>
  <c r="C113" i="1"/>
  <c r="C112" i="1"/>
  <c r="C111" i="1"/>
  <c r="C110" i="1"/>
  <c r="C109" i="1"/>
  <c r="C108" i="1"/>
  <c r="C107" i="1"/>
  <c r="C106" i="1"/>
  <c r="C104" i="1"/>
  <c r="C103" i="1"/>
  <c r="C102" i="1"/>
  <c r="C101" i="1"/>
  <c r="C100" i="1"/>
  <c r="C99" i="1"/>
  <c r="C98" i="1"/>
  <c r="C97" i="1"/>
  <c r="C96" i="1"/>
  <c r="C95" i="1"/>
  <c r="C94" i="1"/>
  <c r="C93" i="1"/>
  <c r="C92" i="1"/>
  <c r="C91" i="1"/>
  <c r="C90" i="1"/>
  <c r="C89" i="1"/>
  <c r="C88" i="1"/>
  <c r="C87" i="1"/>
  <c r="C86" i="1"/>
  <c r="C85" i="1"/>
  <c r="C84" i="1"/>
  <c r="C83" i="1"/>
  <c r="C82" i="1"/>
  <c r="C81" i="1"/>
  <c r="C80" i="1"/>
  <c r="C79" i="1"/>
  <c r="C78" i="1"/>
  <c r="C77" i="1"/>
  <c r="C76" i="1"/>
  <c r="C75" i="1"/>
  <c r="C74" i="1"/>
  <c r="C73" i="1"/>
  <c r="C72" i="1"/>
  <c r="C71" i="1"/>
  <c r="C70" i="1"/>
  <c r="C69" i="1"/>
  <c r="C68" i="1"/>
  <c r="C67" i="1"/>
  <c r="C66" i="1"/>
  <c r="C65" i="1"/>
  <c r="C64" i="1"/>
  <c r="C63" i="1"/>
  <c r="C62" i="1"/>
  <c r="C61" i="1"/>
  <c r="C60" i="1"/>
  <c r="C59" i="1"/>
  <c r="C58" i="1"/>
  <c r="C57" i="1"/>
  <c r="C56" i="1"/>
  <c r="C55" i="1"/>
  <c r="C54" i="1"/>
  <c r="C53" i="1"/>
  <c r="C52" i="1"/>
  <c r="C51" i="1"/>
  <c r="C50" i="1"/>
  <c r="C49" i="1"/>
  <c r="C48" i="1"/>
  <c r="C47" i="1"/>
  <c r="C46" i="1"/>
  <c r="C45" i="1"/>
  <c r="C44" i="1"/>
  <c r="C43" i="1"/>
  <c r="C42" i="1"/>
  <c r="C41" i="1"/>
  <c r="C40" i="1"/>
  <c r="C39" i="1"/>
  <c r="C38" i="1"/>
  <c r="C37" i="1"/>
  <c r="C34" i="1"/>
  <c r="C33" i="1"/>
  <c r="C32" i="1"/>
  <c r="C31" i="1"/>
  <c r="C30" i="1"/>
  <c r="C29" i="1"/>
  <c r="C28" i="1"/>
  <c r="C27" i="1"/>
  <c r="C26" i="1"/>
  <c r="C25" i="1"/>
  <c r="C24" i="1"/>
  <c r="C23" i="1"/>
  <c r="C22" i="1"/>
  <c r="C21" i="1"/>
  <c r="C20" i="1"/>
  <c r="C19" i="1"/>
  <c r="C18" i="1"/>
  <c r="C17" i="1"/>
  <c r="C16" i="1"/>
  <c r="C15" i="1"/>
  <c r="C14" i="1"/>
  <c r="C13" i="1"/>
  <c r="C12" i="1"/>
  <c r="C11" i="1"/>
  <c r="C10" i="1"/>
  <c r="C9" i="1"/>
  <c r="C8" i="1"/>
  <c r="C7" i="1"/>
  <c r="C6" i="1"/>
  <c r="C5" i="1"/>
  <c r="C4" i="1"/>
</calcChain>
</file>

<file path=xl/sharedStrings.xml><?xml version="1.0" encoding="utf-8"?>
<sst xmlns="http://schemas.openxmlformats.org/spreadsheetml/2006/main" count="587" uniqueCount="582">
  <si>
    <t xml:space="preserve">Het is moeilijk om te blijven praten. Want je bent toch met je gedachten bezig. </t>
  </si>
  <si>
    <t xml:space="preserve">Maar wat vind ik nou bijzonder aan de Nachtwacht? </t>
  </si>
  <si>
    <t>Bijzonder.</t>
  </si>
  <si>
    <t>Uiteraard de Nachtwacht. Even kijken, hoor.</t>
  </si>
  <si>
    <t>Veel mensen bij elkaar.</t>
  </si>
  <si>
    <t>Vol in het licht, zonder lijst.</t>
  </si>
  <si>
    <t xml:space="preserve">Heel mooi. </t>
  </si>
  <si>
    <t>Het is bijzonder. Het is bijzonder.</t>
  </si>
  <si>
    <t>Een hele groep mensen.</t>
  </si>
  <si>
    <t>Geweren.</t>
  </si>
  <si>
    <t>Ik zie ook nog een hond.</t>
  </si>
  <si>
    <t>Dat is toch de hoeveelheid mensen die alle kanten opkijken.</t>
  </si>
  <si>
    <t>Heel, heel, heel mooi.</t>
  </si>
  <si>
    <t>Er zit heel veel detail.</t>
  </si>
  <si>
    <t>Het hondje.</t>
  </si>
  <si>
    <t>De man met de zwarte jas, Banninck Cocq heet hij, geloof ik, die heeft een handschoen in zijn ene hand. Dat had ik nog nooit gezien.</t>
  </si>
  <si>
    <t>Daar hangt een briefje aan de muur.</t>
  </si>
  <si>
    <t>Het hondje, dat lijkt haast niet helemaal afgemaakt te zijn.</t>
  </si>
  <si>
    <t>Een soort hond, zie ik ook nog.</t>
  </si>
  <si>
    <t>Heel veel prachtige elementen uit die tijd.</t>
  </si>
  <si>
    <t>Geweer.</t>
  </si>
  <si>
    <t>Hij reikt zijn hand ook uit.</t>
  </si>
  <si>
    <t>Sommige kleuren zijn heel fel, sommige weer juist heel donker.</t>
  </si>
  <si>
    <t>Verder kan boven slecht zien, is heel donker.</t>
  </si>
  <si>
    <t>Verder lijken ze wel in discussie over iets.</t>
  </si>
  <si>
    <t>Veel gezichten.</t>
  </si>
  <si>
    <t>Ik ben een beetje stil van.</t>
  </si>
  <si>
    <t>Wat gaaf.</t>
  </si>
  <si>
    <t>Kleuren zijn typisch 17e-eeuws donker en veel zwart en bruin. En wat rood ter verlevendiging, denk ik.</t>
  </si>
  <si>
    <t>Er is heel goed geportretteerd, vind ik.</t>
  </si>
  <si>
    <t>Mensen kijken ook echt naar allerlei richtingen.</t>
  </si>
  <si>
    <t>Dat maakt het wel heel erg levendig.</t>
  </si>
  <si>
    <t>Verder nog een man met een hoge hoed op, achter de hoofdpersoon.</t>
  </si>
  <si>
    <t>Mooie lichtval.</t>
  </si>
  <si>
    <t>Knappe kleuren.</t>
  </si>
  <si>
    <t>Een hond.</t>
  </si>
  <si>
    <t>Een trom.</t>
  </si>
  <si>
    <t>Maar ik zie geen agressie.</t>
  </si>
  <si>
    <t>Ik ben blij dat ik niet in die tijd heb geleefd.</t>
  </si>
  <si>
    <t>Speren.</t>
  </si>
  <si>
    <t>Het is heel veel contrast.</t>
  </si>
  <si>
    <t>Het meisje natuurlijk.</t>
  </si>
  <si>
    <t>Mooie stoffen, stofuitdrukking, structuur. Heel erg mooi gemaakt.</t>
  </si>
  <si>
    <t>Een beetje op dezelfde plek als het meisje.</t>
  </si>
  <si>
    <t>En de rode hoed voor, met een gigantisch pistool of geweer.</t>
  </si>
  <si>
    <t>Ik zie nu opeens dat er nog een hoofd helemaal uitsteekt achter in het midden. Twee zelfs.</t>
  </si>
  <si>
    <t>En een handschoen in die hand.</t>
  </si>
  <si>
    <t>Eigenlijk kijkt alleen de drummer je echt aan.</t>
  </si>
  <si>
    <t>Heel veel mensen bij elkaar, dat is natuurlijk anders dan, ja, wat we nu hebben.</t>
  </si>
  <si>
    <t>Ik zie veel mensen.</t>
  </si>
  <si>
    <t>Wat me opvalt is dat meisje, daar kijk ik nu ook naar. Die springt er toch wel uit.</t>
  </si>
  <si>
    <t>Het heeft me een gevoel van mensen die, ja die wel serieus zijn maar ook iedereen is met andere dingen bezig, heb ik het gevoel.</t>
  </si>
  <si>
    <t>En die trommelaar die daar om de hoek komt kijken.</t>
  </si>
  <si>
    <t>Of hij vond het niet belangrijk om dat de schilderen daarzo in de duisternis.</t>
  </si>
  <si>
    <t xml:space="preserve">Die mode is er niet op vooruitgegaan sindsdien. Het is wel erg mooi hoe de jassen gemaakt zijn, en die kragen, en natuurlijk de sierlijke hoeden. </t>
  </si>
  <si>
    <t>Ja, het valt me nu ook ineens op dat daarachter nog een soort van half hoofd tussendoor komt, soort van een petje met een oog.</t>
  </si>
  <si>
    <t>Nu vallen me meer details op van dichtbij, ook op de donkere vlakken.</t>
  </si>
  <si>
    <t>Ik vraag me af of dat die nu door restauratie lichter wordt of niet. Ik herinner me het schilderij donkerder.</t>
  </si>
  <si>
    <t>Dit is wel heel gaaf.</t>
  </si>
  <si>
    <t>Ah, de hond, natuurlijk ook nog, die is dan een stuk minder.</t>
  </si>
  <si>
    <t>Het zwaard valt gewoon helemaal weg eigenlijk. Ik kan hem nog steeds wel een soort van zien.</t>
  </si>
  <si>
    <t>Ik zie een heleboel personen.</t>
  </si>
  <si>
    <t>Je ziet wie er belangrijk is.</t>
  </si>
  <si>
    <t>Knap dat ze donker, dat licht.</t>
  </si>
  <si>
    <t>Ik word daarna gelijk naar de gezichten getrokken vooral de rechterhoek.</t>
  </si>
  <si>
    <t>Het grappige is: ik had verwacht dat ik op het midden zou focussen omdat daar een persoon staat maar op een of andere manier, maar ga ik toch door de lichtval, ga ik daarop focussen.</t>
  </si>
  <si>
    <t>Rechts eigenlijk ook, met de hond die nog niet helemaal af lijkt te zijn, als je er langer naar kijkt.</t>
  </si>
  <si>
    <t>En ik let nu ook pas eigenlijk op de lichtval zoals die in het schilderij geschilderd is, in plaats van de lichtval die er nu op staat.</t>
  </si>
  <si>
    <t xml:space="preserve">Heel erg mooi, klassiek, oer-Hollands schilderij. </t>
  </si>
  <si>
    <t>Ze kijken allemaal naar elkaar en niet per se naar jou.</t>
  </si>
  <si>
    <t>Een mannetje kijkt daar over een schouder heen; je ziet eigenlijk alleen een oog.</t>
  </si>
  <si>
    <t xml:space="preserve">Ja, fascinerend. </t>
  </si>
  <si>
    <t>Ja. En daar zit dus die hond.</t>
  </si>
  <si>
    <t>Ik heb een keer een speurtocht gedaan en dan ontdek je heel veel dingen in het schilderij.</t>
  </si>
  <si>
    <t>Er was ergens nog een hond of een kat; ja daar is die hond.</t>
  </si>
  <si>
    <t>Ja, prachtig.</t>
  </si>
  <si>
    <t>En het meisje, met die, is het een dooie kip?</t>
  </si>
  <si>
    <t>Hoe langer je ernaar kijkt, hoe meer dingen je ziet.</t>
  </si>
  <si>
    <t>Ja, ik vraag me alleen waar dat stuk is gebleven wat er ooit af is gezaagd, of geknipt.</t>
  </si>
  <si>
    <t>Want hij is nog veel groter die Nachtwacht.</t>
  </si>
  <si>
    <t>Valt ineens meer op dan dat ik er ooit eerder naar heb gekeken.</t>
  </si>
  <si>
    <t>Ja. Dan lijken de mensen ook allemaal op elkaar.</t>
  </si>
  <si>
    <t>Ja, mooi, vind ik het. Het blijft een fascinerend schilderij.</t>
  </si>
  <si>
    <t>En helemaal om hem zo te zien; terwijl die nog aan het gerestaureerd wordt.</t>
  </si>
  <si>
    <t>Er is zoveel te zien.</t>
  </si>
  <si>
    <t>En een soort speer.</t>
  </si>
  <si>
    <t>Het valt me op dat een paar elementen meer belicht zijn; die springen er echt uit.</t>
  </si>
  <si>
    <t>Het jonge meisje is volgens mij de mascotte van het team, om het zo maar te zeggen.</t>
  </si>
  <si>
    <t>De gezichten zijn wel behoorlijk verlicht.</t>
  </si>
  <si>
    <t>De achtergrond boven is redelijk donker; niet heel veel kleur daardoor.</t>
  </si>
  <si>
    <t>Linksachter twee mensen op het achtergrond.</t>
  </si>
  <si>
    <t>Wat zie ik verder nog meer?</t>
  </si>
  <si>
    <t>Het is me wel voor te stellen hoe het zou zijn in die tijd, als je daar dan bij bent, bij zo’n groep. Als je dat vergelijkt met waar wij hedendaags natuurlijk met zijn allen zijn, dan is dat wel een heel groot contrast.</t>
  </si>
  <si>
    <t>Ik heb nu het gevoel dat de Nachtwacht rommeliger is dan ik me ook herinner. Misschien ook omdat ik dichtbij sta.</t>
  </si>
  <si>
    <t>Ik weet bijna niet waar ik moet kijken omdat er zoveel op het schilderij gebeurt.</t>
  </si>
  <si>
    <t>Het is bizar hoe sommige personen er zo echt uit zien.</t>
  </si>
  <si>
    <t>Want er liggen van die platen waar je altijd kan kijken. Welk deel er mist.</t>
  </si>
  <si>
    <t>Ja, want er zat nog ergens een, eh, wat was het nou?</t>
  </si>
  <si>
    <t>En daartussen zit die man ja met dat ene oog; die probeert ook mee te kijken.</t>
  </si>
  <si>
    <t>Er staat nog veel meer op. Volgens mij is het ook laag over laag. Dat er achter zo'n laag nog wel, nog iets verborgen zit, wat hij overnieuw heeft geschilderd ofzo.</t>
  </si>
  <si>
    <t>Gaaf.</t>
  </si>
  <si>
    <t>Ja, dat meisje valt eigenlijk ook wel op als je er zo naar kijkt.</t>
  </si>
  <si>
    <t>Ja. Niet omdat er een lamp op schijnt ofzo, maar gewoon meer, ja, dus hij is ineens, voor mij ineens een stuk lichter geworden.</t>
  </si>
  <si>
    <t>Allemaal dezelfde, een beetje hoekig, hoekige gezichten.</t>
  </si>
  <si>
    <t>En daar is ook nog een, oh nu zie ik een mannetje.</t>
  </si>
  <si>
    <t>Het maakt me een hele warme indruk wel. Dat komt waarschijnlijk ook door het rood.</t>
  </si>
  <si>
    <t>De compositie is vrij eenvoudig: allen staan daar maar behalve dat ene meisje dan, en ze kijken wel allerlei richting uit.</t>
  </si>
  <si>
    <t>De middelste persoon trekt de meeste aandacht doordat licht op hem valt, meer dan op de personen daarnaast.</t>
  </si>
  <si>
    <t>En op de vloer, zie ik niet duidelijk wat voor materiaal, maar ik denk tegels, ja zo te zien.</t>
  </si>
  <si>
    <t>Veel bebaarde types. Zijn helemaal in de mode op het ogenblik.</t>
  </si>
  <si>
    <t>Eigenlijk lijken meerdere personages wat rijker te zijn. Lijkt een soort guard bij te zijn.</t>
  </si>
  <si>
    <t>Ja, het contrast valt op, de textuur van het schilderij.</t>
  </si>
  <si>
    <t>Het lijkt echt een snapshot uit een andere tijd.</t>
  </si>
  <si>
    <t>Er lijkt wel veel diepgang te zitten in het schilderij.</t>
  </si>
  <si>
    <t>En ik zie veel, nou ja misschien niet heel veel, donkere kleding maar er zijn twee mensen denk ik met wit.</t>
  </si>
  <si>
    <t>En veren op de hoeden.</t>
  </si>
  <si>
    <t>Heel veel speren daar in de hoek.</t>
  </si>
  <si>
    <t>En er is iemand met een trommel en een glimmend mouwtje.</t>
  </si>
  <si>
    <t>Daarboven kan ik niet zo goed zien eigenlijk of daar nog in het donker allemaal details zijn omdat er zo veel licht op staat.</t>
  </si>
  <si>
    <t>En bovenin staan best wel twee felle lampen daarop.</t>
  </si>
  <si>
    <t>En daar in de hoek zit ook iets, meer donkers.</t>
  </si>
  <si>
    <t>Ik moest mijn hoofd wel stil houden, die zit ik wel een beetje te bewegen.</t>
  </si>
  <si>
    <t>Hoe dat lichaam zit snap ik eigenlijk niet helemaal.</t>
  </si>
  <si>
    <t>Ik zou eigenlijk heel graag willen dat ik toch een stap achteruit kon doen. Want dan kan je toch op een andere manier ook zien dan alleen maar van zo dichtbij.</t>
  </si>
  <si>
    <t>Of naja, zo dichtbij, ik zou nog dichterbij kunnen staan natuurlijk.</t>
  </si>
  <si>
    <t>Ik zie allemaal zwaarden en vlaggen met stokken.</t>
  </si>
  <si>
    <t>Veel mensen wijzen eigenlijk wel naar dingen of zitten met iemand te praten alsof ze iets willen laten zien.</t>
  </si>
  <si>
    <t>En iedereen heeft laarzen aan, hoge nou nee, die man niet, die heeft lage enkelschoentjes aan.</t>
  </si>
  <si>
    <t>En die mensen daar het is wel interessant zo drie dimensie, het is zo interessant.</t>
  </si>
  <si>
    <t>Er is, daar is die hond. Ik weet niet precies wat is de bedoeling.</t>
  </si>
  <si>
    <t>Mooi, mooi, mooi drie dimensie.</t>
  </si>
  <si>
    <t>En daar in het midden staat tussen al die volwassen mensen een klein persoon, een klein meisje.</t>
  </si>
  <si>
    <t>Ja, mensen dragen verder mooie schoenen en allemaal kragen.</t>
  </si>
  <si>
    <t>En daar in het midden naast het meisje staat een helm met iets groens erop en ik weet niet precies wat dat is.</t>
  </si>
  <si>
    <t>En iemand houdt een speer vast.</t>
  </si>
  <si>
    <t>Even kijken hoor, ik zie heel veel.</t>
  </si>
  <si>
    <t>Groot.</t>
  </si>
  <si>
    <t>Ik zie mannen. Even kijken, alleen maar mannen.</t>
  </si>
  <si>
    <t>Het is alsof zij gaan voorbereiden op een missie.</t>
  </si>
  <si>
    <t>En ja, ze zijn allemaal bedekt in een soort van glitter-achtig spul of tenminste dat zit op hun kleding.</t>
  </si>
  <si>
    <t>Ja, bijzonder.</t>
  </si>
  <si>
    <t>Dat het meisje heeft een kip bij zich. Of een duif, wat ze, ja, waarschijnlijk op gaat eten met haar familie, denk ik.</t>
  </si>
  <si>
    <t>Of die Gouden Eeuw.</t>
  </si>
  <si>
    <t>Het is wel met de drie dimensies zwart.</t>
  </si>
  <si>
    <t>Er is, een, twee, drie, vier, vijf, dat vind ik heel erg mooi.</t>
  </si>
  <si>
    <t>Ik kan niet focussen met die … Ik kan niet focussen met alles wat zit erin.</t>
  </si>
  <si>
    <t>De rest is niet zo, is voor mij niet zo interessant, eerlijk zeggen.</t>
  </si>
  <si>
    <t>Ik weet niet precies waarom die man lijkt wel met bloed in de, op de gezicht.</t>
  </si>
  <si>
    <t>Het is … lijkt wel op drie … drie-dimension schilderij.</t>
  </si>
  <si>
    <t>Ja … Mensen dragen mooie kleding.</t>
  </si>
  <si>
    <t>Mensen houden allemaal wapens vast en ik denk dat het zwaarden zijn en een geweer.</t>
  </si>
  <si>
    <t>En het lijkt alsof ze een soort van overwinning hebben behaald ofzo.</t>
  </si>
  <si>
    <t>Er spelen mensen op … er speelt iemand op een trommel.</t>
  </si>
  <si>
    <t>Dus het lijkt alsof ze een overwinning aan het vieren zijn … of in ieder geval iets te vieren hebben.</t>
  </si>
  <si>
    <t>Verder hebben allemaal mensen van die helmen op … om … van die legerhelmen.</t>
  </si>
  <si>
    <t>Maar, het ziet er wel heel erg mooi uit, vind ik. Hoe het is gemaakt, hoe licht er valt, op bepaalde personen en alsof bepaalde personen in het donker zijn.</t>
  </si>
  <si>
    <t>En mensen dragen ook een soort van … ja het lijkt op … ik weet niet precies wat het is maar het lijkt een beetje op een sjaal-achtig iets maar dan om hun middel.</t>
  </si>
  <si>
    <t>Dit … dit volgens mij herken ik dit.</t>
  </si>
  <si>
    <t xml:space="preserve">Ja, en een dame, daar, een soort van engelachtige meid, jonge dame. </t>
  </si>
  <si>
    <t>Maar ik zie hier twee figuren op de voorgrond en ik denk dat zij het belangrijkst zijn omdat het licht ook echt heel mooi op schijnt en zij steken er echt uit.</t>
  </si>
  <si>
    <t>En de mensen op de achtergrond zijn een beetje … maar niet echt heel duidelijk.</t>
  </si>
  <si>
    <t>Even kijken hoor, omdat ik heb het ook over die dame. Ik zou mijn God niet weten wat haar rol zou kunnen zijn.</t>
  </si>
  <si>
    <t>Wat heeft ze aan? Oh zij heeft een kip, een soort van kip ondersteboven bij haar. Interessant. Ja, ik zou niet weten waarom, maar goed. Naja, dat weet ik dus niet.</t>
  </si>
  <si>
    <t>Ik kijk even naar boven. Daar zie ik niet zo veel actie. Ah, ik zie ook nog speren. Speren.</t>
  </si>
  <si>
    <t>Hakjes zie ik, dat was ook in die tijd, dat weet ik, waar mannen in liepen.</t>
  </si>
  <si>
    <t>Ja, wat kan ik nog meer zeggen. Voorbereiden op de jacht of op de oorlog? Ik weet het niet.</t>
  </si>
  <si>
    <t>Even kijken. Ik zie daar ook nog wat. Iets met … dat is niet zo heel duidelijk.</t>
  </si>
  <si>
    <t>Wat er op de achtergrond gebeurt valt me nu misschien ook meer op dan eerdere keren dat ik de Nachtwacht heb gezien.</t>
  </si>
  <si>
    <t>Er stralen veel rust uit eigenlijk ook, veel van de gezichten.</t>
  </si>
  <si>
    <t>Tussen de figuren is ook niet altijd veel aandacht, of interactie tussen elkaar; er is een aantal figuren die met elkaar bezig zijn, maar eigenlijk is iedereen zijn eigen ding aan het doen, lijkt het.</t>
  </si>
  <si>
    <t>Dus dat is heel mooi.</t>
  </si>
  <si>
    <t>Het aantal mensen wat je ziet, zal maar zeggen, en ook verstopt is.</t>
  </si>
  <si>
    <t>Een heel klein mannetje daar links.</t>
  </si>
  <si>
    <t>Bijzonder om zo dichtbij de Nachtwacht te staan eigenlijk ook.</t>
  </si>
  <si>
    <t>Het is bijzonder hoe de kleding eigenlijk meer detail heeft dan het oog, als je nu kijkt.</t>
  </si>
  <si>
    <t>Heel gaaf.</t>
  </si>
  <si>
    <t>Iemand die zijn geweer nog aan het klaarmaken is.</t>
  </si>
  <si>
    <t xml:space="preserve">Zo. Zo dicht heb ik nog nooit op het schilderij gestaan. </t>
  </si>
  <si>
    <t>Zo. Prachtig schilderij.</t>
  </si>
  <si>
    <t>Een vreemde helm daar in het midden die ook niet, aan iemand lijkt toe te behoren.</t>
  </si>
  <si>
    <t>Ook dat pak wat die man aan heeft, zo gedetailleerd.</t>
  </si>
  <si>
    <t>Er is ook een soort enorm zwaardachtig speer-ding, in zijn hand.</t>
  </si>
  <si>
    <t>En wat is de belangrijkste figuur? Wat is de belangrijkste figuur? … Frontaal in het midden.</t>
  </si>
  <si>
    <t>Een losse handschoen. Oh, dat is van die man natuurlijk, ja, hij heeft hem op een bijzondere manier vast.</t>
  </si>
  <si>
    <t>Maar die hond die zal opnieuw bijgewerkt moeten worden want die is bijna onzichtbaar.</t>
  </si>
  <si>
    <t>Linksonder een iets kleinere mens, of kind eventueel zelfs.</t>
  </si>
  <si>
    <t>Rembrandt zelf staat er volgens mij ook daar op.</t>
  </si>
  <si>
    <t>Ik zie, het jonge meisje heeft ook nog een, een kip, of een haan of iets als trofee, of een vogel, een witte duif misschien wel, geen idee wat het precies is.</t>
  </si>
  <si>
    <t>Volgens mij … Ze zien er wel redelijk uit alsof ze paraat staan om, om zichzelf te verdedigen of ten aanval te gaan, gezien de wapens die ze allemaal bij zich dragen.</t>
  </si>
  <si>
    <t xml:space="preserve">En er zit ook nog een hond daar. Maar die lijkt, die past wel redelijk bij de rest van het schilderij, zou ik zeggen. </t>
  </si>
  <si>
    <t>Een grote groep mensen, ik denk meer als 20.</t>
  </si>
  <si>
    <t>Verder valt het licht ook nog op een meisje aan de iets meer linkerkant.</t>
  </si>
  <si>
    <t>En de achtergrond is erg donker, waardoor de figuren op de voorgrond goed uitkomen.</t>
  </si>
  <si>
    <t>Er is nog een figuur aan de rechterkant met een muziekinstrument en iemand die daar ook weer wijst en daardoor de compositie versterkt, waardoor het midden aangewezen wordt.</t>
  </si>
  <si>
    <t>De jas van de man voorop, is echt heel erg veel details, dat heb ik eigenlijk nog niet eerder zo dichtbij gezien.</t>
  </si>
  <si>
    <t>En de lichteffecten. Ja.</t>
  </si>
  <si>
    <t>Die veren, die stof, het kant. Ja.</t>
  </si>
  <si>
    <t>Ik zie toch liever iets modern; daar word ik vrolijk van. Ik word hier niet vrolijk van.</t>
  </si>
  <si>
    <t>Die meisjes, die … wat doen die eigenlijk hier op dit schilderij tussen al die mannen?</t>
  </si>
  <si>
    <t xml:space="preserve">Die heb ik lang geleden toen ik een kind was gezien maar al best lang niet meer. </t>
  </si>
  <si>
    <t>Ik zie ook heel veel attributen, dus dat valt me nu op.</t>
  </si>
  <si>
    <t xml:space="preserve">Ja, het geeft me ook een gevoel van overwinning. </t>
  </si>
  <si>
    <t xml:space="preserve">Natuurlijk de twee mannen vooraan, die zien er helemaal mooi uitgedost uit. </t>
  </si>
  <si>
    <t>Wat wordt er allemaal gecorrigeerd aan het schilderij?</t>
  </si>
  <si>
    <t>Kunnen ze nu ook zien wat er weggeschilderd is? Wat er veranderd is?</t>
  </si>
  <si>
    <t xml:space="preserve">Er staan ook mensen op die ik eigenlijk nog nooit gezien heb. </t>
  </si>
  <si>
    <t xml:space="preserve">Ik vind het licht nogal hinderlijk nu. Ik vind het licht nogal hinderlijk. Het spiegelt bijzonder. </t>
  </si>
  <si>
    <t>Maar, het is wel het grootste schilderij van het Rijks.</t>
  </si>
  <si>
    <t>Hoe lang gaat het hier nog hangen? En wat zie ik verder?</t>
  </si>
  <si>
    <t>Uniek.</t>
  </si>
  <si>
    <t>Zo. Indrukwekkend om dichtbij te staan.</t>
  </si>
  <si>
    <t>Heel veel detail in de schildering.</t>
  </si>
  <si>
    <t>Scheuren … je zit hier kleine beschadigingen; dat zal er waarschijnlijk mee te maken dat die gerestaureerd wordt momenteel. Ik zie dat ze er mee bezig zijn.</t>
  </si>
  <si>
    <t>De detail die in de kleding zit, dat is echt … bizar. Ja.</t>
  </si>
  <si>
    <t xml:space="preserve">Ik probeer meer te zien maar … </t>
  </si>
  <si>
    <t xml:space="preserve">Kijken of je nog wat kan vinden, wat je nog niet is opgevallen. </t>
  </si>
  <si>
    <t xml:space="preserve">Leuk. Mooi. Ja. Enig. Geweldig. Ja. </t>
  </si>
  <si>
    <t>Fantastisch.</t>
  </si>
  <si>
    <t>Geweldig, ja.</t>
  </si>
  <si>
    <t xml:space="preserve">Heel bijzonder. </t>
  </si>
  <si>
    <t xml:space="preserve">In je eentje, sta je ervoor. </t>
  </si>
  <si>
    <t>Geweldig. Dat scheelt natuurlijk.</t>
  </si>
  <si>
    <t>Prachtig.</t>
  </si>
  <si>
    <t xml:space="preserve">Zo. Dit is de Nachtwacht. </t>
  </si>
  <si>
    <t xml:space="preserve">Nog nooit zo dichtbij geweest. </t>
  </si>
  <si>
    <t xml:space="preserve">Ja, ik weet dat het gerestaureerd wordt. Dat is het is enige en ik vind het mooi omdat dat nu eens zo eens heel dichtbij te bekijken. </t>
  </si>
  <si>
    <t xml:space="preserve">Een hele hoop dingen gebeuren er. Het is volgens mij zeker de Nachtwacht. </t>
  </si>
  <si>
    <t>Het is indrukwekkend; gebeurt echt heel veel.</t>
  </si>
  <si>
    <t xml:space="preserve">Erg gaaf. Zo. </t>
  </si>
  <si>
    <t>Een aantal die zien er heel sierlijk uit en een aantal die zien er wat meer riddersoldaten-achtig uit, wat ik net zei.</t>
  </si>
  <si>
    <t>Bizar.</t>
  </si>
  <si>
    <t>Veel schaduweffecten.</t>
  </si>
  <si>
    <t>Je ziet elke keer iets nieuws.</t>
  </si>
  <si>
    <t>Je blijft eigenlijk naar het geheel bekijken.</t>
  </si>
  <si>
    <t>Het is bijna; het is net echt.</t>
  </si>
  <si>
    <t>Het gaat duidelijk om de twee personen voor, die zijn, het meeste, daar zit het meeste lichtinval in.</t>
  </si>
  <si>
    <t xml:space="preserve">Ik sta voor de Nachtwacht, in mijn eentje, ongelooflijk dichtbij. </t>
  </si>
  <si>
    <t>Er mist voor mijn gevoel een heel deel.</t>
  </si>
  <si>
    <t>Ik twijfel nu of dat dit wel de echte kan zijn. Maar ik weet dat die gerestaureerd wordt.</t>
  </si>
  <si>
    <t xml:space="preserve">Er vallen veel details nu op. Ik heb de Nachtwacht eerder gezien, maar van grotere afstand. </t>
  </si>
  <si>
    <t xml:space="preserve">Er dan valt mijn oog op misschien andere dingen. </t>
  </si>
  <si>
    <t xml:space="preserve">Spiegeling valt me ook op. </t>
  </si>
  <si>
    <t>Veel verborgen elementen.</t>
  </si>
  <si>
    <t>Ik kan me haast niet voorstellen dat dit de echte, echte is nu.</t>
  </si>
  <si>
    <t>Het lijkt niet zo heel oud, eerlijk gezegd, misschien dat het gerestaureerd is. Even kijken, hoor.</t>
  </si>
  <si>
    <t>De hoeveelheid detail valt op.</t>
  </si>
  <si>
    <t>De jonge dame. Even kijken. Ja.</t>
  </si>
  <si>
    <t>Het schilderij lijkt, ja, op sommige plekken meer detail te hebben dan andere.</t>
  </si>
  <si>
    <t>De uitdrukking van de gezichten is wat vaag. Even kijken hoor.</t>
  </si>
  <si>
    <t>Iedereen lijkt heel druk te zijn met elkaar en ondertussen is er veel chaos.</t>
  </si>
  <si>
    <t>De textuur van het schilderij is overal eigenlijk een beetje hetzelfde.</t>
  </si>
  <si>
    <t xml:space="preserve">Ik ben er nog niet helemaal uit of ik het echt mooi vind, eerlijk gezegd. </t>
  </si>
  <si>
    <t>Het lijkt, nogmaals, lijkt heel erg ongeregeld te zijn.</t>
  </si>
  <si>
    <t xml:space="preserve">Het is grappig; ik probeer nu te kijken wat in de verte nog meer zit, maar de schaduw lijkt het toch een beetje moeilijk te maken. </t>
  </si>
  <si>
    <t>Ik denk nu aan welke tijd het is … Ja.</t>
  </si>
  <si>
    <t xml:space="preserve">Er lijkt veel, ja nogmaals veel onrust te zijn. Iedereen een idee aan te geven van wat er zou moeten gebeuren. </t>
  </si>
  <si>
    <t>Het valt me op er dat nu ook nog een ander personage links in de hoek zit.</t>
  </si>
  <si>
    <t>Fantastisch mooi.</t>
  </si>
  <si>
    <t>En de schaduw inderdaad, ook nog.</t>
  </si>
  <si>
    <t xml:space="preserve">Ja. Fantastisch. </t>
  </si>
  <si>
    <t>Er zijn bepaalde elementen die heel goed gedetailleerd zijn uitgelicht, en andere minder.</t>
  </si>
  <si>
    <t xml:space="preserve">Rembrandt; een stuk van de Nachtwacht. Restauratie. </t>
  </si>
  <si>
    <t xml:space="preserve">Het licht van boven is een beetje storend aan de linker- en de rechterkant. </t>
  </si>
  <si>
    <t>Verder zijn waarschijnlijk het onderwerp is de schutterij.</t>
  </si>
  <si>
    <t>Daar is ook nog een musket, als ik het goed zeg.</t>
  </si>
  <si>
    <t>Je ziet mensen met zwaarden en een steekwapen. Ik weet niet wat het precies is, en een geweer, achter ook.</t>
  </si>
  <si>
    <t xml:space="preserve">En lansen, hele lange zelfs. Die maken er wel een mooie compositie van, een soort mikado-effect. </t>
  </si>
  <si>
    <t xml:space="preserve">Mensen worden ook daar afgesneden aan de linker-, als zowel de rechterkant. </t>
  </si>
  <si>
    <t xml:space="preserve">Is het een gedeelte van de Nachtwacht? Ik weet het niet zeker. Het maakt wel dezelfde indruk in ieder geval. </t>
  </si>
  <si>
    <t>De man die centraal staat en naar ons toegekeerd, die steekt de hand uit naar voren.</t>
  </si>
  <si>
    <t>De andere figuur daarnaast heeft zijn hand op de rug waarschijnlijk van de hoofdpersoon.</t>
  </si>
  <si>
    <t xml:space="preserve">Oh, eens even kijken, dit, wat een tijd was het ook. </t>
  </si>
  <si>
    <t xml:space="preserve">Je ziet wie de belangrijke personen waren. </t>
  </si>
  <si>
    <t xml:space="preserve">Ja, ik weet niet wat ik zeggen moet, want je ziet te veel. </t>
  </si>
  <si>
    <t>Knap, knap, hoe alles geschilderd is, zo ontzettende details, een die schaduwwerking, en lichtval.</t>
  </si>
  <si>
    <t xml:space="preserve">Terug in de tijd. </t>
  </si>
  <si>
    <t>Wat zou die man vertellen?</t>
  </si>
  <si>
    <t xml:space="preserve">Er is zo veel te zien. </t>
  </si>
  <si>
    <t>Oh, valt me nu pas op; er is hier iemand met een hele hoge hoed, wat eigenlijk best wel gek is in deze hele setting, zou ik bijna zeggen.</t>
  </si>
  <si>
    <t>Ik zie nu ook ineens de pluim.</t>
  </si>
  <si>
    <t>Het is heel mooi om van zo dichtbij te zien.</t>
  </si>
  <si>
    <t>En ja, echt heel veel kleine dingetjes, overal is er eigenlijk wel wat te zien. Ik heb het wel vaak gezien, maar je ziet zeker nieuwe dingen, als je echt goed kijkt.</t>
  </si>
  <si>
    <t>Ik word nog steeds echt weer naar het midden getrokken. Naar wat volgens mij Michiel de Ruyter is.</t>
  </si>
  <si>
    <t>En dat hondje onderin. Wel bijzonder dat die heel laag-contrast is en zo weggestopt maar toch echt voor in het beeld staat.</t>
  </si>
  <si>
    <t>Hoe verder je naar achter gaat, hoe minder echt eigenlijk, hoe vager.</t>
  </si>
  <si>
    <t>Die kleding ook, echt heel gaaf gedaan, heel knap gevonden, de kleding zo mooi, de vouwen zo accuraat te krijgen, zo echt.</t>
  </si>
  <si>
    <t xml:space="preserve">Grappig al die details die je dan opmerkt als je er voor staat. </t>
  </si>
  <si>
    <t xml:space="preserve">Ja. Het is ook zo ongelofelijk dat het zo oud is, he. </t>
  </si>
  <si>
    <t>En dat er een stuk af is.</t>
  </si>
  <si>
    <t xml:space="preserve">Ja. Daarboven zie ik het niet zo goed door die schittering van de lampen. </t>
  </si>
  <si>
    <t>Maar dat zal alleen maar zwarte zwaarden zijn en dat soort dingen.</t>
  </si>
  <si>
    <t>Een meisje met een blauw jurkje of pakje en een witte met een dode kip daaraan.</t>
  </si>
  <si>
    <t xml:space="preserve">Het gezicht van dat meisje. </t>
  </si>
  <si>
    <t>Daar ga ik ook nu pas naar kijken, ze heeft een beetje net zoals die witte man, met dat pak, met dat witte pak, een heel gedetailleerd dingetje op haar hoofd en een pareltje in haar oor.</t>
  </si>
  <si>
    <t xml:space="preserve">En ook, die achter daar met de wapen; het is wel over de oorlog. </t>
  </si>
  <si>
    <t>En ik denk dat is de generaal.</t>
  </si>
  <si>
    <t xml:space="preserve">En het is gewoon de achtergrond gewoon over … over de … de oorlog vroeger. </t>
  </si>
  <si>
    <t>Ja, dat licht dat schijnt gewoon.</t>
  </si>
  <si>
    <t xml:space="preserve">Ik ben nog steeds met die dame in mijn hoofd want die twee, daar schijnt het licht echt supergoed op; die zijn belangrijk en zij is ook belangrijk maar ik zou niet weten waarom. </t>
  </si>
  <si>
    <t>Ik denk ook geen dochter. Misschien is ze wel een dochter; ik weet het niet. Qua kleren, qua goud en alle mooiigheden, komt dat wel overeen met deze man in het goud.</t>
  </si>
  <si>
    <t>Ik zie daar, zie ik een man zijn geweer soort van voorbereiden, ja, geweer. Daar ook.</t>
  </si>
  <si>
    <t>Start time (s)</t>
  </si>
  <si>
    <t>Statement</t>
  </si>
  <si>
    <t>Participant</t>
  </si>
  <si>
    <t>Heel veel te zien; je wordt heel erg wel gestuurd om te kijken. Ik denk dat dat in die compositie ook wel zo bepaald is dat je van het ene naar het andere hoofd moet kijken.</t>
  </si>
  <si>
    <t xml:space="preserve">Dus ik zie hier een man in het zwart. Hij ziet er superbelangrijk uit. Hij vertelt hoe ze het gaat doen, zo voelt dat. </t>
  </si>
  <si>
    <t>En verder, ja, ze maken zich misschien klaar voor een strijd, zou ik zeggen, vanwege die trommel, speren, geweren.</t>
  </si>
  <si>
    <t>Terwijl, de volgens mij de luitenant en de twee mannen op de voorgrond zijn in een gesprek met elkaar; die zijn, ja die zijn over iets aan het overleggen.</t>
  </si>
  <si>
    <t>Oudere figuren, ja, oude mensen zien er anders uit dan hoe mensen nu uitzien.</t>
  </si>
  <si>
    <t>Het valt me aan mezelf op dat ik, ja, vooral toch naar de gezichten van de mensen kijk.</t>
  </si>
  <si>
    <t>Dat de mensen allemaal andere uitdrukking hebben.</t>
  </si>
  <si>
    <t>Ik weet volgens mij dat Rembrandt er ook ergens op staat. Die ben ik eigenlijk nu aan het zoeken. Maar waar die precies staat, weet ik niet.</t>
  </si>
  <si>
    <t>Maar meer dat er gewoon heel veel gaande is in het schilderij, ja dus dat allemaal mensen van alles mee bezig zijn.</t>
  </si>
  <si>
    <t>Iedereen, ja, iedereen maakt zich toch klaar voor een strijd, lijkt het me?</t>
  </si>
  <si>
    <t xml:space="preserve">Ja, behalve, behalve dus die attributen valt me ook de kleding op van de mensen. </t>
  </si>
  <si>
    <t>Er is heel veel detail heeft dat de schilder eraan gegeven om het jasje eenmaal te schilderen.</t>
  </si>
  <si>
    <t>Terwijl bij de andere mensen op de achtergrond is minder detail, die hebben natuurlijk ook minder mooie, ja, minder mooie kleren aan.</t>
  </si>
  <si>
    <t>Maar vooral het licht wat 1, 2, 3, 4, 5, … ja toch meerdere mensen goed in het licht stelt.</t>
  </si>
  <si>
    <t>Wat zijn de mensen? Ze praten onderling. Waar kijken ze naar?</t>
  </si>
  <si>
    <t xml:space="preserve">Ik zie een hond, maar die is niet heel duidelijk. Die is eigenlijk; die hond, die moet, denk ik, echt gerestaureerd worden. </t>
  </si>
  <si>
    <t>Ik zie daar een vlakje wat helemaal weg, helemaal kaal is gemaakt.</t>
  </si>
  <si>
    <t>Ik probeer ook nog een beetje te ontdekken wat de sfeer is, wat, wat, wat de mensen nou eigenlijk hier doen.</t>
  </si>
  <si>
    <t>Uniek, uniek. Bevoorrecht, voel ik me.</t>
  </si>
  <si>
    <t>nudge to keep talking</t>
  </si>
  <si>
    <t>nudge to think aloud</t>
  </si>
  <si>
    <t>Met die details van die jassen.</t>
  </si>
  <si>
    <t>En het licht wat valt op de hand en dan weer een schaduw werpt op de jas van de man met de gele jas.</t>
  </si>
  <si>
    <t>Er is daar iemand zijn geweer aan het laden.</t>
  </si>
  <si>
    <t>En er is nog een klein jongetje wat daar weg rent.</t>
  </si>
  <si>
    <t>En dan dat mysterieuze meisje, wat mij, wat mij nooit duidelijk wat ze precies aan het doen is.</t>
  </si>
  <si>
    <t>Ja, het is, het heet een portret te zijn, of iedereen die erop staat wel geportretteerd is of dat die er mensen bij verzonnen heeft.</t>
  </si>
  <si>
    <t>Het is haast alsof er een spot op staat, wat natuurlijk niet kan in de tijd. Wat voor licht, wat voor lichtstraal er nou van linksboven kwam?</t>
  </si>
  <si>
    <t>Zo mooi, de dieptewerking van die speer die de man met de gele jas draagt, echt je naar, naar, naar rechts voert.</t>
  </si>
  <si>
    <t xml:space="preserve">Ik heb hem nog nooit gezien, dus dit is voor mij de eerste keer. </t>
  </si>
  <si>
    <t>Er gebeurt een hele hoop.</t>
  </si>
  <si>
    <t xml:space="preserve">Ik zie sommige hebben wel meer een soort battle kleding aan, zoals helemaal links in het, in het, in het schilderij, een metalen helm ook, met allemaal ornamenten daarop, terwijl anderen meer een sierlijke hoed dragen. </t>
  </si>
  <si>
    <t>Jeetje Mina. Ik zie een prachtig schilderij wat nog nooit in het echt heb gezien.</t>
  </si>
  <si>
    <t xml:space="preserve">Ik ben heel verbaasd dat ik hier sta. </t>
  </si>
  <si>
    <t>Ik zie geweren.</t>
  </si>
  <si>
    <t>Trommels.</t>
  </si>
  <si>
    <t>Een meisje, een, waar licht op schijnt.</t>
  </si>
  <si>
    <t>Het lijkt erop alsof de voorste persoon iets aan te vertellen is.</t>
  </si>
  <si>
    <t>Die, ja, ze, ze heeft ook een licht wat niet klopt met de rest, zeg maar, de beschijning van het licht.</t>
  </si>
  <si>
    <t>Ja, wat onduidelijk is, is vooral het meisje; is wat, die, die past er niet echt tussen. De rest wel. Lijkt, ja.</t>
  </si>
  <si>
    <t>Ja, er loopt ook nog iemand naast het meisje weg die ook heel, niet heel erg groot is en je ziet zijn gezicht niet. En wat ook vooral raar is dat hij iets groens of zijn hoofd heeft wat lijkt op bladeren, maar geen idee wat, waar dat voor, wat dat voor betekenis heeft en waarom, waarom hij dit heeft.</t>
  </si>
  <si>
    <t xml:space="preserve">En verder … Eens even kijken. Het is een, een erg groot doek. Ik schat een meter of vijf breed en een meter of vijf hoog. </t>
  </si>
  <si>
    <t xml:space="preserve">En, eens even kijken nog … Er zijn … </t>
  </si>
  <si>
    <t>Er is ook iemand die met zijn oog achter twee schouders vandaan komt sneaken, spieken, … alsof die mee komt gluren.</t>
  </si>
  <si>
    <t xml:space="preserve">En … over die … </t>
  </si>
  <si>
    <t>Ik weet niet precies die … die connection tussen de achtergrond en tussen de … de mensen … de voorkant.</t>
  </si>
  <si>
    <t>Ja, het geeft me een gevoel van … levendigheid?</t>
  </si>
  <si>
    <t xml:space="preserve">Ook van … ja, van hoe het leven vroeger was. Dit is natuurlijk anders dan nu. </t>
  </si>
  <si>
    <t xml:space="preserve">Nu concentreer ik me denk ik ook op de details want ik staat er nu al een tijdje … </t>
  </si>
  <si>
    <t xml:space="preserve">Die man daarboven, die staat echt met zijn … met zijn hand in de lucht en die steekt iets omhoog als van wij gaan dit winnen, wij gaan dit overwinnen. </t>
  </si>
  <si>
    <t>Ja, dus het geeft me een gevoel dat mensen zich ook ergens voor klaarmaken, dat ze bezig zijn met … waar ze naartoe willen.</t>
  </si>
  <si>
    <t xml:space="preserve">En wat ik ook wel speciaal vind is dat aan de bovenkant het schilderij helemaal donker is, terwijl juist meer in het midden echt geconcentreerd daar het licht opvalt en dat daar dus ook … </t>
  </si>
  <si>
    <t xml:space="preserve">Ja, wat zie ik allemaal? Het is lang geleden … dat ik de Nachtwacht zag. </t>
  </si>
  <si>
    <t xml:space="preserve">Wat zijn ze aan het restaureren? Vernis eraf … </t>
  </si>
  <si>
    <t xml:space="preserve">Wat zie ik … wat zie ik allemaal? </t>
  </si>
  <si>
    <t xml:space="preserve">Een vrouw, denk ik, die … vol in het licht staat. </t>
  </si>
  <si>
    <t xml:space="preserve">Zij heeft een vogel vast … en is geknield. </t>
  </si>
  <si>
    <t>Maar … ze kijken … Naar wat kijken al die mensen?</t>
  </si>
  <si>
    <t xml:space="preserve">En ze zitten op een trap … </t>
  </si>
  <si>
    <t>De hand, dat die de handschoen vasthoudt … Grappig … nooit zo opgevallen.</t>
  </si>
  <si>
    <t>De helm … Ik ben wel benieuwd waarom daar iets op die helm zit ook. Een soort van plant of bladeren.</t>
  </si>
  <si>
    <t xml:space="preserve">Het zal niet waar zijn zeg. Ik dacht, dat is hem vast niet. Maar het is hem wel. Ik dacht: hij is in de restauratie. Ik heb hem eerder gezien … met schoolreis … zesde klas destijds. </t>
  </si>
  <si>
    <t xml:space="preserve">Mooi dat we hem hebben … in Nederland, hij hoort hier. </t>
  </si>
  <si>
    <t xml:space="preserve">Ik zie iemand ook nog muziek maken door middel van een trommel … </t>
  </si>
  <si>
    <t xml:space="preserve">Speren … </t>
  </si>
  <si>
    <t xml:space="preserve">Ik zit me dan wel voor te stellen hoe het is als je onderdeel van uit zou maken. Om dan echt ten strijde te gaan met echt direct lichamelijk contact eigenlijk met de tegenstander. Leven was toen wel heel wat anders … iets anders waar dan dat het nu is natuurlijk. </t>
  </si>
  <si>
    <t>Het lijkt bijna alsof, alsof het net nieuw is … dat het bijna een foto is.</t>
  </si>
  <si>
    <t xml:space="preserve">Het is echt bizar hoeveel details erin zitten en hoe scherp ze zijn … dat het helemaal niet meer lijkt op een schilderij, maar … </t>
  </si>
  <si>
    <t xml:space="preserve">En verder … even kijken … ja … </t>
  </si>
  <si>
    <t xml:space="preserve">Waarvan eentje ook wit is en de andere zwart. Ik weet niet precies wat dat, waar dat voor staat. Even kijken … </t>
  </si>
  <si>
    <t xml:space="preserve">Even kijken … </t>
  </si>
  <si>
    <t xml:space="preserve">En er zit nog een klein persoon daar links, die ook niet heel goed bij het schilderij past, maar die is zo donker dat hij eigenlijk pas nu opvalt … </t>
  </si>
  <si>
    <t xml:space="preserve">Een deel van de Nachtwacht kan ik nu niet goed zien in de hoeken. Wat een gek effect heeft met het licht-donker … </t>
  </si>
  <si>
    <t xml:space="preserve">Veel wapens … </t>
  </si>
  <si>
    <t>Er is zo veel te ontdekken … nog steeds … absurd.</t>
  </si>
  <si>
    <t xml:space="preserve">Echt knap geschilderd. Ja … Echt het … </t>
  </si>
  <si>
    <t xml:space="preserve">Ik ben op zoek … ik dacht dat een zwarte jongen zou moeten zijn, maar ik zie het niet. </t>
  </si>
  <si>
    <t xml:space="preserve">Ik vind het vooral heel … groot, maar het doet verder niet zo veel met me, moet ik heel eerlijk zeggen. </t>
  </si>
  <si>
    <t xml:space="preserve">Ik zie nu dat het meisje wat lijkt op een kip bij zich draagt, alsof die net is gevangen. Ik weet niet wat het meisje ermee moet, maar … </t>
  </si>
  <si>
    <t>Ja. En die … en hoe mooi die ogen ook zijn geschilderd.</t>
  </si>
  <si>
    <t>En hieronder is iemand met een soort … het lijkt een muziekinstrument of is het een soort hoorn? Dat kan ook. Of een kelk-achtig ding.</t>
  </si>
  <si>
    <t xml:space="preserve">Ook veel gouden … </t>
  </si>
  <si>
    <t>Die man in dat wit heeft ook een soort metalen achtige kraag lijkt wel … in ieder geval niet stof; of de onderkant wel maar niet dat middelste ding bij zijn nek.</t>
  </si>
  <si>
    <t>Dit is wel … de belangrijk … ja alsof die wordt rondgeleid eigenlijk.</t>
  </si>
  <si>
    <t>Maar ik denk dat de speren allemaal een beetje doorlopen … daar bovenin.</t>
  </si>
  <si>
    <t xml:space="preserve">En er is ook nog een helm maar ik zie niet of die nou los ligt, nee die staat niet op iemands hoofd, met een soort groen; het is geen blad, denk ik, maar … </t>
  </si>
  <si>
    <t>Wat is dat voor iets? … er zit nog een zwaard op, maar ik denk niet dat iemand is met de helm, maar gewoon spullen.</t>
  </si>
  <si>
    <t>Daar zijn er ook nog twee mannen een beetje te smiespelen met z'n tweeën … daar ook.</t>
  </si>
  <si>
    <t>Maar in andere kant het is … het is alle soorten, en … voor mij niet zo duidelijk … wat gaat ie over.</t>
  </si>
  <si>
    <t>Op sommige plekken is het veel … lijkt het veel donkerder dan op andere plekken.</t>
  </si>
  <si>
    <t>In het midden staat iemand op … met zijn handen een soort van … een beetje omhoog alsof ie, hij iets aan het vertellen is, of … ja alsof hij aan de leider is.</t>
  </si>
  <si>
    <t>Volgens mij is die de Nachtwacht. Ik weet … ik weet niet zoveel van kunst en zo, maar dit is Rembrandt, dat weet ik dan wel. Als het goed is, zo niet, jammer.</t>
  </si>
  <si>
    <t xml:space="preserve">Nou, ik ga even kijken naar de achtergrond. Ja, ze zijn gewoon een soort soldaten of hoe noem je dat. Gewoon ook … ik denk … sowieso minder belangrijk dan deze twee mensen op de voorgrond. </t>
  </si>
  <si>
    <t>Er hangt een stukje papier halverwege. Ik weet niet zo goed waar dat voor is, misschien voor onderzoek … Ja.</t>
  </si>
  <si>
    <t>Ik word getrokken tot de gezichten meer, dat komt, denk ik, door, doordat, doordat die lichter zijn dan de rest.</t>
  </si>
  <si>
    <t>Bovenin is niet zo heel veel te zien. Wat details. Maar …</t>
  </si>
  <si>
    <t xml:space="preserve">Wat een schilderij. </t>
  </si>
  <si>
    <t>En dan het lintje aan het einde van de speer, die valt dan wel weer op.</t>
  </si>
  <si>
    <t>Ik kan er verder niet zo goed in de hoeken kijken, omdat daar licht op staat.</t>
  </si>
  <si>
    <t>Fascinerend ….</t>
  </si>
  <si>
    <t>Verder zie ik nog een helm.</t>
  </si>
  <si>
    <t xml:space="preserve">En mensen met natuurlijk 17e-eeuwse kleding, met sjaals om hun borst of over hun schouder. </t>
  </si>
  <si>
    <t>En er is ook, ja, nog daar enige actie, want de meneer die links staat in het rood, die is zijn musket aan het schoonmaken, denk ik, of laat er ieder geval iets mee doen.</t>
  </si>
  <si>
    <t>Het meisje aan de linkerkant naast de hoofdfiguur, ja vind ik eigenlijk niet zo passend in het geheel, want wat doet een meisje bij al deze oudere mannen? Ik heb geen idee wat het meisje voor rol heeft in dit stuk.</t>
  </si>
  <si>
    <t>Behalve dat zij mooi belicht wordt en levendigheid geeft, dat wel.</t>
  </si>
  <si>
    <t>Het licht valt ook nog op de vloer achter de, de opgestelde personen of er tussendoor; is ook wel grappig, vind ik.</t>
  </si>
  <si>
    <t>Ja, de, de hoofdpersonen zijn rijk gekleed. De, de man in het hoofdzakelijk beige of wit heeft waarschijnlijk hele dure kleding aan. Dit is gezien de borduursels, de versieringen, en ook zijn broek heeft grote knoppen ook als versiering bij de knie.</t>
  </si>
  <si>
    <t>Aa, jee, ja, de, een gedeelte van de Nachtwacht, toch?</t>
  </si>
  <si>
    <t>Ik word … Het, het, eerlijk gezegd, het schilderij, ik word er niet warm of koud van.</t>
  </si>
  <si>
    <t>Groot schilderij.</t>
  </si>
  <si>
    <t>En ik zie mensen, mannen, bewaking, de wacht.</t>
  </si>
  <si>
    <t xml:space="preserve">Een engel of een meisje. Ik zeg gelijk engel maar het is eigenlijk een jong meisje met een kip. </t>
  </si>
  <si>
    <t xml:space="preserve">En de, ik kijk nu naar de … eigenlijk de hele mooie kleding van de meneer in het wit. Vette details die daar helemaal in verwerkt zitten. </t>
  </si>
  <si>
    <t>En daarnaast ook gelijk het rode, de rode cape, die daarnaast zit en dit is ook heel mooi, weer, met die structuur, met die stof die lijkt, die zie je bijna vallen in het schilderij.</t>
  </si>
  <si>
    <t xml:space="preserve">Ik zie nu, links pas eigenlijk, wat lijkt wel een figuur waarvan … het is mij nooit eerder opgevallen, die helemaal niet af lijkt, daar lijkt het gezicht nog in te missen. Grappig, het valt me nu pas op. </t>
  </si>
  <si>
    <t>Het is nog … Hoe lang heb ik nog om te praten?</t>
  </si>
  <si>
    <t xml:space="preserve">Ja, mooi. Lang geleden dat ik heb het gezien. </t>
  </si>
  <si>
    <t>Maar ik word toch heel erg naar de middelste voorste mannen getrokken.</t>
  </si>
  <si>
    <t xml:space="preserve">Ja, die kraag van de witte jas is ook zo prachtig dat ie, het lijkt nog een lontje stof. </t>
  </si>
  <si>
    <t>Ik zie daar een grijs hoekje. Ik weet niet wat het is, maar, veel grijs.</t>
  </si>
  <si>
    <t>En oud, heel oud.</t>
  </si>
  <si>
    <t>Oh, en daar … laat maar.</t>
  </si>
  <si>
    <t>Wat voor details er allemaal in zijn verwerkt.</t>
  </si>
  <si>
    <t>Die een soort kip onder haar middel heeft. Een dooie kip.</t>
  </si>
  <si>
    <t>Ja. Er zitten van die verborgen kunststukjes in. Maar dan moet je echt uren denk ik kijken.</t>
  </si>
  <si>
    <t>Ja. Ja. Hier kun je volgens mij wel uren naar kijken, wil je al die … dingen die je nog niet hebt gevonden.</t>
  </si>
  <si>
    <t>Omdat het zo in het licht geschilderd is.</t>
  </si>
  <si>
    <t>Die andere mensen een beetje op de achtergrond.</t>
  </si>
  <si>
    <t>En, ik zie heel veel mannen.</t>
  </si>
  <si>
    <t>En iemand met een trommel.</t>
  </si>
  <si>
    <t>En een hondje.</t>
  </si>
  <si>
    <t>Het is wel leuk om zo dichtbij te staan.</t>
  </si>
  <si>
    <t>Het is best wel raar eigenlijk dat ik dan nu pas heel gedetailleerd naar die kleding kijk, naar die borduursels, ook op die mouw van, van, van de middelste man met de witte kraag.</t>
  </si>
  <si>
    <t>En iemand zit daar moeilijk te doen met een geweer.</t>
  </si>
  <si>
    <t>En dan is die middelste de baas, die hem rondleidt.</t>
  </si>
  <si>
    <t>Waarom zou die man eigenlijk zijn handschoen uit hebben getrokken, als die zijn hand naar voren steekt? Of misschien staat hiervoor iemand die die een hand gaat geven.</t>
  </si>
  <si>
    <t>Nee, want dat is de verkeerde hand om een hand te geven, dus dat zal wel niet.</t>
  </si>
  <si>
    <t>Even denken. Ik zie heel veel mensen.</t>
  </si>
  <si>
    <t>Verder, dat is een beetje moeilijk te zien vanaf hier maar je ziet allemaal houten … houten balken of palen.</t>
  </si>
  <si>
    <t>Maar het is een beetje moeilijk te zien door het licht. Dus ik weet niet precies wat voor dat is of wat het is.</t>
  </si>
  <si>
    <t>Ik zie een trommel.</t>
  </si>
  <si>
    <t>En die man ernaast een beetje in het goud, mooie kleding; ik vind dat hij mooiere kleding heeft dan de meneer in het zwart. Ja, zijn kleding is mooi.</t>
  </si>
  <si>
    <t>Ik denk dat die een soort van belangrijke assistent is van deze meneer in het midden.</t>
  </si>
  <si>
    <t>Wat zie ik nog meer.</t>
  </si>
  <si>
    <t>Oh volgens mij is dat een hond? Een hele vage, niet belangrijke … want als je zeg maar zo kijkt dan zie je in het ik zag … ik zag … laat het zo zeggen, in het begin zag ik daar een soort van iets, maar ik dacht, naja, het zal wel, ik geef daar geen aandacht maar het lijkt een soort van hond maar niet heel duidelijk.</t>
  </si>
  <si>
    <t>Ja … heel apart. Want alles is heel mooi zeg maar gedetailleerd en heel duidelijk maar die hond, geen idee of het een hond is.</t>
  </si>
  <si>
    <t xml:space="preserve">Veel zwaarden en stokken en geweren … veel helmen. </t>
  </si>
  <si>
    <t>Maar je ziet wel dat er vooral de mensen aan de voorkant dat daar echt veel detail is gegeven aan … ja, om het helemaal mooi gedetailleerd weer te geven.</t>
  </si>
  <si>
    <t xml:space="preserve">Waar kijkt die man met die rode sjerp naartoe? Die man recht naast hem vertelt hem wat. Daar reageert ie … </t>
  </si>
  <si>
    <t>Jongens, jongens … de kleuren, de lichtinval, zal maar zeggen, is vooral bijzonder, dat je ziet waar de zon eigenlijk een beetje vandaan komt, waar de lichtinval vandaan komt.</t>
  </si>
  <si>
    <t>Ik vind vooral de lichtinval, dat blijft, blijft bijzonder.</t>
  </si>
  <si>
    <t>Deze man heeft ook een bril nodig zo te zien, want die kan niet goed zijn geweer laden.</t>
  </si>
  <si>
    <t>Daarachter is ook nog een soort van riddersoldaat-achtig iemand zie ik.</t>
  </si>
  <si>
    <t>Hij ja, … is iets aan te vertellen met heel veel mensen die achter hem staan, die lijken bij hem te horen, als in, ja, echt achter hem te staan, maar, er is ook wat chaos gaande, zeg maar.</t>
  </si>
  <si>
    <t>Ja, vooral de man in het … Ja rechts van de persoon met de, met de … ja, de twee personages voorop en dan rechts … valt me op dat die kleding veel detail heeft. Waarschijnlijk een rijke man, zo te zien, en de man ernaast eigenlijk ook.</t>
  </si>
  <si>
    <t xml:space="preserve">Het is grappig dat er eigenlijk bijna meer detail in die kraag zit van die man, witte man, dan in het gezicht van de, van het centrale figuur. Of in zijn sash, hoe je het ook wil noemen … sjaal. </t>
  </si>
  <si>
    <t xml:space="preserve">En, eens even kijken, wat nog meer opvalt … </t>
  </si>
  <si>
    <t xml:space="preserve">Ja, wat zie ik verder nog? Waar let ik op? Ik ben nu heel erg op zoek nu naar … Op de een of andere mail ga in nu details in, dus ik kijk naar de gezichten, en wat mist er nou in de gezichten, en de gezichtsuitdrukkingen … </t>
  </si>
  <si>
    <t xml:space="preserve">Jeetje moet ik nog langer doorpraten? … </t>
  </si>
  <si>
    <t>En de grond waar ze op staan zijn … het lijkt alsof er begonnen was aan een soort van tegels, maar dat is toch een grond, ja.</t>
  </si>
  <si>
    <t>Het is vooral de grootheid van het schilderij, maar ik vind, ben er verder niet … naja … het maakt me niet per se heel vrolijk of heel geïnspireerd.</t>
  </si>
  <si>
    <t xml:space="preserve">Het is eigenlijk. Het enige wat ik echt; het enige wat dus wel echt indruk op mij maakt is hoe dit, ha hoe dit kostuum gemaakt is. Dat witte, het witte kostuum. Dat is wel echt heel gaaf gedaan … Ja … </t>
  </si>
  <si>
    <t>Ik denk dat ik ook vooral het meeste wel aangetrokken wordt door kleur; het is vrij donker, dus dat is wat ik in dit schilderij dan … waardoor ik misschien niet aangetrokken ben, aangetrokken voel tot dit schilderij.</t>
  </si>
  <si>
    <t xml:space="preserve">En, heel erg veel karakters … En ja … </t>
  </si>
  <si>
    <t>Dat is … Het werd altijd gezegd dat het een focuspunt is.</t>
  </si>
  <si>
    <t xml:space="preserve">Het is echt zo groot … </t>
  </si>
  <si>
    <t xml:space="preserve">Het zijn toch alle glimmende kleine stukjes, waar je, wat ik zelf het meest fascinerend vind aan zo'n … </t>
  </si>
  <si>
    <t xml:space="preserve">… gigantisch schilderij. </t>
  </si>
  <si>
    <t>Die, die veren van die hoed ook voorop, die zijn ook zo, zo fijn en klein gemaakt … maar ook alleen die veren en de andere veren en achtige stof zijn toch echt minder gedetailleerd, dus je wordt toch wel heel erg naar het midden gehaald. Dit is zeker met een bedoeling gedaan.</t>
  </si>
  <si>
    <t>O nee, wel, ik zie een been … maar hoe zit dat dan? Is dat een heel laag iemand? Of een soort kindje? Nee, dat lijkt me niet.</t>
  </si>
  <si>
    <t>Het is gewoon; kijk allemaal die; dat vind ik … deze … deze … en zo.</t>
  </si>
  <si>
    <t xml:space="preserve">Het ziet er mooi uit. Het is mooi geschilderd. Heel … het lijkt heel echt. </t>
  </si>
  <si>
    <t xml:space="preserve">Ik zie mannen, een soort van … even kijken hoor … </t>
  </si>
  <si>
    <t xml:space="preserve">Heeft hij er wel zin in, is hij sterk genoeg om, ja, ook met de rest van de mensen oorlog in te gaan? Ik weet het niet of dit oorlog is, maar goed. </t>
  </si>
  <si>
    <t>Mooi, zijn hand, he? Prachtig.</t>
  </si>
  <si>
    <t>Het is volgens mij ook echt op ware grootte als ik er zo naar kijk. Dat is wel heel indrukwekkend, gewoon een op een schaal.</t>
  </si>
  <si>
    <t>Het is wel echt heel indrukwekkend om zo dichtbij te staan, dat, dat die, die mensen zijn gewoon een op een, vermoed ik. Dus dat is best wel soort van confronterend haast.</t>
  </si>
  <si>
    <t>Daarachter nog meer geweren, en iets wat lijkt op een speer.</t>
  </si>
  <si>
    <t xml:space="preserve">Wat dat meisje daarachter doet is een beetje onduidelijk, die hoort er niet echt bij, in dit verhaal … </t>
  </si>
  <si>
    <t>Ik zie nog een beest daarbeneden, lijkt het wel, een soort van hond verdwaald.</t>
  </si>
  <si>
    <t>Jezus, je moet er maar aan gaan staan.</t>
  </si>
  <si>
    <t>Verder zie ik een man op de achtergrond op een verhoging staan en die wijst ook naar een, een linksachter, of linksvoor voor ons. En wat daar de bedoeling van is weet ik niet.</t>
  </si>
  <si>
    <t>Is het nou in het VOC-tijdperk; ik weet het eigenlijk niet.</t>
  </si>
  <si>
    <t xml:space="preserve">Het valt me gelijk op dat de, de lampen daarin weerspiegelen. Want ik, daarom word ik gelijk daar naar toe getrokken, naar het licht. </t>
  </si>
  <si>
    <t>De, oh vet, ik zie nu ook, wat ik zeg, ik zoek een beetje de structuur, want het lijkt heel erg spiegelend, maar ik zie daar nu bovenin dat je toch ook wel een beetje de structuur terugziet, dat vind ik altijd heel vet, die naden of de, een beetje het perkamentachtige.</t>
  </si>
  <si>
    <t>Echt zelfs het borduursel wat, nou ja, bijna lijkt te glimmen, bijna uit het schilderij lijkt te komen.</t>
  </si>
  <si>
    <t>En ook die mooie kragen, zo, zo gedetailleerd, dat pak.</t>
  </si>
  <si>
    <t>En die ogen, he, dat blijft; die kijken je gewoon aan.</t>
  </si>
  <si>
    <t xml:space="preserve">Of daarachter is er ook nog een meisje. Twee meisjes. </t>
  </si>
  <si>
    <r>
      <t xml:space="preserve">En </t>
    </r>
    <r>
      <rPr>
        <sz val="11"/>
        <color theme="1"/>
        <rFont val="Calibri"/>
        <family val="2"/>
      </rPr>
      <t>ü</t>
    </r>
    <r>
      <rPr>
        <sz val="11"/>
        <color theme="1"/>
        <rFont val="Calibri"/>
        <family val="2"/>
        <scheme val="minor"/>
      </rPr>
      <t>berhaupt ergens vijf minuten naar te kijken.</t>
    </r>
  </si>
  <si>
    <t>Wat, ja, misschien maakt die man daar muziek van ok, wij gaan ervoor.</t>
  </si>
  <si>
    <t>Even kijken, wat zie ik nog meer? Het gevoel dat ik hiervan krijg, ja goh, twee belangrijke mannen die dingen gaan beslissen van ok, we gaan het zo-en-zo doen en ja, oorlog, oorlog, weet ik niet.</t>
  </si>
  <si>
    <t>Daar staat een man met een geweer, ja die is heel erg in zijn gedachten met zichzelf.</t>
  </si>
  <si>
    <t>Het geeft me een gevoel aan de ene kant dat het … wel een donker gevoel, want de achtergrond is donker, maar dat er toch … het geeft me op het op de een of andere manier niet per se een donker gevoel, ook omdat er licht valt bijvoorbeeld op het, op het meisje, en licht valt op de gezichten van alle mensen. Daardoor krijg ik er niet een donker gevoel van.</t>
  </si>
  <si>
    <t xml:space="preserve">Daar is in het schilderij ook heel veel detail aan gegeven, bijvoorbeeld aan het jasje van de luitenant volgens mij die in het wit is. </t>
  </si>
  <si>
    <t xml:space="preserve">Wat me verder opvalt zijn kleuren. Het is niet een heel kleurrijk schilderij; het is veel donker, maar wat ik net eerder al noemde, wel met wat lichtinval, en wat mij dan vooral opvalt zijn de kleuren rood en de kleuren wit, lichtgeel; die vallen mij erg op en ik heb het gevoel dat daar ook mijn zicht naar toe wordt getrokken. Ook omdat die natuurlijk feller zijn dan andere kleuren. </t>
  </si>
  <si>
    <t>Die man linksboven, zeg maar, met die snor, daar ben ik ook heel naar getrokken omdat die band mooi belicht is en zo opvalt met al die kleine details.</t>
  </si>
  <si>
    <t>En ik vraag me af wat dat linksboven de armen van de middelste persoon is; het groene; lijkt me een beetje plantachtig maar dan in een hoed? Maar, dat zal wel maar… Geen idee wat het is. Maar, het is wel heel mooi.</t>
  </si>
  <si>
    <t>Erachter tussen … lijkt ook een beetje, toch een soort dier waar.</t>
  </si>
  <si>
    <t>Het is ongelooflijk om zo dichtbij te staan.</t>
  </si>
  <si>
    <t>Er gebeurt een hoop op de Nachtwacht. Veel koppen.</t>
  </si>
  <si>
    <t>Een hond zie ik, rechts onderin; die was me eerder niet echt opgevallen.</t>
  </si>
  <si>
    <t>Grappig dat het middelpunt van het schilderij nu eigenlijk me ook minder is opgevallen, maar dat mijn ogen natuurlijk worden getrokken naar de lichtpunten.</t>
  </si>
  <si>
    <t>Ik zie dat een groot deel van deze compagnie ook rode of blauwe neuzen heeft, dus wel van een drankje hield, misschien.</t>
  </si>
  <si>
    <t>En de figuur verstopt achterin, een pet en een oog te zien is me nu denk ik voor het eerst opgevallen … ertussen gerommeld.</t>
  </si>
  <si>
    <t>Ik weet dat er een deel links of rechts af is.</t>
  </si>
  <si>
    <t xml:space="preserve">Wauw. Dat is wel heel gaaf. </t>
  </si>
  <si>
    <t>Veel licht nu en eigenlijk ook daarachter natuurlijk heel donker.</t>
  </si>
  <si>
    <t>Gezichten, allemaal een soort van uitgelicht.</t>
  </si>
  <si>
    <t>En het valt me nu pas op dat dat ze een kip bij zich heeft of iets dergelijks.</t>
  </si>
  <si>
    <t>Eigenlijk niet zo veel kleur, bedenk ik me nu. Dat er vooral wat rood in zit en wit. Maar ja het blauwige en groenige valt heel erg weg, wordt heel donker.</t>
  </si>
  <si>
    <t>Ja, het valt me heel erg op dat niet, nou ja, wat ik al zei, eigenlijk niet zo veel verschillende kleuren in zitten misschien.</t>
  </si>
  <si>
    <t xml:space="preserve">Maar door het licht, het wel een heel, heel dynamisch geheel is. </t>
  </si>
  <si>
    <t xml:space="preserve">Het is grappig om te zien dat dat eigenlijk de enige echte heel goed gedefinieerde schaduw is; die hand die op die witte, op dat witte vest valt; de rest is minder goed gedefinieerd ofzo. Ik weet niet precies. </t>
  </si>
  <si>
    <t>En die helm is dan wel weer heel detailrijk.</t>
  </si>
  <si>
    <t>Wel vreemde gewaarwording, want je hebt de Nachtwacht vaker gezien, gewoon op televisie of op het internet … maar … in het echt zien is dan toch weer anders.</t>
  </si>
  <si>
    <t>En het lijkt alsof ze allemaal een geheim vertellen op de een of andere manier.</t>
  </si>
  <si>
    <t>Het is wel heel bijzonder om te zien dat de bovenkant eigenlijk heel onduidelijk is, dat daar niet heel veel detail in zit, en hoe verder je naar beneden gaat dat je dan eigenlijk steeds meer detail ziet van personen. Dat drie personen echt heel benadrukt worden in het geheel.</t>
  </si>
  <si>
    <t>Je, je ziet, constant wordt je eigenlijk wel getrokken naar de personen die centraal staan op het, op het schilderij.</t>
  </si>
  <si>
    <t>Het blijft, vooral door de details, zal maar zeggen, van van het, van het schilderij is heel indrukwekkend. Ja.</t>
  </si>
  <si>
    <t>Gewoon heel unieke gebeurtenis om zo dichtbij dit schilderij te staan, en dat het, ja ik denk dat dat echt wel echt een once-in-a-lifetime is. Ik ben geen grote kunstliefhebber maar dit is wel, om het zo dichtbij te zien, te weten dat het zo oud is. Bijzonder.</t>
  </si>
  <si>
    <t>Hoe ik me erbij voel? Een beetje overwhelmed zou ik zeggen, vooral omdat het zo groot is.</t>
  </si>
  <si>
    <t>Alright. Ik zie een groot schilderij, vrij donker.</t>
  </si>
  <si>
    <t>Ja, wat ga ik er nog meer over zeggen?</t>
  </si>
  <si>
    <t>Er lijkt nog een gezicht te zitten, achter de man hier voorop met de zwarte hoed.</t>
  </si>
  <si>
    <t>En ik heb het gevoel als ik hier naast de persoon zat die alles die alles zou moeten, zou moeten regelen en dat … ja kijk op dat moment</t>
  </si>
  <si>
    <t xml:space="preserve">Met hele felle kleuren toch wel, ondanks dat alles donker is. </t>
  </si>
  <si>
    <t xml:space="preserve">Heel gedetailleerd in, in mimiek, in kleur, bijna zo scherp dat je, dat het echt lijkt. </t>
  </si>
  <si>
    <t xml:space="preserve">Het lijkt alsof er verschillende verhalen worden verteld, ondanks dat het een geheel is. </t>
  </si>
  <si>
    <t>Ze zijn nog niet helemaal geordend, er gebeurt, ze zijn nog aan het, een beetje aan het rommelen voordat ze, volgens mij, besluiten wat ze uiteindelijk gaan doen.</t>
  </si>
  <si>
    <t>De gezichten zijn allemaal goed, goed uitgelicht, daar valt wel echt aandacht op.</t>
  </si>
  <si>
    <t>En wat zie ik achter het meisje, achter dat jonge meisje, zie ik nog iets wat ik niet heel goed kan plaatsen.</t>
  </si>
  <si>
    <t xml:space="preserve">En degene rechts van hem een soort van zijn handlanger is, met de witte hoed. </t>
  </si>
  <si>
    <t xml:space="preserve">Het lijkt … ja. Ik snap niet precies wat hij vast heeft. Hij heeft een handschoen vast, maar geen idee wat dat, wat die handschoen ermee te maken heeft. </t>
  </si>
  <si>
    <t>En wat de andere vast heeft lijkt op een zwaard, maar ook niet echt een idee wat voor, ja, wat voor iets dat is.</t>
  </si>
  <si>
    <t>Fantastische details op de kraag. Dat. Wauw.</t>
  </si>
  <si>
    <t>En dan doorpraten, okee; de Nachtwacht zie ik.</t>
  </si>
  <si>
    <t xml:space="preserve">Okee, ik zie wat lijkt op de Nachtwacht, als het goed is, of ja, dat is waar ik in ieder geval waar ik als eerste aan moet denken. </t>
  </si>
  <si>
    <t xml:space="preserve">En hoe realistisch het ook eigenlijk is, terwijl als je goed kijkt, is het best wel veel, zeg maar, brush strokes die niet heel gedetailleerd zijn in de huid en zo maar toch oogt het heel echt. </t>
  </si>
  <si>
    <t>Okee. Mooie, heldere kleuren.</t>
  </si>
  <si>
    <t xml:space="preserve">Okee. Ik zie de Nachtwacht van Rembrandt. </t>
  </si>
  <si>
    <r>
      <t xml:space="preserve">En </t>
    </r>
    <r>
      <rPr>
        <sz val="11"/>
        <color theme="1"/>
        <rFont val="Calibri"/>
        <family val="2"/>
      </rPr>
      <t>een</t>
    </r>
    <r>
      <rPr>
        <sz val="11"/>
        <color theme="1"/>
        <rFont val="Calibri"/>
        <family val="2"/>
        <scheme val="minor"/>
      </rPr>
      <t xml:space="preserve"> meisje.</t>
    </r>
  </si>
  <si>
    <t>Daarachter zit een man met een hand naar voren alsof die iemands schouder beet wil pakken.</t>
  </si>
  <si>
    <t>En misschien het is over de koninkrijk als ik kijk naar de prinses daarachter.</t>
  </si>
  <si>
    <t>En die man daarachter is ook met de wapen.</t>
  </si>
  <si>
    <t xml:space="preserve">Ik zie nu pas dat er iemand eigenlijk daarachter ook nog kijkt. Weinig van meegekregen in eerdere keren … Sorry ik praat weer een beetje zacht. </t>
  </si>
  <si>
    <t>Het meisje, ook altijd een beetje verdrietig kijken, het voelt een beetje een vreemde sfeer ertussen, alsof ze er niet helemaal thuishoort, tussen al die mannen met de wapens en zo.</t>
  </si>
  <si>
    <t>Ik zie daar ook nog mensen die daar links die kijken van oh, ja, dat is een mooie, is dit een harpoen ofzo? Ik heb geen idee, ik heb niet zo veel verstand van … van dat soort dingen.</t>
  </si>
  <si>
    <t>Ik vind hem, zeg maar die man achter dat gouden mannetje zeg maar, die vind ik heel erg … een beetje zielig kijkend ofzo, of ja. Hij staat zo een beetje gebogen.</t>
  </si>
  <si>
    <t>Wauw. De Nachtwacht. Ja, ja dat blijft gewoon een bijzonder schilderij. En helemaal als ik hem zo mag bekijken.</t>
  </si>
  <si>
    <t>nudge to speak louder</t>
  </si>
  <si>
    <t>Participant 1</t>
  </si>
  <si>
    <t>Participant 2</t>
  </si>
  <si>
    <t>Participant 3</t>
  </si>
  <si>
    <t>Participant 4</t>
  </si>
  <si>
    <t>Participant 5</t>
  </si>
  <si>
    <t>Participant 6</t>
  </si>
  <si>
    <t>Participant 9</t>
  </si>
  <si>
    <t>Participant 7</t>
  </si>
  <si>
    <t>Participant 8</t>
  </si>
  <si>
    <t>Participant 10</t>
  </si>
  <si>
    <t>Participant 11</t>
  </si>
  <si>
    <t>Participant 12</t>
  </si>
  <si>
    <t>Participant 13</t>
  </si>
  <si>
    <t>Participant 14</t>
  </si>
  <si>
    <t>Participant 15</t>
  </si>
  <si>
    <t>Participant 16</t>
  </si>
  <si>
    <t>Participant 17</t>
  </si>
  <si>
    <t>Participant 18</t>
  </si>
  <si>
    <t>Participant 19</t>
  </si>
  <si>
    <t>Participant 20</t>
  </si>
  <si>
    <t>Participant 21</t>
  </si>
  <si>
    <t>Nudge</t>
  </si>
  <si>
    <t>Spotlight comment</t>
  </si>
  <si>
    <t>Het is gewoon heel erg indrukwekkend, XXX, en zo groot ook; er zijn wel stukken afgehaald eerder, heb ik begrepen, dus het is nog groter geweest. Ja.</t>
  </si>
  <si>
    <t xml:space="preserve">Ja, dat had ik niet verwacht. Ik zeg nog tegen XXX, het, het, we gaan geen Nachtwacht kijken. </t>
  </si>
  <si>
    <t>Ik kom uit XXX, zo het is gewoon, ja, het is vroeger die slavernij.</t>
  </si>
  <si>
    <t>Wat gebeurde vroeger toen in … ja 350 jaar in XXX was gebeurd dat de … de Goudse-eeuwse … in principe.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</si>
</sst>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 x14ac:knownFonts="1">
    <font>
      <sz val="11"/>
      <color theme="1"/>
      <name val="Calibri"/>
      <family val="2"/>
      <scheme val="minor"/>
    </font>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0" fillId="0" borderId="0" xfId="0" applyFill="1" applyAlignment="1">
      <alignment wrapText="1"/>
    </xf>
    <xf numFmtId="0" fontId="0" fillId="0" borderId="0" xfId="0" applyFill="1"/>
    <xf numFmtId="164" fontId="0" fillId="0" borderId="0" xfId="0" applyNumberFormat="1" applyFill="1" applyAlignment="1">
      <alignment horizontal="center"/>
    </xf>
    <xf numFmtId="164" fontId="0" fillId="0" borderId="0" xfId="0" applyNumberFormat="1" applyFill="1" applyAlignment="1">
      <alignment horizontal="center" wrapText="1"/>
    </xf>
    <xf numFmtId="0" fontId="0" fillId="0" borderId="0" xfId="0" applyNumberFormat="1" applyFill="1"/>
    <xf numFmtId="0" fontId="0" fillId="0" borderId="0" xfId="0" applyNumberFormat="1" applyFill="1" applyAlignment="1">
      <alignment wrapText="1"/>
    </xf>
    <xf numFmtId="0" fontId="0" fillId="0" borderId="0" xfId="0" applyNumberFormat="1" applyFont="1" applyFill="1"/>
    <xf numFmtId="0" fontId="0" fillId="0" borderId="0" xfId="0" applyFont="1" applyFill="1"/>
    <xf numFmtId="0" fontId="0" fillId="0" borderId="0" xfId="0" applyFont="1" applyFill="1" applyAlignment="1">
      <alignment wrapText="1"/>
    </xf>
    <xf numFmtId="164" fontId="0" fillId="0" borderId="0" xfId="0" applyNumberFormat="1" applyFont="1" applyFill="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7"/>
  <sheetViews>
    <sheetView tabSelected="1" zoomScale="70" zoomScaleNormal="70" workbookViewId="0">
      <selection activeCell="B1" sqref="B1"/>
    </sheetView>
  </sheetViews>
  <sheetFormatPr defaultColWidth="8.7109375" defaultRowHeight="12" customHeight="1" x14ac:dyDescent="0.25"/>
  <cols>
    <col min="1" max="1" width="31.7109375" style="2" bestFit="1" customWidth="1"/>
    <col min="2" max="2" width="152" style="1" customWidth="1"/>
    <col min="3" max="3" width="15.5703125" style="4" customWidth="1"/>
    <col min="4" max="4" width="14.5703125" style="6" bestFit="1" customWidth="1"/>
    <col min="5" max="7" width="8.7109375" style="2"/>
    <col min="8" max="8" width="73.42578125" style="2" customWidth="1"/>
    <col min="9" max="16384" width="8.7109375" style="2"/>
  </cols>
  <sheetData>
    <row r="1" spans="1:8" ht="12" customHeight="1" x14ac:dyDescent="0.25">
      <c r="A1" s="8" t="s">
        <v>303</v>
      </c>
      <c r="B1" s="9" t="s">
        <v>302</v>
      </c>
      <c r="C1" s="10" t="s">
        <v>301</v>
      </c>
      <c r="D1" s="7" t="s">
        <v>577</v>
      </c>
      <c r="E1" s="2" t="s">
        <v>576</v>
      </c>
    </row>
    <row r="2" spans="1:8" ht="12" customHeight="1" x14ac:dyDescent="0.25">
      <c r="A2" s="2" t="s">
        <v>555</v>
      </c>
      <c r="B2" s="1" t="s">
        <v>544</v>
      </c>
      <c r="C2" s="3">
        <v>54.63</v>
      </c>
      <c r="D2" s="5"/>
    </row>
    <row r="3" spans="1:8" ht="12" customHeight="1" x14ac:dyDescent="0.25">
      <c r="B3" s="1" t="s">
        <v>199</v>
      </c>
      <c r="C3" s="3">
        <v>59.179000000000002</v>
      </c>
      <c r="D3" s="5"/>
    </row>
    <row r="4" spans="1:8" ht="12" customHeight="1" x14ac:dyDescent="0.25">
      <c r="B4" s="1" t="s">
        <v>49</v>
      </c>
      <c r="C4" s="4">
        <f>60+6.053</f>
        <v>66.052999999999997</v>
      </c>
      <c r="D4" s="5"/>
    </row>
    <row r="5" spans="1:8" ht="12" customHeight="1" x14ac:dyDescent="0.25">
      <c r="B5" s="1" t="s">
        <v>50</v>
      </c>
      <c r="C5" s="4">
        <f>60+9.597</f>
        <v>69.596999999999994</v>
      </c>
      <c r="D5" s="5"/>
    </row>
    <row r="6" spans="1:8" ht="12" customHeight="1" x14ac:dyDescent="0.25">
      <c r="B6" s="1" t="s">
        <v>48</v>
      </c>
      <c r="C6" s="4">
        <f>60+16.987</f>
        <v>76.986999999999995</v>
      </c>
      <c r="D6" s="5"/>
      <c r="H6" s="1"/>
    </row>
    <row r="7" spans="1:8" ht="12" customHeight="1" x14ac:dyDescent="0.25">
      <c r="B7" s="1" t="s">
        <v>51</v>
      </c>
      <c r="C7" s="4">
        <f>60+22.761</f>
        <v>82.760999999999996</v>
      </c>
      <c r="D7" s="5"/>
    </row>
    <row r="8" spans="1:8" ht="12" customHeight="1" x14ac:dyDescent="0.25">
      <c r="B8" s="1" t="s">
        <v>496</v>
      </c>
      <c r="C8" s="4">
        <f>60+31.578</f>
        <v>91.578000000000003</v>
      </c>
      <c r="D8" s="5"/>
    </row>
    <row r="9" spans="1:8" ht="12" customHeight="1" x14ac:dyDescent="0.25">
      <c r="B9" s="1" t="s">
        <v>307</v>
      </c>
      <c r="C9" s="4">
        <f>60+39.432</f>
        <v>99.432000000000002</v>
      </c>
      <c r="D9" s="5"/>
    </row>
    <row r="10" spans="1:8" ht="12" customHeight="1" x14ac:dyDescent="0.25">
      <c r="B10" s="1" t="s">
        <v>350</v>
      </c>
      <c r="C10" s="4">
        <f>60+51.039</f>
        <v>111.039</v>
      </c>
      <c r="D10" s="5"/>
    </row>
    <row r="11" spans="1:8" ht="12" customHeight="1" x14ac:dyDescent="0.25">
      <c r="B11" s="1" t="s">
        <v>4</v>
      </c>
      <c r="C11" s="4">
        <f>60+56.341</f>
        <v>116.34100000000001</v>
      </c>
      <c r="D11" s="5"/>
    </row>
    <row r="12" spans="1:8" ht="12" customHeight="1" x14ac:dyDescent="0.25">
      <c r="B12" s="1" t="s">
        <v>351</v>
      </c>
      <c r="C12" s="4">
        <f>60+57.821</f>
        <v>117.821</v>
      </c>
      <c r="D12" s="5"/>
    </row>
    <row r="13" spans="1:8" ht="12" customHeight="1" x14ac:dyDescent="0.25">
      <c r="B13" s="1" t="s">
        <v>308</v>
      </c>
      <c r="C13" s="4">
        <f>120+7.818</f>
        <v>127.818</v>
      </c>
      <c r="D13" s="5"/>
    </row>
    <row r="14" spans="1:8" ht="12" customHeight="1" x14ac:dyDescent="0.25">
      <c r="B14" s="1" t="s">
        <v>309</v>
      </c>
      <c r="C14" s="4">
        <f>120+12.33</f>
        <v>132.33000000000001</v>
      </c>
      <c r="D14" s="5"/>
    </row>
    <row r="15" spans="1:8" ht="12" customHeight="1" x14ac:dyDescent="0.25">
      <c r="B15" s="1" t="s">
        <v>310</v>
      </c>
      <c r="C15" s="4">
        <f>120+18.966</f>
        <v>138.96600000000001</v>
      </c>
      <c r="D15" s="5"/>
    </row>
    <row r="16" spans="1:8" ht="12" customHeight="1" x14ac:dyDescent="0.25">
      <c r="B16" s="1" t="s">
        <v>311</v>
      </c>
      <c r="C16" s="4">
        <f>120+21.103</f>
        <v>141.10300000000001</v>
      </c>
      <c r="D16" s="5"/>
    </row>
    <row r="17" spans="2:4" ht="12" customHeight="1" x14ac:dyDescent="0.25">
      <c r="B17" s="1" t="s">
        <v>497</v>
      </c>
      <c r="C17" s="4">
        <f>120+33.738</f>
        <v>153.738</v>
      </c>
      <c r="D17" s="5"/>
    </row>
    <row r="18" spans="2:4" ht="12" customHeight="1" x14ac:dyDescent="0.25">
      <c r="B18" s="1" t="s">
        <v>312</v>
      </c>
      <c r="C18" s="4">
        <f>120+54.852</f>
        <v>174.852</v>
      </c>
      <c r="D18" s="5"/>
    </row>
    <row r="19" spans="2:4" ht="12" customHeight="1" x14ac:dyDescent="0.25">
      <c r="B19" s="1" t="s">
        <v>352</v>
      </c>
      <c r="C19" s="4">
        <f>180+3.496</f>
        <v>183.49600000000001</v>
      </c>
      <c r="D19" s="5"/>
    </row>
    <row r="20" spans="2:4" ht="12" customHeight="1" x14ac:dyDescent="0.25">
      <c r="B20" s="1" t="s">
        <v>141</v>
      </c>
      <c r="C20" s="4">
        <f>180+11.373</f>
        <v>191.37299999999999</v>
      </c>
      <c r="D20" s="5"/>
    </row>
    <row r="21" spans="2:4" ht="12" customHeight="1" x14ac:dyDescent="0.25">
      <c r="B21" s="1" t="s">
        <v>200</v>
      </c>
      <c r="C21" s="4">
        <f>180+26.001</f>
        <v>206.001</v>
      </c>
      <c r="D21" s="5"/>
    </row>
    <row r="22" spans="2:4" ht="12" customHeight="1" x14ac:dyDescent="0.25">
      <c r="B22" s="1" t="s">
        <v>450</v>
      </c>
      <c r="C22" s="4">
        <f>180+32.518</f>
        <v>212.518</v>
      </c>
      <c r="D22" s="5"/>
    </row>
    <row r="23" spans="2:4" ht="12" customHeight="1" x14ac:dyDescent="0.25">
      <c r="B23" s="1" t="s">
        <v>313</v>
      </c>
      <c r="C23" s="4">
        <f>180+40.632</f>
        <v>220.63200000000001</v>
      </c>
      <c r="D23" s="5"/>
    </row>
    <row r="24" spans="2:4" ht="12" customHeight="1" x14ac:dyDescent="0.25">
      <c r="B24" s="1" t="s">
        <v>201</v>
      </c>
      <c r="C24" s="4">
        <f>180+51.8</f>
        <v>231.8</v>
      </c>
      <c r="D24" s="5"/>
    </row>
    <row r="25" spans="2:4" ht="12" customHeight="1" x14ac:dyDescent="0.25">
      <c r="B25" s="1" t="s">
        <v>353</v>
      </c>
      <c r="C25" s="4">
        <f>180+53.616</f>
        <v>233.61599999999999</v>
      </c>
      <c r="D25" s="5"/>
    </row>
    <row r="26" spans="2:4" ht="12" customHeight="1" x14ac:dyDescent="0.25">
      <c r="B26" s="1" t="s">
        <v>354</v>
      </c>
      <c r="C26" s="4">
        <f>240+5.65</f>
        <v>245.65</v>
      </c>
      <c r="D26" s="5"/>
    </row>
    <row r="27" spans="2:4" ht="12" customHeight="1" x14ac:dyDescent="0.25">
      <c r="B27" s="1" t="s">
        <v>314</v>
      </c>
      <c r="C27" s="4">
        <f>240+20.569</f>
        <v>260.56900000000002</v>
      </c>
      <c r="D27" s="5"/>
    </row>
    <row r="28" spans="2:4" ht="12" customHeight="1" x14ac:dyDescent="0.25">
      <c r="B28" s="1" t="s">
        <v>202</v>
      </c>
      <c r="C28" s="4">
        <f>240+24.765</f>
        <v>264.76499999999999</v>
      </c>
      <c r="D28" s="5"/>
    </row>
    <row r="29" spans="2:4" ht="12" customHeight="1" x14ac:dyDescent="0.25">
      <c r="B29" s="1" t="s">
        <v>498</v>
      </c>
      <c r="C29" s="4">
        <f>240+29.726</f>
        <v>269.726</v>
      </c>
      <c r="D29" s="5"/>
    </row>
    <row r="30" spans="2:4" ht="12" customHeight="1" x14ac:dyDescent="0.25">
      <c r="B30" s="1" t="s">
        <v>315</v>
      </c>
      <c r="C30" s="4">
        <f>240+40.14</f>
        <v>280.14</v>
      </c>
      <c r="D30" s="5"/>
    </row>
    <row r="31" spans="2:4" ht="12" customHeight="1" x14ac:dyDescent="0.25">
      <c r="B31" s="1" t="s">
        <v>316</v>
      </c>
      <c r="C31" s="4">
        <f>240+48.766</f>
        <v>288.76600000000002</v>
      </c>
      <c r="D31" s="5"/>
    </row>
    <row r="32" spans="2:4" ht="12" customHeight="1" x14ac:dyDescent="0.25">
      <c r="B32" s="1" t="s">
        <v>451</v>
      </c>
      <c r="C32" s="4">
        <f>240+57.987</f>
        <v>297.98700000000002</v>
      </c>
      <c r="D32" s="5"/>
    </row>
    <row r="33" spans="1:4" ht="12" customHeight="1" x14ac:dyDescent="0.25">
      <c r="B33" s="1" t="s">
        <v>499</v>
      </c>
      <c r="C33" s="4">
        <f>300+13.518</f>
        <v>313.51800000000003</v>
      </c>
      <c r="D33" s="5"/>
    </row>
    <row r="34" spans="1:4" ht="12" customHeight="1" x14ac:dyDescent="0.25">
      <c r="B34" s="1" t="s">
        <v>355</v>
      </c>
      <c r="C34" s="4">
        <f>300+43.81</f>
        <v>343.81</v>
      </c>
      <c r="D34" s="5"/>
    </row>
    <row r="35" spans="1:4" ht="12" customHeight="1" x14ac:dyDescent="0.25">
      <c r="A35" s="1" t="s">
        <v>556</v>
      </c>
      <c r="B35" s="1" t="s">
        <v>177</v>
      </c>
      <c r="C35" s="4">
        <v>50.216999999999999</v>
      </c>
    </row>
    <row r="36" spans="1:4" ht="12" customHeight="1" x14ac:dyDescent="0.25">
      <c r="B36" s="1" t="s">
        <v>5</v>
      </c>
      <c r="C36" s="4">
        <v>59.871000000000002</v>
      </c>
    </row>
    <row r="37" spans="1:4" ht="12" customHeight="1" x14ac:dyDescent="0.25">
      <c r="B37" s="1" t="s">
        <v>6</v>
      </c>
      <c r="C37" s="4">
        <f>60+5.351</f>
        <v>65.350999999999999</v>
      </c>
    </row>
    <row r="38" spans="1:4" ht="12" customHeight="1" x14ac:dyDescent="0.25">
      <c r="B38" s="1" t="s">
        <v>356</v>
      </c>
      <c r="C38" s="4">
        <f>60+11.922</f>
        <v>71.921999999999997</v>
      </c>
    </row>
    <row r="39" spans="1:4" ht="12" customHeight="1" x14ac:dyDescent="0.25">
      <c r="B39" s="1" t="s">
        <v>357</v>
      </c>
      <c r="C39" s="4">
        <f>60+22.851</f>
        <v>82.850999999999999</v>
      </c>
    </row>
    <row r="40" spans="1:4" ht="12" customHeight="1" x14ac:dyDescent="0.25">
      <c r="B40" s="1" t="s">
        <v>7</v>
      </c>
      <c r="C40" s="4">
        <f>60+31.077</f>
        <v>91.076999999999998</v>
      </c>
    </row>
    <row r="41" spans="1:4" ht="12" customHeight="1" x14ac:dyDescent="0.25">
      <c r="B41" s="1" t="s">
        <v>358</v>
      </c>
      <c r="C41" s="4">
        <f>60+37.216</f>
        <v>97.216000000000008</v>
      </c>
    </row>
    <row r="42" spans="1:4" ht="12" customHeight="1" x14ac:dyDescent="0.25">
      <c r="B42" s="1" t="s">
        <v>8</v>
      </c>
      <c r="C42" s="4">
        <f>60+41.141</f>
        <v>101.14099999999999</v>
      </c>
    </row>
    <row r="43" spans="1:4" ht="12" customHeight="1" x14ac:dyDescent="0.25">
      <c r="B43" s="1" t="s">
        <v>9</v>
      </c>
      <c r="C43" s="4">
        <f>60+44.549</f>
        <v>104.54900000000001</v>
      </c>
    </row>
    <row r="44" spans="1:4" ht="12" customHeight="1" x14ac:dyDescent="0.25">
      <c r="B44" s="1" t="s">
        <v>359</v>
      </c>
      <c r="C44" s="4">
        <f>60+45.907</f>
        <v>105.907</v>
      </c>
    </row>
    <row r="45" spans="1:4" ht="12" customHeight="1" x14ac:dyDescent="0.25">
      <c r="B45" s="1" t="s">
        <v>360</v>
      </c>
      <c r="C45" s="4">
        <f>60+55.301</f>
        <v>115.301</v>
      </c>
    </row>
    <row r="46" spans="1:4" ht="12" customHeight="1" x14ac:dyDescent="0.25">
      <c r="B46" s="1" t="s">
        <v>203</v>
      </c>
      <c r="C46" s="4">
        <f>120+11.375</f>
        <v>131.375</v>
      </c>
    </row>
    <row r="47" spans="1:4" ht="12" customHeight="1" x14ac:dyDescent="0.25">
      <c r="B47" s="1" t="s">
        <v>204</v>
      </c>
      <c r="C47" s="4">
        <f>120+21.043</f>
        <v>141.04300000000001</v>
      </c>
    </row>
    <row r="48" spans="1:4" ht="12" customHeight="1" x14ac:dyDescent="0.25">
      <c r="B48" s="1" t="s">
        <v>205</v>
      </c>
      <c r="C48" s="4">
        <f>120+30.405</f>
        <v>150.405</v>
      </c>
    </row>
    <row r="49" spans="1:5" ht="12" customHeight="1" x14ac:dyDescent="0.25">
      <c r="B49" s="1" t="s">
        <v>361</v>
      </c>
      <c r="C49" s="4">
        <f>120+36.524</f>
        <v>156.524</v>
      </c>
    </row>
    <row r="50" spans="1:5" ht="12" customHeight="1" x14ac:dyDescent="0.25">
      <c r="B50" s="1" t="s">
        <v>10</v>
      </c>
      <c r="C50" s="4">
        <f>120+48.916</f>
        <v>168.916</v>
      </c>
    </row>
    <row r="51" spans="1:5" ht="12" customHeight="1" x14ac:dyDescent="0.25">
      <c r="B51" s="1" t="s">
        <v>182</v>
      </c>
      <c r="C51" s="4">
        <f>120+56.606</f>
        <v>176.60599999999999</v>
      </c>
    </row>
    <row r="52" spans="1:5" ht="12" customHeight="1" x14ac:dyDescent="0.25">
      <c r="B52" s="1" t="s">
        <v>206</v>
      </c>
      <c r="C52" s="4">
        <f>180+13.658</f>
        <v>193.65799999999999</v>
      </c>
      <c r="D52" s="6">
        <v>1</v>
      </c>
      <c r="E52" s="6" t="s">
        <v>554</v>
      </c>
    </row>
    <row r="53" spans="1:5" ht="12" customHeight="1" x14ac:dyDescent="0.25">
      <c r="B53" s="1" t="s">
        <v>207</v>
      </c>
      <c r="C53" s="4">
        <f>180+27.69</f>
        <v>207.69</v>
      </c>
    </row>
    <row r="54" spans="1:5" ht="12" customHeight="1" x14ac:dyDescent="0.25">
      <c r="B54" s="1" t="s">
        <v>208</v>
      </c>
      <c r="C54" s="4">
        <f>180+35.997</f>
        <v>215.99700000000001</v>
      </c>
    </row>
    <row r="55" spans="1:5" ht="12" customHeight="1" x14ac:dyDescent="0.25">
      <c r="B55" s="1" t="s">
        <v>183</v>
      </c>
      <c r="C55" s="4">
        <f>180+49.148</f>
        <v>229.148</v>
      </c>
    </row>
    <row r="56" spans="1:5" ht="12" customHeight="1" x14ac:dyDescent="0.25">
      <c r="B56" s="1" t="s">
        <v>1</v>
      </c>
      <c r="C56" s="4">
        <f>240+11.893</f>
        <v>251.893</v>
      </c>
    </row>
    <row r="57" spans="1:5" ht="12" customHeight="1" x14ac:dyDescent="0.25">
      <c r="B57" s="1" t="s">
        <v>11</v>
      </c>
      <c r="C57" s="4">
        <f>240+16.458</f>
        <v>256.45799999999997</v>
      </c>
    </row>
    <row r="58" spans="1:5" ht="12" customHeight="1" x14ac:dyDescent="0.25">
      <c r="B58" s="1" t="s">
        <v>317</v>
      </c>
      <c r="C58" s="4">
        <f>240+25.71</f>
        <v>265.70999999999998</v>
      </c>
    </row>
    <row r="59" spans="1:5" ht="12" customHeight="1" x14ac:dyDescent="0.25">
      <c r="B59" s="1" t="s">
        <v>184</v>
      </c>
      <c r="C59" s="4">
        <f>240+42.792</f>
        <v>282.79200000000003</v>
      </c>
    </row>
    <row r="60" spans="1:5" ht="12" customHeight="1" x14ac:dyDescent="0.25">
      <c r="B60" s="1" t="s">
        <v>362</v>
      </c>
      <c r="C60" s="4">
        <f>240+49.153</f>
        <v>289.15300000000002</v>
      </c>
    </row>
    <row r="61" spans="1:5" ht="12" customHeight="1" x14ac:dyDescent="0.25">
      <c r="B61" s="1" t="s">
        <v>0</v>
      </c>
      <c r="C61" s="4">
        <f>300+28.607</f>
        <v>328.60699999999997</v>
      </c>
    </row>
    <row r="62" spans="1:5" ht="12" customHeight="1" x14ac:dyDescent="0.25">
      <c r="B62" s="1" t="s">
        <v>318</v>
      </c>
      <c r="C62" s="4">
        <f>300+34.393</f>
        <v>334.39300000000003</v>
      </c>
    </row>
    <row r="63" spans="1:5" ht="12" customHeight="1" x14ac:dyDescent="0.25">
      <c r="B63" s="1" t="s">
        <v>452</v>
      </c>
      <c r="C63" s="4">
        <f>300+43.737</f>
        <v>343.73700000000002</v>
      </c>
    </row>
    <row r="64" spans="1:5" ht="12" customHeight="1" x14ac:dyDescent="0.25">
      <c r="A64" s="1" t="s">
        <v>557</v>
      </c>
      <c r="B64" s="1" t="s">
        <v>210</v>
      </c>
      <c r="C64" s="4">
        <f>59.286</f>
        <v>59.286000000000001</v>
      </c>
    </row>
    <row r="65" spans="1:5" ht="12" customHeight="1" x14ac:dyDescent="0.25">
      <c r="A65" s="1"/>
      <c r="B65" s="1" t="s">
        <v>209</v>
      </c>
      <c r="C65" s="4">
        <f>60+6.854</f>
        <v>66.853999999999999</v>
      </c>
    </row>
    <row r="66" spans="1:5" ht="12" customHeight="1" x14ac:dyDescent="0.25">
      <c r="B66" s="1" t="s">
        <v>211</v>
      </c>
      <c r="C66" s="4">
        <f>60+12.924</f>
        <v>72.924000000000007</v>
      </c>
    </row>
    <row r="67" spans="1:5" ht="12" customHeight="1" x14ac:dyDescent="0.25">
      <c r="B67" s="1" t="s">
        <v>212</v>
      </c>
      <c r="C67" s="4">
        <f>60+19.848</f>
        <v>79.847999999999999</v>
      </c>
    </row>
    <row r="68" spans="1:5" ht="12" customHeight="1" x14ac:dyDescent="0.25">
      <c r="B68" s="1" t="s">
        <v>453</v>
      </c>
      <c r="C68" s="4">
        <f>60+33.102</f>
        <v>93.102000000000004</v>
      </c>
    </row>
    <row r="69" spans="1:5" ht="12" customHeight="1" x14ac:dyDescent="0.25">
      <c r="B69" s="1" t="s">
        <v>171</v>
      </c>
      <c r="C69" s="4">
        <f>60+45.55</f>
        <v>105.55</v>
      </c>
      <c r="E69" s="6" t="s">
        <v>554</v>
      </c>
    </row>
    <row r="70" spans="1:5" ht="12" customHeight="1" x14ac:dyDescent="0.25">
      <c r="B70" s="1" t="s">
        <v>172</v>
      </c>
      <c r="C70" s="4">
        <f>60+57.97</f>
        <v>117.97</v>
      </c>
    </row>
    <row r="71" spans="1:5" ht="12" customHeight="1" x14ac:dyDescent="0.25">
      <c r="B71" s="1" t="s">
        <v>175</v>
      </c>
      <c r="C71" s="4">
        <f>120+2.141</f>
        <v>122.14100000000001</v>
      </c>
    </row>
    <row r="72" spans="1:5" ht="12" customHeight="1" x14ac:dyDescent="0.25">
      <c r="B72" s="1" t="s">
        <v>319</v>
      </c>
      <c r="C72" s="4">
        <f>120+8.769</f>
        <v>128.76900000000001</v>
      </c>
    </row>
    <row r="73" spans="1:5" ht="12" customHeight="1" x14ac:dyDescent="0.25">
      <c r="B73" s="1" t="s">
        <v>12</v>
      </c>
      <c r="C73" s="4">
        <f>120+19.288</f>
        <v>139.28800000000001</v>
      </c>
    </row>
    <row r="74" spans="1:5" ht="12" customHeight="1" x14ac:dyDescent="0.25">
      <c r="B74" s="1" t="s">
        <v>320</v>
      </c>
      <c r="C74" s="4">
        <f>120+25.233</f>
        <v>145.233</v>
      </c>
    </row>
    <row r="75" spans="1:5" ht="12" customHeight="1" x14ac:dyDescent="0.25">
      <c r="B75" s="1" t="s">
        <v>13</v>
      </c>
      <c r="C75" s="4">
        <f>120+32.812</f>
        <v>152.81200000000001</v>
      </c>
    </row>
    <row r="76" spans="1:5" ht="12" customHeight="1" x14ac:dyDescent="0.25">
      <c r="B76" s="1" t="s">
        <v>173</v>
      </c>
      <c r="C76" s="4">
        <f>120+37.219</f>
        <v>157.21899999999999</v>
      </c>
    </row>
    <row r="77" spans="1:5" ht="12" customHeight="1" x14ac:dyDescent="0.25">
      <c r="B77" s="1" t="s">
        <v>454</v>
      </c>
      <c r="C77" s="4">
        <f>120+46.353</f>
        <v>166.35300000000001</v>
      </c>
    </row>
    <row r="78" spans="1:5" ht="12" customHeight="1" x14ac:dyDescent="0.25">
      <c r="B78" s="1" t="s">
        <v>522</v>
      </c>
      <c r="C78" s="4">
        <f>120+49.524</f>
        <v>169.524</v>
      </c>
    </row>
    <row r="79" spans="1:5" ht="12" customHeight="1" x14ac:dyDescent="0.25">
      <c r="B79" s="1" t="s">
        <v>213</v>
      </c>
      <c r="C79" s="4">
        <f>120+55.72</f>
        <v>175.72</v>
      </c>
    </row>
    <row r="80" spans="1:5" ht="12" customHeight="1" x14ac:dyDescent="0.25">
      <c r="B80" s="1" t="s">
        <v>321</v>
      </c>
      <c r="C80" s="4">
        <f>180+13.153</f>
        <v>193.15299999999999</v>
      </c>
    </row>
    <row r="81" spans="1:5" ht="12" customHeight="1" x14ac:dyDescent="0.25">
      <c r="B81" s="1" t="s">
        <v>521</v>
      </c>
      <c r="C81" s="4">
        <f>180+31.888</f>
        <v>211.88800000000001</v>
      </c>
    </row>
    <row r="82" spans="1:5" ht="12" customHeight="1" x14ac:dyDescent="0.25">
      <c r="B82" s="1" t="s">
        <v>363</v>
      </c>
      <c r="C82" s="4">
        <f>180+49.79</f>
        <v>229.79</v>
      </c>
    </row>
    <row r="83" spans="1:5" ht="12" customHeight="1" x14ac:dyDescent="0.25">
      <c r="B83" s="1" t="s">
        <v>364</v>
      </c>
      <c r="C83" s="4">
        <f>240+1.052</f>
        <v>241.05199999999999</v>
      </c>
    </row>
    <row r="84" spans="1:5" ht="12" customHeight="1" x14ac:dyDescent="0.25">
      <c r="B84" s="1" t="s">
        <v>523</v>
      </c>
      <c r="C84" s="4">
        <f>240+14.73</f>
        <v>254.73</v>
      </c>
    </row>
    <row r="85" spans="1:5" ht="12" customHeight="1" x14ac:dyDescent="0.25">
      <c r="B85" s="1" t="s">
        <v>174</v>
      </c>
      <c r="C85" s="4">
        <f>240+36.259</f>
        <v>276.25900000000001</v>
      </c>
    </row>
    <row r="86" spans="1:5" ht="12" customHeight="1" x14ac:dyDescent="0.25">
      <c r="B86" s="1" t="s">
        <v>214</v>
      </c>
      <c r="C86" s="4">
        <f>240+53.18</f>
        <v>293.18</v>
      </c>
    </row>
    <row r="87" spans="1:5" ht="12" customHeight="1" x14ac:dyDescent="0.25">
      <c r="B87" s="1" t="s">
        <v>215</v>
      </c>
      <c r="C87" s="4">
        <f>300+4.837</f>
        <v>304.83699999999999</v>
      </c>
    </row>
    <row r="88" spans="1:5" ht="12" customHeight="1" x14ac:dyDescent="0.25">
      <c r="B88" s="1" t="s">
        <v>524</v>
      </c>
      <c r="C88" s="4">
        <f>300+21.38</f>
        <v>321.38</v>
      </c>
      <c r="E88" s="6"/>
    </row>
    <row r="89" spans="1:5" ht="12" customHeight="1" x14ac:dyDescent="0.25">
      <c r="A89" s="1" t="s">
        <v>558</v>
      </c>
      <c r="B89" s="1" t="s">
        <v>365</v>
      </c>
      <c r="C89" s="4">
        <f>59.678</f>
        <v>59.677999999999997</v>
      </c>
    </row>
    <row r="90" spans="1:5" ht="12" customHeight="1" x14ac:dyDescent="0.25">
      <c r="B90" s="1" t="s">
        <v>216</v>
      </c>
      <c r="C90" s="4">
        <f>60+25.499</f>
        <v>85.498999999999995</v>
      </c>
    </row>
    <row r="91" spans="1:5" ht="12" customHeight="1" x14ac:dyDescent="0.25">
      <c r="B91" s="1" t="s">
        <v>366</v>
      </c>
      <c r="C91" s="4">
        <f>60+50.706</f>
        <v>110.706</v>
      </c>
    </row>
    <row r="92" spans="1:5" ht="12" customHeight="1" x14ac:dyDescent="0.25">
      <c r="B92" s="1" t="s">
        <v>217</v>
      </c>
      <c r="C92" s="4">
        <f>120+3.267</f>
        <v>123.267</v>
      </c>
    </row>
    <row r="93" spans="1:5" ht="12" customHeight="1" x14ac:dyDescent="0.25">
      <c r="B93" s="1" t="s">
        <v>579</v>
      </c>
      <c r="C93" s="4">
        <f>120+11.043</f>
        <v>131.04300000000001</v>
      </c>
    </row>
    <row r="94" spans="1:5" ht="12" customHeight="1" x14ac:dyDescent="0.25">
      <c r="B94" s="1" t="s">
        <v>218</v>
      </c>
      <c r="C94" s="4">
        <f>120+32.012</f>
        <v>152.012</v>
      </c>
    </row>
    <row r="95" spans="1:5" ht="12" customHeight="1" x14ac:dyDescent="0.25">
      <c r="B95" s="1" t="s">
        <v>219</v>
      </c>
      <c r="C95" s="4">
        <f>180+7.436</f>
        <v>187.43600000000001</v>
      </c>
    </row>
    <row r="96" spans="1:5" ht="12" customHeight="1" x14ac:dyDescent="0.25">
      <c r="B96" s="1" t="s">
        <v>220</v>
      </c>
      <c r="C96" s="4">
        <f>180+12.884</f>
        <v>192.88400000000001</v>
      </c>
    </row>
    <row r="97" spans="1:5" ht="12" customHeight="1" x14ac:dyDescent="0.25">
      <c r="B97" s="1" t="s">
        <v>322</v>
      </c>
      <c r="C97" s="4">
        <f>180+23.436</f>
        <v>203.43600000000001</v>
      </c>
      <c r="E97" s="6"/>
    </row>
    <row r="98" spans="1:5" ht="12" customHeight="1" x14ac:dyDescent="0.25">
      <c r="B98" s="1" t="s">
        <v>478</v>
      </c>
      <c r="C98" s="4">
        <f>180+45.198</f>
        <v>225.19800000000001</v>
      </c>
    </row>
    <row r="99" spans="1:5" ht="12" customHeight="1" x14ac:dyDescent="0.25">
      <c r="B99" s="1" t="s">
        <v>195</v>
      </c>
      <c r="C99" s="4">
        <f>180+53.038</f>
        <v>233.03800000000001</v>
      </c>
    </row>
    <row r="100" spans="1:5" ht="12" customHeight="1" x14ac:dyDescent="0.25">
      <c r="B100" s="1" t="s">
        <v>14</v>
      </c>
      <c r="C100" s="4">
        <f>240+22.942</f>
        <v>262.94200000000001</v>
      </c>
    </row>
    <row r="101" spans="1:5" ht="12" customHeight="1" x14ac:dyDescent="0.25">
      <c r="B101" s="1" t="s">
        <v>221</v>
      </c>
      <c r="C101" s="4">
        <f>240+58.334</f>
        <v>298.334</v>
      </c>
      <c r="E101" s="6" t="s">
        <v>323</v>
      </c>
    </row>
    <row r="102" spans="1:5" ht="12" customHeight="1" x14ac:dyDescent="0.25">
      <c r="B102" s="1" t="s">
        <v>578</v>
      </c>
      <c r="C102" s="4">
        <f>300+3.291</f>
        <v>303.291</v>
      </c>
    </row>
    <row r="103" spans="1:5" ht="12" customHeight="1" x14ac:dyDescent="0.25">
      <c r="B103" s="1" t="s">
        <v>222</v>
      </c>
      <c r="C103" s="4">
        <f>300+22.079</f>
        <v>322.07900000000001</v>
      </c>
    </row>
    <row r="104" spans="1:5" ht="12" customHeight="1" x14ac:dyDescent="0.25">
      <c r="B104" s="1" t="s">
        <v>196</v>
      </c>
      <c r="C104" s="4">
        <f>300+23.618</f>
        <v>323.61799999999999</v>
      </c>
    </row>
    <row r="105" spans="1:5" ht="12" customHeight="1" x14ac:dyDescent="0.25">
      <c r="A105" s="1" t="s">
        <v>559</v>
      </c>
      <c r="B105" s="1" t="s">
        <v>223</v>
      </c>
      <c r="C105" s="4">
        <v>50.767000000000003</v>
      </c>
    </row>
    <row r="106" spans="1:5" ht="12" customHeight="1" x14ac:dyDescent="0.25">
      <c r="A106" s="1"/>
      <c r="B106" s="1" t="s">
        <v>224</v>
      </c>
      <c r="C106" s="4">
        <f>60+1.568</f>
        <v>61.567999999999998</v>
      </c>
    </row>
    <row r="107" spans="1:5" ht="12" customHeight="1" x14ac:dyDescent="0.25">
      <c r="A107" s="1"/>
      <c r="B107" s="1" t="s">
        <v>225</v>
      </c>
      <c r="C107" s="4">
        <f>60+30.765</f>
        <v>90.765000000000001</v>
      </c>
      <c r="E107" s="6" t="s">
        <v>324</v>
      </c>
    </row>
    <row r="108" spans="1:5" ht="12" customHeight="1" x14ac:dyDescent="0.25">
      <c r="B108" s="1" t="s">
        <v>325</v>
      </c>
      <c r="C108" s="4">
        <f>60+42.462</f>
        <v>102.462</v>
      </c>
    </row>
    <row r="109" spans="1:5" ht="12" customHeight="1" x14ac:dyDescent="0.25">
      <c r="B109" s="1" t="s">
        <v>326</v>
      </c>
      <c r="C109" s="4">
        <f>60+44.704</f>
        <v>104.70400000000001</v>
      </c>
    </row>
    <row r="110" spans="1:5" ht="12" customHeight="1" x14ac:dyDescent="0.25">
      <c r="B110" s="1" t="s">
        <v>327</v>
      </c>
      <c r="C110" s="4">
        <f>120+5.581</f>
        <v>125.581</v>
      </c>
    </row>
    <row r="111" spans="1:5" ht="12" customHeight="1" x14ac:dyDescent="0.25">
      <c r="B111" s="1" t="s">
        <v>328</v>
      </c>
      <c r="C111" s="4">
        <f>120+9.591</f>
        <v>129.59100000000001</v>
      </c>
    </row>
    <row r="112" spans="1:5" ht="12" customHeight="1" x14ac:dyDescent="0.25">
      <c r="B112" s="1" t="s">
        <v>329</v>
      </c>
      <c r="C112" s="4">
        <f>120+13.359</f>
        <v>133.35900000000001</v>
      </c>
    </row>
    <row r="113" spans="1:5" ht="12" customHeight="1" x14ac:dyDescent="0.25">
      <c r="B113" s="1" t="s">
        <v>15</v>
      </c>
      <c r="C113" s="4">
        <f>120+25.489</f>
        <v>145.489</v>
      </c>
    </row>
    <row r="114" spans="1:5" ht="12" customHeight="1" x14ac:dyDescent="0.25">
      <c r="B114" s="1" t="s">
        <v>16</v>
      </c>
      <c r="C114" s="4">
        <f>120+43.486</f>
        <v>163.48599999999999</v>
      </c>
    </row>
    <row r="115" spans="1:5" ht="12" customHeight="1" x14ac:dyDescent="0.25">
      <c r="B115" s="1" t="s">
        <v>455</v>
      </c>
      <c r="C115" s="4">
        <f>120+56.296</f>
        <v>176.29599999999999</v>
      </c>
    </row>
    <row r="116" spans="1:5" ht="12" customHeight="1" x14ac:dyDescent="0.25">
      <c r="B116" s="1" t="s">
        <v>52</v>
      </c>
      <c r="C116" s="4">
        <f>180+12.618</f>
        <v>192.61799999999999</v>
      </c>
    </row>
    <row r="117" spans="1:5" ht="12" customHeight="1" x14ac:dyDescent="0.25">
      <c r="B117" s="1" t="s">
        <v>330</v>
      </c>
      <c r="C117" s="4">
        <f>180+46.818</f>
        <v>226.81799999999998</v>
      </c>
    </row>
    <row r="118" spans="1:5" ht="12" customHeight="1" x14ac:dyDescent="0.25">
      <c r="B118" s="1" t="s">
        <v>331</v>
      </c>
      <c r="C118" s="4">
        <f>240+10.59</f>
        <v>250.59</v>
      </c>
      <c r="E118" s="6"/>
    </row>
    <row r="119" spans="1:5" ht="12" customHeight="1" x14ac:dyDescent="0.25">
      <c r="B119" s="1" t="s">
        <v>332</v>
      </c>
      <c r="C119" s="4">
        <f>240+39.582</f>
        <v>279.58199999999999</v>
      </c>
    </row>
    <row r="120" spans="1:5" ht="12" customHeight="1" x14ac:dyDescent="0.25">
      <c r="B120" s="1" t="s">
        <v>17</v>
      </c>
      <c r="C120" s="4">
        <f>240+56.777</f>
        <v>296.77699999999999</v>
      </c>
    </row>
    <row r="121" spans="1:5" ht="12" customHeight="1" x14ac:dyDescent="0.25">
      <c r="B121" s="1" t="s">
        <v>53</v>
      </c>
      <c r="C121" s="4">
        <f>300+1.797</f>
        <v>301.79700000000003</v>
      </c>
    </row>
    <row r="122" spans="1:5" ht="12" customHeight="1" x14ac:dyDescent="0.25">
      <c r="B122" s="1" t="s">
        <v>54</v>
      </c>
      <c r="C122" s="4">
        <f>300+36.533</f>
        <v>336.53300000000002</v>
      </c>
    </row>
    <row r="123" spans="1:5" ht="12" customHeight="1" x14ac:dyDescent="0.25">
      <c r="A123" s="1" t="s">
        <v>560</v>
      </c>
      <c r="B123" s="1" t="s">
        <v>178</v>
      </c>
      <c r="C123" s="4">
        <f>60+0.076</f>
        <v>60.076000000000001</v>
      </c>
    </row>
    <row r="124" spans="1:5" ht="12" customHeight="1" x14ac:dyDescent="0.25">
      <c r="B124" s="1" t="s">
        <v>226</v>
      </c>
      <c r="C124" s="4">
        <f>60+4.92</f>
        <v>64.92</v>
      </c>
    </row>
    <row r="125" spans="1:5" ht="12" customHeight="1" x14ac:dyDescent="0.25">
      <c r="B125" s="1" t="s">
        <v>333</v>
      </c>
      <c r="C125" s="4">
        <f>60+15.177</f>
        <v>75.176999999999992</v>
      </c>
    </row>
    <row r="126" spans="1:5" ht="12" customHeight="1" x14ac:dyDescent="0.25">
      <c r="B126" s="1" t="s">
        <v>86</v>
      </c>
      <c r="C126" s="4">
        <f>60+21.427</f>
        <v>81.426999999999992</v>
      </c>
    </row>
    <row r="127" spans="1:5" ht="12" customHeight="1" x14ac:dyDescent="0.25">
      <c r="B127" s="1" t="s">
        <v>87</v>
      </c>
      <c r="C127" s="4">
        <f>60+28.17</f>
        <v>88.17</v>
      </c>
    </row>
    <row r="128" spans="1:5" ht="12" customHeight="1" x14ac:dyDescent="0.25">
      <c r="B128" s="1" t="s">
        <v>227</v>
      </c>
      <c r="C128" s="4">
        <f>60+37.107</f>
        <v>97.106999999999999</v>
      </c>
    </row>
    <row r="129" spans="2:3" ht="12" customHeight="1" x14ac:dyDescent="0.25">
      <c r="B129" s="1" t="s">
        <v>18</v>
      </c>
      <c r="C129" s="4">
        <f>60+40.052</f>
        <v>100.05199999999999</v>
      </c>
    </row>
    <row r="130" spans="2:3" ht="12" customHeight="1" x14ac:dyDescent="0.25">
      <c r="B130" s="1" t="s">
        <v>19</v>
      </c>
      <c r="C130" s="4">
        <f>60+44.877</f>
        <v>104.87700000000001</v>
      </c>
    </row>
    <row r="131" spans="2:3" ht="12" customHeight="1" x14ac:dyDescent="0.25">
      <c r="B131" s="1" t="s">
        <v>176</v>
      </c>
      <c r="C131" s="4">
        <f>60+49.249</f>
        <v>109.249</v>
      </c>
    </row>
    <row r="132" spans="2:3" ht="12" customHeight="1" x14ac:dyDescent="0.25">
      <c r="B132" s="1" t="s">
        <v>533</v>
      </c>
      <c r="C132" s="4">
        <f>60+55.368</f>
        <v>115.36799999999999</v>
      </c>
    </row>
    <row r="133" spans="2:3" ht="12" customHeight="1" x14ac:dyDescent="0.25">
      <c r="B133" s="1" t="s">
        <v>367</v>
      </c>
      <c r="C133" s="4">
        <f>120+7.504</f>
        <v>127.504</v>
      </c>
    </row>
    <row r="134" spans="2:3" ht="12" customHeight="1" x14ac:dyDescent="0.25">
      <c r="B134" s="1" t="s">
        <v>368</v>
      </c>
      <c r="C134" s="4">
        <f>120+11.803</f>
        <v>131.803</v>
      </c>
    </row>
    <row r="135" spans="2:3" ht="12" customHeight="1" x14ac:dyDescent="0.25">
      <c r="B135" s="1" t="s">
        <v>88</v>
      </c>
      <c r="C135" s="4">
        <f>120+17.92</f>
        <v>137.92000000000002</v>
      </c>
    </row>
    <row r="136" spans="2:3" ht="12" customHeight="1" x14ac:dyDescent="0.25">
      <c r="B136" s="1" t="s">
        <v>89</v>
      </c>
      <c r="C136" s="4">
        <f>120+19.31</f>
        <v>139.31</v>
      </c>
    </row>
    <row r="137" spans="2:3" ht="12" customHeight="1" x14ac:dyDescent="0.25">
      <c r="B137" s="1" t="s">
        <v>534</v>
      </c>
      <c r="C137" s="4">
        <f>120+26.746</f>
        <v>146.74600000000001</v>
      </c>
    </row>
    <row r="138" spans="2:3" ht="12" customHeight="1" x14ac:dyDescent="0.25">
      <c r="B138" s="1" t="s">
        <v>535</v>
      </c>
      <c r="C138" s="4">
        <f>120+31.745</f>
        <v>151.745</v>
      </c>
    </row>
    <row r="139" spans="2:3" ht="12" customHeight="1" x14ac:dyDescent="0.25">
      <c r="B139" s="1" t="s">
        <v>185</v>
      </c>
      <c r="C139" s="4">
        <f>120+40.83</f>
        <v>160.82999999999998</v>
      </c>
    </row>
    <row r="140" spans="2:3" ht="12" customHeight="1" x14ac:dyDescent="0.25">
      <c r="B140" s="1" t="s">
        <v>90</v>
      </c>
      <c r="C140" s="4">
        <f>120+50.33</f>
        <v>170.32999999999998</v>
      </c>
    </row>
    <row r="141" spans="2:3" ht="12" customHeight="1" x14ac:dyDescent="0.25">
      <c r="B141" s="1" t="s">
        <v>186</v>
      </c>
      <c r="C141" s="4">
        <f>120+57.061</f>
        <v>177.06100000000001</v>
      </c>
    </row>
    <row r="142" spans="2:3" ht="12" customHeight="1" x14ac:dyDescent="0.25">
      <c r="B142" s="1" t="s">
        <v>91</v>
      </c>
      <c r="C142" s="4">
        <f>180+3.029</f>
        <v>183.029</v>
      </c>
    </row>
    <row r="143" spans="2:3" ht="12" customHeight="1" x14ac:dyDescent="0.25">
      <c r="B143" s="1" t="s">
        <v>20</v>
      </c>
      <c r="C143" s="4">
        <f>180+10.009</f>
        <v>190.00900000000001</v>
      </c>
    </row>
    <row r="144" spans="2:3" ht="12" customHeight="1" x14ac:dyDescent="0.25">
      <c r="B144" s="1" t="s">
        <v>479</v>
      </c>
      <c r="C144" s="4">
        <f>180+12.467</f>
        <v>192.46700000000001</v>
      </c>
    </row>
    <row r="145" spans="1:3" ht="12" customHeight="1" x14ac:dyDescent="0.25">
      <c r="B145" s="1" t="s">
        <v>228</v>
      </c>
      <c r="C145" s="4">
        <f>180+25.496</f>
        <v>205.49600000000001</v>
      </c>
    </row>
    <row r="146" spans="1:3" ht="12" customHeight="1" x14ac:dyDescent="0.25">
      <c r="B146" s="1" t="s">
        <v>480</v>
      </c>
      <c r="C146" s="4">
        <f>180+32.431</f>
        <v>212.43099999999998</v>
      </c>
    </row>
    <row r="147" spans="1:3" ht="12" customHeight="1" x14ac:dyDescent="0.25">
      <c r="B147" s="1" t="s">
        <v>21</v>
      </c>
      <c r="C147" s="4">
        <f>180+44.556</f>
        <v>224.55599999999998</v>
      </c>
    </row>
    <row r="148" spans="1:3" ht="12" customHeight="1" x14ac:dyDescent="0.25">
      <c r="B148" s="1" t="s">
        <v>187</v>
      </c>
      <c r="C148" s="4">
        <f>180+53.054</f>
        <v>233.054</v>
      </c>
    </row>
    <row r="149" spans="1:3" ht="12" customHeight="1" x14ac:dyDescent="0.25">
      <c r="B149" s="1" t="s">
        <v>2</v>
      </c>
      <c r="C149" s="4">
        <f>240+9.17</f>
        <v>249.17</v>
      </c>
    </row>
    <row r="150" spans="1:3" ht="12" customHeight="1" x14ac:dyDescent="0.25">
      <c r="B150" s="1" t="s">
        <v>92</v>
      </c>
      <c r="C150" s="4">
        <f>240+14.319</f>
        <v>254.31899999999999</v>
      </c>
    </row>
    <row r="151" spans="1:3" ht="12" customHeight="1" x14ac:dyDescent="0.25">
      <c r="B151" s="1" t="s">
        <v>188</v>
      </c>
      <c r="C151" s="4">
        <f>240+30.33</f>
        <v>270.33</v>
      </c>
    </row>
    <row r="152" spans="1:3" ht="12" customHeight="1" x14ac:dyDescent="0.25">
      <c r="B152" s="1" t="s">
        <v>369</v>
      </c>
      <c r="C152" s="4">
        <f>240+44.18</f>
        <v>284.18</v>
      </c>
    </row>
    <row r="153" spans="1:3" ht="12" customHeight="1" x14ac:dyDescent="0.25">
      <c r="B153" s="1" t="s">
        <v>100</v>
      </c>
      <c r="C153" s="4">
        <f>300+9.53</f>
        <v>309.52999999999997</v>
      </c>
    </row>
    <row r="154" spans="1:3" ht="12" customHeight="1" x14ac:dyDescent="0.25">
      <c r="B154" s="1" t="s">
        <v>334</v>
      </c>
      <c r="C154" s="4">
        <f>300+20.127</f>
        <v>320.12700000000001</v>
      </c>
    </row>
    <row r="155" spans="1:3" ht="12" customHeight="1" x14ac:dyDescent="0.25">
      <c r="B155" s="1" t="s">
        <v>335</v>
      </c>
      <c r="C155" s="4">
        <f>300+27.399</f>
        <v>327.399</v>
      </c>
    </row>
    <row r="156" spans="1:3" ht="12" customHeight="1" x14ac:dyDescent="0.25">
      <c r="B156" s="1" t="s">
        <v>456</v>
      </c>
      <c r="C156" s="4">
        <f>300+42.949</f>
        <v>342.94900000000001</v>
      </c>
    </row>
    <row r="157" spans="1:3" ht="12" customHeight="1" x14ac:dyDescent="0.25">
      <c r="B157" s="1" t="s">
        <v>229</v>
      </c>
      <c r="C157" s="4">
        <f>300+53.621</f>
        <v>353.62099999999998</v>
      </c>
    </row>
    <row r="158" spans="1:3" ht="12" customHeight="1" x14ac:dyDescent="0.25">
      <c r="A158" s="1" t="s">
        <v>562</v>
      </c>
      <c r="B158" s="1" t="s">
        <v>336</v>
      </c>
      <c r="C158" s="4">
        <f>42.815</f>
        <v>42.814999999999998</v>
      </c>
    </row>
    <row r="159" spans="1:3" ht="12" customHeight="1" x14ac:dyDescent="0.25">
      <c r="A159" s="1"/>
      <c r="B159" s="1" t="s">
        <v>230</v>
      </c>
      <c r="C159" s="4">
        <f>53.07</f>
        <v>53.07</v>
      </c>
    </row>
    <row r="160" spans="1:3" ht="12" customHeight="1" x14ac:dyDescent="0.25">
      <c r="B160" s="1" t="s">
        <v>530</v>
      </c>
      <c r="C160" s="4">
        <f>55.713</f>
        <v>55.713000000000001</v>
      </c>
    </row>
    <row r="161" spans="1:3" ht="12" customHeight="1" x14ac:dyDescent="0.25">
      <c r="B161" s="1" t="s">
        <v>231</v>
      </c>
      <c r="C161" s="4">
        <f>60+2.027</f>
        <v>62.027000000000001</v>
      </c>
    </row>
    <row r="162" spans="1:3" ht="12" customHeight="1" x14ac:dyDescent="0.25">
      <c r="B162" s="1" t="s">
        <v>531</v>
      </c>
      <c r="C162" s="4">
        <f>60+12.568</f>
        <v>72.567999999999998</v>
      </c>
    </row>
    <row r="163" spans="1:3" ht="12" customHeight="1" x14ac:dyDescent="0.25">
      <c r="B163" s="1" t="s">
        <v>370</v>
      </c>
      <c r="C163" s="4">
        <f>60+33.879</f>
        <v>93.878999999999991</v>
      </c>
    </row>
    <row r="164" spans="1:3" ht="12" customHeight="1" x14ac:dyDescent="0.25">
      <c r="B164" s="1" t="s">
        <v>22</v>
      </c>
      <c r="C164" s="4">
        <f>120+1.773</f>
        <v>121.773</v>
      </c>
    </row>
    <row r="165" spans="1:3" ht="12" customHeight="1" x14ac:dyDescent="0.25">
      <c r="B165" s="1" t="s">
        <v>337</v>
      </c>
      <c r="C165" s="4">
        <f>120+10.112</f>
        <v>130.11199999999999</v>
      </c>
    </row>
    <row r="166" spans="1:3" ht="12" customHeight="1" x14ac:dyDescent="0.25">
      <c r="B166" s="1" t="s">
        <v>532</v>
      </c>
      <c r="C166" s="4">
        <f>120+20.264</f>
        <v>140.26400000000001</v>
      </c>
    </row>
    <row r="167" spans="1:3" ht="12" customHeight="1" x14ac:dyDescent="0.25">
      <c r="B167" s="1" t="s">
        <v>94</v>
      </c>
      <c r="C167" s="4">
        <f>120+52.926</f>
        <v>172.92599999999999</v>
      </c>
    </row>
    <row r="168" spans="1:3" ht="12" customHeight="1" x14ac:dyDescent="0.25">
      <c r="B168" s="1" t="s">
        <v>95</v>
      </c>
      <c r="C168" s="4">
        <f>180+29.885</f>
        <v>209.88499999999999</v>
      </c>
    </row>
    <row r="169" spans="1:3" ht="12" customHeight="1" x14ac:dyDescent="0.25">
      <c r="B169" s="1" t="s">
        <v>232</v>
      </c>
      <c r="C169" s="4">
        <f>240+5.773</f>
        <v>245.773</v>
      </c>
    </row>
    <row r="170" spans="1:3" ht="12" customHeight="1" x14ac:dyDescent="0.25">
      <c r="B170" s="1" t="s">
        <v>233</v>
      </c>
      <c r="C170" s="4">
        <f>240+12.903</f>
        <v>252.90299999999999</v>
      </c>
    </row>
    <row r="171" spans="1:3" ht="12" customHeight="1" x14ac:dyDescent="0.25">
      <c r="B171" s="1" t="s">
        <v>234</v>
      </c>
      <c r="C171" s="4">
        <f>240+17.493</f>
        <v>257.49299999999999</v>
      </c>
    </row>
    <row r="172" spans="1:3" ht="12" customHeight="1" x14ac:dyDescent="0.25">
      <c r="B172" s="1" t="s">
        <v>371</v>
      </c>
      <c r="C172" s="4">
        <f>300+1.789</f>
        <v>301.78899999999999</v>
      </c>
    </row>
    <row r="173" spans="1:3" ht="12" customHeight="1" x14ac:dyDescent="0.25">
      <c r="A173" s="1" t="s">
        <v>563</v>
      </c>
      <c r="B173" s="1" t="s">
        <v>541</v>
      </c>
      <c r="C173" s="4">
        <f>33.356</f>
        <v>33.356000000000002</v>
      </c>
    </row>
    <row r="174" spans="1:3" ht="12" customHeight="1" x14ac:dyDescent="0.25">
      <c r="B174" s="1" t="s">
        <v>338</v>
      </c>
      <c r="C174" s="4">
        <f>43.146</f>
        <v>43.146000000000001</v>
      </c>
    </row>
    <row r="175" spans="1:3" ht="12" customHeight="1" x14ac:dyDescent="0.25">
      <c r="B175" s="1" t="s">
        <v>339</v>
      </c>
      <c r="C175" s="4">
        <f>45.327</f>
        <v>45.326999999999998</v>
      </c>
    </row>
    <row r="176" spans="1:3" ht="12" customHeight="1" x14ac:dyDescent="0.25">
      <c r="B176" s="1" t="s">
        <v>340</v>
      </c>
      <c r="C176" s="4">
        <f>47.094</f>
        <v>47.094000000000001</v>
      </c>
    </row>
    <row r="177" spans="2:3" ht="12" customHeight="1" x14ac:dyDescent="0.25">
      <c r="B177" s="1" t="s">
        <v>481</v>
      </c>
      <c r="C177" s="4">
        <f>50.309</f>
        <v>50.308999999999997</v>
      </c>
    </row>
    <row r="178" spans="2:3" ht="12" customHeight="1" x14ac:dyDescent="0.25">
      <c r="B178" s="1" t="s">
        <v>23</v>
      </c>
      <c r="C178" s="4">
        <f>57.748</f>
        <v>57.747999999999998</v>
      </c>
    </row>
    <row r="179" spans="2:3" ht="12" customHeight="1" x14ac:dyDescent="0.25">
      <c r="B179" s="1" t="s">
        <v>341</v>
      </c>
      <c r="C179" s="4">
        <f>60+3.469</f>
        <v>63.469000000000001</v>
      </c>
    </row>
    <row r="180" spans="2:3" ht="12" customHeight="1" x14ac:dyDescent="0.25">
      <c r="B180" s="1" t="s">
        <v>536</v>
      </c>
      <c r="C180" s="4">
        <f>60+7.088</f>
        <v>67.087999999999994</v>
      </c>
    </row>
    <row r="181" spans="2:3" ht="12" customHeight="1" x14ac:dyDescent="0.25">
      <c r="B181" s="1" t="s">
        <v>457</v>
      </c>
      <c r="C181" s="4">
        <f>60+17.006</f>
        <v>77.006</v>
      </c>
    </row>
    <row r="182" spans="2:3" ht="12" customHeight="1" x14ac:dyDescent="0.25">
      <c r="B182" s="1" t="s">
        <v>306</v>
      </c>
      <c r="C182" s="4">
        <f>60+37.59</f>
        <v>97.59</v>
      </c>
    </row>
    <row r="183" spans="2:3" ht="12" customHeight="1" x14ac:dyDescent="0.25">
      <c r="B183" s="1" t="s">
        <v>482</v>
      </c>
      <c r="C183" s="4">
        <f>60+48.035</f>
        <v>108.035</v>
      </c>
    </row>
    <row r="184" spans="2:3" ht="12" customHeight="1" x14ac:dyDescent="0.25">
      <c r="B184" s="1" t="s">
        <v>342</v>
      </c>
      <c r="C184" s="4">
        <f>60+55.896</f>
        <v>115.896</v>
      </c>
    </row>
    <row r="185" spans="2:3" ht="12" customHeight="1" x14ac:dyDescent="0.25">
      <c r="B185" s="1" t="s">
        <v>372</v>
      </c>
      <c r="C185" s="4">
        <f>120+6.737</f>
        <v>126.73699999999999</v>
      </c>
    </row>
    <row r="186" spans="2:3" ht="12" customHeight="1" x14ac:dyDescent="0.25">
      <c r="B186" s="1" t="s">
        <v>235</v>
      </c>
      <c r="C186" s="4">
        <f>120+17.652</f>
        <v>137.65199999999999</v>
      </c>
    </row>
    <row r="187" spans="2:3" ht="12" customHeight="1" x14ac:dyDescent="0.25">
      <c r="B187" s="1" t="s">
        <v>373</v>
      </c>
      <c r="C187" s="4">
        <f>120+24.146</f>
        <v>144.14600000000002</v>
      </c>
    </row>
    <row r="188" spans="2:3" ht="12" customHeight="1" x14ac:dyDescent="0.25">
      <c r="B188" s="1" t="s">
        <v>537</v>
      </c>
      <c r="C188" s="4">
        <f>120+42.436</f>
        <v>162.43600000000001</v>
      </c>
    </row>
    <row r="189" spans="2:3" ht="12" customHeight="1" x14ac:dyDescent="0.25">
      <c r="B189" s="1" t="s">
        <v>538</v>
      </c>
      <c r="C189" s="4">
        <f>180+0.852</f>
        <v>180.852</v>
      </c>
    </row>
    <row r="190" spans="2:3" ht="12" customHeight="1" x14ac:dyDescent="0.25">
      <c r="B190" s="1" t="s">
        <v>24</v>
      </c>
      <c r="C190" s="4">
        <f>180+14.565</f>
        <v>194.565</v>
      </c>
    </row>
    <row r="191" spans="2:3" ht="12" customHeight="1" x14ac:dyDescent="0.25">
      <c r="B191" s="1" t="s">
        <v>343</v>
      </c>
      <c r="C191" s="4">
        <f>180+31.94</f>
        <v>211.94</v>
      </c>
    </row>
    <row r="192" spans="2:3" ht="12" customHeight="1" x14ac:dyDescent="0.25">
      <c r="B192" s="1" t="s">
        <v>374</v>
      </c>
      <c r="C192" s="4">
        <f>240+15.721</f>
        <v>255.721</v>
      </c>
    </row>
    <row r="193" spans="1:4" ht="12" customHeight="1" x14ac:dyDescent="0.25">
      <c r="B193" s="1" t="s">
        <v>344</v>
      </c>
      <c r="C193" s="4">
        <f>240+27.141</f>
        <v>267.14100000000002</v>
      </c>
    </row>
    <row r="194" spans="1:4" ht="12" customHeight="1" x14ac:dyDescent="0.25">
      <c r="B194" s="1" t="s">
        <v>189</v>
      </c>
      <c r="C194" s="4">
        <f>240+56.588</f>
        <v>296.58800000000002</v>
      </c>
    </row>
    <row r="195" spans="1:4" ht="12" customHeight="1" x14ac:dyDescent="0.25">
      <c r="B195" s="1" t="s">
        <v>375</v>
      </c>
      <c r="C195" s="4">
        <f>300+8.873</f>
        <v>308.87299999999999</v>
      </c>
    </row>
    <row r="196" spans="1:4" ht="12" customHeight="1" x14ac:dyDescent="0.25">
      <c r="A196" s="1" t="s">
        <v>561</v>
      </c>
      <c r="B196" s="1" t="s">
        <v>236</v>
      </c>
      <c r="C196" s="4">
        <f>47.737</f>
        <v>47.737000000000002</v>
      </c>
    </row>
    <row r="197" spans="1:4" ht="12" customHeight="1" x14ac:dyDescent="0.25">
      <c r="A197" s="1"/>
      <c r="B197" s="1" t="s">
        <v>237</v>
      </c>
      <c r="C197" s="4">
        <f>60+0.314</f>
        <v>60.314</v>
      </c>
    </row>
    <row r="198" spans="1:4" ht="12" customHeight="1" x14ac:dyDescent="0.25">
      <c r="A198" s="1"/>
      <c r="B198" s="1" t="s">
        <v>503</v>
      </c>
      <c r="C198" s="4">
        <f>60+9.898</f>
        <v>69.897999999999996</v>
      </c>
    </row>
    <row r="199" spans="1:4" ht="12" customHeight="1" x14ac:dyDescent="0.25">
      <c r="A199" s="1"/>
      <c r="B199" s="1" t="s">
        <v>238</v>
      </c>
      <c r="C199" s="4">
        <f>60+17.495</f>
        <v>77.495000000000005</v>
      </c>
    </row>
    <row r="200" spans="1:4" ht="12" customHeight="1" x14ac:dyDescent="0.25">
      <c r="B200" s="1" t="s">
        <v>239</v>
      </c>
      <c r="C200" s="4">
        <f>60+34.201</f>
        <v>94.200999999999993</v>
      </c>
    </row>
    <row r="201" spans="1:4" ht="12" customHeight="1" x14ac:dyDescent="0.25">
      <c r="B201" s="1" t="s">
        <v>240</v>
      </c>
      <c r="C201" s="4">
        <f>60+43.414</f>
        <v>103.414</v>
      </c>
    </row>
    <row r="202" spans="1:4" ht="12" customHeight="1" x14ac:dyDescent="0.25">
      <c r="B202" s="1" t="s">
        <v>56</v>
      </c>
      <c r="C202" s="4">
        <f>60+55.931</f>
        <v>115.931</v>
      </c>
    </row>
    <row r="203" spans="1:4" ht="12" customHeight="1" x14ac:dyDescent="0.25">
      <c r="B203" s="1" t="s">
        <v>167</v>
      </c>
      <c r="C203" s="4">
        <f>120+6.693</f>
        <v>126.693</v>
      </c>
    </row>
    <row r="204" spans="1:4" ht="12" customHeight="1" x14ac:dyDescent="0.25">
      <c r="B204" s="1" t="s">
        <v>241</v>
      </c>
      <c r="C204" s="4">
        <f>120+19.649</f>
        <v>139.649</v>
      </c>
      <c r="D204" s="6">
        <v>1</v>
      </c>
    </row>
    <row r="205" spans="1:4" ht="12" customHeight="1" x14ac:dyDescent="0.25">
      <c r="B205" s="1" t="s">
        <v>376</v>
      </c>
      <c r="C205" s="4">
        <f>120+23.268</f>
        <v>143.268</v>
      </c>
      <c r="D205" s="6">
        <v>1</v>
      </c>
    </row>
    <row r="206" spans="1:4" ht="12" customHeight="1" x14ac:dyDescent="0.25">
      <c r="B206" s="1" t="s">
        <v>57</v>
      </c>
      <c r="C206" s="4">
        <f>120+37.098</f>
        <v>157.09800000000001</v>
      </c>
    </row>
    <row r="207" spans="1:4" ht="12" customHeight="1" x14ac:dyDescent="0.25">
      <c r="B207" s="1" t="s">
        <v>504</v>
      </c>
      <c r="C207" s="4">
        <f>120+56.469</f>
        <v>176.46899999999999</v>
      </c>
    </row>
    <row r="208" spans="1:4" ht="12" customHeight="1" x14ac:dyDescent="0.25">
      <c r="B208" s="1" t="s">
        <v>242</v>
      </c>
      <c r="C208" s="4">
        <f>180+5.984</f>
        <v>185.98400000000001</v>
      </c>
    </row>
    <row r="209" spans="1:3" ht="12" customHeight="1" x14ac:dyDescent="0.25">
      <c r="B209" s="1" t="s">
        <v>505</v>
      </c>
      <c r="C209" s="4">
        <f>180+9.679</f>
        <v>189.679</v>
      </c>
    </row>
    <row r="210" spans="1:3" ht="12" customHeight="1" x14ac:dyDescent="0.25">
      <c r="B210" s="1" t="s">
        <v>93</v>
      </c>
      <c r="C210" s="4">
        <f>180+26.398</f>
        <v>206.398</v>
      </c>
    </row>
    <row r="211" spans="1:3" ht="12" customHeight="1" x14ac:dyDescent="0.25">
      <c r="B211" s="1" t="s">
        <v>506</v>
      </c>
      <c r="C211" s="4">
        <f>180+53.606</f>
        <v>233.60599999999999</v>
      </c>
    </row>
    <row r="212" spans="1:3" ht="12" customHeight="1" x14ac:dyDescent="0.25">
      <c r="B212" s="1" t="s">
        <v>507</v>
      </c>
      <c r="C212" s="4">
        <f>240+11.254</f>
        <v>251.25399999999999</v>
      </c>
    </row>
    <row r="213" spans="1:3" ht="12" customHeight="1" x14ac:dyDescent="0.25">
      <c r="B213" s="1" t="s">
        <v>168</v>
      </c>
      <c r="C213" s="4">
        <f>240+34.047</f>
        <v>274.04700000000003</v>
      </c>
    </row>
    <row r="214" spans="1:3" ht="12" customHeight="1" x14ac:dyDescent="0.25">
      <c r="B214" s="1" t="s">
        <v>169</v>
      </c>
      <c r="C214" s="4">
        <f>240+50.737</f>
        <v>290.73700000000002</v>
      </c>
    </row>
    <row r="215" spans="1:3" ht="12" customHeight="1" x14ac:dyDescent="0.25">
      <c r="B215" s="1" t="s">
        <v>508</v>
      </c>
      <c r="C215" s="4">
        <f>300+16.247</f>
        <v>316.24700000000001</v>
      </c>
    </row>
    <row r="216" spans="1:3" ht="12" customHeight="1" x14ac:dyDescent="0.25">
      <c r="B216" s="1" t="s">
        <v>509</v>
      </c>
      <c r="C216" s="4">
        <f>300+33.789</f>
        <v>333.78899999999999</v>
      </c>
    </row>
    <row r="217" spans="1:3" ht="12" customHeight="1" x14ac:dyDescent="0.25">
      <c r="B217" s="1" t="s">
        <v>243</v>
      </c>
      <c r="C217" s="4">
        <f>300+48.193</f>
        <v>348.19299999999998</v>
      </c>
    </row>
    <row r="218" spans="1:3" ht="12" customHeight="1" x14ac:dyDescent="0.25">
      <c r="A218" s="1" t="s">
        <v>564</v>
      </c>
      <c r="B218" s="1" t="s">
        <v>526</v>
      </c>
      <c r="C218" s="4">
        <v>44.241</v>
      </c>
    </row>
    <row r="219" spans="1:3" ht="12" customHeight="1" x14ac:dyDescent="0.25">
      <c r="B219" s="1" t="s">
        <v>25</v>
      </c>
      <c r="C219" s="4">
        <v>49.261000000000003</v>
      </c>
    </row>
    <row r="220" spans="1:3" ht="12" customHeight="1" x14ac:dyDescent="0.25">
      <c r="B220" s="1" t="s">
        <v>3</v>
      </c>
      <c r="C220" s="4">
        <v>51.673000000000002</v>
      </c>
    </row>
    <row r="221" spans="1:3" ht="12" customHeight="1" x14ac:dyDescent="0.25">
      <c r="B221" s="1" t="s">
        <v>111</v>
      </c>
      <c r="C221" s="4">
        <v>57.661000000000001</v>
      </c>
    </row>
    <row r="222" spans="1:3" ht="12" customHeight="1" x14ac:dyDescent="0.25">
      <c r="B222" s="1" t="s">
        <v>244</v>
      </c>
      <c r="C222" s="4">
        <f>60+3.755</f>
        <v>63.755000000000003</v>
      </c>
    </row>
    <row r="223" spans="1:3" ht="12" customHeight="1" x14ac:dyDescent="0.25">
      <c r="B223" s="1" t="s">
        <v>245</v>
      </c>
      <c r="C223" s="4">
        <f>60+10.314</f>
        <v>70.313999999999993</v>
      </c>
    </row>
    <row r="224" spans="1:3" ht="12" customHeight="1" x14ac:dyDescent="0.25">
      <c r="B224" s="1" t="s">
        <v>246</v>
      </c>
      <c r="C224" s="4">
        <f>60+13.572</f>
        <v>73.572000000000003</v>
      </c>
    </row>
    <row r="225" spans="2:3" ht="12" customHeight="1" x14ac:dyDescent="0.25">
      <c r="B225" s="1" t="s">
        <v>247</v>
      </c>
      <c r="C225" s="4">
        <f>60+40.73</f>
        <v>100.72999999999999</v>
      </c>
    </row>
    <row r="226" spans="2:3" ht="12" customHeight="1" x14ac:dyDescent="0.25">
      <c r="B226" s="1" t="s">
        <v>248</v>
      </c>
      <c r="C226" s="4">
        <f>60+47.655</f>
        <v>107.655</v>
      </c>
    </row>
    <row r="227" spans="2:3" ht="12" customHeight="1" x14ac:dyDescent="0.25">
      <c r="B227" s="1" t="s">
        <v>249</v>
      </c>
      <c r="C227" s="4">
        <f>60+54.015</f>
        <v>114.015</v>
      </c>
    </row>
    <row r="228" spans="2:3" ht="12" customHeight="1" x14ac:dyDescent="0.25">
      <c r="B228" s="1" t="s">
        <v>483</v>
      </c>
      <c r="C228" s="4">
        <f>120+5.484</f>
        <v>125.48399999999999</v>
      </c>
    </row>
    <row r="229" spans="2:3" ht="12" customHeight="1" x14ac:dyDescent="0.25">
      <c r="B229" s="1" t="s">
        <v>377</v>
      </c>
      <c r="C229" s="4">
        <f>120+11.555</f>
        <v>131.55500000000001</v>
      </c>
    </row>
    <row r="230" spans="2:3" ht="12" customHeight="1" x14ac:dyDescent="0.25">
      <c r="B230" s="1" t="s">
        <v>527</v>
      </c>
      <c r="C230" s="4">
        <f>120+20.468</f>
        <v>140.46799999999999</v>
      </c>
    </row>
    <row r="231" spans="2:3" ht="12" customHeight="1" x14ac:dyDescent="0.25">
      <c r="B231" s="1" t="s">
        <v>250</v>
      </c>
      <c r="C231" s="4">
        <f>120+24.665</f>
        <v>144.66499999999999</v>
      </c>
    </row>
    <row r="232" spans="2:3" ht="12" customHeight="1" x14ac:dyDescent="0.25">
      <c r="B232" s="1" t="s">
        <v>525</v>
      </c>
      <c r="C232" s="4">
        <f>120+29.031</f>
        <v>149.03100000000001</v>
      </c>
    </row>
    <row r="233" spans="2:3" ht="12" customHeight="1" x14ac:dyDescent="0.25">
      <c r="B233" s="1" t="s">
        <v>112</v>
      </c>
      <c r="C233" s="4">
        <f>120+36.549</f>
        <v>156.54900000000001</v>
      </c>
    </row>
    <row r="234" spans="2:3" ht="12" customHeight="1" x14ac:dyDescent="0.25">
      <c r="B234" s="1" t="s">
        <v>458</v>
      </c>
      <c r="C234" s="4">
        <f>180+1.36</f>
        <v>181.36</v>
      </c>
    </row>
    <row r="235" spans="2:3" ht="12" customHeight="1" x14ac:dyDescent="0.25">
      <c r="B235" s="1" t="s">
        <v>110</v>
      </c>
      <c r="C235" s="4">
        <f>180+20.038</f>
        <v>200.03800000000001</v>
      </c>
    </row>
    <row r="236" spans="2:3" ht="12" customHeight="1" x14ac:dyDescent="0.25">
      <c r="B236" s="1" t="s">
        <v>251</v>
      </c>
      <c r="C236" s="4">
        <f>180+44.331</f>
        <v>224.33100000000002</v>
      </c>
    </row>
    <row r="237" spans="2:3" ht="12" customHeight="1" x14ac:dyDescent="0.25">
      <c r="B237" s="1" t="s">
        <v>252</v>
      </c>
      <c r="C237" s="4">
        <f>180+55.909</f>
        <v>235.90899999999999</v>
      </c>
    </row>
    <row r="238" spans="2:3" ht="12" customHeight="1" x14ac:dyDescent="0.25">
      <c r="B238" s="1" t="s">
        <v>113</v>
      </c>
      <c r="C238" s="4">
        <f>240+6.767</f>
        <v>246.767</v>
      </c>
    </row>
    <row r="239" spans="2:3" ht="12" customHeight="1" x14ac:dyDescent="0.25">
      <c r="B239" s="1" t="s">
        <v>55</v>
      </c>
      <c r="C239" s="4">
        <f>240+9.661</f>
        <v>249.661</v>
      </c>
    </row>
    <row r="240" spans="2:3" ht="12" customHeight="1" x14ac:dyDescent="0.25">
      <c r="B240" s="1" t="s">
        <v>253</v>
      </c>
      <c r="C240" s="4">
        <f>240+18.485</f>
        <v>258.48500000000001</v>
      </c>
    </row>
    <row r="241" spans="1:5" ht="12" customHeight="1" x14ac:dyDescent="0.25">
      <c r="B241" s="1" t="s">
        <v>528</v>
      </c>
      <c r="C241" s="4">
        <f>240+25.751</f>
        <v>265.75099999999998</v>
      </c>
    </row>
    <row r="242" spans="1:5" ht="12" customHeight="1" x14ac:dyDescent="0.25">
      <c r="B242" s="1" t="s">
        <v>254</v>
      </c>
      <c r="C242" s="4">
        <f>240+35.11</f>
        <v>275.11</v>
      </c>
    </row>
    <row r="243" spans="1:5" ht="12" customHeight="1" x14ac:dyDescent="0.25">
      <c r="B243" s="1" t="s">
        <v>397</v>
      </c>
      <c r="C243" s="4">
        <f>240+47.989</f>
        <v>287.98899999999998</v>
      </c>
    </row>
    <row r="244" spans="1:5" ht="12" customHeight="1" x14ac:dyDescent="0.25">
      <c r="B244" s="1" t="s">
        <v>255</v>
      </c>
      <c r="C244" s="4">
        <f>300+7.838</f>
        <v>307.83800000000002</v>
      </c>
    </row>
    <row r="245" spans="1:5" ht="12" customHeight="1" x14ac:dyDescent="0.25">
      <c r="B245" s="1" t="s">
        <v>529</v>
      </c>
      <c r="C245" s="4">
        <f>300+14.005</f>
        <v>314.005</v>
      </c>
    </row>
    <row r="246" spans="1:5" ht="12" customHeight="1" x14ac:dyDescent="0.25">
      <c r="B246" s="1" t="s">
        <v>256</v>
      </c>
      <c r="C246" s="4">
        <f>300+42.153</f>
        <v>342.15300000000002</v>
      </c>
    </row>
    <row r="247" spans="1:5" ht="12" customHeight="1" x14ac:dyDescent="0.25">
      <c r="A247" s="1" t="s">
        <v>565</v>
      </c>
      <c r="B247" s="1" t="s">
        <v>510</v>
      </c>
      <c r="C247" s="4">
        <v>52.866</v>
      </c>
    </row>
    <row r="248" spans="1:5" ht="12" customHeight="1" x14ac:dyDescent="0.25">
      <c r="A248" s="1"/>
      <c r="B248" s="1" t="s">
        <v>257</v>
      </c>
      <c r="C248" s="4">
        <f>58.771</f>
        <v>58.771000000000001</v>
      </c>
    </row>
    <row r="249" spans="1:5" ht="12" customHeight="1" x14ac:dyDescent="0.25">
      <c r="B249" s="1" t="s">
        <v>511</v>
      </c>
      <c r="C249" s="4">
        <f>60+2.491</f>
        <v>62.491</v>
      </c>
    </row>
    <row r="250" spans="1:5" ht="12" customHeight="1" x14ac:dyDescent="0.25">
      <c r="B250" s="1" t="s">
        <v>512</v>
      </c>
      <c r="C250" s="4">
        <f>60+9.07</f>
        <v>69.069999999999993</v>
      </c>
    </row>
    <row r="251" spans="1:5" ht="12" customHeight="1" x14ac:dyDescent="0.25">
      <c r="B251" s="1" t="s">
        <v>26</v>
      </c>
      <c r="C251" s="4">
        <f>60+17.696</f>
        <v>77.695999999999998</v>
      </c>
    </row>
    <row r="252" spans="1:5" ht="12" customHeight="1" x14ac:dyDescent="0.25">
      <c r="B252" s="1" t="s">
        <v>398</v>
      </c>
      <c r="C252" s="4">
        <f>60+24.873</f>
        <v>84.873000000000005</v>
      </c>
    </row>
    <row r="253" spans="1:5" ht="12" customHeight="1" x14ac:dyDescent="0.25">
      <c r="B253" s="1" t="s">
        <v>58</v>
      </c>
      <c r="C253" s="4">
        <f>60+37.375</f>
        <v>97.375</v>
      </c>
    </row>
    <row r="254" spans="1:5" ht="12" customHeight="1" x14ac:dyDescent="0.25">
      <c r="B254" s="1" t="s">
        <v>399</v>
      </c>
      <c r="C254" s="4">
        <f>60+42.265</f>
        <v>102.265</v>
      </c>
      <c r="E254" s="2" t="s">
        <v>554</v>
      </c>
    </row>
    <row r="255" spans="1:5" ht="12" customHeight="1" x14ac:dyDescent="0.25">
      <c r="B255" s="1" t="s">
        <v>514</v>
      </c>
      <c r="C255" s="4">
        <f>60+53.186</f>
        <v>113.18600000000001</v>
      </c>
    </row>
    <row r="256" spans="1:5" ht="12" customHeight="1" x14ac:dyDescent="0.25">
      <c r="B256" s="1" t="s">
        <v>539</v>
      </c>
      <c r="C256" s="4">
        <f>120+7.102</f>
        <v>127.102</v>
      </c>
    </row>
    <row r="257" spans="2:4" ht="12" customHeight="1" x14ac:dyDescent="0.25">
      <c r="B257" s="1" t="s">
        <v>513</v>
      </c>
      <c r="C257" s="4">
        <f>120+16.502</f>
        <v>136.50200000000001</v>
      </c>
    </row>
    <row r="258" spans="2:4" ht="12" customHeight="1" x14ac:dyDescent="0.25">
      <c r="B258" s="1" t="s">
        <v>378</v>
      </c>
      <c r="C258" s="4">
        <f>120+26.597</f>
        <v>146.59700000000001</v>
      </c>
    </row>
    <row r="259" spans="2:4" ht="12" customHeight="1" x14ac:dyDescent="0.25">
      <c r="B259" s="1" t="s">
        <v>59</v>
      </c>
      <c r="C259" s="4">
        <f>120+38.762</f>
        <v>158.762</v>
      </c>
    </row>
    <row r="260" spans="2:4" ht="12" customHeight="1" x14ac:dyDescent="0.25">
      <c r="B260" s="1" t="s">
        <v>515</v>
      </c>
      <c r="C260" s="4">
        <f>120+47.033</f>
        <v>167.03300000000002</v>
      </c>
    </row>
    <row r="261" spans="2:4" ht="12" customHeight="1" x14ac:dyDescent="0.25">
      <c r="B261" s="1" t="s">
        <v>516</v>
      </c>
      <c r="C261" s="4">
        <f>120+57.359</f>
        <v>177.35900000000001</v>
      </c>
    </row>
    <row r="262" spans="2:4" ht="12" customHeight="1" x14ac:dyDescent="0.25">
      <c r="B262" s="1" t="s">
        <v>258</v>
      </c>
      <c r="C262" s="4">
        <f>180+12.802</f>
        <v>192.80199999999999</v>
      </c>
    </row>
    <row r="263" spans="2:4" ht="12" customHeight="1" x14ac:dyDescent="0.25">
      <c r="B263" s="1" t="s">
        <v>484</v>
      </c>
      <c r="C263" s="4">
        <f>180+16.868</f>
        <v>196.86799999999999</v>
      </c>
    </row>
    <row r="264" spans="2:4" ht="12" customHeight="1" x14ac:dyDescent="0.25">
      <c r="B264" s="1" t="s">
        <v>400</v>
      </c>
      <c r="C264" s="4">
        <f>180+19.534</f>
        <v>199.53399999999999</v>
      </c>
    </row>
    <row r="265" spans="2:4" ht="12" customHeight="1" x14ac:dyDescent="0.25">
      <c r="B265" s="1" t="s">
        <v>549</v>
      </c>
      <c r="C265" s="4">
        <f>180+21.712</f>
        <v>201.71199999999999</v>
      </c>
    </row>
    <row r="266" spans="2:4" ht="12" customHeight="1" x14ac:dyDescent="0.25">
      <c r="B266" s="1" t="s">
        <v>60</v>
      </c>
      <c r="C266" s="4">
        <f>180+51.919</f>
        <v>231.91899999999998</v>
      </c>
    </row>
    <row r="267" spans="2:4" ht="12" customHeight="1" x14ac:dyDescent="0.25">
      <c r="B267" s="1" t="s">
        <v>401</v>
      </c>
      <c r="C267" s="4">
        <f>240+0.197</f>
        <v>240.197</v>
      </c>
    </row>
    <row r="268" spans="2:4" ht="12" customHeight="1" x14ac:dyDescent="0.25">
      <c r="B268" s="1" t="s">
        <v>402</v>
      </c>
      <c r="C268" s="4">
        <f>240+9.014</f>
        <v>249.01400000000001</v>
      </c>
      <c r="D268" s="6">
        <v>1</v>
      </c>
    </row>
    <row r="269" spans="2:4" ht="12" customHeight="1" x14ac:dyDescent="0.25">
      <c r="B269" s="1" t="s">
        <v>27</v>
      </c>
      <c r="C269" s="4">
        <f>240+19.904</f>
        <v>259.904</v>
      </c>
    </row>
    <row r="270" spans="2:4" ht="12" customHeight="1" x14ac:dyDescent="0.25">
      <c r="B270" s="1" t="s">
        <v>517</v>
      </c>
      <c r="C270" s="4">
        <f>240+29.63</f>
        <v>269.63</v>
      </c>
    </row>
    <row r="271" spans="2:4" ht="12" customHeight="1" x14ac:dyDescent="0.25">
      <c r="B271" s="1" t="s">
        <v>518</v>
      </c>
      <c r="C271" s="4">
        <f>240+51.411</f>
        <v>291.411</v>
      </c>
    </row>
    <row r="272" spans="2:4" ht="12" customHeight="1" x14ac:dyDescent="0.25">
      <c r="B272" s="1" t="s">
        <v>259</v>
      </c>
      <c r="C272" s="4">
        <f>300+14.009</f>
        <v>314.00900000000001</v>
      </c>
    </row>
    <row r="273" spans="1:4" ht="12" customHeight="1" x14ac:dyDescent="0.25">
      <c r="B273" s="1" t="s">
        <v>459</v>
      </c>
      <c r="C273" s="4">
        <f>300+20.302</f>
        <v>320.30200000000002</v>
      </c>
    </row>
    <row r="274" spans="1:4" ht="12" customHeight="1" x14ac:dyDescent="0.25">
      <c r="B274" s="1" t="s">
        <v>260</v>
      </c>
      <c r="C274" s="4">
        <f>300+47.286</f>
        <v>347.286</v>
      </c>
    </row>
    <row r="275" spans="1:4" ht="12" customHeight="1" x14ac:dyDescent="0.25">
      <c r="A275" s="1" t="s">
        <v>566</v>
      </c>
      <c r="B275" s="1" t="s">
        <v>261</v>
      </c>
      <c r="C275" s="4">
        <v>40.738999999999997</v>
      </c>
    </row>
    <row r="276" spans="1:4" ht="12" customHeight="1" x14ac:dyDescent="0.25">
      <c r="A276" s="1"/>
      <c r="B276" s="1" t="s">
        <v>262</v>
      </c>
      <c r="C276" s="4">
        <v>46.996000000000002</v>
      </c>
      <c r="D276" s="6">
        <v>1</v>
      </c>
    </row>
    <row r="277" spans="1:4" ht="12" customHeight="1" x14ac:dyDescent="0.25">
      <c r="B277" s="1" t="s">
        <v>61</v>
      </c>
      <c r="C277" s="4">
        <v>52.052</v>
      </c>
    </row>
    <row r="278" spans="1:4" ht="12" customHeight="1" x14ac:dyDescent="0.25">
      <c r="B278" s="1" t="s">
        <v>107</v>
      </c>
      <c r="C278" s="4">
        <v>54.831000000000003</v>
      </c>
    </row>
    <row r="279" spans="1:4" ht="12" customHeight="1" x14ac:dyDescent="0.25">
      <c r="B279" s="1" t="s">
        <v>190</v>
      </c>
      <c r="C279" s="4">
        <f>60+2.471</f>
        <v>62.471000000000004</v>
      </c>
    </row>
    <row r="280" spans="1:4" ht="12" customHeight="1" x14ac:dyDescent="0.25">
      <c r="B280" s="1" t="s">
        <v>191</v>
      </c>
      <c r="C280" s="4">
        <f>60+6.904</f>
        <v>66.903999999999996</v>
      </c>
    </row>
    <row r="281" spans="1:4" ht="12" customHeight="1" x14ac:dyDescent="0.25">
      <c r="B281" s="1" t="s">
        <v>28</v>
      </c>
      <c r="C281" s="4">
        <f>60+13.995</f>
        <v>73.995000000000005</v>
      </c>
    </row>
    <row r="282" spans="1:4" ht="12" customHeight="1" x14ac:dyDescent="0.25">
      <c r="B282" s="1" t="s">
        <v>108</v>
      </c>
      <c r="C282" s="4">
        <f>60+24.307</f>
        <v>84.307000000000002</v>
      </c>
    </row>
    <row r="283" spans="1:4" ht="12" customHeight="1" x14ac:dyDescent="0.25">
      <c r="B283" s="1" t="s">
        <v>263</v>
      </c>
      <c r="C283" s="4">
        <f>60+35.234</f>
        <v>95.234000000000009</v>
      </c>
    </row>
    <row r="284" spans="1:4" ht="12" customHeight="1" x14ac:dyDescent="0.25">
      <c r="B284" s="1" t="s">
        <v>265</v>
      </c>
      <c r="C284" s="4">
        <f>60+41.765</f>
        <v>101.765</v>
      </c>
    </row>
    <row r="285" spans="1:4" ht="12" customHeight="1" x14ac:dyDescent="0.25">
      <c r="B285" s="1" t="s">
        <v>266</v>
      </c>
      <c r="C285" s="4">
        <f>60+50.641</f>
        <v>110.64099999999999</v>
      </c>
    </row>
    <row r="286" spans="1:4" ht="12" customHeight="1" x14ac:dyDescent="0.25">
      <c r="B286" s="1" t="s">
        <v>264</v>
      </c>
      <c r="C286" s="4">
        <f>60+59.261</f>
        <v>119.261</v>
      </c>
    </row>
    <row r="287" spans="1:4" ht="12" customHeight="1" x14ac:dyDescent="0.25">
      <c r="B287" s="1" t="s">
        <v>192</v>
      </c>
      <c r="C287" s="4">
        <f>120+4.194</f>
        <v>124.194</v>
      </c>
    </row>
    <row r="288" spans="1:4" ht="12" customHeight="1" x14ac:dyDescent="0.25">
      <c r="B288" s="1" t="s">
        <v>105</v>
      </c>
      <c r="C288" s="4">
        <f>120+13.352</f>
        <v>133.352</v>
      </c>
    </row>
    <row r="289" spans="2:3" ht="12" customHeight="1" x14ac:dyDescent="0.25">
      <c r="B289" s="1" t="s">
        <v>29</v>
      </c>
      <c r="C289" s="4">
        <f>120+20.742</f>
        <v>140.74199999999999</v>
      </c>
    </row>
    <row r="290" spans="2:3" ht="12" customHeight="1" x14ac:dyDescent="0.25">
      <c r="B290" s="1" t="s">
        <v>30</v>
      </c>
      <c r="C290" s="4">
        <f>120+24.345</f>
        <v>144.345</v>
      </c>
    </row>
    <row r="291" spans="2:3" ht="12" customHeight="1" x14ac:dyDescent="0.25">
      <c r="B291" s="1" t="s">
        <v>193</v>
      </c>
      <c r="C291" s="4">
        <f>120+28.622</f>
        <v>148.62200000000001</v>
      </c>
    </row>
    <row r="292" spans="2:3" ht="12" customHeight="1" x14ac:dyDescent="0.25">
      <c r="B292" s="1" t="s">
        <v>267</v>
      </c>
      <c r="C292" s="4">
        <f>120+41.323</f>
        <v>161.32300000000001</v>
      </c>
    </row>
    <row r="293" spans="2:3" ht="12" customHeight="1" x14ac:dyDescent="0.25">
      <c r="B293" s="1" t="s">
        <v>345</v>
      </c>
      <c r="C293" s="4">
        <f>120+47.955</f>
        <v>167.95499999999998</v>
      </c>
    </row>
    <row r="294" spans="2:3" ht="12" customHeight="1" x14ac:dyDescent="0.25">
      <c r="B294" s="1" t="s">
        <v>268</v>
      </c>
      <c r="C294" s="4">
        <f>120+59.47</f>
        <v>179.47</v>
      </c>
    </row>
    <row r="295" spans="2:3" ht="12" customHeight="1" x14ac:dyDescent="0.25">
      <c r="B295" s="1" t="s">
        <v>404</v>
      </c>
      <c r="C295" s="4">
        <f>180+5.999</f>
        <v>185.999</v>
      </c>
    </row>
    <row r="296" spans="2:3" ht="12" customHeight="1" x14ac:dyDescent="0.25">
      <c r="B296" s="1" t="s">
        <v>405</v>
      </c>
      <c r="C296" s="4">
        <f>180+10.246</f>
        <v>190.24600000000001</v>
      </c>
    </row>
    <row r="297" spans="2:3" ht="12" customHeight="1" x14ac:dyDescent="0.25">
      <c r="B297" s="1" t="s">
        <v>109</v>
      </c>
      <c r="C297" s="4">
        <f>180+19.569</f>
        <v>199.56899999999999</v>
      </c>
    </row>
    <row r="298" spans="2:3" ht="12" customHeight="1" x14ac:dyDescent="0.25">
      <c r="B298" s="1" t="s">
        <v>346</v>
      </c>
      <c r="C298" s="4">
        <f>180+23.274</f>
        <v>203.274</v>
      </c>
    </row>
    <row r="299" spans="2:3" ht="12" customHeight="1" x14ac:dyDescent="0.25">
      <c r="B299" s="1" t="s">
        <v>269</v>
      </c>
      <c r="C299" s="4">
        <f>180+31.498</f>
        <v>211.49799999999999</v>
      </c>
    </row>
    <row r="300" spans="2:3" ht="12" customHeight="1" x14ac:dyDescent="0.25">
      <c r="B300" s="1" t="s">
        <v>270</v>
      </c>
      <c r="C300" s="4">
        <f>180+37.713</f>
        <v>217.71299999999999</v>
      </c>
    </row>
    <row r="301" spans="2:3" ht="12" customHeight="1" x14ac:dyDescent="0.25">
      <c r="B301" s="1" t="s">
        <v>406</v>
      </c>
      <c r="C301" s="4">
        <f>180+45.127</f>
        <v>225.12700000000001</v>
      </c>
    </row>
    <row r="302" spans="2:3" ht="12" customHeight="1" x14ac:dyDescent="0.25">
      <c r="B302" s="1" t="s">
        <v>407</v>
      </c>
      <c r="C302" s="4">
        <f>180+58.418</f>
        <v>238.41800000000001</v>
      </c>
    </row>
    <row r="303" spans="2:3" ht="12" customHeight="1" x14ac:dyDescent="0.25">
      <c r="B303" s="1" t="s">
        <v>408</v>
      </c>
      <c r="C303" s="4">
        <f>240+13.503</f>
        <v>253.50299999999999</v>
      </c>
    </row>
    <row r="304" spans="2:3" ht="12" customHeight="1" x14ac:dyDescent="0.25">
      <c r="B304" s="1" t="s">
        <v>106</v>
      </c>
      <c r="C304" s="4">
        <f>240+22.244</f>
        <v>262.24400000000003</v>
      </c>
    </row>
    <row r="305" spans="1:3" ht="12" customHeight="1" x14ac:dyDescent="0.25">
      <c r="B305" s="1" t="s">
        <v>31</v>
      </c>
      <c r="C305" s="4">
        <f>240+31.757</f>
        <v>271.75700000000001</v>
      </c>
    </row>
    <row r="306" spans="1:3" ht="12" customHeight="1" x14ac:dyDescent="0.25">
      <c r="B306" s="1" t="s">
        <v>485</v>
      </c>
      <c r="C306" s="4">
        <f>240+37.541</f>
        <v>277.541</v>
      </c>
    </row>
    <row r="307" spans="1:3" ht="12" customHeight="1" x14ac:dyDescent="0.25">
      <c r="B307" s="1" t="s">
        <v>32</v>
      </c>
      <c r="C307" s="4">
        <f>240+55.199</f>
        <v>295.19900000000001</v>
      </c>
    </row>
    <row r="308" spans="1:3" ht="12" customHeight="1" x14ac:dyDescent="0.25">
      <c r="B308" s="1" t="s">
        <v>409</v>
      </c>
      <c r="C308" s="4">
        <f>300+2.582</f>
        <v>302.58199999999999</v>
      </c>
    </row>
    <row r="309" spans="1:3" ht="12" customHeight="1" x14ac:dyDescent="0.25">
      <c r="B309" s="1" t="s">
        <v>460</v>
      </c>
      <c r="C309" s="4">
        <f>300+14.531</f>
        <v>314.53100000000001</v>
      </c>
    </row>
    <row r="310" spans="1:3" ht="12" customHeight="1" x14ac:dyDescent="0.25">
      <c r="B310" s="1" t="s">
        <v>410</v>
      </c>
      <c r="C310" s="4">
        <f>300+20.04</f>
        <v>320.04000000000002</v>
      </c>
    </row>
    <row r="311" spans="1:3" ht="12" customHeight="1" x14ac:dyDescent="0.25">
      <c r="A311" s="1" t="s">
        <v>567</v>
      </c>
      <c r="B311" s="1" t="s">
        <v>411</v>
      </c>
      <c r="C311" s="4">
        <f>60+1.16</f>
        <v>61.16</v>
      </c>
    </row>
    <row r="312" spans="1:3" ht="12" customHeight="1" x14ac:dyDescent="0.25">
      <c r="A312" s="1"/>
      <c r="B312" s="1" t="s">
        <v>271</v>
      </c>
      <c r="C312" s="4">
        <f>60+10.325</f>
        <v>70.325000000000003</v>
      </c>
    </row>
    <row r="313" spans="1:3" ht="12" customHeight="1" x14ac:dyDescent="0.25">
      <c r="B313" s="1" t="s">
        <v>33</v>
      </c>
      <c r="C313" s="4">
        <f>60+17.751</f>
        <v>77.751000000000005</v>
      </c>
    </row>
    <row r="314" spans="1:3" ht="12" customHeight="1" x14ac:dyDescent="0.25">
      <c r="B314" s="1" t="s">
        <v>379</v>
      </c>
      <c r="C314" s="4">
        <f>60+19.821</f>
        <v>79.820999999999998</v>
      </c>
    </row>
    <row r="315" spans="1:3" ht="12" customHeight="1" x14ac:dyDescent="0.25">
      <c r="B315" s="1" t="s">
        <v>272</v>
      </c>
      <c r="C315" s="4">
        <f>60+32.514</f>
        <v>92.51400000000001</v>
      </c>
    </row>
    <row r="316" spans="1:3" ht="12" customHeight="1" x14ac:dyDescent="0.25">
      <c r="B316" s="1" t="s">
        <v>273</v>
      </c>
      <c r="C316" s="4">
        <f>60+40.816</f>
        <v>100.816</v>
      </c>
    </row>
    <row r="317" spans="1:3" ht="12" customHeight="1" x14ac:dyDescent="0.25">
      <c r="B317" s="1" t="s">
        <v>274</v>
      </c>
      <c r="C317" s="4">
        <f>60+45.477</f>
        <v>105.477</v>
      </c>
    </row>
    <row r="318" spans="1:3" ht="12" customHeight="1" x14ac:dyDescent="0.25">
      <c r="B318" s="1" t="s">
        <v>380</v>
      </c>
      <c r="C318" s="4">
        <f>60+57.985</f>
        <v>117.985</v>
      </c>
    </row>
    <row r="319" spans="1:3" ht="12" customHeight="1" x14ac:dyDescent="0.25">
      <c r="B319" s="1" t="s">
        <v>275</v>
      </c>
      <c r="C319" s="4">
        <f>120+12.511</f>
        <v>132.511</v>
      </c>
    </row>
    <row r="320" spans="1:3" ht="12" customHeight="1" x14ac:dyDescent="0.25">
      <c r="B320" s="1" t="s">
        <v>412</v>
      </c>
      <c r="C320" s="4">
        <f>120+35.134</f>
        <v>155.13400000000001</v>
      </c>
    </row>
    <row r="321" spans="1:4" ht="12" customHeight="1" x14ac:dyDescent="0.25">
      <c r="B321" s="1" t="s">
        <v>34</v>
      </c>
      <c r="C321" s="4">
        <f>180+7.161</f>
        <v>187.161</v>
      </c>
    </row>
    <row r="322" spans="1:4" ht="12" customHeight="1" x14ac:dyDescent="0.25">
      <c r="B322" s="1" t="s">
        <v>197</v>
      </c>
      <c r="C322" s="4">
        <f>180+14.525</f>
        <v>194.52500000000001</v>
      </c>
    </row>
    <row r="323" spans="1:4" ht="12" customHeight="1" x14ac:dyDescent="0.25">
      <c r="B323" s="1" t="s">
        <v>35</v>
      </c>
      <c r="C323" s="4">
        <f>180+29.874</f>
        <v>209.874</v>
      </c>
    </row>
    <row r="324" spans="1:4" ht="12" customHeight="1" x14ac:dyDescent="0.25">
      <c r="B324" s="1" t="s">
        <v>36</v>
      </c>
      <c r="C324" s="4">
        <f>180+33.296</f>
        <v>213.29599999999999</v>
      </c>
    </row>
    <row r="325" spans="1:4" ht="12" customHeight="1" x14ac:dyDescent="0.25">
      <c r="B325" s="1" t="s">
        <v>276</v>
      </c>
      <c r="C325" s="4">
        <f>180+37.69</f>
        <v>217.69</v>
      </c>
    </row>
    <row r="326" spans="1:4" ht="12" customHeight="1" x14ac:dyDescent="0.25">
      <c r="B326" s="1" t="s">
        <v>277</v>
      </c>
      <c r="C326" s="4">
        <f>240+12.414</f>
        <v>252.41399999999999</v>
      </c>
    </row>
    <row r="327" spans="1:4" ht="12" customHeight="1" x14ac:dyDescent="0.25">
      <c r="B327" s="1" t="s">
        <v>198</v>
      </c>
      <c r="C327" s="4">
        <f>240+22.191</f>
        <v>262.19099999999997</v>
      </c>
    </row>
    <row r="328" spans="1:4" ht="12" customHeight="1" x14ac:dyDescent="0.25">
      <c r="B328" s="1" t="s">
        <v>62</v>
      </c>
      <c r="C328" s="4">
        <f>240+37.973</f>
        <v>277.97300000000001</v>
      </c>
    </row>
    <row r="329" spans="1:4" ht="12" customHeight="1" x14ac:dyDescent="0.25">
      <c r="B329" s="1" t="s">
        <v>37</v>
      </c>
      <c r="C329" s="4">
        <f>240+44.218</f>
        <v>284.21800000000002</v>
      </c>
    </row>
    <row r="330" spans="1:4" ht="12" customHeight="1" x14ac:dyDescent="0.25">
      <c r="B330" s="1" t="s">
        <v>63</v>
      </c>
      <c r="C330" s="4">
        <f>300+3.382</f>
        <v>303.38200000000001</v>
      </c>
    </row>
    <row r="331" spans="1:4" ht="12" customHeight="1" x14ac:dyDescent="0.25">
      <c r="B331" s="1" t="s">
        <v>486</v>
      </c>
      <c r="C331" s="4">
        <f>300+13.215</f>
        <v>313.21499999999997</v>
      </c>
    </row>
    <row r="332" spans="1:4" ht="12" customHeight="1" x14ac:dyDescent="0.25">
      <c r="B332" s="1" t="s">
        <v>38</v>
      </c>
      <c r="C332" s="4">
        <f>300+45.999</f>
        <v>345.99900000000002</v>
      </c>
    </row>
    <row r="333" spans="1:4" ht="12" customHeight="1" x14ac:dyDescent="0.25">
      <c r="A333" s="1" t="s">
        <v>568</v>
      </c>
      <c r="B333" s="1" t="s">
        <v>413</v>
      </c>
      <c r="C333" s="4">
        <v>35.316000000000003</v>
      </c>
    </row>
    <row r="334" spans="1:4" ht="12" customHeight="1" x14ac:dyDescent="0.25">
      <c r="A334" s="1"/>
      <c r="B334" s="1" t="s">
        <v>487</v>
      </c>
      <c r="C334" s="4">
        <v>37.430999999999997</v>
      </c>
      <c r="D334" s="6">
        <v>1</v>
      </c>
    </row>
    <row r="335" spans="1:4" ht="12" customHeight="1" x14ac:dyDescent="0.25">
      <c r="B335" s="1" t="s">
        <v>64</v>
      </c>
      <c r="C335" s="4">
        <v>45.792000000000002</v>
      </c>
    </row>
    <row r="336" spans="1:4" ht="12" customHeight="1" x14ac:dyDescent="0.25">
      <c r="B336" s="1" t="s">
        <v>65</v>
      </c>
      <c r="C336" s="4">
        <v>51.37</v>
      </c>
    </row>
    <row r="337" spans="2:4" ht="12" customHeight="1" x14ac:dyDescent="0.25">
      <c r="B337" s="1" t="s">
        <v>414</v>
      </c>
      <c r="C337" s="4">
        <v>58.753</v>
      </c>
    </row>
    <row r="338" spans="2:4" ht="12" customHeight="1" x14ac:dyDescent="0.25">
      <c r="B338" s="1" t="s">
        <v>415</v>
      </c>
      <c r="C338" s="4">
        <f>60+4.055</f>
        <v>64.055000000000007</v>
      </c>
    </row>
    <row r="339" spans="2:4" ht="12" customHeight="1" x14ac:dyDescent="0.25">
      <c r="B339" s="1" t="s">
        <v>39</v>
      </c>
      <c r="C339" s="4">
        <f>60+10.925</f>
        <v>70.924999999999997</v>
      </c>
    </row>
    <row r="340" spans="2:4" ht="12" customHeight="1" x14ac:dyDescent="0.25">
      <c r="B340" s="1" t="s">
        <v>488</v>
      </c>
      <c r="C340" s="4">
        <f>60+18.036</f>
        <v>78.036000000000001</v>
      </c>
      <c r="D340" s="6">
        <v>1</v>
      </c>
    </row>
    <row r="341" spans="2:4" ht="12" customHeight="1" x14ac:dyDescent="0.25">
      <c r="B341" s="1" t="s">
        <v>416</v>
      </c>
      <c r="C341" s="4">
        <f>60+36.046</f>
        <v>96.045999999999992</v>
      </c>
    </row>
    <row r="342" spans="2:4" ht="12" customHeight="1" x14ac:dyDescent="0.25">
      <c r="B342" s="1" t="s">
        <v>489</v>
      </c>
      <c r="C342" s="4">
        <f>60+49.351</f>
        <v>109.351</v>
      </c>
    </row>
    <row r="343" spans="2:4" ht="12" customHeight="1" x14ac:dyDescent="0.25">
      <c r="B343" s="1" t="s">
        <v>417</v>
      </c>
      <c r="C343" s="4">
        <f>60+56.113</f>
        <v>116.113</v>
      </c>
    </row>
    <row r="344" spans="2:4" ht="12" customHeight="1" x14ac:dyDescent="0.25">
      <c r="B344" s="1" t="s">
        <v>170</v>
      </c>
      <c r="C344" s="4">
        <f>120+7.911</f>
        <v>127.911</v>
      </c>
    </row>
    <row r="345" spans="2:4" ht="12" customHeight="1" x14ac:dyDescent="0.25">
      <c r="B345" s="1" t="s">
        <v>418</v>
      </c>
      <c r="C345" s="4">
        <f>120+11.471</f>
        <v>131.471</v>
      </c>
    </row>
    <row r="346" spans="2:4" ht="12" customHeight="1" x14ac:dyDescent="0.25">
      <c r="B346" s="1" t="s">
        <v>66</v>
      </c>
      <c r="C346" s="4">
        <f>120+26.521</f>
        <v>146.52100000000002</v>
      </c>
    </row>
    <row r="347" spans="2:4" ht="12" customHeight="1" x14ac:dyDescent="0.25">
      <c r="B347" s="1" t="s">
        <v>461</v>
      </c>
      <c r="C347" s="4">
        <f>120+37.932</f>
        <v>157.93200000000002</v>
      </c>
    </row>
    <row r="348" spans="2:4" ht="12" customHeight="1" x14ac:dyDescent="0.25">
      <c r="B348" s="1" t="s">
        <v>67</v>
      </c>
      <c r="C348" s="4">
        <f>120+53.307</f>
        <v>173.30700000000002</v>
      </c>
      <c r="D348" s="6">
        <v>1</v>
      </c>
    </row>
    <row r="349" spans="2:4" ht="12" customHeight="1" x14ac:dyDescent="0.25">
      <c r="B349" s="1" t="s">
        <v>462</v>
      </c>
      <c r="C349" s="4">
        <f>180+2.715</f>
        <v>182.715</v>
      </c>
    </row>
    <row r="350" spans="2:4" ht="12" customHeight="1" x14ac:dyDescent="0.25">
      <c r="B350" s="1" t="s">
        <v>278</v>
      </c>
      <c r="C350" s="4">
        <f>180+10.942</f>
        <v>190.94200000000001</v>
      </c>
    </row>
    <row r="351" spans="2:4" ht="12" customHeight="1" x14ac:dyDescent="0.25">
      <c r="B351" s="1" t="s">
        <v>463</v>
      </c>
      <c r="C351" s="4">
        <f>180+23.489</f>
        <v>203.489</v>
      </c>
    </row>
    <row r="352" spans="2:4" ht="12" customHeight="1" x14ac:dyDescent="0.25">
      <c r="B352" s="1" t="s">
        <v>381</v>
      </c>
      <c r="C352" s="4">
        <f>180+33.784</f>
        <v>213.78399999999999</v>
      </c>
    </row>
    <row r="353" spans="1:3" ht="12" customHeight="1" x14ac:dyDescent="0.25">
      <c r="B353" s="1" t="s">
        <v>464</v>
      </c>
      <c r="C353" s="4">
        <f>180+41.456</f>
        <v>221.45600000000002</v>
      </c>
    </row>
    <row r="354" spans="1:3" ht="12" customHeight="1" x14ac:dyDescent="0.25">
      <c r="B354" s="1" t="s">
        <v>419</v>
      </c>
      <c r="C354" s="4">
        <f>240+3.052</f>
        <v>243.05199999999999</v>
      </c>
    </row>
    <row r="355" spans="1:3" ht="12" customHeight="1" x14ac:dyDescent="0.25">
      <c r="B355" s="1" t="s">
        <v>279</v>
      </c>
      <c r="C355" s="4">
        <f>240+12.294</f>
        <v>252.29400000000001</v>
      </c>
    </row>
    <row r="356" spans="1:3" ht="12" customHeight="1" x14ac:dyDescent="0.25">
      <c r="B356" s="1" t="s">
        <v>465</v>
      </c>
      <c r="C356" s="4">
        <f>240+15.062</f>
        <v>255.06200000000001</v>
      </c>
    </row>
    <row r="357" spans="1:3" ht="12" customHeight="1" x14ac:dyDescent="0.25">
      <c r="B357" s="1" t="s">
        <v>466</v>
      </c>
      <c r="C357" s="4">
        <f>240+57.873</f>
        <v>297.87299999999999</v>
      </c>
    </row>
    <row r="358" spans="1:3" ht="12" customHeight="1" x14ac:dyDescent="0.25">
      <c r="A358" s="1" t="s">
        <v>569</v>
      </c>
      <c r="B358" s="1" t="s">
        <v>420</v>
      </c>
      <c r="C358" s="4">
        <v>51.209000000000003</v>
      </c>
    </row>
    <row r="359" spans="1:3" ht="12" customHeight="1" x14ac:dyDescent="0.25">
      <c r="A359" s="1"/>
      <c r="B359" s="1" t="s">
        <v>280</v>
      </c>
      <c r="C359" s="4">
        <v>56.933999999999997</v>
      </c>
    </row>
    <row r="360" spans="1:3" ht="12" customHeight="1" x14ac:dyDescent="0.25">
      <c r="B360" s="1" t="s">
        <v>40</v>
      </c>
      <c r="C360" s="4">
        <f>60+3.492</f>
        <v>63.491999999999997</v>
      </c>
    </row>
    <row r="361" spans="1:3" ht="12" customHeight="1" x14ac:dyDescent="0.25">
      <c r="B361" s="1" t="s">
        <v>194</v>
      </c>
      <c r="C361" s="4">
        <f>60+6.189</f>
        <v>66.188999999999993</v>
      </c>
    </row>
    <row r="362" spans="1:3" ht="12" customHeight="1" x14ac:dyDescent="0.25">
      <c r="B362" s="1" t="s">
        <v>467</v>
      </c>
      <c r="C362" s="4">
        <f>60+19.832</f>
        <v>79.831999999999994</v>
      </c>
    </row>
    <row r="363" spans="1:3" ht="12" customHeight="1" x14ac:dyDescent="0.25">
      <c r="B363" s="1" t="s">
        <v>304</v>
      </c>
      <c r="C363" s="4">
        <f>60+29.107</f>
        <v>89.106999999999999</v>
      </c>
    </row>
    <row r="364" spans="1:3" ht="12" customHeight="1" x14ac:dyDescent="0.25">
      <c r="B364" s="1" t="s">
        <v>41</v>
      </c>
      <c r="C364" s="4">
        <f>60+42.09</f>
        <v>102.09</v>
      </c>
    </row>
    <row r="365" spans="1:3" ht="12" customHeight="1" x14ac:dyDescent="0.25">
      <c r="B365" s="1" t="s">
        <v>468</v>
      </c>
      <c r="C365" s="4">
        <f>60+43.887</f>
        <v>103.887</v>
      </c>
    </row>
    <row r="366" spans="1:3" ht="12" customHeight="1" x14ac:dyDescent="0.25">
      <c r="B366" s="1" t="s">
        <v>421</v>
      </c>
      <c r="C366" s="4">
        <f>60+48.109</f>
        <v>108.10900000000001</v>
      </c>
    </row>
    <row r="367" spans="1:3" ht="12" customHeight="1" x14ac:dyDescent="0.25">
      <c r="B367" s="1" t="s">
        <v>550</v>
      </c>
      <c r="C367" s="4">
        <f>60+55.364</f>
        <v>115.364</v>
      </c>
    </row>
    <row r="368" spans="1:3" ht="12" customHeight="1" x14ac:dyDescent="0.25">
      <c r="B368" s="1" t="s">
        <v>469</v>
      </c>
      <c r="C368" s="4">
        <f>120+11.594</f>
        <v>131.59399999999999</v>
      </c>
    </row>
    <row r="369" spans="2:5" ht="12" customHeight="1" x14ac:dyDescent="0.25">
      <c r="B369" s="1" t="s">
        <v>281</v>
      </c>
      <c r="C369" s="4">
        <f>120+16.65</f>
        <v>136.65</v>
      </c>
    </row>
    <row r="370" spans="2:5" ht="12" customHeight="1" x14ac:dyDescent="0.25">
      <c r="B370" s="1" t="s">
        <v>42</v>
      </c>
      <c r="C370" s="4">
        <f>120+30.799</f>
        <v>150.79900000000001</v>
      </c>
      <c r="E370" s="6"/>
    </row>
    <row r="371" spans="2:5" ht="12" customHeight="1" x14ac:dyDescent="0.25">
      <c r="B371" s="1" t="s">
        <v>282</v>
      </c>
      <c r="C371" s="4">
        <f>120+44.368</f>
        <v>164.36799999999999</v>
      </c>
    </row>
    <row r="372" spans="2:5" ht="12" customHeight="1" x14ac:dyDescent="0.25">
      <c r="B372" s="1" t="s">
        <v>283</v>
      </c>
      <c r="C372" s="4">
        <f>120+45.565</f>
        <v>165.565</v>
      </c>
    </row>
    <row r="373" spans="2:5" ht="12" customHeight="1" x14ac:dyDescent="0.25">
      <c r="B373" s="1" t="s">
        <v>43</v>
      </c>
      <c r="C373" s="4">
        <f>120+57.296</f>
        <v>177.29599999999999</v>
      </c>
    </row>
    <row r="374" spans="2:5" ht="12" customHeight="1" x14ac:dyDescent="0.25">
      <c r="B374" s="1" t="s">
        <v>500</v>
      </c>
      <c r="C374" s="4">
        <f>180+2.994</f>
        <v>182.994</v>
      </c>
    </row>
    <row r="375" spans="2:5" ht="12" customHeight="1" x14ac:dyDescent="0.25">
      <c r="B375" s="1" t="s">
        <v>44</v>
      </c>
      <c r="C375" s="4">
        <f>180+19.079</f>
        <v>199.07900000000001</v>
      </c>
    </row>
    <row r="376" spans="2:5" ht="12" customHeight="1" x14ac:dyDescent="0.25">
      <c r="B376" s="1" t="s">
        <v>470</v>
      </c>
      <c r="C376" s="4">
        <f>180+27.24</f>
        <v>207.24</v>
      </c>
    </row>
    <row r="377" spans="2:5" ht="12" customHeight="1" x14ac:dyDescent="0.25">
      <c r="B377" s="1" t="s">
        <v>471</v>
      </c>
      <c r="C377" s="4">
        <f>180+34.348</f>
        <v>214.34800000000001</v>
      </c>
    </row>
    <row r="378" spans="2:5" ht="12" customHeight="1" x14ac:dyDescent="0.25">
      <c r="B378" s="1" t="s">
        <v>542</v>
      </c>
      <c r="C378" s="4">
        <f>180+38.857</f>
        <v>218.857</v>
      </c>
    </row>
    <row r="379" spans="2:5" ht="12" customHeight="1" x14ac:dyDescent="0.25">
      <c r="B379" s="1" t="s">
        <v>284</v>
      </c>
      <c r="C379" s="4">
        <f>180+54.925</f>
        <v>234.92500000000001</v>
      </c>
    </row>
    <row r="380" spans="2:5" ht="12" customHeight="1" x14ac:dyDescent="0.25">
      <c r="B380" s="1" t="s">
        <v>45</v>
      </c>
      <c r="C380" s="4">
        <f>240+0.336</f>
        <v>240.33600000000001</v>
      </c>
    </row>
    <row r="381" spans="2:5" ht="12" customHeight="1" x14ac:dyDescent="0.25">
      <c r="B381" s="1" t="s">
        <v>422</v>
      </c>
      <c r="C381" s="4">
        <f>240+13.9</f>
        <v>253.9</v>
      </c>
    </row>
    <row r="382" spans="2:5" ht="12" customHeight="1" x14ac:dyDescent="0.25">
      <c r="B382" s="1" t="s">
        <v>285</v>
      </c>
      <c r="C382" s="4">
        <f>240+23.933</f>
        <v>263.93299999999999</v>
      </c>
    </row>
    <row r="383" spans="2:5" ht="12" customHeight="1" x14ac:dyDescent="0.25">
      <c r="B383" s="1" t="s">
        <v>382</v>
      </c>
      <c r="C383" s="4">
        <f>240+37.648</f>
        <v>277.64800000000002</v>
      </c>
    </row>
    <row r="384" spans="2:5" ht="12" customHeight="1" x14ac:dyDescent="0.25">
      <c r="B384" s="1" t="s">
        <v>68</v>
      </c>
      <c r="C384" s="4">
        <f>240+54.046</f>
        <v>294.04599999999999</v>
      </c>
    </row>
    <row r="385" spans="1:3" ht="12" customHeight="1" x14ac:dyDescent="0.25">
      <c r="B385" s="1" t="s">
        <v>472</v>
      </c>
      <c r="C385" s="4">
        <f>300+4.888</f>
        <v>304.88799999999998</v>
      </c>
    </row>
    <row r="386" spans="1:3" ht="12" customHeight="1" x14ac:dyDescent="0.25">
      <c r="B386" s="1" t="s">
        <v>501</v>
      </c>
      <c r="C386" s="4">
        <f>300+26.531</f>
        <v>326.53100000000001</v>
      </c>
    </row>
    <row r="387" spans="1:3" ht="12" customHeight="1" x14ac:dyDescent="0.25">
      <c r="B387" s="1" t="s">
        <v>502</v>
      </c>
      <c r="C387" s="4">
        <f>300+45.027</f>
        <v>345.02699999999999</v>
      </c>
    </row>
    <row r="388" spans="1:3" ht="12" customHeight="1" x14ac:dyDescent="0.25">
      <c r="A388" s="1" t="s">
        <v>570</v>
      </c>
      <c r="B388" s="1" t="s">
        <v>543</v>
      </c>
      <c r="C388" s="4">
        <v>45.584000000000003</v>
      </c>
    </row>
    <row r="389" spans="1:3" ht="12" customHeight="1" x14ac:dyDescent="0.25">
      <c r="B389" s="1" t="s">
        <v>423</v>
      </c>
      <c r="C389" s="4">
        <v>53.691000000000003</v>
      </c>
    </row>
    <row r="390" spans="1:3" ht="12" customHeight="1" x14ac:dyDescent="0.25">
      <c r="B390" s="1" t="s">
        <v>519</v>
      </c>
      <c r="C390" s="4">
        <f>60+12.252</f>
        <v>72.251999999999995</v>
      </c>
    </row>
    <row r="391" spans="1:3" ht="12" customHeight="1" x14ac:dyDescent="0.25">
      <c r="B391" s="1" t="s">
        <v>520</v>
      </c>
      <c r="C391" s="4">
        <f>60+36.648</f>
        <v>96.647999999999996</v>
      </c>
    </row>
    <row r="392" spans="1:3" ht="12" customHeight="1" x14ac:dyDescent="0.25">
      <c r="B392" s="1" t="s">
        <v>69</v>
      </c>
      <c r="C392" s="4">
        <f>60+39.937</f>
        <v>99.936999999999998</v>
      </c>
    </row>
    <row r="393" spans="1:3" ht="12" customHeight="1" x14ac:dyDescent="0.25">
      <c r="B393" s="1" t="s">
        <v>179</v>
      </c>
      <c r="C393" s="4">
        <f>60+53.376</f>
        <v>113.376</v>
      </c>
    </row>
    <row r="394" spans="1:3" ht="12" customHeight="1" x14ac:dyDescent="0.25">
      <c r="B394" s="1" t="s">
        <v>46</v>
      </c>
      <c r="C394" s="4">
        <f>120+7.888</f>
        <v>127.88800000000001</v>
      </c>
    </row>
    <row r="395" spans="1:3" ht="12" customHeight="1" x14ac:dyDescent="0.25">
      <c r="B395" s="1" t="s">
        <v>286</v>
      </c>
      <c r="C395" s="4">
        <f>120+14.573</f>
        <v>134.57300000000001</v>
      </c>
    </row>
    <row r="396" spans="1:3" ht="12" customHeight="1" x14ac:dyDescent="0.25">
      <c r="B396" s="1" t="s">
        <v>424</v>
      </c>
      <c r="C396" s="4">
        <f>120+42.025</f>
        <v>162.02500000000001</v>
      </c>
    </row>
    <row r="397" spans="1:3" ht="12" customHeight="1" x14ac:dyDescent="0.25">
      <c r="B397" s="1" t="s">
        <v>70</v>
      </c>
      <c r="C397" s="4">
        <f>180+10.558</f>
        <v>190.55799999999999</v>
      </c>
    </row>
    <row r="398" spans="1:3" ht="12" customHeight="1" x14ac:dyDescent="0.25">
      <c r="B398" s="1" t="s">
        <v>403</v>
      </c>
      <c r="C398" s="4">
        <f>180+18.251</f>
        <v>198.251</v>
      </c>
    </row>
    <row r="399" spans="1:3" ht="12" customHeight="1" x14ac:dyDescent="0.25">
      <c r="B399" s="1" t="s">
        <v>426</v>
      </c>
      <c r="C399" s="4">
        <f>180+19.448</f>
        <v>199.44800000000001</v>
      </c>
    </row>
    <row r="400" spans="1:3" ht="12" customHeight="1" x14ac:dyDescent="0.25">
      <c r="B400" s="1" t="s">
        <v>47</v>
      </c>
      <c r="C400" s="4">
        <f>180+37.412</f>
        <v>217.41200000000001</v>
      </c>
    </row>
    <row r="401" spans="1:3" ht="12" customHeight="1" x14ac:dyDescent="0.25">
      <c r="B401" s="1" t="s">
        <v>425</v>
      </c>
      <c r="C401" s="4">
        <f>180+41.121</f>
        <v>221.12100000000001</v>
      </c>
    </row>
    <row r="402" spans="1:3" ht="12" customHeight="1" x14ac:dyDescent="0.25">
      <c r="B402" s="1" t="s">
        <v>41</v>
      </c>
      <c r="C402" s="4">
        <f>180+51.892</f>
        <v>231.892</v>
      </c>
    </row>
    <row r="403" spans="1:3" ht="12" customHeight="1" x14ac:dyDescent="0.25">
      <c r="B403" s="1" t="s">
        <v>427</v>
      </c>
      <c r="C403" s="4">
        <f>180+55.118</f>
        <v>235.11799999999999</v>
      </c>
    </row>
    <row r="404" spans="1:3" ht="12" customHeight="1" x14ac:dyDescent="0.25">
      <c r="A404" s="1" t="s">
        <v>571</v>
      </c>
      <c r="B404" s="1" t="s">
        <v>553</v>
      </c>
      <c r="C404" s="4">
        <f>60+4.159</f>
        <v>64.159000000000006</v>
      </c>
    </row>
    <row r="405" spans="1:3" ht="12" customHeight="1" x14ac:dyDescent="0.25">
      <c r="B405" s="1" t="s">
        <v>287</v>
      </c>
      <c r="C405" s="4">
        <f>60+15.427</f>
        <v>75.426999999999992</v>
      </c>
    </row>
    <row r="406" spans="1:3" ht="12" customHeight="1" x14ac:dyDescent="0.25">
      <c r="B406" s="1" t="s">
        <v>288</v>
      </c>
      <c r="C406" s="4">
        <f>60+20.944</f>
        <v>80.944000000000003</v>
      </c>
    </row>
    <row r="407" spans="1:3" ht="12" customHeight="1" x14ac:dyDescent="0.25">
      <c r="B407" s="1" t="s">
        <v>96</v>
      </c>
      <c r="C407" s="4">
        <f>60+25.79</f>
        <v>85.789999999999992</v>
      </c>
    </row>
    <row r="408" spans="1:3" ht="12" customHeight="1" x14ac:dyDescent="0.25">
      <c r="B408" s="1" t="s">
        <v>140</v>
      </c>
      <c r="C408" s="4">
        <f>60+34.402</f>
        <v>94.402000000000001</v>
      </c>
    </row>
    <row r="409" spans="1:3" ht="12" customHeight="1" x14ac:dyDescent="0.25">
      <c r="B409" s="1" t="s">
        <v>71</v>
      </c>
      <c r="C409" s="4">
        <f>60+41.271</f>
        <v>101.271</v>
      </c>
    </row>
    <row r="410" spans="1:3" ht="12" customHeight="1" x14ac:dyDescent="0.25">
      <c r="B410" s="1" t="s">
        <v>383</v>
      </c>
      <c r="C410" s="4">
        <f>60+50.064</f>
        <v>110.06399999999999</v>
      </c>
    </row>
    <row r="411" spans="1:3" ht="12" customHeight="1" x14ac:dyDescent="0.25">
      <c r="B411" s="1" t="s">
        <v>72</v>
      </c>
      <c r="C411" s="4">
        <f>120+3.419</f>
        <v>123.419</v>
      </c>
    </row>
    <row r="412" spans="1:3" ht="12" customHeight="1" x14ac:dyDescent="0.25">
      <c r="B412" s="1" t="s">
        <v>73</v>
      </c>
      <c r="C412" s="4">
        <f>120+5.849</f>
        <v>125.849</v>
      </c>
    </row>
    <row r="413" spans="1:3" ht="12" customHeight="1" x14ac:dyDescent="0.25">
      <c r="B413" s="1" t="s">
        <v>74</v>
      </c>
      <c r="C413" s="4">
        <f>120+11.949</f>
        <v>131.94900000000001</v>
      </c>
    </row>
    <row r="414" spans="1:3" ht="12" customHeight="1" x14ac:dyDescent="0.25">
      <c r="B414" s="1" t="s">
        <v>428</v>
      </c>
      <c r="C414" s="4">
        <f>120+19.146</f>
        <v>139.14600000000002</v>
      </c>
    </row>
    <row r="415" spans="1:3" ht="12" customHeight="1" x14ac:dyDescent="0.25">
      <c r="B415" s="1" t="s">
        <v>97</v>
      </c>
      <c r="C415" s="4">
        <f>120+33.995</f>
        <v>153.995</v>
      </c>
    </row>
    <row r="416" spans="1:3" ht="12" customHeight="1" x14ac:dyDescent="0.25">
      <c r="B416" s="1" t="s">
        <v>75</v>
      </c>
      <c r="C416" s="4">
        <f>120+44.988</f>
        <v>164.988</v>
      </c>
    </row>
    <row r="417" spans="2:4" ht="12" customHeight="1" x14ac:dyDescent="0.25">
      <c r="B417" s="1" t="s">
        <v>180</v>
      </c>
      <c r="C417" s="4">
        <f>120+47.818</f>
        <v>167.81799999999998</v>
      </c>
    </row>
    <row r="418" spans="2:4" ht="12" customHeight="1" x14ac:dyDescent="0.25">
      <c r="B418" s="1" t="s">
        <v>76</v>
      </c>
      <c r="C418" s="4">
        <f>120+53.709</f>
        <v>173.709</v>
      </c>
    </row>
    <row r="419" spans="2:4" ht="12" customHeight="1" x14ac:dyDescent="0.25">
      <c r="B419" s="1" t="s">
        <v>77</v>
      </c>
      <c r="C419" s="4">
        <f>120+58.294</f>
        <v>178.29399999999998</v>
      </c>
    </row>
    <row r="420" spans="2:4" ht="12" customHeight="1" x14ac:dyDescent="0.25">
      <c r="B420" s="1" t="s">
        <v>78</v>
      </c>
      <c r="C420" s="4">
        <f>180+8.936</f>
        <v>188.93600000000001</v>
      </c>
    </row>
    <row r="421" spans="2:4" ht="12" customHeight="1" x14ac:dyDescent="0.25">
      <c r="B421" s="1" t="s">
        <v>79</v>
      </c>
      <c r="C421" s="4">
        <f>180+14.917</f>
        <v>194.917</v>
      </c>
    </row>
    <row r="422" spans="2:4" ht="12" customHeight="1" x14ac:dyDescent="0.25">
      <c r="B422" s="1" t="s">
        <v>289</v>
      </c>
      <c r="C422" s="4">
        <f>180+25.24</f>
        <v>205.24</v>
      </c>
      <c r="D422" s="6">
        <v>1</v>
      </c>
    </row>
    <row r="423" spans="2:4" ht="12" customHeight="1" x14ac:dyDescent="0.25">
      <c r="B423" s="1" t="s">
        <v>290</v>
      </c>
      <c r="C423" s="4">
        <f>180+29.277</f>
        <v>209.27699999999999</v>
      </c>
    </row>
    <row r="424" spans="2:4" ht="12" customHeight="1" x14ac:dyDescent="0.25">
      <c r="B424" s="1" t="s">
        <v>98</v>
      </c>
      <c r="C424" s="4">
        <f>180+37.334</f>
        <v>217.334</v>
      </c>
    </row>
    <row r="425" spans="2:4" ht="12" customHeight="1" x14ac:dyDescent="0.25">
      <c r="B425" s="1" t="s">
        <v>429</v>
      </c>
      <c r="C425" s="4">
        <f>180+54.622</f>
        <v>234.62200000000001</v>
      </c>
    </row>
    <row r="426" spans="2:4" ht="12" customHeight="1" x14ac:dyDescent="0.25">
      <c r="B426" s="1" t="s">
        <v>99</v>
      </c>
      <c r="C426" s="4">
        <f>240+6.943</f>
        <v>246.94300000000001</v>
      </c>
    </row>
    <row r="427" spans="2:4" ht="12" customHeight="1" x14ac:dyDescent="0.25">
      <c r="B427" s="1" t="s">
        <v>100</v>
      </c>
      <c r="C427" s="4">
        <f>240+21.634</f>
        <v>261.63400000000001</v>
      </c>
    </row>
    <row r="428" spans="2:4" ht="12" customHeight="1" x14ac:dyDescent="0.25">
      <c r="B428" s="1" t="s">
        <v>101</v>
      </c>
      <c r="C428" s="4">
        <f>240+35.568</f>
        <v>275.56799999999998</v>
      </c>
    </row>
    <row r="429" spans="2:4" ht="12" customHeight="1" x14ac:dyDescent="0.25">
      <c r="B429" s="1" t="s">
        <v>80</v>
      </c>
      <c r="C429" s="4">
        <f>240+38.596</f>
        <v>278.596</v>
      </c>
    </row>
    <row r="430" spans="2:4" ht="12" customHeight="1" x14ac:dyDescent="0.25">
      <c r="B430" s="1" t="s">
        <v>430</v>
      </c>
      <c r="C430" s="4">
        <f>240+44.559</f>
        <v>284.55899999999997</v>
      </c>
    </row>
    <row r="431" spans="2:4" ht="12" customHeight="1" x14ac:dyDescent="0.25">
      <c r="B431" s="1" t="s">
        <v>431</v>
      </c>
      <c r="C431" s="4">
        <f>240+47.398</f>
        <v>287.39800000000002</v>
      </c>
    </row>
    <row r="432" spans="2:4" ht="12" customHeight="1" x14ac:dyDescent="0.25">
      <c r="B432" s="1" t="s">
        <v>102</v>
      </c>
      <c r="C432" s="4">
        <f>240+56.382</f>
        <v>296.38200000000001</v>
      </c>
    </row>
    <row r="433" spans="1:4" ht="12" customHeight="1" x14ac:dyDescent="0.25">
      <c r="B433" s="1" t="s">
        <v>490</v>
      </c>
      <c r="C433" s="4">
        <f>300+8.015</f>
        <v>308.01499999999999</v>
      </c>
    </row>
    <row r="434" spans="1:4" ht="12" customHeight="1" x14ac:dyDescent="0.25">
      <c r="B434" s="1" t="s">
        <v>81</v>
      </c>
      <c r="C434" s="4">
        <f>300+19.526</f>
        <v>319.52600000000001</v>
      </c>
    </row>
    <row r="435" spans="1:4" ht="12" customHeight="1" x14ac:dyDescent="0.25">
      <c r="B435" s="1" t="s">
        <v>103</v>
      </c>
      <c r="C435" s="4">
        <f>300+22.122</f>
        <v>322.12200000000001</v>
      </c>
    </row>
    <row r="436" spans="1:4" ht="12" customHeight="1" x14ac:dyDescent="0.25">
      <c r="B436" s="1" t="s">
        <v>491</v>
      </c>
      <c r="C436" s="4">
        <f>300+27.8</f>
        <v>327.8</v>
      </c>
    </row>
    <row r="437" spans="1:4" ht="12" customHeight="1" x14ac:dyDescent="0.25">
      <c r="B437" s="1" t="s">
        <v>82</v>
      </c>
      <c r="C437" s="4">
        <f>300+47.142</f>
        <v>347.142</v>
      </c>
    </row>
    <row r="438" spans="1:4" ht="12" customHeight="1" x14ac:dyDescent="0.25">
      <c r="B438" s="1" t="s">
        <v>83</v>
      </c>
      <c r="C438" s="4">
        <f>300+53.095</f>
        <v>353.09500000000003</v>
      </c>
    </row>
    <row r="439" spans="1:4" ht="12" customHeight="1" x14ac:dyDescent="0.25">
      <c r="B439" s="1" t="s">
        <v>84</v>
      </c>
      <c r="C439" s="4">
        <f>360+2.316</f>
        <v>362.31599999999997</v>
      </c>
    </row>
    <row r="440" spans="1:4" ht="12" customHeight="1" x14ac:dyDescent="0.25">
      <c r="B440" s="1" t="s">
        <v>104</v>
      </c>
      <c r="C440" s="4">
        <f>360+3.8</f>
        <v>363.8</v>
      </c>
    </row>
    <row r="441" spans="1:4" ht="12" customHeight="1" x14ac:dyDescent="0.25">
      <c r="A441" s="1" t="s">
        <v>572</v>
      </c>
      <c r="B441" s="1" t="s">
        <v>540</v>
      </c>
      <c r="C441" s="4">
        <v>48.411000000000001</v>
      </c>
    </row>
    <row r="442" spans="1:4" ht="12" customHeight="1" x14ac:dyDescent="0.25">
      <c r="B442" s="1" t="s">
        <v>119</v>
      </c>
      <c r="C442" s="4">
        <v>52.661000000000001</v>
      </c>
      <c r="D442" s="6">
        <v>1</v>
      </c>
    </row>
    <row r="443" spans="1:4" ht="12" customHeight="1" x14ac:dyDescent="0.25">
      <c r="B443" s="1" t="s">
        <v>432</v>
      </c>
      <c r="C443" s="4">
        <f>60+0.553</f>
        <v>60.552999999999997</v>
      </c>
    </row>
    <row r="444" spans="1:4" ht="12" customHeight="1" x14ac:dyDescent="0.25">
      <c r="B444" s="1" t="s">
        <v>545</v>
      </c>
      <c r="C444" s="4">
        <f>60+2.214</f>
        <v>62.213999999999999</v>
      </c>
    </row>
    <row r="445" spans="1:4" ht="12" customHeight="1" x14ac:dyDescent="0.25">
      <c r="B445" s="1" t="s">
        <v>433</v>
      </c>
      <c r="C445" s="4">
        <f>60+4.494</f>
        <v>64.494</v>
      </c>
    </row>
    <row r="446" spans="1:4" ht="12" customHeight="1" x14ac:dyDescent="0.25">
      <c r="B446" s="1" t="s">
        <v>434</v>
      </c>
      <c r="C446" s="4">
        <f>60+6.192</f>
        <v>66.192000000000007</v>
      </c>
    </row>
    <row r="447" spans="1:4" ht="12" customHeight="1" x14ac:dyDescent="0.25">
      <c r="B447" s="1" t="s">
        <v>85</v>
      </c>
      <c r="C447" s="4">
        <f>60+8.027</f>
        <v>68.027000000000001</v>
      </c>
    </row>
    <row r="448" spans="1:4" ht="12" customHeight="1" x14ac:dyDescent="0.25">
      <c r="B448" s="1" t="s">
        <v>114</v>
      </c>
      <c r="C448" s="4">
        <f>60+11.021</f>
        <v>71.021000000000001</v>
      </c>
    </row>
    <row r="449" spans="2:3" ht="12" customHeight="1" x14ac:dyDescent="0.25">
      <c r="B449" s="1" t="s">
        <v>492</v>
      </c>
      <c r="C449" s="4">
        <f>60+17.336</f>
        <v>77.335999999999999</v>
      </c>
    </row>
    <row r="450" spans="2:3" ht="12" customHeight="1" x14ac:dyDescent="0.25">
      <c r="B450" s="1" t="s">
        <v>291</v>
      </c>
      <c r="C450" s="4">
        <f>60+20.11</f>
        <v>80.11</v>
      </c>
    </row>
    <row r="451" spans="2:3" ht="12" customHeight="1" x14ac:dyDescent="0.25">
      <c r="B451" s="1" t="s">
        <v>384</v>
      </c>
      <c r="C451" s="4">
        <f>60+30.266</f>
        <v>90.265999999999991</v>
      </c>
    </row>
    <row r="452" spans="2:3" ht="12" customHeight="1" x14ac:dyDescent="0.25">
      <c r="B452" s="1" t="s">
        <v>125</v>
      </c>
      <c r="C452" s="4">
        <f>60+43.08</f>
        <v>103.08</v>
      </c>
    </row>
    <row r="453" spans="2:3" ht="12" customHeight="1" x14ac:dyDescent="0.25">
      <c r="B453" s="1" t="s">
        <v>115</v>
      </c>
      <c r="C453" s="4">
        <f>60+49.425</f>
        <v>109.425</v>
      </c>
    </row>
    <row r="454" spans="2:3" ht="12" customHeight="1" x14ac:dyDescent="0.25">
      <c r="B454" s="1" t="s">
        <v>116</v>
      </c>
      <c r="C454" s="4">
        <f>60+53.796</f>
        <v>113.79599999999999</v>
      </c>
    </row>
    <row r="455" spans="2:3" ht="12" customHeight="1" x14ac:dyDescent="0.25">
      <c r="B455" s="1" t="s">
        <v>117</v>
      </c>
      <c r="C455" s="4">
        <f>60+56.977</f>
        <v>116.977</v>
      </c>
    </row>
    <row r="456" spans="2:3" ht="12" customHeight="1" x14ac:dyDescent="0.25">
      <c r="B456" s="1" t="s">
        <v>120</v>
      </c>
      <c r="C456" s="4">
        <f>120+1.811</f>
        <v>121.81100000000001</v>
      </c>
    </row>
    <row r="457" spans="2:3" ht="12" customHeight="1" x14ac:dyDescent="0.25">
      <c r="B457" s="1" t="s">
        <v>435</v>
      </c>
      <c r="C457" s="4">
        <f>120+6.498</f>
        <v>126.498</v>
      </c>
    </row>
    <row r="458" spans="2:3" ht="12" customHeight="1" x14ac:dyDescent="0.25">
      <c r="B458" s="1" t="s">
        <v>493</v>
      </c>
      <c r="C458" s="4">
        <f>120+10.75</f>
        <v>130.75</v>
      </c>
    </row>
    <row r="459" spans="2:3" ht="12" customHeight="1" x14ac:dyDescent="0.25">
      <c r="B459" s="1" t="s">
        <v>385</v>
      </c>
      <c r="C459" s="4">
        <f>120+13.654</f>
        <v>133.654</v>
      </c>
    </row>
    <row r="460" spans="2:3" ht="12" customHeight="1" x14ac:dyDescent="0.25">
      <c r="B460" s="1" t="s">
        <v>436</v>
      </c>
      <c r="C460" s="4">
        <f>120+17.043</f>
        <v>137.04300000000001</v>
      </c>
    </row>
    <row r="461" spans="2:3" ht="12" customHeight="1" x14ac:dyDescent="0.25">
      <c r="B461" s="1" t="s">
        <v>546</v>
      </c>
      <c r="C461" s="4">
        <f>120+33.696</f>
        <v>153.696</v>
      </c>
    </row>
    <row r="462" spans="2:3" ht="12" customHeight="1" x14ac:dyDescent="0.25">
      <c r="B462" s="1" t="s">
        <v>437</v>
      </c>
      <c r="C462" s="4">
        <f>120+39.75</f>
        <v>159.75</v>
      </c>
    </row>
    <row r="463" spans="2:3" ht="12" customHeight="1" x14ac:dyDescent="0.25">
      <c r="B463" s="1" t="s">
        <v>126</v>
      </c>
      <c r="C463" s="4">
        <f>120+44.947</f>
        <v>164.947</v>
      </c>
    </row>
    <row r="464" spans="2:3" ht="12" customHeight="1" x14ac:dyDescent="0.25">
      <c r="B464" s="1" t="s">
        <v>347</v>
      </c>
      <c r="C464" s="4">
        <f>120+51.001</f>
        <v>171.001</v>
      </c>
    </row>
    <row r="465" spans="2:4" ht="12" customHeight="1" x14ac:dyDescent="0.25">
      <c r="B465" s="1" t="s">
        <v>386</v>
      </c>
      <c r="C465" s="4">
        <f>180+2.749</f>
        <v>182.749</v>
      </c>
    </row>
    <row r="466" spans="2:4" ht="12" customHeight="1" x14ac:dyDescent="0.25">
      <c r="B466" s="1" t="s">
        <v>387</v>
      </c>
      <c r="C466" s="4">
        <f>180+16.375</f>
        <v>196.375</v>
      </c>
    </row>
    <row r="467" spans="2:4" ht="12" customHeight="1" x14ac:dyDescent="0.25">
      <c r="B467" s="1" t="s">
        <v>438</v>
      </c>
      <c r="C467" s="4">
        <f>180+24.582</f>
        <v>204.58199999999999</v>
      </c>
    </row>
    <row r="468" spans="2:4" ht="12" customHeight="1" x14ac:dyDescent="0.25">
      <c r="B468" s="1" t="s">
        <v>121</v>
      </c>
      <c r="C468" s="4">
        <f>180+30.412</f>
        <v>210.41200000000001</v>
      </c>
    </row>
    <row r="469" spans="2:4" ht="12" customHeight="1" x14ac:dyDescent="0.25">
      <c r="B469" s="1" t="s">
        <v>118</v>
      </c>
      <c r="C469" s="4">
        <f>180+34.672</f>
        <v>214.672</v>
      </c>
      <c r="D469" s="6">
        <v>1</v>
      </c>
    </row>
    <row r="470" spans="2:4" ht="12" customHeight="1" x14ac:dyDescent="0.25">
      <c r="B470" s="1" t="s">
        <v>388</v>
      </c>
      <c r="C470" s="4">
        <f>180+41.797</f>
        <v>221.797</v>
      </c>
    </row>
    <row r="471" spans="2:4" ht="12" customHeight="1" x14ac:dyDescent="0.25">
      <c r="B471" s="1" t="s">
        <v>127</v>
      </c>
      <c r="C471" s="4">
        <f>180+48.689</f>
        <v>228.68899999999999</v>
      </c>
    </row>
    <row r="472" spans="2:4" ht="12" customHeight="1" x14ac:dyDescent="0.25">
      <c r="B472" s="1" t="s">
        <v>389</v>
      </c>
      <c r="C472" s="4">
        <f>240+0.053</f>
        <v>240.053</v>
      </c>
    </row>
    <row r="473" spans="2:4" ht="12" customHeight="1" x14ac:dyDescent="0.25">
      <c r="B473" s="1" t="s">
        <v>292</v>
      </c>
      <c r="C473" s="4">
        <f>240+12.76</f>
        <v>252.76</v>
      </c>
    </row>
    <row r="474" spans="2:4" ht="12" customHeight="1" x14ac:dyDescent="0.25">
      <c r="B474" s="1" t="s">
        <v>293</v>
      </c>
      <c r="C474" s="4">
        <f>240+15.82</f>
        <v>255.82</v>
      </c>
    </row>
    <row r="475" spans="2:4" ht="12" customHeight="1" x14ac:dyDescent="0.25">
      <c r="B475" s="1" t="s">
        <v>439</v>
      </c>
      <c r="C475" s="4">
        <f>240+31.693</f>
        <v>271.69299999999998</v>
      </c>
    </row>
    <row r="476" spans="2:4" ht="12" customHeight="1" x14ac:dyDescent="0.25">
      <c r="B476" s="1" t="s">
        <v>440</v>
      </c>
      <c r="C476" s="4">
        <f>240+42.982</f>
        <v>282.98199999999997</v>
      </c>
    </row>
    <row r="477" spans="2:4" ht="12" customHeight="1" x14ac:dyDescent="0.25">
      <c r="B477" s="1" t="s">
        <v>390</v>
      </c>
      <c r="C477" s="4">
        <f>240+49.506</f>
        <v>289.50599999999997</v>
      </c>
    </row>
    <row r="478" spans="2:4" ht="12" customHeight="1" x14ac:dyDescent="0.25">
      <c r="B478" s="1" t="s">
        <v>473</v>
      </c>
      <c r="C478" s="4">
        <f>240+55.7</f>
        <v>295.7</v>
      </c>
    </row>
    <row r="479" spans="2:4" ht="12" customHeight="1" x14ac:dyDescent="0.25">
      <c r="B479" s="1" t="s">
        <v>122</v>
      </c>
      <c r="C479" s="4">
        <f>300+9.233</f>
        <v>309.233</v>
      </c>
    </row>
    <row r="480" spans="2:4" ht="12" customHeight="1" x14ac:dyDescent="0.25">
      <c r="B480" s="1" t="s">
        <v>123</v>
      </c>
      <c r="C480" s="4">
        <f>300+15.399</f>
        <v>315.399</v>
      </c>
    </row>
    <row r="481" spans="1:5" ht="12" customHeight="1" x14ac:dyDescent="0.25">
      <c r="B481" s="1" t="s">
        <v>124</v>
      </c>
      <c r="C481" s="4">
        <f>300+29.178</f>
        <v>329.178</v>
      </c>
    </row>
    <row r="482" spans="1:5" ht="12" customHeight="1" x14ac:dyDescent="0.25">
      <c r="B482" s="1" t="s">
        <v>391</v>
      </c>
      <c r="C482" s="4">
        <f>300+34.625</f>
        <v>334.625</v>
      </c>
    </row>
    <row r="483" spans="1:5" ht="12" customHeight="1" x14ac:dyDescent="0.25">
      <c r="B483" s="1" t="s">
        <v>181</v>
      </c>
      <c r="C483" s="4">
        <f>300+45.36</f>
        <v>345.36</v>
      </c>
    </row>
    <row r="484" spans="1:5" ht="12" customHeight="1" x14ac:dyDescent="0.25">
      <c r="A484" s="1" t="s">
        <v>573</v>
      </c>
      <c r="B484" s="1" t="s">
        <v>148</v>
      </c>
      <c r="C484" s="4">
        <f>120+47.923</f>
        <v>167.923</v>
      </c>
    </row>
    <row r="485" spans="1:5" ht="12" customHeight="1" x14ac:dyDescent="0.25">
      <c r="B485" s="1" t="s">
        <v>142</v>
      </c>
      <c r="C485" s="4">
        <f>120+55.567</f>
        <v>175.56700000000001</v>
      </c>
    </row>
    <row r="486" spans="1:5" ht="12" customHeight="1" x14ac:dyDescent="0.25">
      <c r="B486" s="1" t="s">
        <v>580</v>
      </c>
      <c r="C486" s="4">
        <f>180+2.965</f>
        <v>182.965</v>
      </c>
    </row>
    <row r="487" spans="1:5" ht="12" customHeight="1" x14ac:dyDescent="0.25">
      <c r="B487" s="1" t="s">
        <v>581</v>
      </c>
      <c r="C487" s="4">
        <f>180+13.898</f>
        <v>193.898</v>
      </c>
    </row>
    <row r="488" spans="1:5" ht="12" customHeight="1" x14ac:dyDescent="0.25">
      <c r="B488" s="1" t="s">
        <v>128</v>
      </c>
      <c r="C488" s="4">
        <f>180+29.761</f>
        <v>209.761</v>
      </c>
    </row>
    <row r="489" spans="1:5" ht="12" customHeight="1" x14ac:dyDescent="0.25">
      <c r="B489" s="1" t="s">
        <v>392</v>
      </c>
      <c r="C489" s="4">
        <f>180+38.842</f>
        <v>218.84199999999998</v>
      </c>
    </row>
    <row r="490" spans="1:5" ht="12" customHeight="1" x14ac:dyDescent="0.25">
      <c r="B490" s="1" t="s">
        <v>129</v>
      </c>
      <c r="C490" s="4">
        <f>180+55.501</f>
        <v>235.501</v>
      </c>
    </row>
    <row r="491" spans="1:5" ht="12" customHeight="1" x14ac:dyDescent="0.25">
      <c r="B491" s="1" t="s">
        <v>144</v>
      </c>
      <c r="C491" s="4">
        <f>240+1.552</f>
        <v>241.55199999999999</v>
      </c>
    </row>
    <row r="492" spans="1:5" ht="12" customHeight="1" x14ac:dyDescent="0.25">
      <c r="B492" s="1" t="s">
        <v>294</v>
      </c>
      <c r="C492" s="4">
        <f>240+17.772</f>
        <v>257.77199999999999</v>
      </c>
    </row>
    <row r="493" spans="1:5" ht="12" customHeight="1" x14ac:dyDescent="0.25">
      <c r="B493" s="1" t="s">
        <v>295</v>
      </c>
      <c r="C493" s="4">
        <f>240+30.941</f>
        <v>270.94099999999997</v>
      </c>
    </row>
    <row r="494" spans="1:5" ht="12" customHeight="1" x14ac:dyDescent="0.25">
      <c r="B494" s="1" t="s">
        <v>143</v>
      </c>
      <c r="C494" s="4">
        <f>240+38.22</f>
        <v>278.22000000000003</v>
      </c>
      <c r="E494" s="6"/>
    </row>
    <row r="495" spans="1:5" ht="12" customHeight="1" x14ac:dyDescent="0.25">
      <c r="B495" s="1" t="s">
        <v>296</v>
      </c>
      <c r="C495" s="4">
        <f>240+48.868</f>
        <v>288.86799999999999</v>
      </c>
    </row>
    <row r="496" spans="1:5" ht="12" customHeight="1" x14ac:dyDescent="0.25">
      <c r="B496" s="1" t="s">
        <v>547</v>
      </c>
      <c r="C496" s="4">
        <f>300+10.379</f>
        <v>310.37900000000002</v>
      </c>
    </row>
    <row r="497" spans="1:3" ht="12" customHeight="1" x14ac:dyDescent="0.25">
      <c r="B497" s="1" t="s">
        <v>348</v>
      </c>
      <c r="C497" s="4">
        <f>300+30.384</f>
        <v>330.38400000000001</v>
      </c>
    </row>
    <row r="498" spans="1:3" ht="12" customHeight="1" x14ac:dyDescent="0.25">
      <c r="B498" s="1" t="s">
        <v>349</v>
      </c>
      <c r="C498" s="4">
        <f>300+45.385</f>
        <v>345.38499999999999</v>
      </c>
    </row>
    <row r="499" spans="1:3" ht="12" customHeight="1" x14ac:dyDescent="0.25">
      <c r="B499" s="1" t="s">
        <v>145</v>
      </c>
      <c r="C499" s="4">
        <f>360+8.609</f>
        <v>368.60899999999998</v>
      </c>
    </row>
    <row r="500" spans="1:3" ht="12" customHeight="1" x14ac:dyDescent="0.25">
      <c r="B500" s="1" t="s">
        <v>474</v>
      </c>
      <c r="C500" s="4">
        <f>360+25.113</f>
        <v>385.113</v>
      </c>
    </row>
    <row r="501" spans="1:3" ht="12" customHeight="1" x14ac:dyDescent="0.25">
      <c r="B501" s="1" t="s">
        <v>130</v>
      </c>
      <c r="C501" s="4">
        <f>360+39.105</f>
        <v>399.10500000000002</v>
      </c>
    </row>
    <row r="502" spans="1:3" ht="12" customHeight="1" x14ac:dyDescent="0.25">
      <c r="B502" s="1" t="s">
        <v>146</v>
      </c>
      <c r="C502" s="4">
        <f>360+49.014</f>
        <v>409.01400000000001</v>
      </c>
    </row>
    <row r="503" spans="1:3" ht="12" customHeight="1" x14ac:dyDescent="0.25">
      <c r="B503" s="1" t="s">
        <v>147</v>
      </c>
      <c r="C503" s="4">
        <f>420+25.912</f>
        <v>445.91199999999998</v>
      </c>
    </row>
    <row r="504" spans="1:3" ht="12" customHeight="1" x14ac:dyDescent="0.25">
      <c r="B504" s="1" t="s">
        <v>548</v>
      </c>
      <c r="C504" s="4">
        <f>420+41.162</f>
        <v>461.16199999999998</v>
      </c>
    </row>
    <row r="505" spans="1:3" ht="12" customHeight="1" x14ac:dyDescent="0.25">
      <c r="A505" s="1" t="s">
        <v>574</v>
      </c>
      <c r="B505" s="1" t="s">
        <v>441</v>
      </c>
      <c r="C505" s="4">
        <f>60+48.862</f>
        <v>108.86199999999999</v>
      </c>
    </row>
    <row r="506" spans="1:3" ht="12" customHeight="1" x14ac:dyDescent="0.25">
      <c r="B506" s="1" t="s">
        <v>475</v>
      </c>
      <c r="C506" s="4">
        <f>60+55.739</f>
        <v>115.739</v>
      </c>
    </row>
    <row r="507" spans="1:3" ht="12" customHeight="1" x14ac:dyDescent="0.25">
      <c r="B507" s="1" t="s">
        <v>393</v>
      </c>
      <c r="C507" s="4">
        <f>120+4.806</f>
        <v>124.806</v>
      </c>
    </row>
    <row r="508" spans="1:3" ht="12" customHeight="1" x14ac:dyDescent="0.25">
      <c r="B508" s="1" t="s">
        <v>149</v>
      </c>
      <c r="C508" s="4">
        <f>120+15.689</f>
        <v>135.68899999999999</v>
      </c>
    </row>
    <row r="509" spans="1:3" ht="12" customHeight="1" x14ac:dyDescent="0.25">
      <c r="B509" s="1" t="s">
        <v>131</v>
      </c>
      <c r="C509" s="4">
        <f>120+18.942</f>
        <v>138.94200000000001</v>
      </c>
    </row>
    <row r="510" spans="1:3" ht="12" customHeight="1" x14ac:dyDescent="0.25">
      <c r="B510" s="1" t="s">
        <v>150</v>
      </c>
      <c r="C510" s="4">
        <f>120+37.925</f>
        <v>157.92500000000001</v>
      </c>
    </row>
    <row r="511" spans="1:3" ht="12" customHeight="1" x14ac:dyDescent="0.25">
      <c r="B511" s="1" t="s">
        <v>151</v>
      </c>
      <c r="C511" s="4">
        <f>120+47.245</f>
        <v>167.245</v>
      </c>
    </row>
    <row r="512" spans="1:3" ht="12" customHeight="1" x14ac:dyDescent="0.25">
      <c r="B512" s="1" t="s">
        <v>132</v>
      </c>
      <c r="C512" s="4">
        <f>180+6.005</f>
        <v>186.005</v>
      </c>
    </row>
    <row r="513" spans="1:4" ht="12" customHeight="1" x14ac:dyDescent="0.25">
      <c r="B513" s="1" t="s">
        <v>133</v>
      </c>
      <c r="C513" s="4">
        <f>180+19.434</f>
        <v>199.434</v>
      </c>
    </row>
    <row r="514" spans="1:4" ht="12" customHeight="1" x14ac:dyDescent="0.25">
      <c r="B514" s="1" t="s">
        <v>152</v>
      </c>
      <c r="C514" s="4">
        <f>180+42.395</f>
        <v>222.39500000000001</v>
      </c>
    </row>
    <row r="515" spans="1:4" ht="12" customHeight="1" x14ac:dyDescent="0.25">
      <c r="B515" s="1" t="s">
        <v>153</v>
      </c>
      <c r="C515" s="4">
        <f>180+52.371</f>
        <v>232.37100000000001</v>
      </c>
    </row>
    <row r="516" spans="1:4" ht="12" customHeight="1" x14ac:dyDescent="0.25">
      <c r="B516" s="1" t="s">
        <v>442</v>
      </c>
      <c r="C516" s="4">
        <f>240+16.008</f>
        <v>256.00799999999998</v>
      </c>
    </row>
    <row r="517" spans="1:4" ht="12" customHeight="1" x14ac:dyDescent="0.25">
      <c r="B517" s="1" t="s">
        <v>443</v>
      </c>
      <c r="C517" s="4">
        <f>240+24.866</f>
        <v>264.86599999999999</v>
      </c>
      <c r="D517" s="6">
        <v>1</v>
      </c>
    </row>
    <row r="518" spans="1:4" ht="12" customHeight="1" x14ac:dyDescent="0.25">
      <c r="B518" s="1" t="s">
        <v>134</v>
      </c>
      <c r="C518" s="4">
        <f>240+33.443</f>
        <v>273.44299999999998</v>
      </c>
    </row>
    <row r="519" spans="1:4" ht="12" customHeight="1" x14ac:dyDescent="0.25">
      <c r="B519" s="1" t="s">
        <v>394</v>
      </c>
      <c r="C519" s="4">
        <f>240+55.51</f>
        <v>295.51</v>
      </c>
    </row>
    <row r="520" spans="1:4" ht="12" customHeight="1" x14ac:dyDescent="0.25">
      <c r="B520" s="1" t="s">
        <v>154</v>
      </c>
      <c r="C520" s="4">
        <f>300+24.127</f>
        <v>324.12700000000001</v>
      </c>
    </row>
    <row r="521" spans="1:4" ht="12" customHeight="1" x14ac:dyDescent="0.25">
      <c r="B521" s="1" t="s">
        <v>155</v>
      </c>
      <c r="C521" s="4">
        <f>300+39.189</f>
        <v>339.18900000000002</v>
      </c>
    </row>
    <row r="522" spans="1:4" ht="12" customHeight="1" x14ac:dyDescent="0.25">
      <c r="B522" s="1" t="s">
        <v>156</v>
      </c>
      <c r="C522" s="4">
        <f>360+13.318</f>
        <v>373.31799999999998</v>
      </c>
    </row>
    <row r="523" spans="1:4" ht="12" customHeight="1" x14ac:dyDescent="0.25">
      <c r="B523" s="1" t="s">
        <v>139</v>
      </c>
      <c r="C523" s="4">
        <f>360+31.864</f>
        <v>391.86399999999998</v>
      </c>
    </row>
    <row r="524" spans="1:4" ht="12" customHeight="1" x14ac:dyDescent="0.25">
      <c r="A524" s="1" t="s">
        <v>575</v>
      </c>
      <c r="B524" s="1" t="s">
        <v>157</v>
      </c>
      <c r="C524" s="4">
        <f>240+19.983</f>
        <v>259.983</v>
      </c>
    </row>
    <row r="525" spans="1:4" ht="12" customHeight="1" x14ac:dyDescent="0.25">
      <c r="B525" s="1" t="s">
        <v>135</v>
      </c>
      <c r="C525" s="4">
        <f>240+22.448</f>
        <v>262.44799999999998</v>
      </c>
    </row>
    <row r="526" spans="1:4" ht="12" customHeight="1" x14ac:dyDescent="0.25">
      <c r="B526" s="1" t="s">
        <v>136</v>
      </c>
      <c r="C526" s="4">
        <f>240+25.801</f>
        <v>265.80099999999999</v>
      </c>
    </row>
    <row r="527" spans="1:4" ht="12" customHeight="1" x14ac:dyDescent="0.25">
      <c r="B527" s="1" t="s">
        <v>137</v>
      </c>
      <c r="C527" s="4">
        <f>240+26.689</f>
        <v>266.68900000000002</v>
      </c>
    </row>
    <row r="528" spans="1:4" ht="12" customHeight="1" x14ac:dyDescent="0.25">
      <c r="B528" s="1" t="s">
        <v>158</v>
      </c>
      <c r="C528" s="4">
        <f>240+29.83</f>
        <v>269.83</v>
      </c>
    </row>
    <row r="529" spans="2:5" ht="12" customHeight="1" x14ac:dyDescent="0.25">
      <c r="B529" s="1" t="s">
        <v>395</v>
      </c>
      <c r="C529" s="4">
        <f>240+37.671</f>
        <v>277.67099999999999</v>
      </c>
    </row>
    <row r="530" spans="2:5" ht="12" customHeight="1" x14ac:dyDescent="0.25">
      <c r="B530" s="1" t="s">
        <v>476</v>
      </c>
      <c r="C530" s="4">
        <f>240+47.129</f>
        <v>287.12900000000002</v>
      </c>
    </row>
    <row r="531" spans="2:5" ht="12" customHeight="1" x14ac:dyDescent="0.25">
      <c r="B531" s="1" t="s">
        <v>444</v>
      </c>
      <c r="C531" s="4">
        <f>240+53.651</f>
        <v>293.65100000000001</v>
      </c>
    </row>
    <row r="532" spans="2:5" ht="12" customHeight="1" x14ac:dyDescent="0.25">
      <c r="B532" s="1" t="s">
        <v>338</v>
      </c>
      <c r="C532" s="4">
        <f>240+54.712</f>
        <v>294.71199999999999</v>
      </c>
    </row>
    <row r="533" spans="2:5" ht="12" customHeight="1" x14ac:dyDescent="0.25">
      <c r="B533" s="1" t="s">
        <v>138</v>
      </c>
      <c r="C533" s="4">
        <f>240+56.612</f>
        <v>296.61200000000002</v>
      </c>
    </row>
    <row r="534" spans="2:5" ht="12" customHeight="1" x14ac:dyDescent="0.25">
      <c r="B534" s="1" t="s">
        <v>494</v>
      </c>
      <c r="C534" s="4">
        <f>300+3.363</f>
        <v>303.363</v>
      </c>
    </row>
    <row r="535" spans="2:5" ht="12" customHeight="1" x14ac:dyDescent="0.25">
      <c r="B535" s="1" t="s">
        <v>300</v>
      </c>
      <c r="C535" s="4">
        <f>300+9.546</f>
        <v>309.54599999999999</v>
      </c>
      <c r="E535" s="6"/>
    </row>
    <row r="536" spans="2:5" ht="12" customHeight="1" x14ac:dyDescent="0.25">
      <c r="B536" s="1" t="s">
        <v>159</v>
      </c>
      <c r="C536" s="4">
        <f>300+21.101</f>
        <v>321.101</v>
      </c>
    </row>
    <row r="537" spans="2:5" ht="12" customHeight="1" x14ac:dyDescent="0.25">
      <c r="B537" s="1" t="s">
        <v>160</v>
      </c>
      <c r="C537" s="4">
        <f>300+31.133</f>
        <v>331.13299999999998</v>
      </c>
    </row>
    <row r="538" spans="2:5" ht="12" customHeight="1" x14ac:dyDescent="0.25">
      <c r="B538" s="1" t="s">
        <v>305</v>
      </c>
      <c r="C538" s="4">
        <f>300+36.637</f>
        <v>336.637</v>
      </c>
    </row>
    <row r="539" spans="2:5" ht="12" customHeight="1" x14ac:dyDescent="0.25">
      <c r="B539" s="1" t="s">
        <v>445</v>
      </c>
      <c r="C539" s="4">
        <f>300+47.316</f>
        <v>347.31600000000003</v>
      </c>
    </row>
    <row r="540" spans="2:5" ht="12" customHeight="1" x14ac:dyDescent="0.25">
      <c r="B540" s="1" t="s">
        <v>446</v>
      </c>
      <c r="C540" s="4">
        <f>300+59.961</f>
        <v>359.96100000000001</v>
      </c>
    </row>
    <row r="541" spans="2:5" ht="12" customHeight="1" x14ac:dyDescent="0.25">
      <c r="B541" s="1" t="s">
        <v>161</v>
      </c>
      <c r="C541" s="4">
        <f>360+7.475</f>
        <v>367.47500000000002</v>
      </c>
    </row>
    <row r="542" spans="2:5" ht="12" customHeight="1" x14ac:dyDescent="0.25">
      <c r="B542" s="1" t="s">
        <v>162</v>
      </c>
      <c r="C542" s="4">
        <f>360+15.905</f>
        <v>375.90499999999997</v>
      </c>
    </row>
    <row r="543" spans="2:5" ht="12" customHeight="1" x14ac:dyDescent="0.25">
      <c r="B543" s="1" t="s">
        <v>396</v>
      </c>
      <c r="C543" s="4">
        <f>360+35.758</f>
        <v>395.75799999999998</v>
      </c>
    </row>
    <row r="544" spans="2:5" ht="12" customHeight="1" x14ac:dyDescent="0.25">
      <c r="B544" s="1" t="s">
        <v>163</v>
      </c>
      <c r="C544" s="4">
        <f>360+49.56</f>
        <v>409.56</v>
      </c>
      <c r="E544" s="6"/>
    </row>
    <row r="545" spans="2:5" ht="12" customHeight="1" x14ac:dyDescent="0.25">
      <c r="B545" s="1" t="s">
        <v>551</v>
      </c>
      <c r="C545" s="4">
        <f>360+55.632</f>
        <v>415.63200000000001</v>
      </c>
    </row>
    <row r="546" spans="2:5" ht="12" customHeight="1" x14ac:dyDescent="0.25">
      <c r="B546" s="1" t="s">
        <v>447</v>
      </c>
      <c r="C546" s="4">
        <f>420+8.466</f>
        <v>428.46600000000001</v>
      </c>
    </row>
    <row r="547" spans="2:5" ht="12" customHeight="1" x14ac:dyDescent="0.25">
      <c r="B547" s="1" t="s">
        <v>297</v>
      </c>
      <c r="C547" s="4">
        <f>420+13.095</f>
        <v>433.09500000000003</v>
      </c>
    </row>
    <row r="548" spans="2:5" ht="12" customHeight="1" x14ac:dyDescent="0.25">
      <c r="B548" s="1" t="s">
        <v>298</v>
      </c>
      <c r="C548" s="4">
        <f>420+14.662</f>
        <v>434.66199999999998</v>
      </c>
    </row>
    <row r="549" spans="2:5" ht="12" customHeight="1" x14ac:dyDescent="0.25">
      <c r="B549" s="1" t="s">
        <v>299</v>
      </c>
      <c r="C549" s="4">
        <f>420+26.658</f>
        <v>446.65800000000002</v>
      </c>
    </row>
    <row r="550" spans="2:5" ht="12" customHeight="1" x14ac:dyDescent="0.25">
      <c r="B550" s="1" t="s">
        <v>164</v>
      </c>
      <c r="C550" s="4">
        <f>420+41.043</f>
        <v>461.04300000000001</v>
      </c>
    </row>
    <row r="551" spans="2:5" ht="12" customHeight="1" x14ac:dyDescent="0.25">
      <c r="B551" s="1" t="s">
        <v>165</v>
      </c>
      <c r="C551" s="4">
        <f>420+47.816</f>
        <v>467.81600000000003</v>
      </c>
    </row>
    <row r="552" spans="2:5" ht="12" customHeight="1" x14ac:dyDescent="0.25">
      <c r="B552" s="1" t="s">
        <v>552</v>
      </c>
      <c r="C552" s="4">
        <f>420+56.271</f>
        <v>476.27100000000002</v>
      </c>
    </row>
    <row r="553" spans="2:5" ht="12" customHeight="1" x14ac:dyDescent="0.25">
      <c r="B553" s="1" t="s">
        <v>477</v>
      </c>
      <c r="C553" s="4">
        <f>480+7.29</f>
        <v>487.29</v>
      </c>
    </row>
    <row r="554" spans="2:5" ht="12" customHeight="1" x14ac:dyDescent="0.25">
      <c r="B554" s="1" t="s">
        <v>495</v>
      </c>
      <c r="C554" s="4">
        <f>480+23.409</f>
        <v>503.40899999999999</v>
      </c>
      <c r="E554" s="6"/>
    </row>
    <row r="555" spans="2:5" ht="12" customHeight="1" x14ac:dyDescent="0.25">
      <c r="B555" s="1" t="s">
        <v>448</v>
      </c>
      <c r="C555" s="4">
        <f>480+36.898</f>
        <v>516.89800000000002</v>
      </c>
    </row>
    <row r="556" spans="2:5" ht="12" customHeight="1" x14ac:dyDescent="0.25">
      <c r="B556" s="1" t="s">
        <v>449</v>
      </c>
      <c r="C556" s="4">
        <f>480+59.351</f>
        <v>539.351</v>
      </c>
    </row>
    <row r="557" spans="2:5" ht="12" customHeight="1" x14ac:dyDescent="0.25">
      <c r="B557" s="1" t="s">
        <v>166</v>
      </c>
      <c r="C557" s="4">
        <f>540+10.08</f>
        <v>550.08000000000004</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Transcripts</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 Administrator 2</dc:creator>
  <cp:lastModifiedBy>Dimitra Dodou</cp:lastModifiedBy>
  <cp:lastPrinted>2021-06-07T15:56:21Z</cp:lastPrinted>
  <dcterms:created xsi:type="dcterms:W3CDTF">2021-06-07T06:57:27Z</dcterms:created>
  <dcterms:modified xsi:type="dcterms:W3CDTF">2022-08-14T13:33:50Z</dcterms:modified>
</cp:coreProperties>
</file>