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3D30BF01-3141-4CCF-BD5E-F8B382A129F1}" xr6:coauthVersionLast="44" xr6:coauthVersionMax="44" xr10:uidLastSave="{00000000-0000-0000-0000-000000000000}"/>
  <bookViews>
    <workbookView xWindow="-120" yWindow="-120" windowWidth="29040" windowHeight="17640" activeTab="2" xr2:uid="{00000000-000D-0000-FFFF-FFFF00000000}"/>
  </bookViews>
  <sheets>
    <sheet name="Calibration Curve" sheetId="1" r:id="rId1"/>
    <sheet name="Raw results" sheetId="2" r:id="rId2"/>
    <sheet name="Results" sheetId="3" r:id="rId3"/>
    <sheet name="Sheet1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52" i="3" l="1"/>
  <c r="AC51" i="3"/>
  <c r="AC57" i="3"/>
  <c r="AC60" i="3"/>
  <c r="AC59" i="3"/>
  <c r="AC58" i="3"/>
  <c r="R31" i="3" l="1"/>
  <c r="R32" i="3"/>
  <c r="R33" i="3"/>
  <c r="R34" i="3"/>
  <c r="R35" i="3"/>
  <c r="R30" i="3"/>
  <c r="L335" i="2" l="1"/>
  <c r="M335" i="2"/>
  <c r="D335" i="2"/>
  <c r="C335" i="2"/>
  <c r="G335" i="2" s="1"/>
  <c r="O335" i="2" l="1"/>
  <c r="P335" i="2" s="1"/>
  <c r="N335" i="2"/>
  <c r="D334" i="2"/>
  <c r="C334" i="2"/>
  <c r="G334" i="2" s="1"/>
  <c r="L334" i="2"/>
  <c r="M334" i="2"/>
  <c r="L333" i="2"/>
  <c r="M333" i="2"/>
  <c r="D332" i="2"/>
  <c r="D333" i="2"/>
  <c r="C333" i="2"/>
  <c r="G333" i="2" s="1"/>
  <c r="N333" i="2" l="1"/>
  <c r="O333" i="2"/>
  <c r="P333" i="2" s="1"/>
  <c r="O334" i="2"/>
  <c r="P334" i="2" s="1"/>
  <c r="N334" i="2"/>
  <c r="C332" i="2"/>
  <c r="G332" i="2" s="1"/>
  <c r="L332" i="2"/>
  <c r="N332" i="2" s="1"/>
  <c r="M332" i="2"/>
  <c r="O332" i="2" s="1"/>
  <c r="P332" i="2" s="1"/>
  <c r="M331" i="2" l="1"/>
  <c r="L331" i="2"/>
  <c r="D331" i="2"/>
  <c r="C331" i="2"/>
  <c r="G331" i="2" s="1"/>
  <c r="N331" i="2" l="1"/>
  <c r="O331" i="2"/>
  <c r="P331" i="2" s="1"/>
  <c r="D330" i="2"/>
  <c r="C330" i="2"/>
  <c r="G330" i="2" s="1"/>
  <c r="M330" i="2"/>
  <c r="L330" i="2"/>
  <c r="O330" i="2" l="1"/>
  <c r="P330" i="2"/>
  <c r="N330" i="2"/>
  <c r="D326" i="2" l="1"/>
  <c r="D327" i="2"/>
  <c r="D328" i="2"/>
  <c r="D329" i="2"/>
  <c r="D325" i="2"/>
  <c r="C326" i="2"/>
  <c r="G326" i="2" s="1"/>
  <c r="C327" i="2"/>
  <c r="G327" i="2" s="1"/>
  <c r="C328" i="2"/>
  <c r="G328" i="2" s="1"/>
  <c r="C329" i="2"/>
  <c r="G329" i="2" s="1"/>
  <c r="C325" i="2"/>
  <c r="G325" i="2" s="1"/>
  <c r="M329" i="2"/>
  <c r="L329" i="2"/>
  <c r="M328" i="2"/>
  <c r="L328" i="2"/>
  <c r="M327" i="2"/>
  <c r="L327" i="2"/>
  <c r="M326" i="2"/>
  <c r="L326" i="2"/>
  <c r="M325" i="2"/>
  <c r="L325" i="2"/>
  <c r="N326" i="2" l="1"/>
  <c r="O327" i="2"/>
  <c r="N328" i="2"/>
  <c r="O326" i="2"/>
  <c r="P326" i="2" s="1"/>
  <c r="O328" i="2"/>
  <c r="P328" i="2" s="1"/>
  <c r="N327" i="2"/>
  <c r="N329" i="2"/>
  <c r="O329" i="2"/>
  <c r="P329" i="2" s="1"/>
  <c r="N325" i="2"/>
  <c r="O325" i="2"/>
  <c r="P325" i="2" s="1"/>
  <c r="P327" i="2"/>
  <c r="D319" i="2"/>
  <c r="D320" i="2"/>
  <c r="D321" i="2"/>
  <c r="D322" i="2"/>
  <c r="D323" i="2"/>
  <c r="D324" i="2"/>
  <c r="D318" i="2"/>
  <c r="C319" i="2"/>
  <c r="G319" i="2" s="1"/>
  <c r="C320" i="2"/>
  <c r="G320" i="2" s="1"/>
  <c r="C321" i="2"/>
  <c r="G321" i="2" s="1"/>
  <c r="C322" i="2"/>
  <c r="G322" i="2" s="1"/>
  <c r="C323" i="2"/>
  <c r="G323" i="2" s="1"/>
  <c r="C324" i="2"/>
  <c r="G324" i="2" s="1"/>
  <c r="C318" i="2"/>
  <c r="G318" i="2" s="1"/>
  <c r="L318" i="2" l="1"/>
  <c r="N318" i="2" s="1"/>
  <c r="M318" i="2"/>
  <c r="O318" i="2" s="1"/>
  <c r="P318" i="2" s="1"/>
  <c r="L319" i="2"/>
  <c r="N319" i="2" s="1"/>
  <c r="M319" i="2"/>
  <c r="O319" i="2" s="1"/>
  <c r="P319" i="2" s="1"/>
  <c r="L320" i="2"/>
  <c r="N320" i="2" s="1"/>
  <c r="M320" i="2"/>
  <c r="O320" i="2" s="1"/>
  <c r="P320" i="2" s="1"/>
  <c r="L321" i="2"/>
  <c r="N321" i="2" s="1"/>
  <c r="M321" i="2"/>
  <c r="O321" i="2" s="1"/>
  <c r="P321" i="2" s="1"/>
  <c r="L322" i="2"/>
  <c r="N322" i="2" s="1"/>
  <c r="M322" i="2"/>
  <c r="O322" i="2"/>
  <c r="P322" i="2" s="1"/>
  <c r="L323" i="2"/>
  <c r="N323" i="2" s="1"/>
  <c r="M323" i="2"/>
  <c r="O323" i="2" s="1"/>
  <c r="P323" i="2" s="1"/>
  <c r="L324" i="2"/>
  <c r="N324" i="2" s="1"/>
  <c r="M324" i="2"/>
  <c r="O324" i="2" s="1"/>
  <c r="P324" i="2" s="1"/>
  <c r="D315" i="2" l="1"/>
  <c r="D316" i="2"/>
  <c r="D317" i="2"/>
  <c r="D314" i="2"/>
  <c r="C315" i="2"/>
  <c r="G315" i="2" s="1"/>
  <c r="C316" i="2"/>
  <c r="G316" i="2" s="1"/>
  <c r="C317" i="2"/>
  <c r="G317" i="2" s="1"/>
  <c r="C314" i="2"/>
  <c r="G314" i="2" s="1"/>
  <c r="M317" i="2"/>
  <c r="L317" i="2"/>
  <c r="M316" i="2"/>
  <c r="L316" i="2"/>
  <c r="M315" i="2"/>
  <c r="L315" i="2"/>
  <c r="M314" i="2"/>
  <c r="L314" i="2"/>
  <c r="N317" i="2" l="1"/>
  <c r="O314" i="2"/>
  <c r="P314" i="2" s="1"/>
  <c r="O315" i="2"/>
  <c r="N315" i="2"/>
  <c r="Q314" i="2" s="1"/>
  <c r="O317" i="2"/>
  <c r="P317" i="2" s="1"/>
  <c r="N314" i="2"/>
  <c r="N316" i="2"/>
  <c r="O316" i="2"/>
  <c r="P316" i="2" s="1"/>
  <c r="P315" i="2" l="1"/>
  <c r="S314" i="2" s="1"/>
  <c r="R314" i="2"/>
  <c r="U59" i="3"/>
  <c r="U60" i="3"/>
  <c r="U58" i="3"/>
  <c r="U56" i="3"/>
  <c r="U57" i="3"/>
  <c r="U55" i="3"/>
  <c r="D311" i="2" l="1"/>
  <c r="D312" i="2"/>
  <c r="D313" i="2"/>
  <c r="D310" i="2"/>
  <c r="C311" i="2"/>
  <c r="G311" i="2" s="1"/>
  <c r="C312" i="2"/>
  <c r="G312" i="2" s="1"/>
  <c r="C313" i="2"/>
  <c r="G313" i="2" s="1"/>
  <c r="C310" i="2"/>
  <c r="G310" i="2" s="1"/>
  <c r="M313" i="2"/>
  <c r="L313" i="2"/>
  <c r="M312" i="2"/>
  <c r="L312" i="2"/>
  <c r="M311" i="2"/>
  <c r="L311" i="2"/>
  <c r="M310" i="2"/>
  <c r="L310" i="2"/>
  <c r="D307" i="2"/>
  <c r="D308" i="2"/>
  <c r="D309" i="2"/>
  <c r="D306" i="2"/>
  <c r="C307" i="2"/>
  <c r="G307" i="2" s="1"/>
  <c r="C308" i="2"/>
  <c r="G308" i="2" s="1"/>
  <c r="C309" i="2"/>
  <c r="G309" i="2" s="1"/>
  <c r="C306" i="2"/>
  <c r="G306" i="2" s="1"/>
  <c r="M309" i="2"/>
  <c r="L309" i="2"/>
  <c r="M308" i="2"/>
  <c r="L308" i="2"/>
  <c r="M307" i="2"/>
  <c r="L307" i="2"/>
  <c r="M306" i="2"/>
  <c r="L306" i="2"/>
  <c r="D301" i="2"/>
  <c r="D302" i="2"/>
  <c r="D303" i="2"/>
  <c r="D304" i="2"/>
  <c r="D305" i="2"/>
  <c r="D300" i="2"/>
  <c r="C301" i="2"/>
  <c r="G301" i="2" s="1"/>
  <c r="C302" i="2"/>
  <c r="G302" i="2" s="1"/>
  <c r="C303" i="2"/>
  <c r="G303" i="2" s="1"/>
  <c r="C304" i="2"/>
  <c r="G304" i="2" s="1"/>
  <c r="C305" i="2"/>
  <c r="G305" i="2" s="1"/>
  <c r="C300" i="2"/>
  <c r="G300" i="2" s="1"/>
  <c r="L305" i="2"/>
  <c r="M305" i="2"/>
  <c r="M304" i="2"/>
  <c r="L304" i="2"/>
  <c r="M303" i="2"/>
  <c r="L303" i="2"/>
  <c r="M302" i="2"/>
  <c r="L302" i="2"/>
  <c r="M301" i="2"/>
  <c r="L301" i="2"/>
  <c r="M300" i="2"/>
  <c r="L300" i="2"/>
  <c r="N307" i="2" l="1"/>
  <c r="N300" i="2"/>
  <c r="O300" i="2"/>
  <c r="P300" i="2" s="1"/>
  <c r="O310" i="2"/>
  <c r="P310" i="2" s="1"/>
  <c r="O308" i="2"/>
  <c r="P308" i="2" s="1"/>
  <c r="O312" i="2"/>
  <c r="P312" i="2" s="1"/>
  <c r="N311" i="2"/>
  <c r="O311" i="2"/>
  <c r="N313" i="2"/>
  <c r="O313" i="2"/>
  <c r="P313" i="2" s="1"/>
  <c r="N312" i="2"/>
  <c r="N310" i="2"/>
  <c r="O309" i="2"/>
  <c r="P309" i="2" s="1"/>
  <c r="O307" i="2"/>
  <c r="P307" i="2" s="1"/>
  <c r="N309" i="2"/>
  <c r="N308" i="2"/>
  <c r="O306" i="2"/>
  <c r="N306" i="2"/>
  <c r="O303" i="2"/>
  <c r="P303" i="2" s="1"/>
  <c r="N304" i="2"/>
  <c r="O304" i="2"/>
  <c r="P304" i="2" s="1"/>
  <c r="N303" i="2"/>
  <c r="N305" i="2"/>
  <c r="N302" i="2"/>
  <c r="O302" i="2"/>
  <c r="N301" i="2"/>
  <c r="O301" i="2"/>
  <c r="P301" i="2" s="1"/>
  <c r="O305" i="2"/>
  <c r="P305" i="2" s="1"/>
  <c r="C295" i="2"/>
  <c r="G295" i="2" s="1"/>
  <c r="C296" i="2"/>
  <c r="G296" i="2" s="1"/>
  <c r="C297" i="2"/>
  <c r="G297" i="2" s="1"/>
  <c r="C298" i="2"/>
  <c r="G298" i="2" s="1"/>
  <c r="C299" i="2"/>
  <c r="G299" i="2" s="1"/>
  <c r="C294" i="2"/>
  <c r="G294" i="2" s="1"/>
  <c r="D295" i="2"/>
  <c r="D296" i="2"/>
  <c r="D297" i="2"/>
  <c r="D298" i="2"/>
  <c r="D299" i="2"/>
  <c r="D294" i="2"/>
  <c r="L299" i="2"/>
  <c r="M299" i="2"/>
  <c r="M298" i="2"/>
  <c r="L298" i="2"/>
  <c r="M297" i="2"/>
  <c r="L297" i="2"/>
  <c r="M296" i="2"/>
  <c r="L296" i="2"/>
  <c r="M295" i="2"/>
  <c r="L295" i="2"/>
  <c r="M294" i="2"/>
  <c r="L294" i="2"/>
  <c r="L288" i="2"/>
  <c r="M288" i="2"/>
  <c r="W311" i="2" l="1"/>
  <c r="V311" i="2"/>
  <c r="V306" i="2"/>
  <c r="O299" i="2"/>
  <c r="P299" i="2" s="1"/>
  <c r="Q301" i="2"/>
  <c r="O297" i="2"/>
  <c r="P297" i="2" s="1"/>
  <c r="Q310" i="2"/>
  <c r="P311" i="2"/>
  <c r="S310" i="2" s="1"/>
  <c r="R310" i="2"/>
  <c r="P306" i="2"/>
  <c r="S306" i="2" s="1"/>
  <c r="R306" i="2"/>
  <c r="W306" i="2"/>
  <c r="O295" i="2"/>
  <c r="P295" i="2" s="1"/>
  <c r="N296" i="2"/>
  <c r="P302" i="2"/>
  <c r="S301" i="2" s="1"/>
  <c r="R301" i="2"/>
  <c r="N295" i="2"/>
  <c r="O296" i="2"/>
  <c r="P296" i="2" s="1"/>
  <c r="U306" i="2"/>
  <c r="T306" i="2"/>
  <c r="Q306" i="2"/>
  <c r="N297" i="2"/>
  <c r="N294" i="2"/>
  <c r="N298" i="2"/>
  <c r="O298" i="2"/>
  <c r="P298" i="2" s="1"/>
  <c r="N299" i="2"/>
  <c r="O294" i="2"/>
  <c r="P294" i="2" s="1"/>
  <c r="M293" i="2"/>
  <c r="L293" i="2"/>
  <c r="D293" i="2"/>
  <c r="C293" i="2"/>
  <c r="M292" i="2"/>
  <c r="L292" i="2"/>
  <c r="D292" i="2"/>
  <c r="C292" i="2"/>
  <c r="M291" i="2"/>
  <c r="L291" i="2"/>
  <c r="D291" i="2"/>
  <c r="C291" i="2"/>
  <c r="M290" i="2"/>
  <c r="L290" i="2"/>
  <c r="D290" i="2"/>
  <c r="C290" i="2"/>
  <c r="M289" i="2"/>
  <c r="L289" i="2"/>
  <c r="D289" i="2"/>
  <c r="C289" i="2"/>
  <c r="D288" i="2"/>
  <c r="C288" i="2"/>
  <c r="O288" i="2" l="1"/>
  <c r="P288" i="2" s="1"/>
  <c r="Q294" i="2"/>
  <c r="S294" i="2"/>
  <c r="O292" i="2"/>
  <c r="P292" i="2" s="1"/>
  <c r="O290" i="2"/>
  <c r="P290" i="2" s="1"/>
  <c r="R294" i="2"/>
  <c r="O293" i="2"/>
  <c r="P293" i="2" s="1"/>
  <c r="N288" i="2"/>
  <c r="O289" i="2"/>
  <c r="O291" i="2"/>
  <c r="P291" i="2" s="1"/>
  <c r="N293" i="2"/>
  <c r="G293" i="2"/>
  <c r="N289" i="2"/>
  <c r="N290" i="2"/>
  <c r="N291" i="2"/>
  <c r="N292" i="2"/>
  <c r="G289" i="2"/>
  <c r="G290" i="2"/>
  <c r="G291" i="2"/>
  <c r="G292" i="2"/>
  <c r="G288" i="2"/>
  <c r="M287" i="2"/>
  <c r="L287" i="2"/>
  <c r="D287" i="2"/>
  <c r="C287" i="2"/>
  <c r="M286" i="2"/>
  <c r="L286" i="2"/>
  <c r="D286" i="2"/>
  <c r="C286" i="2"/>
  <c r="M285" i="2"/>
  <c r="L285" i="2"/>
  <c r="D285" i="2"/>
  <c r="C285" i="2"/>
  <c r="M284" i="2"/>
  <c r="L284" i="2"/>
  <c r="D284" i="2"/>
  <c r="C284" i="2"/>
  <c r="T289" i="2" l="1"/>
  <c r="U289" i="2"/>
  <c r="R289" i="2"/>
  <c r="V289" i="2"/>
  <c r="W289" i="2"/>
  <c r="P289" i="2"/>
  <c r="S289" i="2" s="1"/>
  <c r="O285" i="2"/>
  <c r="P285" i="2" s="1"/>
  <c r="Q289" i="2"/>
  <c r="O287" i="2"/>
  <c r="P287" i="2" s="1"/>
  <c r="O284" i="2"/>
  <c r="O286" i="2"/>
  <c r="P286" i="2" s="1"/>
  <c r="N284" i="2"/>
  <c r="N285" i="2"/>
  <c r="N286" i="2"/>
  <c r="N287" i="2"/>
  <c r="G284" i="2"/>
  <c r="G285" i="2"/>
  <c r="G286" i="2"/>
  <c r="G287" i="2"/>
  <c r="M283" i="2"/>
  <c r="L283" i="2"/>
  <c r="D283" i="2"/>
  <c r="C283" i="2"/>
  <c r="M282" i="2"/>
  <c r="L282" i="2"/>
  <c r="D282" i="2"/>
  <c r="C282" i="2"/>
  <c r="G282" i="2" s="1"/>
  <c r="M281" i="2"/>
  <c r="L281" i="2"/>
  <c r="D281" i="2"/>
  <c r="C281" i="2"/>
  <c r="G281" i="2" s="1"/>
  <c r="M280" i="2"/>
  <c r="L280" i="2"/>
  <c r="D280" i="2"/>
  <c r="C280" i="2"/>
  <c r="G280" i="2" s="1"/>
  <c r="U284" i="2" l="1"/>
  <c r="T284" i="2"/>
  <c r="P284" i="2"/>
  <c r="W284" i="2"/>
  <c r="V284" i="2"/>
  <c r="R284" i="2"/>
  <c r="S284" i="2"/>
  <c r="Q284" i="2"/>
  <c r="N280" i="2"/>
  <c r="N281" i="2"/>
  <c r="N282" i="2"/>
  <c r="N283" i="2"/>
  <c r="O280" i="2"/>
  <c r="P280" i="2" s="1"/>
  <c r="O281" i="2"/>
  <c r="O282" i="2"/>
  <c r="P282" i="2" s="1"/>
  <c r="O283" i="2"/>
  <c r="P283" i="2" s="1"/>
  <c r="G283" i="2"/>
  <c r="D277" i="2"/>
  <c r="D278" i="2"/>
  <c r="D279" i="2"/>
  <c r="D276" i="2"/>
  <c r="C277" i="2"/>
  <c r="G277" i="2" s="1"/>
  <c r="C278" i="2"/>
  <c r="G278" i="2" s="1"/>
  <c r="C279" i="2"/>
  <c r="G279" i="2" s="1"/>
  <c r="C276" i="2"/>
  <c r="G276" i="2" s="1"/>
  <c r="C274" i="2"/>
  <c r="G274" i="2" s="1"/>
  <c r="D274" i="2"/>
  <c r="L274" i="2"/>
  <c r="M274" i="2"/>
  <c r="D272" i="2"/>
  <c r="D273" i="2"/>
  <c r="D275" i="2"/>
  <c r="D271" i="2"/>
  <c r="C272" i="2"/>
  <c r="G272" i="2" s="1"/>
  <c r="C273" i="2"/>
  <c r="G273" i="2" s="1"/>
  <c r="C275" i="2"/>
  <c r="G275" i="2" s="1"/>
  <c r="C271" i="2"/>
  <c r="G271" i="2" s="1"/>
  <c r="M279" i="2"/>
  <c r="L279" i="2"/>
  <c r="M278" i="2"/>
  <c r="L278" i="2"/>
  <c r="M277" i="2"/>
  <c r="L277" i="2"/>
  <c r="M276" i="2"/>
  <c r="L276" i="2"/>
  <c r="M275" i="2"/>
  <c r="L275" i="2"/>
  <c r="M273" i="2"/>
  <c r="L273" i="2"/>
  <c r="M272" i="2"/>
  <c r="L272" i="2"/>
  <c r="M271" i="2"/>
  <c r="L271" i="2"/>
  <c r="N274" i="2" l="1"/>
  <c r="P281" i="2"/>
  <c r="S280" i="2" s="1"/>
  <c r="R280" i="2"/>
  <c r="Q280" i="2"/>
  <c r="N279" i="2"/>
  <c r="N276" i="2"/>
  <c r="O271" i="2"/>
  <c r="P271" i="2" s="1"/>
  <c r="O274" i="2"/>
  <c r="P274" i="2" s="1"/>
  <c r="N278" i="2"/>
  <c r="N277" i="2"/>
  <c r="N271" i="2"/>
  <c r="N272" i="2"/>
  <c r="N273" i="2"/>
  <c r="O273" i="2"/>
  <c r="O277" i="2"/>
  <c r="N275" i="2"/>
  <c r="O272" i="2"/>
  <c r="P272" i="2" s="1"/>
  <c r="O275" i="2"/>
  <c r="P275" i="2" s="1"/>
  <c r="O276" i="2"/>
  <c r="P276" i="2" s="1"/>
  <c r="O278" i="2"/>
  <c r="P278" i="2" s="1"/>
  <c r="O279" i="2"/>
  <c r="P279" i="2" s="1"/>
  <c r="C270" i="2"/>
  <c r="G270" i="2" s="1"/>
  <c r="D270" i="2"/>
  <c r="L270" i="2"/>
  <c r="M270" i="2"/>
  <c r="U276" i="2" l="1"/>
  <c r="T276" i="2"/>
  <c r="W276" i="2"/>
  <c r="V276" i="2"/>
  <c r="Q276" i="2"/>
  <c r="P273" i="2"/>
  <c r="S272" i="2" s="1"/>
  <c r="R272" i="2"/>
  <c r="Q272" i="2"/>
  <c r="P277" i="2"/>
  <c r="S276" i="2" s="1"/>
  <c r="R276" i="2"/>
  <c r="N270" i="2"/>
  <c r="O270" i="2"/>
  <c r="P270" i="2" s="1"/>
  <c r="D267" i="2"/>
  <c r="D268" i="2"/>
  <c r="D269" i="2"/>
  <c r="D266" i="2"/>
  <c r="C267" i="2"/>
  <c r="G267" i="2" s="1"/>
  <c r="C268" i="2"/>
  <c r="G268" i="2" s="1"/>
  <c r="C269" i="2"/>
  <c r="G269" i="2" s="1"/>
  <c r="C266" i="2"/>
  <c r="G266" i="2" s="1"/>
  <c r="M269" i="2"/>
  <c r="L269" i="2"/>
  <c r="M268" i="2"/>
  <c r="L268" i="2"/>
  <c r="M267" i="2"/>
  <c r="L267" i="2"/>
  <c r="M266" i="2"/>
  <c r="L266" i="2"/>
  <c r="N269" i="2" l="1"/>
  <c r="O269" i="2"/>
  <c r="P269" i="2" s="1"/>
  <c r="N267" i="2"/>
  <c r="N268" i="2"/>
  <c r="Q267" i="2" s="1"/>
  <c r="O267" i="2"/>
  <c r="P267" i="2" s="1"/>
  <c r="O268" i="2"/>
  <c r="N266" i="2"/>
  <c r="O266" i="2"/>
  <c r="P266" i="2" s="1"/>
  <c r="C265" i="2"/>
  <c r="G265" i="2" s="1"/>
  <c r="D265" i="2"/>
  <c r="L265" i="2"/>
  <c r="M265" i="2"/>
  <c r="P268" i="2" l="1"/>
  <c r="S267" i="2" s="1"/>
  <c r="R267" i="2"/>
  <c r="N265" i="2"/>
  <c r="O265" i="2"/>
  <c r="P265" i="2" s="1"/>
  <c r="D261" i="2"/>
  <c r="D262" i="2"/>
  <c r="D263" i="2"/>
  <c r="D264" i="2"/>
  <c r="D260" i="2"/>
  <c r="C261" i="2"/>
  <c r="G261" i="2" s="1"/>
  <c r="C262" i="2"/>
  <c r="G262" i="2" s="1"/>
  <c r="C263" i="2"/>
  <c r="G263" i="2" s="1"/>
  <c r="C264" i="2"/>
  <c r="G264" i="2" s="1"/>
  <c r="C260" i="2"/>
  <c r="G260" i="2" s="1"/>
  <c r="M264" i="2"/>
  <c r="L264" i="2"/>
  <c r="M263" i="2"/>
  <c r="L263" i="2"/>
  <c r="M262" i="2"/>
  <c r="L262" i="2"/>
  <c r="M261" i="2"/>
  <c r="L261" i="2"/>
  <c r="M260" i="2"/>
  <c r="L260" i="2"/>
  <c r="N263" i="2" l="1"/>
  <c r="O263" i="2"/>
  <c r="O261" i="2"/>
  <c r="P261" i="2" s="1"/>
  <c r="O262" i="2"/>
  <c r="P262" i="2" s="1"/>
  <c r="O260" i="2"/>
  <c r="P260" i="2" s="1"/>
  <c r="O264" i="2"/>
  <c r="P264" i="2" s="1"/>
  <c r="N260" i="2"/>
  <c r="N262" i="2"/>
  <c r="N261" i="2"/>
  <c r="N264" i="2"/>
  <c r="M258" i="2"/>
  <c r="L258" i="2"/>
  <c r="D258" i="2"/>
  <c r="C258" i="2"/>
  <c r="G258" i="2" s="1"/>
  <c r="M256" i="2"/>
  <c r="L256" i="2"/>
  <c r="D256" i="2"/>
  <c r="C256" i="2"/>
  <c r="C255" i="2"/>
  <c r="G255" i="2" s="1"/>
  <c r="C257" i="2"/>
  <c r="G257" i="2" s="1"/>
  <c r="C259" i="2"/>
  <c r="G259" i="2" s="1"/>
  <c r="C254" i="2"/>
  <c r="G254" i="2" s="1"/>
  <c r="D255" i="2"/>
  <c r="D257" i="2"/>
  <c r="D259" i="2"/>
  <c r="D254" i="2"/>
  <c r="M259" i="2"/>
  <c r="L259" i="2"/>
  <c r="M257" i="2"/>
  <c r="L257" i="2"/>
  <c r="M255" i="2"/>
  <c r="L255" i="2"/>
  <c r="M254" i="2"/>
  <c r="L254" i="2"/>
  <c r="M252" i="2"/>
  <c r="L252" i="2"/>
  <c r="D252" i="2"/>
  <c r="C252" i="2"/>
  <c r="M250" i="2"/>
  <c r="L250" i="2"/>
  <c r="D250" i="2"/>
  <c r="C250" i="2"/>
  <c r="D249" i="2"/>
  <c r="D251" i="2"/>
  <c r="D253" i="2"/>
  <c r="D248" i="2"/>
  <c r="C249" i="2"/>
  <c r="G249" i="2" s="1"/>
  <c r="C251" i="2"/>
  <c r="G251" i="2" s="1"/>
  <c r="C253" i="2"/>
  <c r="G253" i="2" s="1"/>
  <c r="C248" i="2"/>
  <c r="G248" i="2" s="1"/>
  <c r="M253" i="2"/>
  <c r="L253" i="2"/>
  <c r="M251" i="2"/>
  <c r="L251" i="2"/>
  <c r="M249" i="2"/>
  <c r="L249" i="2"/>
  <c r="M248" i="2"/>
  <c r="L248" i="2"/>
  <c r="Q262" i="2" l="1"/>
  <c r="P263" i="2"/>
  <c r="S262" i="2" s="1"/>
  <c r="R262" i="2"/>
  <c r="N249" i="2"/>
  <c r="O256" i="2"/>
  <c r="N250" i="2"/>
  <c r="N256" i="2"/>
  <c r="N258" i="2"/>
  <c r="O258" i="2"/>
  <c r="P258" i="2" s="1"/>
  <c r="G256" i="2"/>
  <c r="N252" i="2"/>
  <c r="N254" i="2"/>
  <c r="O253" i="2"/>
  <c r="P253" i="2" s="1"/>
  <c r="O250" i="2"/>
  <c r="N257" i="2"/>
  <c r="N259" i="2"/>
  <c r="N255" i="2"/>
  <c r="O254" i="2"/>
  <c r="P254" i="2" s="1"/>
  <c r="O255" i="2"/>
  <c r="P255" i="2" s="1"/>
  <c r="O257" i="2"/>
  <c r="P257" i="2" s="1"/>
  <c r="O259" i="2"/>
  <c r="P259" i="2" s="1"/>
  <c r="P250" i="2"/>
  <c r="G252" i="2"/>
  <c r="O252" i="2"/>
  <c r="P252" i="2" s="1"/>
  <c r="G250" i="2"/>
  <c r="O249" i="2"/>
  <c r="P249" i="2" s="1"/>
  <c r="N253" i="2"/>
  <c r="O248" i="2"/>
  <c r="P248" i="2" s="1"/>
  <c r="O251" i="2"/>
  <c r="P251" i="2" s="1"/>
  <c r="N251" i="2"/>
  <c r="N248" i="2"/>
  <c r="D245" i="2"/>
  <c r="D246" i="2"/>
  <c r="D247" i="2"/>
  <c r="D244" i="2"/>
  <c r="C245" i="2"/>
  <c r="G245" i="2" s="1"/>
  <c r="C246" i="2"/>
  <c r="G246" i="2" s="1"/>
  <c r="C247" i="2"/>
  <c r="G247" i="2" s="1"/>
  <c r="C244" i="2"/>
  <c r="G244" i="2" s="1"/>
  <c r="M247" i="2"/>
  <c r="L247" i="2"/>
  <c r="M246" i="2"/>
  <c r="L246" i="2"/>
  <c r="M245" i="2"/>
  <c r="L245" i="2"/>
  <c r="M244" i="2"/>
  <c r="L244" i="2"/>
  <c r="D241" i="2"/>
  <c r="D242" i="2"/>
  <c r="D243" i="2"/>
  <c r="D240" i="2"/>
  <c r="C241" i="2"/>
  <c r="G241" i="2" s="1"/>
  <c r="C242" i="2"/>
  <c r="G242" i="2" s="1"/>
  <c r="C243" i="2"/>
  <c r="G243" i="2" s="1"/>
  <c r="C240" i="2"/>
  <c r="G240" i="2" s="1"/>
  <c r="M243" i="2"/>
  <c r="L243" i="2"/>
  <c r="M242" i="2"/>
  <c r="L242" i="2"/>
  <c r="M241" i="2"/>
  <c r="L241" i="2"/>
  <c r="M240" i="2"/>
  <c r="L240" i="2"/>
  <c r="S249" i="2" l="1"/>
  <c r="R249" i="2"/>
  <c r="Q255" i="2"/>
  <c r="Q249" i="2"/>
  <c r="R255" i="2"/>
  <c r="P256" i="2"/>
  <c r="S255" i="2" s="1"/>
  <c r="O240" i="2"/>
  <c r="P240" i="2" s="1"/>
  <c r="O243" i="2"/>
  <c r="P243" i="2" s="1"/>
  <c r="N246" i="2"/>
  <c r="O246" i="2"/>
  <c r="P246" i="2" s="1"/>
  <c r="N245" i="2"/>
  <c r="O247" i="2"/>
  <c r="P247" i="2" s="1"/>
  <c r="N247" i="2"/>
  <c r="O245" i="2"/>
  <c r="P245" i="2" s="1"/>
  <c r="N244" i="2"/>
  <c r="O244" i="2"/>
  <c r="O242" i="2"/>
  <c r="P242" i="2" s="1"/>
  <c r="N241" i="2"/>
  <c r="N243" i="2"/>
  <c r="O241" i="2"/>
  <c r="N242" i="2"/>
  <c r="N240" i="2"/>
  <c r="D237" i="2"/>
  <c r="D238" i="2"/>
  <c r="D239" i="2"/>
  <c r="D236" i="2"/>
  <c r="C237" i="2"/>
  <c r="G237" i="2" s="1"/>
  <c r="C238" i="2"/>
  <c r="G238" i="2" s="1"/>
  <c r="C239" i="2"/>
  <c r="G239" i="2" s="1"/>
  <c r="C236" i="2"/>
  <c r="G236" i="2" s="1"/>
  <c r="M239" i="2"/>
  <c r="L239" i="2"/>
  <c r="M238" i="2"/>
  <c r="L238" i="2"/>
  <c r="M237" i="2"/>
  <c r="L237" i="2"/>
  <c r="M236" i="2"/>
  <c r="L236" i="2"/>
  <c r="M235" i="2"/>
  <c r="L235" i="2"/>
  <c r="D235" i="2"/>
  <c r="C235" i="2"/>
  <c r="M234" i="2"/>
  <c r="L234" i="2"/>
  <c r="D234" i="2"/>
  <c r="C234" i="2"/>
  <c r="M233" i="2"/>
  <c r="L233" i="2"/>
  <c r="D233" i="2"/>
  <c r="C233" i="2"/>
  <c r="M232" i="2"/>
  <c r="L232" i="2"/>
  <c r="D232" i="2"/>
  <c r="C232" i="2"/>
  <c r="Q244" i="2" l="1"/>
  <c r="P244" i="2"/>
  <c r="S244" i="2" s="1"/>
  <c r="R244" i="2"/>
  <c r="P241" i="2"/>
  <c r="S240" i="2" s="1"/>
  <c r="R240" i="2"/>
  <c r="Q240" i="2"/>
  <c r="N237" i="2"/>
  <c r="O237" i="2"/>
  <c r="P237" i="2" s="1"/>
  <c r="O238" i="2"/>
  <c r="P238" i="2" s="1"/>
  <c r="N232" i="2"/>
  <c r="N234" i="2"/>
  <c r="O232" i="2"/>
  <c r="P232" i="2" s="1"/>
  <c r="O233" i="2"/>
  <c r="P233" i="2" s="1"/>
  <c r="O234" i="2"/>
  <c r="P234" i="2" s="1"/>
  <c r="O235" i="2"/>
  <c r="P235" i="2" s="1"/>
  <c r="O239" i="2"/>
  <c r="P239" i="2" s="1"/>
  <c r="N233" i="2"/>
  <c r="N235" i="2"/>
  <c r="N239" i="2"/>
  <c r="N238" i="2"/>
  <c r="N236" i="2"/>
  <c r="O236" i="2"/>
  <c r="G235" i="2"/>
  <c r="G233" i="2"/>
  <c r="G232" i="2"/>
  <c r="G234" i="2"/>
  <c r="D229" i="2"/>
  <c r="D230" i="2"/>
  <c r="D231" i="2"/>
  <c r="D228" i="2"/>
  <c r="C229" i="2"/>
  <c r="G229" i="2" s="1"/>
  <c r="C230" i="2"/>
  <c r="G230" i="2" s="1"/>
  <c r="C231" i="2"/>
  <c r="G231" i="2" s="1"/>
  <c r="C228" i="2"/>
  <c r="G228" i="2" s="1"/>
  <c r="M231" i="2"/>
  <c r="L231" i="2"/>
  <c r="M230" i="2"/>
  <c r="L230" i="2"/>
  <c r="M229" i="2"/>
  <c r="L229" i="2"/>
  <c r="M228" i="2"/>
  <c r="L228" i="2"/>
  <c r="D225" i="2"/>
  <c r="D226" i="2"/>
  <c r="D227" i="2"/>
  <c r="D224" i="2"/>
  <c r="C225" i="2"/>
  <c r="G225" i="2" s="1"/>
  <c r="C226" i="2"/>
  <c r="G226" i="2" s="1"/>
  <c r="C227" i="2"/>
  <c r="G227" i="2" s="1"/>
  <c r="C224" i="2"/>
  <c r="G224" i="2" s="1"/>
  <c r="M227" i="2"/>
  <c r="L227" i="2"/>
  <c r="M226" i="2"/>
  <c r="L226" i="2"/>
  <c r="M225" i="2"/>
  <c r="L225" i="2"/>
  <c r="M224" i="2"/>
  <c r="L224" i="2"/>
  <c r="Q236" i="2" l="1"/>
  <c r="P236" i="2"/>
  <c r="S236" i="2" s="1"/>
  <c r="R236" i="2"/>
  <c r="N226" i="2"/>
  <c r="N230" i="2"/>
  <c r="O230" i="2"/>
  <c r="P230" i="2" s="1"/>
  <c r="N228" i="2"/>
  <c r="N225" i="2"/>
  <c r="N229" i="2"/>
  <c r="O225" i="2"/>
  <c r="P225" i="2" s="1"/>
  <c r="O229" i="2"/>
  <c r="P229" i="2" s="1"/>
  <c r="N227" i="2"/>
  <c r="N231" i="2"/>
  <c r="O231" i="2"/>
  <c r="P231" i="2" s="1"/>
  <c r="O228" i="2"/>
  <c r="O227" i="2"/>
  <c r="P227" i="2" s="1"/>
  <c r="O224" i="2"/>
  <c r="O226" i="2"/>
  <c r="P226" i="2" s="1"/>
  <c r="N224" i="2"/>
  <c r="N31" i="3"/>
  <c r="N32" i="3"/>
  <c r="N33" i="3"/>
  <c r="N34" i="3"/>
  <c r="N35" i="3"/>
  <c r="N30" i="3"/>
  <c r="U48" i="3"/>
  <c r="U49" i="3"/>
  <c r="U50" i="3"/>
  <c r="U51" i="3"/>
  <c r="U52" i="3"/>
  <c r="U53" i="3"/>
  <c r="U54" i="3"/>
  <c r="U47" i="3"/>
  <c r="D221" i="2"/>
  <c r="D222" i="2"/>
  <c r="D223" i="2"/>
  <c r="D220" i="2"/>
  <c r="C221" i="2"/>
  <c r="G221" i="2" s="1"/>
  <c r="C222" i="2"/>
  <c r="G222" i="2" s="1"/>
  <c r="C223" i="2"/>
  <c r="G223" i="2" s="1"/>
  <c r="C220" i="2"/>
  <c r="G220" i="2" s="1"/>
  <c r="M223" i="2"/>
  <c r="L223" i="2"/>
  <c r="M222" i="2"/>
  <c r="L222" i="2"/>
  <c r="M221" i="2"/>
  <c r="L221" i="2"/>
  <c r="M220" i="2"/>
  <c r="L220" i="2"/>
  <c r="D217" i="2"/>
  <c r="D218" i="2"/>
  <c r="D219" i="2"/>
  <c r="D216" i="2"/>
  <c r="C217" i="2"/>
  <c r="G217" i="2" s="1"/>
  <c r="C218" i="2"/>
  <c r="G218" i="2" s="1"/>
  <c r="C219" i="2"/>
  <c r="G219" i="2" s="1"/>
  <c r="C216" i="2"/>
  <c r="M219" i="2"/>
  <c r="L219" i="2"/>
  <c r="M218" i="2"/>
  <c r="L218" i="2"/>
  <c r="M217" i="2"/>
  <c r="L217" i="2"/>
  <c r="M216" i="2"/>
  <c r="L216" i="2"/>
  <c r="P228" i="2" l="1"/>
  <c r="S228" i="2" s="1"/>
  <c r="R228" i="2"/>
  <c r="Q228" i="2"/>
  <c r="Q224" i="2"/>
  <c r="N219" i="2"/>
  <c r="N220" i="2"/>
  <c r="N223" i="2"/>
  <c r="G216" i="2"/>
  <c r="O223" i="2"/>
  <c r="P223" i="2" s="1"/>
  <c r="P224" i="2"/>
  <c r="S224" i="2" s="1"/>
  <c r="R224" i="2"/>
  <c r="O220" i="2"/>
  <c r="P220" i="2" s="1"/>
  <c r="O222" i="2"/>
  <c r="P222" i="2" s="1"/>
  <c r="N222" i="2"/>
  <c r="N221" i="2"/>
  <c r="O221" i="2"/>
  <c r="P221" i="2" s="1"/>
  <c r="N217" i="2"/>
  <c r="N218" i="2"/>
  <c r="N216" i="2"/>
  <c r="O216" i="2"/>
  <c r="O217" i="2"/>
  <c r="P217" i="2" s="1"/>
  <c r="O218" i="2"/>
  <c r="P218" i="2" s="1"/>
  <c r="O219" i="2"/>
  <c r="P219" i="2" s="1"/>
  <c r="D213" i="2"/>
  <c r="D214" i="2"/>
  <c r="D215" i="2"/>
  <c r="D212" i="2"/>
  <c r="C213" i="2"/>
  <c r="G213" i="2" s="1"/>
  <c r="C214" i="2"/>
  <c r="G214" i="2" s="1"/>
  <c r="C215" i="2"/>
  <c r="G215" i="2" s="1"/>
  <c r="C212" i="2"/>
  <c r="G212" i="2" s="1"/>
  <c r="M215" i="2"/>
  <c r="L215" i="2"/>
  <c r="M214" i="2"/>
  <c r="L214" i="2"/>
  <c r="M213" i="2"/>
  <c r="L213" i="2"/>
  <c r="M212" i="2"/>
  <c r="L212" i="2"/>
  <c r="O215" i="2" l="1"/>
  <c r="P215" i="2" s="1"/>
  <c r="R216" i="2"/>
  <c r="Q216" i="2"/>
  <c r="N215" i="2"/>
  <c r="P216" i="2"/>
  <c r="S216" i="2" s="1"/>
  <c r="N214" i="2"/>
  <c r="O213" i="2"/>
  <c r="P213" i="2" s="1"/>
  <c r="O214" i="2"/>
  <c r="P214" i="2" s="1"/>
  <c r="N213" i="2"/>
  <c r="N212" i="2"/>
  <c r="O212" i="2"/>
  <c r="P212" i="2" s="1"/>
  <c r="D209" i="2"/>
  <c r="D210" i="2"/>
  <c r="D211" i="2"/>
  <c r="D208" i="2"/>
  <c r="C209" i="2"/>
  <c r="G209" i="2" s="1"/>
  <c r="C210" i="2"/>
  <c r="G210" i="2" s="1"/>
  <c r="C211" i="2"/>
  <c r="G211" i="2" s="1"/>
  <c r="C208" i="2"/>
  <c r="G208" i="2" s="1"/>
  <c r="M211" i="2"/>
  <c r="L211" i="2"/>
  <c r="M210" i="2"/>
  <c r="L210" i="2"/>
  <c r="M209" i="2"/>
  <c r="L209" i="2"/>
  <c r="M208" i="2"/>
  <c r="L208" i="2"/>
  <c r="D204" i="2"/>
  <c r="D205" i="2"/>
  <c r="D206" i="2"/>
  <c r="D207" i="2"/>
  <c r="D203" i="2"/>
  <c r="C204" i="2"/>
  <c r="G204" i="2" s="1"/>
  <c r="C205" i="2"/>
  <c r="G205" i="2" s="1"/>
  <c r="C206" i="2"/>
  <c r="G206" i="2" s="1"/>
  <c r="C207" i="2"/>
  <c r="G207" i="2" s="1"/>
  <c r="C203" i="2"/>
  <c r="G203" i="2" s="1"/>
  <c r="M207" i="2"/>
  <c r="L207" i="2"/>
  <c r="M206" i="2"/>
  <c r="L206" i="2"/>
  <c r="M205" i="2"/>
  <c r="L205" i="2"/>
  <c r="M204" i="2"/>
  <c r="L204" i="2"/>
  <c r="M203" i="2"/>
  <c r="L203" i="2"/>
  <c r="N209" i="2" l="1"/>
  <c r="O209" i="2"/>
  <c r="P209" i="2" s="1"/>
  <c r="N210" i="2"/>
  <c r="O210" i="2"/>
  <c r="P210" i="2" s="1"/>
  <c r="N204" i="2"/>
  <c r="S212" i="2"/>
  <c r="N211" i="2"/>
  <c r="Q212" i="2"/>
  <c r="O211" i="2"/>
  <c r="P211" i="2" s="1"/>
  <c r="R212" i="2"/>
  <c r="O208" i="2"/>
  <c r="N208" i="2"/>
  <c r="N205" i="2"/>
  <c r="N207" i="2"/>
  <c r="N206" i="2"/>
  <c r="N203" i="2"/>
  <c r="O203" i="2"/>
  <c r="O204" i="2"/>
  <c r="P204" i="2" s="1"/>
  <c r="O205" i="2"/>
  <c r="P205" i="2" s="1"/>
  <c r="O206" i="2"/>
  <c r="P206" i="2" s="1"/>
  <c r="O207" i="2"/>
  <c r="P207" i="2" s="1"/>
  <c r="D199" i="2"/>
  <c r="D200" i="2"/>
  <c r="D201" i="2"/>
  <c r="D202" i="2"/>
  <c r="D198" i="2"/>
  <c r="C199" i="2"/>
  <c r="G199" i="2" s="1"/>
  <c r="C200" i="2"/>
  <c r="G200" i="2" s="1"/>
  <c r="C201" i="2"/>
  <c r="G201" i="2" s="1"/>
  <c r="C202" i="2"/>
  <c r="G202" i="2" s="1"/>
  <c r="C198" i="2"/>
  <c r="G198" i="2" s="1"/>
  <c r="M202" i="2"/>
  <c r="L202" i="2"/>
  <c r="M201" i="2"/>
  <c r="L201" i="2"/>
  <c r="M200" i="2"/>
  <c r="L200" i="2"/>
  <c r="M199" i="2"/>
  <c r="L199" i="2"/>
  <c r="M198" i="2"/>
  <c r="L198" i="2"/>
  <c r="D195" i="2"/>
  <c r="D196" i="2"/>
  <c r="D197" i="2"/>
  <c r="D194" i="2"/>
  <c r="C195" i="2"/>
  <c r="G195" i="2" s="1"/>
  <c r="C196" i="2"/>
  <c r="G196" i="2" s="1"/>
  <c r="C197" i="2"/>
  <c r="G197" i="2" s="1"/>
  <c r="C194" i="2"/>
  <c r="G194" i="2" s="1"/>
  <c r="M197" i="2"/>
  <c r="L197" i="2"/>
  <c r="M196" i="2"/>
  <c r="L196" i="2"/>
  <c r="M195" i="2"/>
  <c r="L195" i="2"/>
  <c r="M194" i="2"/>
  <c r="L194" i="2"/>
  <c r="D191" i="2"/>
  <c r="D192" i="2"/>
  <c r="D193" i="2"/>
  <c r="D190" i="2"/>
  <c r="C191" i="2"/>
  <c r="G191" i="2" s="1"/>
  <c r="C192" i="2"/>
  <c r="G192" i="2" s="1"/>
  <c r="C193" i="2"/>
  <c r="G193" i="2" s="1"/>
  <c r="C190" i="2"/>
  <c r="G190" i="2" s="1"/>
  <c r="M193" i="2"/>
  <c r="L193" i="2"/>
  <c r="M192" i="2"/>
  <c r="L192" i="2"/>
  <c r="M191" i="2"/>
  <c r="L191" i="2"/>
  <c r="M190" i="2"/>
  <c r="L190" i="2"/>
  <c r="D187" i="2"/>
  <c r="D188" i="2"/>
  <c r="D189" i="2"/>
  <c r="D186" i="2"/>
  <c r="C187" i="2"/>
  <c r="G187" i="2" s="1"/>
  <c r="C188" i="2"/>
  <c r="G188" i="2" s="1"/>
  <c r="C189" i="2"/>
  <c r="G189" i="2" s="1"/>
  <c r="C186" i="2"/>
  <c r="G186" i="2" s="1"/>
  <c r="M189" i="2"/>
  <c r="L189" i="2"/>
  <c r="M188" i="2"/>
  <c r="L188" i="2"/>
  <c r="M187" i="2"/>
  <c r="L187" i="2"/>
  <c r="M186" i="2"/>
  <c r="L186" i="2"/>
  <c r="D183" i="2"/>
  <c r="D184" i="2"/>
  <c r="D185" i="2"/>
  <c r="D182" i="2"/>
  <c r="C183" i="2"/>
  <c r="G183" i="2" s="1"/>
  <c r="C184" i="2"/>
  <c r="G184" i="2" s="1"/>
  <c r="C185" i="2"/>
  <c r="G185" i="2" s="1"/>
  <c r="C182" i="2"/>
  <c r="G182" i="2" s="1"/>
  <c r="M185" i="2"/>
  <c r="L185" i="2"/>
  <c r="M184" i="2"/>
  <c r="L184" i="2"/>
  <c r="M183" i="2"/>
  <c r="L183" i="2"/>
  <c r="M182" i="2"/>
  <c r="L182" i="2"/>
  <c r="N191" i="2" l="1"/>
  <c r="N199" i="2"/>
  <c r="N193" i="2"/>
  <c r="N202" i="2"/>
  <c r="S204" i="2"/>
  <c r="O182" i="2"/>
  <c r="P182" i="2" s="1"/>
  <c r="O193" i="2"/>
  <c r="P193" i="2" s="1"/>
  <c r="N189" i="2"/>
  <c r="N197" i="2"/>
  <c r="P203" i="2"/>
  <c r="R204" i="2"/>
  <c r="O189" i="2"/>
  <c r="P189" i="2" s="1"/>
  <c r="O197" i="2"/>
  <c r="P197" i="2" s="1"/>
  <c r="Q204" i="2"/>
  <c r="Q208" i="2"/>
  <c r="N201" i="2"/>
  <c r="O190" i="2"/>
  <c r="P208" i="2"/>
  <c r="S208" i="2" s="1"/>
  <c r="R208" i="2"/>
  <c r="N200" i="2"/>
  <c r="O200" i="2"/>
  <c r="P200" i="2" s="1"/>
  <c r="O199" i="2"/>
  <c r="P199" i="2" s="1"/>
  <c r="O202" i="2"/>
  <c r="P202" i="2" s="1"/>
  <c r="O201" i="2"/>
  <c r="P201" i="2" s="1"/>
  <c r="N198" i="2"/>
  <c r="O198" i="2"/>
  <c r="P198" i="2" s="1"/>
  <c r="O196" i="2"/>
  <c r="P196" i="2" s="1"/>
  <c r="N196" i="2"/>
  <c r="N194" i="2"/>
  <c r="O194" i="2"/>
  <c r="N195" i="2"/>
  <c r="O195" i="2"/>
  <c r="P195" i="2" s="1"/>
  <c r="O192" i="2"/>
  <c r="P192" i="2" s="1"/>
  <c r="N190" i="2"/>
  <c r="O191" i="2"/>
  <c r="P191" i="2" s="1"/>
  <c r="N192" i="2"/>
  <c r="O187" i="2"/>
  <c r="P187" i="2" s="1"/>
  <c r="N188" i="2"/>
  <c r="N187" i="2"/>
  <c r="O188" i="2"/>
  <c r="P188" i="2" s="1"/>
  <c r="N186" i="2"/>
  <c r="O186" i="2"/>
  <c r="P186" i="2" s="1"/>
  <c r="N184" i="2"/>
  <c r="O183" i="2"/>
  <c r="O184" i="2"/>
  <c r="P184" i="2" s="1"/>
  <c r="N182" i="2"/>
  <c r="N185" i="2"/>
  <c r="O185" i="2"/>
  <c r="P185" i="2" s="1"/>
  <c r="N183" i="2"/>
  <c r="D178" i="2"/>
  <c r="D179" i="2"/>
  <c r="D180" i="2"/>
  <c r="D181" i="2"/>
  <c r="D177" i="2"/>
  <c r="C178" i="2"/>
  <c r="G178" i="2" s="1"/>
  <c r="C179" i="2"/>
  <c r="C180" i="2"/>
  <c r="C181" i="2"/>
  <c r="G181" i="2" s="1"/>
  <c r="C177" i="2"/>
  <c r="G177" i="2" s="1"/>
  <c r="D174" i="2"/>
  <c r="D175" i="2"/>
  <c r="D176" i="2"/>
  <c r="D173" i="2"/>
  <c r="C174" i="2"/>
  <c r="C175" i="2"/>
  <c r="C176" i="2"/>
  <c r="C173" i="2"/>
  <c r="L181" i="2"/>
  <c r="M181" i="2"/>
  <c r="M180" i="2"/>
  <c r="L180" i="2"/>
  <c r="M179" i="2"/>
  <c r="L179" i="2"/>
  <c r="M178" i="2"/>
  <c r="L178" i="2"/>
  <c r="M177" i="2"/>
  <c r="L177" i="2"/>
  <c r="M176" i="2"/>
  <c r="L176" i="2"/>
  <c r="M175" i="2"/>
  <c r="L175" i="2"/>
  <c r="M174" i="2"/>
  <c r="L174" i="2"/>
  <c r="M173" i="2"/>
  <c r="L173" i="2"/>
  <c r="G170" i="2"/>
  <c r="G171" i="2"/>
  <c r="G172" i="2"/>
  <c r="G169" i="2"/>
  <c r="M172" i="2"/>
  <c r="L172" i="2"/>
  <c r="D172" i="2"/>
  <c r="M171" i="2"/>
  <c r="L171" i="2"/>
  <c r="D171" i="2"/>
  <c r="M170" i="2"/>
  <c r="L170" i="2"/>
  <c r="D170" i="2"/>
  <c r="M169" i="2"/>
  <c r="O169" i="2" s="1"/>
  <c r="P169" i="2" s="1"/>
  <c r="L169" i="2"/>
  <c r="N169" i="2" s="1"/>
  <c r="O176" i="2" l="1"/>
  <c r="P176" i="2" s="1"/>
  <c r="N172" i="2"/>
  <c r="O172" i="2"/>
  <c r="P172" i="2" s="1"/>
  <c r="Q190" i="2"/>
  <c r="Q187" i="2"/>
  <c r="O180" i="2"/>
  <c r="P180" i="2" s="1"/>
  <c r="Q199" i="2"/>
  <c r="N181" i="2"/>
  <c r="Q183" i="2"/>
  <c r="N171" i="2"/>
  <c r="P183" i="2"/>
  <c r="S183" i="2" s="1"/>
  <c r="R183" i="2"/>
  <c r="P194" i="2"/>
  <c r="R195" i="2"/>
  <c r="O171" i="2"/>
  <c r="P171" i="2" s="1"/>
  <c r="O181" i="2"/>
  <c r="P181" i="2" s="1"/>
  <c r="O170" i="2"/>
  <c r="P170" i="2" s="1"/>
  <c r="N176" i="2"/>
  <c r="N180" i="2"/>
  <c r="S195" i="2"/>
  <c r="P190" i="2"/>
  <c r="S190" i="2" s="1"/>
  <c r="R190" i="2"/>
  <c r="S187" i="2"/>
  <c r="N170" i="2"/>
  <c r="R187" i="2"/>
  <c r="Q195" i="2"/>
  <c r="S199" i="2"/>
  <c r="R199" i="2"/>
  <c r="O179" i="2"/>
  <c r="P179" i="2" s="1"/>
  <c r="N179" i="2"/>
  <c r="N178" i="2"/>
  <c r="O178" i="2"/>
  <c r="N177" i="2"/>
  <c r="O177" i="2"/>
  <c r="P177" i="2" s="1"/>
  <c r="O175" i="2"/>
  <c r="P175" i="2" s="1"/>
  <c r="O173" i="2"/>
  <c r="N174" i="2"/>
  <c r="O174" i="2"/>
  <c r="N175" i="2"/>
  <c r="N173" i="2"/>
  <c r="G179" i="2"/>
  <c r="G180" i="2"/>
  <c r="D166" i="2"/>
  <c r="D167" i="2"/>
  <c r="D168" i="2"/>
  <c r="D165" i="2"/>
  <c r="C166" i="2"/>
  <c r="G166" i="2" s="1"/>
  <c r="C167" i="2"/>
  <c r="G167" i="2" s="1"/>
  <c r="C168" i="2"/>
  <c r="G168" i="2" s="1"/>
  <c r="C165" i="2"/>
  <c r="G165" i="2" s="1"/>
  <c r="M168" i="2"/>
  <c r="L168" i="2"/>
  <c r="M167" i="2"/>
  <c r="L167" i="2"/>
  <c r="M166" i="2"/>
  <c r="L166" i="2"/>
  <c r="M165" i="2"/>
  <c r="L165" i="2"/>
  <c r="D162" i="2"/>
  <c r="D163" i="2"/>
  <c r="D164" i="2"/>
  <c r="D161" i="2"/>
  <c r="C162" i="2"/>
  <c r="G162" i="2" s="1"/>
  <c r="C163" i="2"/>
  <c r="G163" i="2" s="1"/>
  <c r="C164" i="2"/>
  <c r="G164" i="2" s="1"/>
  <c r="C161" i="2"/>
  <c r="G161" i="2" s="1"/>
  <c r="M164" i="2"/>
  <c r="L164" i="2"/>
  <c r="M163" i="2"/>
  <c r="L163" i="2"/>
  <c r="M162" i="2"/>
  <c r="L162" i="2"/>
  <c r="M161" i="2"/>
  <c r="L161" i="2"/>
  <c r="C158" i="2"/>
  <c r="C159" i="2"/>
  <c r="C160" i="2"/>
  <c r="C157" i="2"/>
  <c r="M160" i="2"/>
  <c r="L160" i="2"/>
  <c r="M159" i="2"/>
  <c r="L159" i="2"/>
  <c r="M158" i="2"/>
  <c r="L158" i="2"/>
  <c r="M157" i="2"/>
  <c r="L157" i="2"/>
  <c r="N157" i="2" s="1"/>
  <c r="M156" i="2"/>
  <c r="O156" i="2" s="1"/>
  <c r="P156" i="2" s="1"/>
  <c r="L156" i="2"/>
  <c r="N156" i="2" s="1"/>
  <c r="N163" i="2" l="1"/>
  <c r="O159" i="2"/>
  <c r="Q169" i="2"/>
  <c r="N162" i="2"/>
  <c r="R178" i="2"/>
  <c r="O162" i="2"/>
  <c r="P162" i="2" s="1"/>
  <c r="N168" i="2"/>
  <c r="Q178" i="2"/>
  <c r="S169" i="2"/>
  <c r="N160" i="2"/>
  <c r="N164" i="2"/>
  <c r="O168" i="2"/>
  <c r="P168" i="2" s="1"/>
  <c r="O160" i="2"/>
  <c r="P160" i="2" s="1"/>
  <c r="P178" i="2"/>
  <c r="S178" i="2" s="1"/>
  <c r="Q174" i="2"/>
  <c r="P173" i="2"/>
  <c r="R174" i="2"/>
  <c r="R169" i="2"/>
  <c r="P174" i="2"/>
  <c r="S174" i="2" s="1"/>
  <c r="O167" i="2"/>
  <c r="P167" i="2" s="1"/>
  <c r="N167" i="2"/>
  <c r="N166" i="2"/>
  <c r="O166" i="2"/>
  <c r="P166" i="2" s="1"/>
  <c r="O165" i="2"/>
  <c r="N165" i="2"/>
  <c r="O164" i="2"/>
  <c r="P164" i="2" s="1"/>
  <c r="O163" i="2"/>
  <c r="P163" i="2" s="1"/>
  <c r="N161" i="2"/>
  <c r="O161" i="2"/>
  <c r="N159" i="2"/>
  <c r="O158" i="2"/>
  <c r="P158" i="2" s="1"/>
  <c r="P159" i="2"/>
  <c r="N158" i="2"/>
  <c r="O157" i="2"/>
  <c r="P157" i="2" s="1"/>
  <c r="L153" i="2"/>
  <c r="N153" i="2" s="1"/>
  <c r="M153" i="2"/>
  <c r="O153" i="2" s="1"/>
  <c r="P153" i="2" s="1"/>
  <c r="L154" i="2"/>
  <c r="N154" i="2" s="1"/>
  <c r="M154" i="2"/>
  <c r="O154" i="2" s="1"/>
  <c r="L155" i="2"/>
  <c r="N155" i="2" s="1"/>
  <c r="M155" i="2"/>
  <c r="O155" i="2" s="1"/>
  <c r="P155" i="2" s="1"/>
  <c r="Q162" i="2" l="1"/>
  <c r="R165" i="2"/>
  <c r="Q165" i="2"/>
  <c r="P154" i="2"/>
  <c r="S154" i="2" s="1"/>
  <c r="W154" i="2"/>
  <c r="R154" i="2"/>
  <c r="V154" i="2"/>
  <c r="U154" i="2"/>
  <c r="Q154" i="2"/>
  <c r="T154" i="2"/>
  <c r="Q158" i="2"/>
  <c r="P161" i="2"/>
  <c r="S162" i="2" s="1"/>
  <c r="R162" i="2"/>
  <c r="P165" i="2"/>
  <c r="S165" i="2" s="1"/>
  <c r="R158" i="2"/>
  <c r="S158" i="2"/>
  <c r="L149" i="2"/>
  <c r="N149" i="2" s="1"/>
  <c r="M149" i="2"/>
  <c r="O149" i="2" s="1"/>
  <c r="P149" i="2" s="1"/>
  <c r="L150" i="2"/>
  <c r="N150" i="2" s="1"/>
  <c r="M150" i="2"/>
  <c r="O150" i="2" s="1"/>
  <c r="L151" i="2"/>
  <c r="N151" i="2" s="1"/>
  <c r="M151" i="2"/>
  <c r="O151" i="2" s="1"/>
  <c r="P151" i="2" s="1"/>
  <c r="L152" i="2"/>
  <c r="N152" i="2" s="1"/>
  <c r="M152" i="2"/>
  <c r="O152" i="2" s="1"/>
  <c r="P152" i="2" s="1"/>
  <c r="Q150" i="2" l="1"/>
  <c r="P150" i="2"/>
  <c r="S150" i="2" s="1"/>
  <c r="W150" i="2"/>
  <c r="V150" i="2"/>
  <c r="U150" i="2"/>
  <c r="T150" i="2"/>
  <c r="R150" i="2"/>
  <c r="L145" i="2"/>
  <c r="N145" i="2" s="1"/>
  <c r="M145" i="2"/>
  <c r="O145" i="2" s="1"/>
  <c r="P145" i="2" s="1"/>
  <c r="L146" i="2"/>
  <c r="N146" i="2" s="1"/>
  <c r="M146" i="2"/>
  <c r="O146" i="2" s="1"/>
  <c r="P146" i="2" s="1"/>
  <c r="L147" i="2"/>
  <c r="N147" i="2" s="1"/>
  <c r="M147" i="2"/>
  <c r="O147" i="2" s="1"/>
  <c r="P147" i="2" s="1"/>
  <c r="L148" i="2"/>
  <c r="N148" i="2" s="1"/>
  <c r="M148" i="2"/>
  <c r="O148" i="2" s="1"/>
  <c r="P148" i="2" s="1"/>
  <c r="L141" i="2"/>
  <c r="N141" i="2" s="1"/>
  <c r="M141" i="2"/>
  <c r="O141" i="2" s="1"/>
  <c r="P141" i="2" s="1"/>
  <c r="L142" i="2"/>
  <c r="N142" i="2" s="1"/>
  <c r="M142" i="2"/>
  <c r="O142" i="2" s="1"/>
  <c r="P142" i="2" s="1"/>
  <c r="L143" i="2"/>
  <c r="N143" i="2" s="1"/>
  <c r="M143" i="2"/>
  <c r="O143" i="2" s="1"/>
  <c r="P143" i="2" s="1"/>
  <c r="L144" i="2"/>
  <c r="N144" i="2" s="1"/>
  <c r="M144" i="2"/>
  <c r="O144" i="2" s="1"/>
  <c r="P144" i="2" s="1"/>
  <c r="L137" i="2"/>
  <c r="N137" i="2" s="1"/>
  <c r="M137" i="2"/>
  <c r="O137" i="2" s="1"/>
  <c r="P137" i="2" s="1"/>
  <c r="L138" i="2"/>
  <c r="N138" i="2" s="1"/>
  <c r="M138" i="2"/>
  <c r="O138" i="2" s="1"/>
  <c r="L139" i="2"/>
  <c r="N139" i="2" s="1"/>
  <c r="M139" i="2"/>
  <c r="O139" i="2" s="1"/>
  <c r="P139" i="2" s="1"/>
  <c r="L140" i="2"/>
  <c r="N140" i="2" s="1"/>
  <c r="M140" i="2"/>
  <c r="O140" i="2" s="1"/>
  <c r="L133" i="2"/>
  <c r="N133" i="2" s="1"/>
  <c r="M133" i="2"/>
  <c r="O133" i="2" s="1"/>
  <c r="P133" i="2" s="1"/>
  <c r="L134" i="2"/>
  <c r="N134" i="2" s="1"/>
  <c r="M134" i="2"/>
  <c r="O134" i="2" s="1"/>
  <c r="P134" i="2" s="1"/>
  <c r="L135" i="2"/>
  <c r="N135" i="2" s="1"/>
  <c r="M135" i="2"/>
  <c r="O135" i="2" s="1"/>
  <c r="P135" i="2" s="1"/>
  <c r="L136" i="2"/>
  <c r="N136" i="2" s="1"/>
  <c r="M136" i="2"/>
  <c r="O136" i="2" s="1"/>
  <c r="P136" i="2" s="1"/>
  <c r="L129" i="2"/>
  <c r="N129" i="2" s="1"/>
  <c r="M129" i="2"/>
  <c r="O129" i="2" s="1"/>
  <c r="P129" i="2" s="1"/>
  <c r="L130" i="2"/>
  <c r="N130" i="2" s="1"/>
  <c r="M130" i="2"/>
  <c r="O130" i="2" s="1"/>
  <c r="P130" i="2" s="1"/>
  <c r="L131" i="2"/>
  <c r="N131" i="2" s="1"/>
  <c r="M131" i="2"/>
  <c r="O131" i="2" s="1"/>
  <c r="P131" i="2" s="1"/>
  <c r="L132" i="2"/>
  <c r="N132" i="2" s="1"/>
  <c r="M132" i="2"/>
  <c r="O132" i="2" s="1"/>
  <c r="P132" i="2" s="1"/>
  <c r="P138" i="2" l="1"/>
  <c r="R138" i="2"/>
  <c r="Q142" i="2"/>
  <c r="U142" i="2" s="1"/>
  <c r="S142" i="2"/>
  <c r="S134" i="2"/>
  <c r="Q138" i="2"/>
  <c r="T138" i="2" s="1"/>
  <c r="S146" i="2"/>
  <c r="Q146" i="2"/>
  <c r="T146" i="2" s="1"/>
  <c r="Q129" i="2"/>
  <c r="U129" i="2" s="1"/>
  <c r="S129" i="2"/>
  <c r="Q134" i="2"/>
  <c r="U134" i="2" s="1"/>
  <c r="P140" i="2"/>
  <c r="S138" i="2" s="1"/>
  <c r="R134" i="2"/>
  <c r="R146" i="2"/>
  <c r="R129" i="2"/>
  <c r="R142" i="2"/>
  <c r="U12" i="3"/>
  <c r="U10" i="3"/>
  <c r="U8" i="3"/>
  <c r="U6" i="3"/>
  <c r="T142" i="2" l="1"/>
  <c r="U138" i="2"/>
  <c r="U146" i="2"/>
  <c r="T129" i="2"/>
  <c r="T134" i="2"/>
  <c r="W138" i="2"/>
  <c r="V138" i="2"/>
  <c r="W129" i="2"/>
  <c r="V129" i="2"/>
  <c r="W146" i="2"/>
  <c r="V146" i="2"/>
  <c r="W134" i="2"/>
  <c r="V134" i="2"/>
  <c r="W142" i="2"/>
  <c r="V142" i="2"/>
  <c r="L77" i="2"/>
  <c r="M128" i="2" l="1"/>
  <c r="O128" i="2" s="1"/>
  <c r="P128" i="2" s="1"/>
  <c r="L128" i="2"/>
  <c r="N128" i="2" s="1"/>
  <c r="M127" i="2"/>
  <c r="O127" i="2" s="1"/>
  <c r="P127" i="2" s="1"/>
  <c r="L127" i="2"/>
  <c r="N127" i="2" s="1"/>
  <c r="M126" i="2"/>
  <c r="O126" i="2" s="1"/>
  <c r="L126" i="2"/>
  <c r="N126" i="2" s="1"/>
  <c r="M125" i="2"/>
  <c r="O125" i="2" s="1"/>
  <c r="P125" i="2" s="1"/>
  <c r="L125" i="2"/>
  <c r="N125" i="2" s="1"/>
  <c r="M124" i="2"/>
  <c r="O124" i="2" s="1"/>
  <c r="P124" i="2" s="1"/>
  <c r="L124" i="2"/>
  <c r="N124" i="2" s="1"/>
  <c r="M123" i="2"/>
  <c r="O123" i="2" s="1"/>
  <c r="P123" i="2" s="1"/>
  <c r="L123" i="2"/>
  <c r="N123" i="2" s="1"/>
  <c r="M122" i="2"/>
  <c r="O122" i="2" s="1"/>
  <c r="P122" i="2" s="1"/>
  <c r="L122" i="2"/>
  <c r="N122" i="2" s="1"/>
  <c r="M121" i="2"/>
  <c r="O121" i="2" s="1"/>
  <c r="P121" i="2" s="1"/>
  <c r="L121" i="2"/>
  <c r="N121" i="2" s="1"/>
  <c r="R125" i="2" l="1"/>
  <c r="V126" i="2" s="1"/>
  <c r="Q125" i="2"/>
  <c r="U126" i="2" s="1"/>
  <c r="P126" i="2"/>
  <c r="S125" i="2" s="1"/>
  <c r="Q121" i="2"/>
  <c r="U122" i="2" s="1"/>
  <c r="S121" i="2"/>
  <c r="R121" i="2"/>
  <c r="L117" i="2"/>
  <c r="N117" i="2" s="1"/>
  <c r="M117" i="2"/>
  <c r="O117" i="2" s="1"/>
  <c r="P117" i="2" s="1"/>
  <c r="L118" i="2"/>
  <c r="N118" i="2" s="1"/>
  <c r="M118" i="2"/>
  <c r="O118" i="2" s="1"/>
  <c r="L119" i="2"/>
  <c r="N119" i="2" s="1"/>
  <c r="M119" i="2"/>
  <c r="O119" i="2" s="1"/>
  <c r="P119" i="2" s="1"/>
  <c r="L120" i="2"/>
  <c r="N120" i="2" s="1"/>
  <c r="M120" i="2"/>
  <c r="O120" i="2" s="1"/>
  <c r="P120" i="2" s="1"/>
  <c r="L113" i="2"/>
  <c r="N113" i="2" s="1"/>
  <c r="M113" i="2"/>
  <c r="O113" i="2" s="1"/>
  <c r="L114" i="2"/>
  <c r="N114" i="2" s="1"/>
  <c r="M114" i="2"/>
  <c r="O114" i="2" s="1"/>
  <c r="P114" i="2" s="1"/>
  <c r="L115" i="2"/>
  <c r="N115" i="2" s="1"/>
  <c r="M115" i="2"/>
  <c r="O115" i="2" s="1"/>
  <c r="P115" i="2" s="1"/>
  <c r="L116" i="2"/>
  <c r="N116" i="2" s="1"/>
  <c r="M116" i="2"/>
  <c r="O116" i="2" s="1"/>
  <c r="P116" i="2" s="1"/>
  <c r="L111" i="2"/>
  <c r="N111" i="2" s="1"/>
  <c r="M111" i="2"/>
  <c r="O111" i="2" s="1"/>
  <c r="P111" i="2" s="1"/>
  <c r="L112" i="2"/>
  <c r="N112" i="2" s="1"/>
  <c r="M112" i="2"/>
  <c r="O112" i="2" s="1"/>
  <c r="P112" i="2" s="1"/>
  <c r="L110" i="2"/>
  <c r="N110" i="2" s="1"/>
  <c r="M110" i="2"/>
  <c r="O110" i="2" s="1"/>
  <c r="P110" i="2" s="1"/>
  <c r="M109" i="2"/>
  <c r="O109" i="2" s="1"/>
  <c r="P109" i="2" s="1"/>
  <c r="L109" i="2"/>
  <c r="N109" i="2" s="1"/>
  <c r="L105" i="2"/>
  <c r="N105" i="2" s="1"/>
  <c r="M105" i="2"/>
  <c r="O105" i="2" s="1"/>
  <c r="P105" i="2" s="1"/>
  <c r="L106" i="2"/>
  <c r="N106" i="2" s="1"/>
  <c r="M106" i="2"/>
  <c r="O106" i="2" s="1"/>
  <c r="L107" i="2"/>
  <c r="N107" i="2" s="1"/>
  <c r="M107" i="2"/>
  <c r="O107" i="2" s="1"/>
  <c r="P107" i="2" s="1"/>
  <c r="L108" i="2"/>
  <c r="N108" i="2" s="1"/>
  <c r="M108" i="2"/>
  <c r="O108" i="2" s="1"/>
  <c r="P108" i="2" s="1"/>
  <c r="P106" i="2" l="1"/>
  <c r="S105" i="2" s="1"/>
  <c r="R105" i="2"/>
  <c r="V105" i="2" s="1"/>
  <c r="Q105" i="2"/>
  <c r="P118" i="2"/>
  <c r="S117" i="2" s="1"/>
  <c r="R117" i="2"/>
  <c r="V118" i="2" s="1"/>
  <c r="S109" i="2"/>
  <c r="Q113" i="2"/>
  <c r="U113" i="2" s="1"/>
  <c r="U105" i="2"/>
  <c r="Q109" i="2"/>
  <c r="T109" i="2" s="1"/>
  <c r="P113" i="2"/>
  <c r="S113" i="2" s="1"/>
  <c r="R113" i="2"/>
  <c r="Q117" i="2"/>
  <c r="R109" i="2"/>
  <c r="T126" i="2"/>
  <c r="W126" i="2"/>
  <c r="T122" i="2"/>
  <c r="W122" i="2"/>
  <c r="V122" i="2"/>
  <c r="L102" i="2"/>
  <c r="N102" i="2" s="1"/>
  <c r="M102" i="2"/>
  <c r="O102" i="2" s="1"/>
  <c r="L103" i="2"/>
  <c r="N103" i="2" s="1"/>
  <c r="M103" i="2"/>
  <c r="O103" i="2" s="1"/>
  <c r="P103" i="2" s="1"/>
  <c r="L104" i="2"/>
  <c r="N104" i="2" s="1"/>
  <c r="M104" i="2"/>
  <c r="O104" i="2" s="1"/>
  <c r="P104" i="2" s="1"/>
  <c r="M101" i="2"/>
  <c r="O101" i="2" s="1"/>
  <c r="P101" i="2" s="1"/>
  <c r="L101" i="2"/>
  <c r="N101" i="2" s="1"/>
  <c r="U109" i="2" l="1"/>
  <c r="T113" i="2"/>
  <c r="T105" i="2"/>
  <c r="W118" i="2"/>
  <c r="P102" i="2"/>
  <c r="S102" i="2" s="1"/>
  <c r="R102" i="2"/>
  <c r="V109" i="2"/>
  <c r="W109" i="2"/>
  <c r="Q102" i="2"/>
  <c r="V113" i="2"/>
  <c r="W113" i="2"/>
  <c r="U118" i="2"/>
  <c r="T118" i="2"/>
  <c r="W105" i="2"/>
  <c r="L97" i="2"/>
  <c r="N97" i="2" s="1"/>
  <c r="M97" i="2"/>
  <c r="O97" i="2" s="1"/>
  <c r="L98" i="2"/>
  <c r="N98" i="2" s="1"/>
  <c r="M98" i="2"/>
  <c r="O98" i="2" s="1"/>
  <c r="P98" i="2" s="1"/>
  <c r="L99" i="2"/>
  <c r="N99" i="2" s="1"/>
  <c r="M99" i="2"/>
  <c r="O99" i="2" s="1"/>
  <c r="P99" i="2" s="1"/>
  <c r="L100" i="2"/>
  <c r="N100" i="2" s="1"/>
  <c r="M100" i="2"/>
  <c r="O100" i="2" s="1"/>
  <c r="P100" i="2" s="1"/>
  <c r="L93" i="2"/>
  <c r="N93" i="2" s="1"/>
  <c r="M93" i="2"/>
  <c r="O93" i="2" s="1"/>
  <c r="L94" i="2"/>
  <c r="N94" i="2" s="1"/>
  <c r="M94" i="2"/>
  <c r="O94" i="2" s="1"/>
  <c r="L95" i="2"/>
  <c r="N95" i="2" s="1"/>
  <c r="M95" i="2"/>
  <c r="O95" i="2" s="1"/>
  <c r="P95" i="2" s="1"/>
  <c r="L96" i="2"/>
  <c r="N96" i="2" s="1"/>
  <c r="M96" i="2"/>
  <c r="O96" i="2" s="1"/>
  <c r="P96" i="2" s="1"/>
  <c r="Q97" i="2" l="1"/>
  <c r="Q93" i="2"/>
  <c r="U93" i="2" s="1"/>
  <c r="V102" i="2"/>
  <c r="W102" i="2"/>
  <c r="P94" i="2"/>
  <c r="R93" i="2"/>
  <c r="W93" i="2" s="1"/>
  <c r="P97" i="2"/>
  <c r="S97" i="2" s="1"/>
  <c r="R97" i="2"/>
  <c r="U102" i="2"/>
  <c r="T102" i="2"/>
  <c r="P93" i="2"/>
  <c r="L89" i="2"/>
  <c r="N89" i="2" s="1"/>
  <c r="M89" i="2"/>
  <c r="O89" i="2" s="1"/>
  <c r="L90" i="2"/>
  <c r="N90" i="2" s="1"/>
  <c r="M90" i="2"/>
  <c r="O90" i="2" s="1"/>
  <c r="L91" i="2"/>
  <c r="N91" i="2" s="1"/>
  <c r="M91" i="2"/>
  <c r="O91" i="2" s="1"/>
  <c r="P91" i="2" s="1"/>
  <c r="L92" i="2"/>
  <c r="N92" i="2" s="1"/>
  <c r="M92" i="2"/>
  <c r="O92" i="2" s="1"/>
  <c r="P92" i="2" s="1"/>
  <c r="L85" i="2"/>
  <c r="N85" i="2" s="1"/>
  <c r="M85" i="2"/>
  <c r="O85" i="2" s="1"/>
  <c r="P85" i="2" s="1"/>
  <c r="L86" i="2"/>
  <c r="N86" i="2" s="1"/>
  <c r="M86" i="2"/>
  <c r="O86" i="2" s="1"/>
  <c r="L87" i="2"/>
  <c r="N87" i="2" s="1"/>
  <c r="M87" i="2"/>
  <c r="O87" i="2" s="1"/>
  <c r="P87" i="2" s="1"/>
  <c r="L88" i="2"/>
  <c r="N88" i="2" s="1"/>
  <c r="M88" i="2"/>
  <c r="O88" i="2" s="1"/>
  <c r="P88" i="2" s="1"/>
  <c r="L81" i="2"/>
  <c r="N81" i="2" s="1"/>
  <c r="M81" i="2"/>
  <c r="O81" i="2" s="1"/>
  <c r="P81" i="2" s="1"/>
  <c r="L82" i="2"/>
  <c r="N82" i="2" s="1"/>
  <c r="M82" i="2"/>
  <c r="O82" i="2" s="1"/>
  <c r="P82" i="2" s="1"/>
  <c r="L83" i="2"/>
  <c r="N83" i="2" s="1"/>
  <c r="M83" i="2"/>
  <c r="O83" i="2" s="1"/>
  <c r="L84" i="2"/>
  <c r="N84" i="2" s="1"/>
  <c r="M84" i="2"/>
  <c r="O84" i="2" s="1"/>
  <c r="P84" i="2" s="1"/>
  <c r="S93" i="2" l="1"/>
  <c r="Y93" i="2" s="1"/>
  <c r="U97" i="2"/>
  <c r="T97" i="2"/>
  <c r="V97" i="2"/>
  <c r="W97" i="2"/>
  <c r="P90" i="2"/>
  <c r="R89" i="2"/>
  <c r="Y97" i="2"/>
  <c r="X97" i="2"/>
  <c r="Q86" i="2"/>
  <c r="T86" i="2" s="1"/>
  <c r="Q89" i="2"/>
  <c r="U89" i="2" s="1"/>
  <c r="P86" i="2"/>
  <c r="S86" i="2" s="1"/>
  <c r="R86" i="2"/>
  <c r="P89" i="2"/>
  <c r="P83" i="2"/>
  <c r="S83" i="2" s="1"/>
  <c r="R83" i="2"/>
  <c r="V93" i="2"/>
  <c r="Q83" i="2"/>
  <c r="T93" i="2"/>
  <c r="N77" i="2"/>
  <c r="M77" i="2"/>
  <c r="O77" i="2" s="1"/>
  <c r="P77" i="2" s="1"/>
  <c r="L73" i="2"/>
  <c r="N73" i="2" s="1"/>
  <c r="M73" i="2"/>
  <c r="O73" i="2" s="1"/>
  <c r="L74" i="2"/>
  <c r="N74" i="2" s="1"/>
  <c r="M74" i="2"/>
  <c r="O74" i="2" s="1"/>
  <c r="P74" i="2" s="1"/>
  <c r="L75" i="2"/>
  <c r="N75" i="2" s="1"/>
  <c r="M75" i="2"/>
  <c r="O75" i="2" s="1"/>
  <c r="P75" i="2" s="1"/>
  <c r="L76" i="2"/>
  <c r="N76" i="2" s="1"/>
  <c r="M76" i="2"/>
  <c r="O76" i="2" s="1"/>
  <c r="P76" i="2" s="1"/>
  <c r="L78" i="2"/>
  <c r="N78" i="2" s="1"/>
  <c r="M78" i="2"/>
  <c r="O78" i="2" s="1"/>
  <c r="P78" i="2" s="1"/>
  <c r="L79" i="2"/>
  <c r="N79" i="2" s="1"/>
  <c r="M79" i="2"/>
  <c r="O79" i="2" s="1"/>
  <c r="L80" i="2"/>
  <c r="N80" i="2" s="1"/>
  <c r="M80" i="2"/>
  <c r="O80" i="2" s="1"/>
  <c r="P80" i="2" s="1"/>
  <c r="S89" i="2" l="1"/>
  <c r="X89" i="2" s="1"/>
  <c r="U86" i="2"/>
  <c r="X93" i="2"/>
  <c r="R79" i="2"/>
  <c r="P79" i="2"/>
  <c r="S79" i="2" s="1"/>
  <c r="Q79" i="2"/>
  <c r="Q73" i="2"/>
  <c r="T83" i="2"/>
  <c r="U83" i="2"/>
  <c r="X83" i="2"/>
  <c r="Y83" i="2"/>
  <c r="W89" i="2"/>
  <c r="V89" i="2"/>
  <c r="W86" i="2"/>
  <c r="V86" i="2"/>
  <c r="Y86" i="2"/>
  <c r="X86" i="2"/>
  <c r="W83" i="2"/>
  <c r="V83" i="2"/>
  <c r="T89" i="2"/>
  <c r="P73" i="2"/>
  <c r="S73" i="2" s="1"/>
  <c r="R73" i="2"/>
  <c r="L71" i="2"/>
  <c r="N71" i="2" s="1"/>
  <c r="M71" i="2"/>
  <c r="O71" i="2" s="1"/>
  <c r="P71" i="2" s="1"/>
  <c r="L68" i="2"/>
  <c r="N68" i="2" s="1"/>
  <c r="M68" i="2"/>
  <c r="O68" i="2" s="1"/>
  <c r="P68" i="2" s="1"/>
  <c r="L69" i="2"/>
  <c r="N69" i="2" s="1"/>
  <c r="M69" i="2"/>
  <c r="O69" i="2" s="1"/>
  <c r="L70" i="2"/>
  <c r="N70" i="2" s="1"/>
  <c r="M70" i="2"/>
  <c r="O70" i="2" s="1"/>
  <c r="P70" i="2" s="1"/>
  <c r="L72" i="2"/>
  <c r="N72" i="2" s="1"/>
  <c r="M72" i="2"/>
  <c r="O72" i="2" s="1"/>
  <c r="P72" i="2" s="1"/>
  <c r="L64" i="2"/>
  <c r="N64" i="2" s="1"/>
  <c r="M64" i="2"/>
  <c r="O64" i="2" s="1"/>
  <c r="L65" i="2"/>
  <c r="N65" i="2" s="1"/>
  <c r="M65" i="2"/>
  <c r="O65" i="2" s="1"/>
  <c r="P65" i="2" s="1"/>
  <c r="L66" i="2"/>
  <c r="N66" i="2" s="1"/>
  <c r="M66" i="2"/>
  <c r="O66" i="2" s="1"/>
  <c r="P66" i="2" s="1"/>
  <c r="L67" i="2"/>
  <c r="N67" i="2" s="1"/>
  <c r="M67" i="2"/>
  <c r="O67" i="2" s="1"/>
  <c r="P67" i="2" s="1"/>
  <c r="L60" i="2"/>
  <c r="N60" i="2" s="1"/>
  <c r="M60" i="2"/>
  <c r="O60" i="2" s="1"/>
  <c r="P60" i="2" s="1"/>
  <c r="L61" i="2"/>
  <c r="N61" i="2" s="1"/>
  <c r="M61" i="2"/>
  <c r="O61" i="2" s="1"/>
  <c r="P61" i="2" s="1"/>
  <c r="L62" i="2"/>
  <c r="N62" i="2" s="1"/>
  <c r="M62" i="2"/>
  <c r="O62" i="2" s="1"/>
  <c r="P62" i="2" s="1"/>
  <c r="L63" i="2"/>
  <c r="N63" i="2" s="1"/>
  <c r="M63" i="2"/>
  <c r="O63" i="2" s="1"/>
  <c r="P63" i="2" s="1"/>
  <c r="Y89" i="2" l="1"/>
  <c r="Q68" i="2"/>
  <c r="U68" i="2" s="1"/>
  <c r="P69" i="2"/>
  <c r="S68" i="2" s="1"/>
  <c r="R68" i="2"/>
  <c r="S60" i="2"/>
  <c r="Q64" i="2"/>
  <c r="Q60" i="2"/>
  <c r="P64" i="2"/>
  <c r="S64" i="2" s="1"/>
  <c r="R64" i="2"/>
  <c r="U73" i="2"/>
  <c r="T73" i="2"/>
  <c r="U79" i="2"/>
  <c r="T79" i="2"/>
  <c r="R60" i="2"/>
  <c r="W73" i="2"/>
  <c r="V73" i="2"/>
  <c r="Y79" i="2"/>
  <c r="X79" i="2"/>
  <c r="Y73" i="2"/>
  <c r="X73" i="2"/>
  <c r="W79" i="2"/>
  <c r="V79" i="2"/>
  <c r="L56" i="2"/>
  <c r="N56" i="2" s="1"/>
  <c r="M56" i="2"/>
  <c r="O56" i="2" s="1"/>
  <c r="P56" i="2" s="1"/>
  <c r="L57" i="2"/>
  <c r="N57" i="2" s="1"/>
  <c r="M57" i="2"/>
  <c r="O57" i="2" s="1"/>
  <c r="P57" i="2" s="1"/>
  <c r="L58" i="2"/>
  <c r="N58" i="2" s="1"/>
  <c r="M58" i="2"/>
  <c r="O58" i="2" s="1"/>
  <c r="P58" i="2" s="1"/>
  <c r="L59" i="2"/>
  <c r="N59" i="2" s="1"/>
  <c r="M59" i="2"/>
  <c r="O59" i="2" s="1"/>
  <c r="P59" i="2" s="1"/>
  <c r="X60" i="2" l="1"/>
  <c r="Y60" i="2"/>
  <c r="W60" i="2"/>
  <c r="V60" i="2"/>
  <c r="S56" i="2"/>
  <c r="Y56" i="2" s="1"/>
  <c r="Q56" i="2"/>
  <c r="U56" i="2" s="1"/>
  <c r="U60" i="2"/>
  <c r="T60" i="2"/>
  <c r="R56" i="2"/>
  <c r="T68" i="2"/>
  <c r="V68" i="2"/>
  <c r="W68" i="2"/>
  <c r="Y68" i="2"/>
  <c r="X68" i="2"/>
  <c r="M55" i="2"/>
  <c r="O55" i="2" s="1"/>
  <c r="P55" i="2" s="1"/>
  <c r="L55" i="2"/>
  <c r="N55" i="2" s="1"/>
  <c r="M54" i="2"/>
  <c r="O54" i="2" s="1"/>
  <c r="P54" i="2" s="1"/>
  <c r="L54" i="2"/>
  <c r="N54" i="2" s="1"/>
  <c r="M53" i="2"/>
  <c r="O53" i="2" s="1"/>
  <c r="L53" i="2"/>
  <c r="N53" i="2" s="1"/>
  <c r="M52" i="2"/>
  <c r="O52" i="2" s="1"/>
  <c r="P52" i="2" s="1"/>
  <c r="X53" i="2" s="1"/>
  <c r="L52" i="2"/>
  <c r="N52" i="2" s="1"/>
  <c r="M51" i="2"/>
  <c r="O51" i="2" s="1"/>
  <c r="P51" i="2" s="1"/>
  <c r="L51" i="2"/>
  <c r="N51" i="2" s="1"/>
  <c r="M50" i="2"/>
  <c r="O50" i="2" s="1"/>
  <c r="P50" i="2" s="1"/>
  <c r="L50" i="2"/>
  <c r="N50" i="2" s="1"/>
  <c r="M49" i="2"/>
  <c r="O49" i="2" s="1"/>
  <c r="L49" i="2"/>
  <c r="N49" i="2" s="1"/>
  <c r="M48" i="2"/>
  <c r="O48" i="2" s="1"/>
  <c r="P48" i="2" s="1"/>
  <c r="L48" i="2"/>
  <c r="N48" i="2" s="1"/>
  <c r="M47" i="2"/>
  <c r="O47" i="2" s="1"/>
  <c r="P47" i="2" s="1"/>
  <c r="L47" i="2"/>
  <c r="N47" i="2" s="1"/>
  <c r="M46" i="2"/>
  <c r="O46" i="2" s="1"/>
  <c r="P46" i="2" s="1"/>
  <c r="L46" i="2"/>
  <c r="N46" i="2" s="1"/>
  <c r="M45" i="2"/>
  <c r="O45" i="2" s="1"/>
  <c r="P45" i="2" s="1"/>
  <c r="L45" i="2"/>
  <c r="N45" i="2" s="1"/>
  <c r="M44" i="2"/>
  <c r="O44" i="2" s="1"/>
  <c r="P44" i="2" s="1"/>
  <c r="L44" i="2"/>
  <c r="N44" i="2" s="1"/>
  <c r="T56" i="2" l="1"/>
  <c r="X56" i="2"/>
  <c r="S44" i="2"/>
  <c r="P49" i="2"/>
  <c r="S49" i="2" s="1"/>
  <c r="W49" i="2"/>
  <c r="V49" i="2"/>
  <c r="P53" i="2"/>
  <c r="W53" i="2"/>
  <c r="V53" i="2"/>
  <c r="Q44" i="2"/>
  <c r="Q49" i="2"/>
  <c r="U49" i="2"/>
  <c r="T49" i="2"/>
  <c r="Q53" i="2"/>
  <c r="U53" i="2"/>
  <c r="T53" i="2"/>
  <c r="R49" i="2"/>
  <c r="R44" i="2"/>
  <c r="R53" i="2"/>
  <c r="V56" i="2"/>
  <c r="W56" i="2"/>
  <c r="L41" i="2"/>
  <c r="N41" i="2" s="1"/>
  <c r="M41" i="2"/>
  <c r="O41" i="2" s="1"/>
  <c r="P41" i="2" s="1"/>
  <c r="L42" i="2"/>
  <c r="N42" i="2" s="1"/>
  <c r="M42" i="2"/>
  <c r="O42" i="2" s="1"/>
  <c r="P42" i="2" s="1"/>
  <c r="L43" i="2"/>
  <c r="N43" i="2" s="1"/>
  <c r="M43" i="2"/>
  <c r="O43" i="2" s="1"/>
  <c r="P43" i="2" s="1"/>
  <c r="L40" i="2"/>
  <c r="N40" i="2" s="1"/>
  <c r="M40" i="2"/>
  <c r="O40" i="2" s="1"/>
  <c r="L38" i="2"/>
  <c r="N38" i="2" s="1"/>
  <c r="M38" i="2"/>
  <c r="O38" i="2" s="1"/>
  <c r="P38" i="2" s="1"/>
  <c r="L39" i="2"/>
  <c r="N39" i="2" s="1"/>
  <c r="M39" i="2"/>
  <c r="O39" i="2" s="1"/>
  <c r="P39" i="2" s="1"/>
  <c r="L36" i="2"/>
  <c r="N36" i="2" s="1"/>
  <c r="M36" i="2"/>
  <c r="O36" i="2" s="1"/>
  <c r="L37" i="2"/>
  <c r="N37" i="2" s="1"/>
  <c r="M37" i="2"/>
  <c r="O37" i="2" s="1"/>
  <c r="P37" i="2" s="1"/>
  <c r="L33" i="2"/>
  <c r="N33" i="2" s="1"/>
  <c r="M33" i="2"/>
  <c r="O33" i="2" s="1"/>
  <c r="P33" i="2" s="1"/>
  <c r="L34" i="2"/>
  <c r="N34" i="2" s="1"/>
  <c r="M34" i="2"/>
  <c r="O34" i="2" s="1"/>
  <c r="L35" i="2"/>
  <c r="N35" i="2" s="1"/>
  <c r="M35" i="2"/>
  <c r="O35" i="2" s="1"/>
  <c r="P35" i="2" s="1"/>
  <c r="P36" i="2" l="1"/>
  <c r="S36" i="2" s="1"/>
  <c r="W36" i="2"/>
  <c r="V36" i="2"/>
  <c r="U36" i="2"/>
  <c r="T36" i="2"/>
  <c r="Y53" i="2"/>
  <c r="S53" i="2"/>
  <c r="Q40" i="2"/>
  <c r="P40" i="2"/>
  <c r="S40" i="2" s="1"/>
  <c r="R40" i="2"/>
  <c r="Q36" i="2"/>
  <c r="R36" i="2"/>
  <c r="Q33" i="2"/>
  <c r="P34" i="2"/>
  <c r="S33" i="2" s="1"/>
  <c r="R33" i="2"/>
  <c r="L30" i="2"/>
  <c r="N30" i="2" s="1"/>
  <c r="M30" i="2"/>
  <c r="O30" i="2" s="1"/>
  <c r="P30" i="2" s="1"/>
  <c r="L31" i="2"/>
  <c r="N31" i="2" s="1"/>
  <c r="M31" i="2"/>
  <c r="O31" i="2" s="1"/>
  <c r="P31" i="2" s="1"/>
  <c r="L32" i="2"/>
  <c r="N32" i="2" s="1"/>
  <c r="M32" i="2"/>
  <c r="O32" i="2" s="1"/>
  <c r="P32" i="2" s="1"/>
  <c r="S30" i="2" l="1"/>
  <c r="W33" i="2"/>
  <c r="V33" i="2"/>
  <c r="X33" i="2"/>
  <c r="Y33" i="2"/>
  <c r="T33" i="2"/>
  <c r="U33" i="2"/>
  <c r="Q30" i="2"/>
  <c r="R30" i="2"/>
  <c r="L27" i="2"/>
  <c r="N27" i="2" s="1"/>
  <c r="M27" i="2"/>
  <c r="O27" i="2" s="1"/>
  <c r="P27" i="2" s="1"/>
  <c r="L28" i="2"/>
  <c r="N28" i="2" s="1"/>
  <c r="M28" i="2"/>
  <c r="O28" i="2" s="1"/>
  <c r="L29" i="2"/>
  <c r="N29" i="2" s="1"/>
  <c r="M29" i="2"/>
  <c r="O29" i="2" s="1"/>
  <c r="P28" i="2" l="1"/>
  <c r="V27" i="2"/>
  <c r="P29" i="2"/>
  <c r="W27" i="2"/>
  <c r="U27" i="2"/>
  <c r="T27" i="2"/>
  <c r="Q27" i="2"/>
  <c r="R27" i="2"/>
  <c r="L24" i="2"/>
  <c r="N24" i="2" s="1"/>
  <c r="M24" i="2"/>
  <c r="O24" i="2" s="1"/>
  <c r="P24" i="2" s="1"/>
  <c r="L25" i="2"/>
  <c r="N25" i="2" s="1"/>
  <c r="M25" i="2"/>
  <c r="O25" i="2" s="1"/>
  <c r="L26" i="2"/>
  <c r="N26" i="2" s="1"/>
  <c r="M26" i="2"/>
  <c r="O26" i="2" s="1"/>
  <c r="P26" i="2" s="1"/>
  <c r="L21" i="2"/>
  <c r="N21" i="2" s="1"/>
  <c r="M21" i="2"/>
  <c r="O21" i="2" s="1"/>
  <c r="L22" i="2"/>
  <c r="N22" i="2" s="1"/>
  <c r="M22" i="2"/>
  <c r="O22" i="2" s="1"/>
  <c r="L23" i="2"/>
  <c r="N23" i="2" s="1"/>
  <c r="M23" i="2"/>
  <c r="O23" i="2" s="1"/>
  <c r="P23" i="2" s="1"/>
  <c r="Q21" i="2" l="1"/>
  <c r="V21" i="2"/>
  <c r="Y27" i="2"/>
  <c r="S27" i="2"/>
  <c r="X27" i="2"/>
  <c r="P21" i="2"/>
  <c r="U21" i="2"/>
  <c r="T21" i="2"/>
  <c r="P22" i="2"/>
  <c r="W21" i="2"/>
  <c r="P25" i="2"/>
  <c r="S24" i="2" s="1"/>
  <c r="R24" i="2"/>
  <c r="Q24" i="2"/>
  <c r="R21" i="2"/>
  <c r="Y21" i="2" l="1"/>
  <c r="X21" i="2"/>
  <c r="S21" i="2"/>
  <c r="L18" i="2"/>
  <c r="N18" i="2" s="1"/>
  <c r="M18" i="2"/>
  <c r="O18" i="2" s="1"/>
  <c r="L19" i="2"/>
  <c r="N19" i="2" s="1"/>
  <c r="M19" i="2"/>
  <c r="O19" i="2" s="1"/>
  <c r="P19" i="2" s="1"/>
  <c r="L20" i="2"/>
  <c r="N20" i="2" s="1"/>
  <c r="M20" i="2"/>
  <c r="O20" i="2" s="1"/>
  <c r="P20" i="2" s="1"/>
  <c r="L15" i="2"/>
  <c r="N15" i="2" s="1"/>
  <c r="M15" i="2"/>
  <c r="O15" i="2" s="1"/>
  <c r="P15" i="2" s="1"/>
  <c r="L16" i="2"/>
  <c r="N16" i="2" s="1"/>
  <c r="M16" i="2"/>
  <c r="O16" i="2" s="1"/>
  <c r="L17" i="2"/>
  <c r="N17" i="2" s="1"/>
  <c r="M17" i="2"/>
  <c r="O17" i="2" s="1"/>
  <c r="P17" i="2" s="1"/>
  <c r="Q18" i="2" l="1"/>
  <c r="P18" i="2"/>
  <c r="S18" i="2" s="1"/>
  <c r="R18" i="2"/>
  <c r="Q15" i="2"/>
  <c r="P16" i="2"/>
  <c r="S15" i="2" s="1"/>
  <c r="R15" i="2"/>
  <c r="M14" i="2"/>
  <c r="O14" i="2" s="1"/>
  <c r="P14" i="2" s="1"/>
  <c r="L14" i="2"/>
  <c r="N14" i="2" s="1"/>
  <c r="M13" i="2"/>
  <c r="O13" i="2" s="1"/>
  <c r="P13" i="2" s="1"/>
  <c r="L13" i="2"/>
  <c r="N13" i="2" s="1"/>
  <c r="M12" i="2"/>
  <c r="O12" i="2" s="1"/>
  <c r="P12" i="2" s="1"/>
  <c r="L12" i="2"/>
  <c r="N12" i="2" s="1"/>
  <c r="M11" i="2"/>
  <c r="O11" i="2" s="1"/>
  <c r="P11" i="2" s="1"/>
  <c r="L11" i="2"/>
  <c r="N11" i="2" s="1"/>
  <c r="M10" i="2"/>
  <c r="O10" i="2" s="1"/>
  <c r="P10" i="2" s="1"/>
  <c r="L10" i="2"/>
  <c r="N10" i="2" s="1"/>
  <c r="M9" i="2"/>
  <c r="O9" i="2" s="1"/>
  <c r="P9" i="2" s="1"/>
  <c r="L9" i="2"/>
  <c r="N9" i="2" s="1"/>
  <c r="M8" i="2"/>
  <c r="O8" i="2" s="1"/>
  <c r="P8" i="2" s="1"/>
  <c r="L8" i="2"/>
  <c r="N8" i="2" s="1"/>
  <c r="M7" i="2"/>
  <c r="O7" i="2" s="1"/>
  <c r="P7" i="2" s="1"/>
  <c r="L7" i="2"/>
  <c r="N7" i="2" s="1"/>
  <c r="M6" i="2"/>
  <c r="O6" i="2" s="1"/>
  <c r="P6" i="2" s="1"/>
  <c r="L6" i="2"/>
  <c r="N6" i="2" s="1"/>
  <c r="X18" i="2" l="1"/>
  <c r="Y18" i="2"/>
  <c r="Q6" i="2"/>
  <c r="Q12" i="2"/>
  <c r="S12" i="2"/>
  <c r="W18" i="2"/>
  <c r="V18" i="2"/>
  <c r="T18" i="2"/>
  <c r="U18" i="2"/>
  <c r="S6" i="2"/>
  <c r="Q9" i="2"/>
  <c r="S9" i="2"/>
  <c r="R12" i="2"/>
  <c r="R6" i="2"/>
  <c r="R9" i="2"/>
  <c r="M5" i="2"/>
  <c r="O5" i="2" s="1"/>
  <c r="P5" i="2" s="1"/>
  <c r="L5" i="2"/>
  <c r="N5" i="2" s="1"/>
  <c r="M4" i="2"/>
  <c r="O4" i="2" s="1"/>
  <c r="P4" i="2" s="1"/>
  <c r="L4" i="2"/>
  <c r="N4" i="2" s="1"/>
  <c r="M3" i="2"/>
  <c r="O3" i="2" s="1"/>
  <c r="L3" i="2"/>
  <c r="N3" i="2" s="1"/>
  <c r="T12" i="2" l="1"/>
  <c r="U12" i="2"/>
  <c r="W12" i="2"/>
  <c r="V12" i="2"/>
  <c r="X12" i="2"/>
  <c r="Y12" i="2"/>
  <c r="Q3" i="2"/>
  <c r="R3" i="2"/>
  <c r="P3" i="2"/>
  <c r="S3" i="2" s="1"/>
  <c r="I26" i="1"/>
  <c r="I27" i="1"/>
  <c r="I28" i="1"/>
  <c r="I29" i="1"/>
  <c r="I25" i="1"/>
  <c r="H26" i="1"/>
  <c r="H27" i="1"/>
  <c r="H28" i="1"/>
  <c r="H29" i="1"/>
  <c r="H25" i="1"/>
  <c r="Y3" i="2" l="1"/>
  <c r="X3" i="2"/>
  <c r="V3" i="2"/>
  <c r="W3" i="2"/>
  <c r="U3" i="2"/>
  <c r="T3" i="2"/>
  <c r="E3" i="1"/>
  <c r="E2" i="1"/>
  <c r="M11" i="1" l="1"/>
  <c r="M10" i="1"/>
  <c r="M12" i="1"/>
  <c r="M13" i="1"/>
  <c r="M14" i="1"/>
  <c r="M15" i="1"/>
  <c r="M16" i="1"/>
  <c r="M17" i="1"/>
  <c r="M9" i="1"/>
  <c r="L10" i="1"/>
  <c r="L11" i="1"/>
  <c r="L12" i="1"/>
  <c r="L13" i="1"/>
  <c r="L14" i="1"/>
  <c r="L15" i="1"/>
  <c r="L16" i="1"/>
  <c r="L17" i="1"/>
  <c r="L9" i="1"/>
  <c r="R17" i="1"/>
  <c r="R16" i="1"/>
  <c r="R15" i="1"/>
  <c r="R14" i="1"/>
  <c r="R13" i="1"/>
  <c r="R12" i="1"/>
  <c r="R11" i="1"/>
  <c r="R10" i="1"/>
  <c r="R9" i="1"/>
  <c r="P13" i="1" l="1"/>
  <c r="P10" i="1"/>
  <c r="P15" i="1"/>
  <c r="P14" i="1"/>
  <c r="P12" i="1" l="1"/>
  <c r="P11" i="1"/>
  <c r="P17" i="1"/>
  <c r="P9" i="1"/>
  <c r="P16" i="1"/>
</calcChain>
</file>

<file path=xl/sharedStrings.xml><?xml version="1.0" encoding="utf-8"?>
<sst xmlns="http://schemas.openxmlformats.org/spreadsheetml/2006/main" count="588" uniqueCount="530">
  <si>
    <t>Chemical</t>
  </si>
  <si>
    <t>Weight (g)</t>
  </si>
  <si>
    <t>Mw (g/mol)</t>
  </si>
  <si>
    <t>V(mL)</t>
  </si>
  <si>
    <t>C (M)</t>
  </si>
  <si>
    <t>Retention time (min)</t>
  </si>
  <si>
    <t>biphenyl</t>
  </si>
  <si>
    <t>Sample name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</si>
  <si>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IS</t>
    </r>
    <r>
      <rPr>
        <b/>
        <sz val="11"/>
        <color theme="1"/>
        <rFont val="Calibri"/>
        <family val="2"/>
        <scheme val="minor"/>
      </rPr>
      <t xml:space="preserve"> (mL)</t>
    </r>
  </si>
  <si>
    <r>
      <t>V</t>
    </r>
    <r>
      <rPr>
        <b/>
        <vertAlign val="subscript"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(mL)</t>
    </r>
  </si>
  <si>
    <r>
      <t>V</t>
    </r>
    <r>
      <rPr>
        <b/>
        <vertAlign val="subscript"/>
        <sz val="11"/>
        <color theme="1"/>
        <rFont val="Calibri"/>
        <family val="2"/>
        <scheme val="minor"/>
      </rPr>
      <t>EtOH</t>
    </r>
    <r>
      <rPr>
        <b/>
        <sz val="11"/>
        <color theme="1"/>
        <rFont val="Calibri"/>
        <family val="2"/>
        <scheme val="minor"/>
      </rPr>
      <t xml:space="preserve"> (mL)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</si>
  <si>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IS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</si>
  <si>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P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</si>
  <si>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IS</t>
    </r>
    <r>
      <rPr>
        <b/>
        <sz val="11"/>
        <color theme="1"/>
        <rFont val="Calibri"/>
        <family val="2"/>
        <scheme val="minor"/>
      </rPr>
      <t xml:space="preserve"> (M)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</si>
  <si>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(M)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</si>
  <si>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/C</t>
    </r>
    <r>
      <rPr>
        <b/>
        <vertAlign val="subscript"/>
        <sz val="11"/>
        <color theme="1"/>
        <rFont val="Calibri"/>
        <family val="2"/>
        <scheme val="minor"/>
      </rPr>
      <t>IS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</si>
  <si>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/A</t>
    </r>
    <r>
      <rPr>
        <b/>
        <vertAlign val="subscript"/>
        <sz val="11"/>
        <color theme="1"/>
        <rFont val="Calibri"/>
        <family val="2"/>
        <scheme val="minor"/>
      </rPr>
      <t>IS</t>
    </r>
  </si>
  <si>
    <t>CC1</t>
  </si>
  <si>
    <t>CC2</t>
  </si>
  <si>
    <t>CC3</t>
  </si>
  <si>
    <t>CC4</t>
  </si>
  <si>
    <t>CC5</t>
  </si>
  <si>
    <t>CC6</t>
  </si>
  <si>
    <t>CC7</t>
  </si>
  <si>
    <t>CC8</t>
  </si>
  <si>
    <t>Product</t>
  </si>
  <si>
    <t>CC9</t>
  </si>
  <si>
    <t>substrate</t>
  </si>
  <si>
    <t>No.</t>
  </si>
  <si>
    <t>ms /g</t>
  </si>
  <si>
    <t>mi /g</t>
  </si>
  <si>
    <t>ns /mol</t>
  </si>
  <si>
    <t>ni /mol</t>
  </si>
  <si>
    <t>As</t>
  </si>
  <si>
    <t>Ai</t>
  </si>
  <si>
    <t>As/Ai</t>
  </si>
  <si>
    <t>ns/ni</t>
  </si>
  <si>
    <t>fs/fi</t>
  </si>
  <si>
    <t>Name</t>
  </si>
  <si>
    <t>Conc.-IS /M</t>
  </si>
  <si>
    <t>Peak area</t>
  </si>
  <si>
    <t>Conv. /%</t>
  </si>
  <si>
    <t>Yield /%</t>
  </si>
  <si>
    <t>IS</t>
  </si>
  <si>
    <t>Conc.sub /M</t>
  </si>
  <si>
    <t>sub</t>
  </si>
  <si>
    <t>Pro.</t>
  </si>
  <si>
    <t>C-sub/C-IS</t>
  </si>
  <si>
    <t>C-pro/C-IS</t>
  </si>
  <si>
    <t>Residence time /min</t>
  </si>
  <si>
    <t>cyclohexane equiv.</t>
  </si>
  <si>
    <t>Output /g/h</t>
  </si>
  <si>
    <t>Pressure /bar</t>
  </si>
  <si>
    <t>TBADT loading /mol%</t>
  </si>
  <si>
    <t>AM-1-1</t>
  </si>
  <si>
    <t>AM-1-2</t>
  </si>
  <si>
    <t>AM-1-3</t>
  </si>
  <si>
    <t>AM-2-1</t>
  </si>
  <si>
    <t>AM-2-2</t>
  </si>
  <si>
    <t>AM-2-3</t>
  </si>
  <si>
    <t>AM-3-1</t>
  </si>
  <si>
    <t>AM-3-2</t>
  </si>
  <si>
    <t>AM-3-3</t>
  </si>
  <si>
    <t>Aver. Con. /%</t>
  </si>
  <si>
    <t>Aver. Yield /%</t>
  </si>
  <si>
    <t>Aver. Op /g/h</t>
  </si>
  <si>
    <t>AM-1</t>
  </si>
  <si>
    <t>AM-2</t>
  </si>
  <si>
    <t>AM-3</t>
  </si>
  <si>
    <t>AM-4</t>
  </si>
  <si>
    <t>AM-4-1</t>
  </si>
  <si>
    <t>AM-4-2</t>
  </si>
  <si>
    <t>AM-4-3</t>
  </si>
  <si>
    <t>Date</t>
  </si>
  <si>
    <t>AM-5</t>
  </si>
  <si>
    <t>AM-6</t>
  </si>
  <si>
    <t>AM-5-1</t>
  </si>
  <si>
    <t>AM-5-2</t>
  </si>
  <si>
    <t>AM-5-3</t>
  </si>
  <si>
    <t>AM-6-1</t>
  </si>
  <si>
    <t>AM-6-2</t>
  </si>
  <si>
    <t>AM-6-3</t>
  </si>
  <si>
    <t>AM-7-1</t>
  </si>
  <si>
    <t>AM-7-2</t>
  </si>
  <si>
    <t>AM-7-3</t>
  </si>
  <si>
    <t>AM-8-1</t>
  </si>
  <si>
    <t>AM-8-2</t>
  </si>
  <si>
    <t>AM-8-3</t>
  </si>
  <si>
    <t>AM-7</t>
  </si>
  <si>
    <t>AM-8</t>
  </si>
  <si>
    <t>AM-9</t>
  </si>
  <si>
    <t>AM-9-1</t>
  </si>
  <si>
    <t>AM-9-2</t>
  </si>
  <si>
    <t>AM-9-3</t>
  </si>
  <si>
    <t>AM-10-1</t>
  </si>
  <si>
    <t>AM-10-2</t>
  </si>
  <si>
    <t>AM-10-3</t>
  </si>
  <si>
    <t>AM-11-1</t>
  </si>
  <si>
    <t>AM-11-2</t>
  </si>
  <si>
    <t>AM-11-3</t>
  </si>
  <si>
    <t>AM-10</t>
  </si>
  <si>
    <t>AM-11</t>
  </si>
  <si>
    <t>AM-12</t>
  </si>
  <si>
    <t>AM-13</t>
  </si>
  <si>
    <t>AM-12-1</t>
  </si>
  <si>
    <t>AM-12-2</t>
  </si>
  <si>
    <t>AM-12-3</t>
  </si>
  <si>
    <t>AM-12-4</t>
  </si>
  <si>
    <t>AM-13-1</t>
  </si>
  <si>
    <t>AM-13-2</t>
  </si>
  <si>
    <t>AM-13-3</t>
  </si>
  <si>
    <t>AM-13-4</t>
  </si>
  <si>
    <t>AM-14-1</t>
  </si>
  <si>
    <t>AM-14-2</t>
  </si>
  <si>
    <t>AM-14-3</t>
  </si>
  <si>
    <t>AM-14-4</t>
  </si>
  <si>
    <t>AM-14</t>
  </si>
  <si>
    <t>AM-15</t>
  </si>
  <si>
    <t>AM-16</t>
  </si>
  <si>
    <t>AM-15-1</t>
  </si>
  <si>
    <t>AM-15-2</t>
  </si>
  <si>
    <t>AM-15-3</t>
  </si>
  <si>
    <t>AM-15-4</t>
  </si>
  <si>
    <t>AM-16-1</t>
  </si>
  <si>
    <t>AM-16-2</t>
  </si>
  <si>
    <t>AM-16-3</t>
  </si>
  <si>
    <t>AM-16-4</t>
  </si>
  <si>
    <t>with 5% pulsator</t>
  </si>
  <si>
    <t>AM-17-1</t>
  </si>
  <si>
    <t>AM-17-2</t>
  </si>
  <si>
    <t>AM-17-3</t>
  </si>
  <si>
    <t>AM-17-4</t>
  </si>
  <si>
    <t>AM-18-1</t>
  </si>
  <si>
    <t>AM-18-2</t>
  </si>
  <si>
    <t>AM-18-3</t>
  </si>
  <si>
    <t>AM-18-4</t>
  </si>
  <si>
    <t>AM-19-1</t>
  </si>
  <si>
    <t>AM-19-2</t>
  </si>
  <si>
    <t>AM-19-3</t>
  </si>
  <si>
    <t>AM-19-4</t>
  </si>
  <si>
    <t>AM-20-1</t>
  </si>
  <si>
    <t>AM-20-2</t>
  </si>
  <si>
    <t>AM-20-4</t>
  </si>
  <si>
    <t>AM-17</t>
  </si>
  <si>
    <t>AM-18</t>
  </si>
  <si>
    <t>AM-19</t>
  </si>
  <si>
    <t>AM-20</t>
  </si>
  <si>
    <t>AM-20-3_2</t>
  </si>
  <si>
    <t>AM-20-3_1</t>
  </si>
  <si>
    <t>time</t>
  </si>
  <si>
    <t>conversion</t>
  </si>
  <si>
    <t>yield</t>
  </si>
  <si>
    <t>output</t>
  </si>
  <si>
    <t>without pulse</t>
  </si>
  <si>
    <t>with pulse</t>
  </si>
  <si>
    <t>with 10% pulsator</t>
  </si>
  <si>
    <t>with 25% pulsator</t>
  </si>
  <si>
    <t>with 50% pulsator</t>
  </si>
  <si>
    <t>with 75% pulsator</t>
  </si>
  <si>
    <t>with 100% pulsator</t>
  </si>
  <si>
    <t>AM-21</t>
  </si>
  <si>
    <t>AM-22</t>
  </si>
  <si>
    <t>AM-23</t>
  </si>
  <si>
    <t>AM-24</t>
  </si>
  <si>
    <t>AM-25</t>
  </si>
  <si>
    <t>AM-21-1</t>
  </si>
  <si>
    <t>AM-21-2</t>
  </si>
  <si>
    <t>AM-21-3</t>
  </si>
  <si>
    <t>AM-21-4</t>
  </si>
  <si>
    <t>AM-22-1</t>
  </si>
  <si>
    <t>AM-22-2</t>
  </si>
  <si>
    <t>AM-22-3</t>
  </si>
  <si>
    <t>AM-22-4</t>
  </si>
  <si>
    <t>AM-23-1</t>
  </si>
  <si>
    <t>AM-23-2</t>
  </si>
  <si>
    <t>AM-23-3</t>
  </si>
  <si>
    <t>AM-23-4</t>
  </si>
  <si>
    <t>AM-24-1</t>
  </si>
  <si>
    <t>AM-24-2</t>
  </si>
  <si>
    <t>AM-24-3</t>
  </si>
  <si>
    <t>AM-24-4</t>
  </si>
  <si>
    <t>AM-25-1</t>
  </si>
  <si>
    <t>AM-25-2</t>
  </si>
  <si>
    <t>AM-25-3</t>
  </si>
  <si>
    <t>AM-25-4</t>
  </si>
  <si>
    <t xml:space="preserve">	32548	</t>
  </si>
  <si>
    <t>AM-26</t>
  </si>
  <si>
    <t>AM-27</t>
  </si>
  <si>
    <t>AM-26-1</t>
  </si>
  <si>
    <t>AM-26-2</t>
  </si>
  <si>
    <t>AM-26-3</t>
  </si>
  <si>
    <t>AM-26-4</t>
  </si>
  <si>
    <t>AM-27-1</t>
  </si>
  <si>
    <t>AM-27-2</t>
  </si>
  <si>
    <t>AM-27-3</t>
  </si>
  <si>
    <t>AM-27-4</t>
  </si>
  <si>
    <t>pos err con</t>
  </si>
  <si>
    <t>neg err con</t>
  </si>
  <si>
    <t>pos err yie</t>
  </si>
  <si>
    <t>neg err ie</t>
  </si>
  <si>
    <t>pos err out</t>
  </si>
  <si>
    <t>neg err out</t>
  </si>
  <si>
    <t>AM-28-1</t>
  </si>
  <si>
    <t>AM-28-2</t>
  </si>
  <si>
    <t>AM-28-3</t>
  </si>
  <si>
    <t>AM-28-4</t>
  </si>
  <si>
    <t>AM-28</t>
  </si>
  <si>
    <t>AM-29</t>
  </si>
  <si>
    <t>AM-30</t>
  </si>
  <si>
    <t>AM-31</t>
  </si>
  <si>
    <t>AM-32</t>
  </si>
  <si>
    <t>with 10% light</t>
  </si>
  <si>
    <t>with 20% light</t>
  </si>
  <si>
    <t>with 30% light</t>
  </si>
  <si>
    <t>with 50% light</t>
  </si>
  <si>
    <t>with 70% light</t>
  </si>
  <si>
    <t>10%light</t>
  </si>
  <si>
    <t>20%light</t>
  </si>
  <si>
    <t>AM-29-1</t>
  </si>
  <si>
    <t>AM-29-2</t>
  </si>
  <si>
    <t>AM-29-3</t>
  </si>
  <si>
    <t>AM-29-4</t>
  </si>
  <si>
    <t>AM-30-1</t>
  </si>
  <si>
    <t>AM-30-2</t>
  </si>
  <si>
    <t>AM-30-3</t>
  </si>
  <si>
    <t>AM-30-4</t>
  </si>
  <si>
    <t>30%light</t>
  </si>
  <si>
    <t>50%light</t>
  </si>
  <si>
    <t>AM-31-1</t>
  </si>
  <si>
    <t>AM-31-2</t>
  </si>
  <si>
    <t>AM-31-3</t>
  </si>
  <si>
    <t>AM-31-4</t>
  </si>
  <si>
    <t>70%light</t>
  </si>
  <si>
    <t>AM-32-1</t>
  </si>
  <si>
    <t>AM-32-2</t>
  </si>
  <si>
    <t>AM-32-3</t>
  </si>
  <si>
    <t>AM-32-4</t>
  </si>
  <si>
    <t>with 100% light</t>
  </si>
  <si>
    <t>AM-33-1</t>
  </si>
  <si>
    <t>AM-33-2</t>
  </si>
  <si>
    <t>AM-33-3</t>
  </si>
  <si>
    <t>AM-33-4</t>
  </si>
  <si>
    <t>AM-34-1</t>
  </si>
  <si>
    <t>AM-34-2</t>
  </si>
  <si>
    <t>AM-34-3</t>
  </si>
  <si>
    <t>AM-34-4</t>
  </si>
  <si>
    <t>100%light</t>
  </si>
  <si>
    <t>pulsation enhance factor</t>
  </si>
  <si>
    <t>AM-35-1</t>
  </si>
  <si>
    <t>AM-35-2</t>
  </si>
  <si>
    <t>AM-35-3</t>
  </si>
  <si>
    <t>AM-35-4</t>
  </si>
  <si>
    <t>AM-36-1</t>
  </si>
  <si>
    <t>AM-36-2</t>
  </si>
  <si>
    <t>AM-36-3</t>
  </si>
  <si>
    <t>AM-36-4</t>
  </si>
  <si>
    <t>AM-37-1</t>
  </si>
  <si>
    <t>AM-37-2</t>
  </si>
  <si>
    <t>AM-37-3</t>
  </si>
  <si>
    <t>AM-37-4</t>
  </si>
  <si>
    <t>5%P+10%L</t>
  </si>
  <si>
    <t>5%P+20%L</t>
  </si>
  <si>
    <t>5%P+30%L</t>
  </si>
  <si>
    <t>5%P+50%L</t>
  </si>
  <si>
    <t>AM-38-1</t>
  </si>
  <si>
    <t>AM-38-2</t>
  </si>
  <si>
    <t>AM-38-3</t>
  </si>
  <si>
    <t>AM-38-4</t>
  </si>
  <si>
    <t>5%P+70%L</t>
  </si>
  <si>
    <t>AM-33</t>
  </si>
  <si>
    <t>AM-34</t>
  </si>
  <si>
    <t>70% light</t>
  </si>
  <si>
    <t>100% light</t>
  </si>
  <si>
    <t>AM-35</t>
  </si>
  <si>
    <t>AM-36</t>
  </si>
  <si>
    <t>AM-37</t>
  </si>
  <si>
    <t>AM-38</t>
  </si>
  <si>
    <t>AM-39</t>
  </si>
  <si>
    <t>with pulsator</t>
  </si>
  <si>
    <t>without pulsator</t>
  </si>
  <si>
    <t>AM-39-1</t>
  </si>
  <si>
    <t>AM-39-2</t>
  </si>
  <si>
    <t>AM-39-3</t>
  </si>
  <si>
    <t>AM-39-4</t>
  </si>
  <si>
    <t>30% Light</t>
  </si>
  <si>
    <t>50% Light</t>
  </si>
  <si>
    <t>AM-40</t>
  </si>
  <si>
    <t>AM-41</t>
  </si>
  <si>
    <t>AM-40-1</t>
  </si>
  <si>
    <t>AM-40-2</t>
  </si>
  <si>
    <t>AM-40-3</t>
  </si>
  <si>
    <t>AM-40-4</t>
  </si>
  <si>
    <t>30% light</t>
  </si>
  <si>
    <t>AM-41-1</t>
  </si>
  <si>
    <t>AM-41-2</t>
  </si>
  <si>
    <t>AM-41-3</t>
  </si>
  <si>
    <t>AM-41-4</t>
  </si>
  <si>
    <t>50% light</t>
  </si>
  <si>
    <t>AM-42-1</t>
  </si>
  <si>
    <t>AM-42-2</t>
  </si>
  <si>
    <t>AM-42-3</t>
  </si>
  <si>
    <t>AM-42-4</t>
  </si>
  <si>
    <t>AM-43-1</t>
  </si>
  <si>
    <t>AM-43-2</t>
  </si>
  <si>
    <t>AM-43-3</t>
  </si>
  <si>
    <t>AM-43-4</t>
  </si>
  <si>
    <t>AM-44-1</t>
  </si>
  <si>
    <t>AM-44-2</t>
  </si>
  <si>
    <t>AM-44-3</t>
  </si>
  <si>
    <t>AM-44-4</t>
  </si>
  <si>
    <t>AM-42</t>
  </si>
  <si>
    <t>AM-43</t>
  </si>
  <si>
    <t>AM-44</t>
  </si>
  <si>
    <t>AM-45-1</t>
  </si>
  <si>
    <t>AM-45-2</t>
  </si>
  <si>
    <t>AM-45-3</t>
  </si>
  <si>
    <t>AM-45-4</t>
  </si>
  <si>
    <t>AM-46-1</t>
  </si>
  <si>
    <t>AM-46-2</t>
  </si>
  <si>
    <t>AM-46-3</t>
  </si>
  <si>
    <t>AM-46-4</t>
  </si>
  <si>
    <t>AM-47-1</t>
  </si>
  <si>
    <t>AM-47-2</t>
  </si>
  <si>
    <t>AM-47-3</t>
  </si>
  <si>
    <t>AM-47-4</t>
  </si>
  <si>
    <t>AM-47-5</t>
  </si>
  <si>
    <t>AM-48-1</t>
  </si>
  <si>
    <t>AM-48-2</t>
  </si>
  <si>
    <t>AM-48-3</t>
  </si>
  <si>
    <t>AM-48-4</t>
  </si>
  <si>
    <t>AM-49-1</t>
  </si>
  <si>
    <t>AM-49-2</t>
  </si>
  <si>
    <t>AM-49-3</t>
  </si>
  <si>
    <t>AM-49-4</t>
  </si>
  <si>
    <t>AM-50-1</t>
  </si>
  <si>
    <t>AM-50-2</t>
  </si>
  <si>
    <t>AM-50-3</t>
  </si>
  <si>
    <t>AM-50-4</t>
  </si>
  <si>
    <t>AM-51-1</t>
  </si>
  <si>
    <t>AM-51-2</t>
  </si>
  <si>
    <t>AM-51-3</t>
  </si>
  <si>
    <t>AM-51-4</t>
  </si>
  <si>
    <t>AM-52-1</t>
  </si>
  <si>
    <t>AM-52-2</t>
  </si>
  <si>
    <t>AM-52-3</t>
  </si>
  <si>
    <t>AM-52-4</t>
  </si>
  <si>
    <t>AM-52-5</t>
  </si>
  <si>
    <t>AM-45</t>
  </si>
  <si>
    <t>20% light</t>
  </si>
  <si>
    <t>AM-46</t>
  </si>
  <si>
    <t>AM-47</t>
  </si>
  <si>
    <t>AM-48</t>
  </si>
  <si>
    <t>AM-49</t>
  </si>
  <si>
    <t>AM-50</t>
  </si>
  <si>
    <t>AM-51</t>
  </si>
  <si>
    <t>AM-52</t>
  </si>
  <si>
    <t>AM-53-1</t>
  </si>
  <si>
    <t>AM-53-2</t>
  </si>
  <si>
    <t>AM-53-3</t>
  </si>
  <si>
    <t>AM-53-4</t>
  </si>
  <si>
    <t>AM-53-5</t>
  </si>
  <si>
    <t>AM-54-1</t>
  </si>
  <si>
    <t>AM-54-2</t>
  </si>
  <si>
    <t>AM-54-3</t>
  </si>
  <si>
    <t>AM-54-4</t>
  </si>
  <si>
    <t>AM-53</t>
  </si>
  <si>
    <t>AM-54</t>
  </si>
  <si>
    <t>AM-55-1</t>
  </si>
  <si>
    <t>AM-55-2</t>
  </si>
  <si>
    <t>AM-55-3</t>
  </si>
  <si>
    <t>AM-55-4</t>
  </si>
  <si>
    <t>AM-55</t>
  </si>
  <si>
    <t>AM-56</t>
  </si>
  <si>
    <t>AM-57</t>
  </si>
  <si>
    <t>AM-58</t>
  </si>
  <si>
    <t>AM-59</t>
  </si>
  <si>
    <t>AM-60</t>
  </si>
  <si>
    <t>AM-61</t>
  </si>
  <si>
    <t>AM-62</t>
  </si>
  <si>
    <t>AM-63</t>
  </si>
  <si>
    <t>AM-56-1</t>
  </si>
  <si>
    <t>AM-56-2</t>
  </si>
  <si>
    <t>AM-56-3</t>
  </si>
  <si>
    <t>AM-56-t</t>
  </si>
  <si>
    <t>AM-57-1</t>
  </si>
  <si>
    <t>AM-57-2</t>
  </si>
  <si>
    <t>AM-57-3</t>
  </si>
  <si>
    <t>AM-57-4</t>
  </si>
  <si>
    <t>Output /mmol/h</t>
  </si>
  <si>
    <t>AM-58-1</t>
  </si>
  <si>
    <t>AM-58-2</t>
  </si>
  <si>
    <t>AM-58-3</t>
  </si>
  <si>
    <t>AM-58-4</t>
  </si>
  <si>
    <t>AM-59-1</t>
  </si>
  <si>
    <t>AM-59-2</t>
  </si>
  <si>
    <t>AM-59-3</t>
  </si>
  <si>
    <t>AM-59-4</t>
  </si>
  <si>
    <t>AM-60-1</t>
  </si>
  <si>
    <t>AM-60-2</t>
  </si>
  <si>
    <t>AM-60-3</t>
  </si>
  <si>
    <t>AM-60-4</t>
  </si>
  <si>
    <t>AM-61-1</t>
  </si>
  <si>
    <t>AM-61-2</t>
  </si>
  <si>
    <t>AM-61-3</t>
  </si>
  <si>
    <t>AM-61-4</t>
  </si>
  <si>
    <t>AM-62-1</t>
  </si>
  <si>
    <t>AM-62-2</t>
  </si>
  <si>
    <t>AM-62-3</t>
  </si>
  <si>
    <t>AM-62-4</t>
  </si>
  <si>
    <t>AM-63-1</t>
  </si>
  <si>
    <t>AM-63-2</t>
  </si>
  <si>
    <t>AM-63-3</t>
  </si>
  <si>
    <t>AM-63-5</t>
  </si>
  <si>
    <t>AM-64-1</t>
  </si>
  <si>
    <t>AM-64-2</t>
  </si>
  <si>
    <t>AM-64-3</t>
  </si>
  <si>
    <t>AM-64-4</t>
  </si>
  <si>
    <t>AM-64-2D</t>
  </si>
  <si>
    <t>AM-64-3D</t>
  </si>
  <si>
    <t>AM-65-1</t>
  </si>
  <si>
    <t>AM-65-2</t>
  </si>
  <si>
    <t>AM-65-3</t>
  </si>
  <si>
    <t>AM-65-4</t>
  </si>
  <si>
    <t>AM-65-2D</t>
  </si>
  <si>
    <t>AM-65-3D</t>
  </si>
  <si>
    <t>AM-64</t>
  </si>
  <si>
    <t>AM-65</t>
  </si>
  <si>
    <t>AM-66-1</t>
  </si>
  <si>
    <t>AM-66-2</t>
  </si>
  <si>
    <t>AM-66-3</t>
  </si>
  <si>
    <t>AM-66-4</t>
  </si>
  <si>
    <t>AM-66-5</t>
  </si>
  <si>
    <t>AM-66-M</t>
  </si>
  <si>
    <t>AM-67-1</t>
  </si>
  <si>
    <t>AM-67-2</t>
  </si>
  <si>
    <t>AM-67-3</t>
  </si>
  <si>
    <t>AM-67-4</t>
  </si>
  <si>
    <t>AM-67-M</t>
  </si>
  <si>
    <t>AM-68-1</t>
  </si>
  <si>
    <t>AM-68-2</t>
  </si>
  <si>
    <t>AM-68-3</t>
  </si>
  <si>
    <t>AM-68-4</t>
  </si>
  <si>
    <t>AM-68-5</t>
  </si>
  <si>
    <t>AM-69-1</t>
  </si>
  <si>
    <t>AM-69-2</t>
  </si>
  <si>
    <t>AM-69-3</t>
  </si>
  <si>
    <t>AM-69-4</t>
  </si>
  <si>
    <t>AM-70-1</t>
  </si>
  <si>
    <t>AM-70-2</t>
  </si>
  <si>
    <t>AM-70-3</t>
  </si>
  <si>
    <t>AM-70-4</t>
  </si>
  <si>
    <t>AM-71-1</t>
  </si>
  <si>
    <t>AM-71-2</t>
  </si>
  <si>
    <t>AM-71-3</t>
  </si>
  <si>
    <t>AM-71-4</t>
  </si>
  <si>
    <t>AM-71-M</t>
  </si>
  <si>
    <t>AM-72-1</t>
  </si>
  <si>
    <t>AM-72-2</t>
  </si>
  <si>
    <t>AM-72-3</t>
  </si>
  <si>
    <t>AM-72-4</t>
  </si>
  <si>
    <t>AM-72-M</t>
  </si>
  <si>
    <t>AM-66</t>
  </si>
  <si>
    <t>AM-67</t>
  </si>
  <si>
    <t>AM-68</t>
  </si>
  <si>
    <t>AM-69</t>
  </si>
  <si>
    <t>AM-70</t>
  </si>
  <si>
    <t>AM-71</t>
  </si>
  <si>
    <t>AM-72</t>
  </si>
  <si>
    <t>AM-73-1</t>
  </si>
  <si>
    <t>AM-73-2</t>
  </si>
  <si>
    <t>AM-73-3</t>
  </si>
  <si>
    <t>AM-73-4</t>
  </si>
  <si>
    <t>AM-73-5</t>
  </si>
  <si>
    <t>AM-73-M</t>
  </si>
  <si>
    <t>AM-74-1</t>
  </si>
  <si>
    <t>AM-74-2</t>
  </si>
  <si>
    <t>AM-74-3</t>
  </si>
  <si>
    <t>AM-74-4</t>
  </si>
  <si>
    <t>AM-74-5</t>
  </si>
  <si>
    <t>AM-74-M</t>
  </si>
  <si>
    <t>AM-75-1</t>
  </si>
  <si>
    <t>AM-75-2</t>
  </si>
  <si>
    <t>AM-75-3</t>
  </si>
  <si>
    <t>AM-75-4</t>
  </si>
  <si>
    <t>AM-76-1</t>
  </si>
  <si>
    <t>AM-76-2</t>
  </si>
  <si>
    <t>AM-76-3</t>
  </si>
  <si>
    <t>AM-76-4</t>
  </si>
  <si>
    <t>AM-73</t>
  </si>
  <si>
    <t>AM-74</t>
  </si>
  <si>
    <t>AM-75</t>
  </si>
  <si>
    <t>AM-76</t>
  </si>
  <si>
    <t>Entry</t>
  </si>
  <si>
    <t>AM-79-1</t>
  </si>
  <si>
    <t>AM-79-2</t>
  </si>
  <si>
    <t>AM-79-4</t>
  </si>
  <si>
    <t>AM-79-5</t>
  </si>
  <si>
    <t>AM-80-w</t>
  </si>
  <si>
    <t>AM-80-1</t>
  </si>
  <si>
    <t>AM-80-2</t>
  </si>
  <si>
    <t>AM-80-3</t>
  </si>
  <si>
    <t>AM-80-4</t>
  </si>
  <si>
    <t>AM-80-5</t>
  </si>
  <si>
    <t>AM-80-M</t>
  </si>
  <si>
    <t>AM-81-1</t>
  </si>
  <si>
    <t>AM-81-2</t>
  </si>
  <si>
    <t>AM-81-3</t>
  </si>
  <si>
    <t>AM-81-4</t>
  </si>
  <si>
    <t>AM-81-5</t>
  </si>
  <si>
    <t>Scale</t>
  </si>
  <si>
    <t>25 mL</t>
  </si>
  <si>
    <t>GC yield /%</t>
  </si>
  <si>
    <t>isolated yield /%</t>
  </si>
  <si>
    <t>-</t>
  </si>
  <si>
    <t>10  mL</t>
  </si>
  <si>
    <t>10 mL</t>
  </si>
  <si>
    <t>Type</t>
  </si>
  <si>
    <t>5 mL</t>
  </si>
  <si>
    <t>ultrasonic bath</t>
  </si>
  <si>
    <t xml:space="preserve"> to be done</t>
  </si>
  <si>
    <t>AM-83</t>
  </si>
  <si>
    <t>AM-84</t>
  </si>
  <si>
    <t>AM-85</t>
  </si>
  <si>
    <t>ultrasonic tank + new</t>
  </si>
  <si>
    <t>pulsator + new</t>
  </si>
  <si>
    <t>AM-86</t>
  </si>
  <si>
    <t>MeCN:water::7:1</t>
  </si>
  <si>
    <t>AM-87</t>
  </si>
  <si>
    <t>AM-88</t>
  </si>
  <si>
    <t>delta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</si>
</sst>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3" tint="0.79998168889431442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2"/>
        <bgColor rgb="FF000000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0">
    <xf numFmtId="0" fontId="0" fillId="0" borderId="0" xfId="0"/>
    <xf numFmtId="0" fontId="1" fillId="0" borderId="0" xfId="0" applyFont="1"/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  <xf numFmtId="165" fontId="0" fillId="0" borderId="0" xfId="0" applyNumberFormat="1"/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" fontId="0" fillId="3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" fontId="0" fillId="4" borderId="0" xfId="0" applyNumberForma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1" fontId="0" fillId="5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2" fontId="0" fillId="5" borderId="2" xfId="0" applyNumberFormat="1" applyFill="1" applyBorder="1" applyAlignment="1">
      <alignment horizontal="center" vertical="center"/>
    </xf>
    <xf numFmtId="2" fontId="0" fillId="5" borderId="0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0" fillId="3" borderId="2" xfId="0" applyNumberFormat="1" applyFill="1" applyBorder="1" applyAlignment="1">
      <alignment horizontal="center" vertical="center"/>
    </xf>
    <xf numFmtId="2" fontId="0" fillId="3" borderId="0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2" xfId="0" applyNumberFormat="1" applyFill="1" applyBorder="1" applyAlignment="1">
      <alignment horizontal="center" vertical="center"/>
    </xf>
    <xf numFmtId="2" fontId="0" fillId="4" borderId="0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1" fontId="4" fillId="6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1" fontId="4" fillId="7" borderId="0" xfId="0" applyNumberFormat="1" applyFont="1" applyFill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1" fontId="4" fillId="8" borderId="0" xfId="0" applyNumberFormat="1" applyFont="1" applyFill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1" fontId="4" fillId="9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0" fillId="0" borderId="4" xfId="0" applyNumberFormat="1" applyFont="1" applyBorder="1" applyAlignment="1">
      <alignment horizontal="center" vertical="center"/>
    </xf>
    <xf numFmtId="2" fontId="0" fillId="0" borderId="5" xfId="0" applyNumberFormat="1" applyFont="1" applyBorder="1" applyAlignment="1">
      <alignment horizontal="center" vertical="center"/>
    </xf>
    <xf numFmtId="2" fontId="0" fillId="0" borderId="7" xfId="0" applyNumberFormat="1" applyFont="1" applyBorder="1" applyAlignment="1">
      <alignment horizontal="center" vertical="center"/>
    </xf>
    <xf numFmtId="2" fontId="0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4" fontId="0" fillId="11" borderId="0" xfId="0" applyNumberFormat="1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14" fontId="0" fillId="12" borderId="0" xfId="0" applyNumberFormat="1" applyFill="1" applyAlignment="1">
      <alignment horizontal="center" vertical="center"/>
    </xf>
    <xf numFmtId="0" fontId="0" fillId="12" borderId="0" xfId="0" applyFill="1" applyAlignment="1">
      <alignment horizontal="center" vertical="center"/>
    </xf>
    <xf numFmtId="2" fontId="0" fillId="12" borderId="0" xfId="0" applyNumberFormat="1" applyFill="1" applyAlignment="1">
      <alignment horizontal="center" vertical="center"/>
    </xf>
    <xf numFmtId="0" fontId="4" fillId="12" borderId="0" xfId="0" applyFon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2" fontId="0" fillId="5" borderId="0" xfId="0" applyNumberFormat="1" applyFill="1" applyAlignment="1">
      <alignment horizontal="center" vertical="center"/>
    </xf>
    <xf numFmtId="2" fontId="0" fillId="10" borderId="0" xfId="0" applyNumberFormat="1" applyFill="1" applyAlignment="1">
      <alignment horizontal="center" vertical="center"/>
    </xf>
    <xf numFmtId="2" fontId="0" fillId="10" borderId="1" xfId="0" applyNumberFormat="1" applyFill="1" applyBorder="1" applyAlignment="1">
      <alignment horizontal="center" vertical="center"/>
    </xf>
    <xf numFmtId="2" fontId="0" fillId="11" borderId="0" xfId="0" applyNumberForma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4" fontId="0" fillId="3" borderId="0" xfId="0" applyNumberFormat="1" applyFill="1" applyAlignment="1">
      <alignment horizontal="center" vertical="center"/>
    </xf>
    <xf numFmtId="0" fontId="4" fillId="13" borderId="1" xfId="0" applyFont="1" applyFill="1" applyBorder="1" applyAlignment="1">
      <alignment horizontal="center" vertical="center"/>
    </xf>
    <xf numFmtId="0" fontId="4" fillId="13" borderId="0" xfId="0" applyFont="1" applyFill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2" fontId="0" fillId="11" borderId="1" xfId="0" applyNumberForma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2" fontId="5" fillId="4" borderId="0" xfId="0" applyNumberFormat="1" applyFont="1" applyFill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2" fontId="0" fillId="14" borderId="0" xfId="0" applyNumberFormat="1" applyFill="1" applyAlignment="1">
      <alignment horizontal="center" vertical="center"/>
    </xf>
    <xf numFmtId="2" fontId="0" fillId="14" borderId="1" xfId="0" applyNumberFormat="1" applyFill="1" applyBorder="1" applyAlignment="1">
      <alignment horizontal="center" vertical="center"/>
    </xf>
    <xf numFmtId="14" fontId="5" fillId="11" borderId="0" xfId="0" applyNumberFormat="1" applyFont="1" applyFill="1" applyAlignment="1">
      <alignment horizontal="center" vertical="center"/>
    </xf>
    <xf numFmtId="0" fontId="5" fillId="11" borderId="0" xfId="0" applyFont="1" applyFill="1" applyAlignment="1">
      <alignment horizontal="center" vertical="center"/>
    </xf>
    <xf numFmtId="2" fontId="5" fillId="11" borderId="0" xfId="0" applyNumberFormat="1" applyFont="1" applyFill="1" applyAlignment="1">
      <alignment horizontal="center" vertical="center"/>
    </xf>
    <xf numFmtId="14" fontId="5" fillId="14" borderId="0" xfId="0" applyNumberFormat="1" applyFont="1" applyFill="1" applyAlignment="1">
      <alignment horizontal="center" vertical="center"/>
    </xf>
    <xf numFmtId="0" fontId="5" fillId="14" borderId="0" xfId="0" applyFont="1" applyFill="1" applyAlignment="1">
      <alignment horizontal="center" vertical="center"/>
    </xf>
    <xf numFmtId="2" fontId="5" fillId="14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7" fillId="11" borderId="0" xfId="0" applyNumberFormat="1" applyFont="1" applyFill="1" applyAlignment="1">
      <alignment horizontal="center" vertical="center"/>
    </xf>
    <xf numFmtId="2" fontId="4" fillId="13" borderId="1" xfId="0" applyNumberFormat="1" applyFont="1" applyFill="1" applyBorder="1" applyAlignment="1">
      <alignment horizontal="center" vertical="center"/>
    </xf>
    <xf numFmtId="2" fontId="4" fillId="15" borderId="1" xfId="0" applyNumberFormat="1" applyFont="1" applyFill="1" applyBorder="1" applyAlignment="1">
      <alignment horizontal="center" vertical="center"/>
    </xf>
    <xf numFmtId="0" fontId="4" fillId="15" borderId="0" xfId="0" applyFont="1" applyFill="1" applyAlignment="1">
      <alignment horizontal="center" vertical="center"/>
    </xf>
    <xf numFmtId="0" fontId="4" fillId="15" borderId="1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2" fontId="0" fillId="12" borderId="1" xfId="0" applyNumberFormat="1" applyFill="1" applyBorder="1" applyAlignment="1">
      <alignment horizontal="center" vertical="center"/>
    </xf>
    <xf numFmtId="2" fontId="4" fillId="15" borderId="0" xfId="0" applyNumberFormat="1" applyFont="1" applyFill="1" applyAlignment="1">
      <alignment horizontal="center" vertical="center"/>
    </xf>
    <xf numFmtId="165" fontId="4" fillId="15" borderId="0" xfId="0" applyNumberFormat="1" applyFont="1" applyFill="1" applyAlignment="1">
      <alignment horizontal="center" vertical="center"/>
    </xf>
    <xf numFmtId="0" fontId="0" fillId="16" borderId="0" xfId="0" applyFill="1" applyAlignment="1">
      <alignment horizontal="center" vertical="center"/>
    </xf>
    <xf numFmtId="2" fontId="4" fillId="17" borderId="1" xfId="0" applyNumberFormat="1" applyFont="1" applyFill="1" applyBorder="1" applyAlignment="1">
      <alignment horizontal="center" vertical="center"/>
    </xf>
    <xf numFmtId="2" fontId="4" fillId="17" borderId="0" xfId="0" applyNumberFormat="1" applyFont="1" applyFill="1" applyAlignment="1">
      <alignment horizontal="center" vertical="center"/>
    </xf>
    <xf numFmtId="0" fontId="4" fillId="17" borderId="0" xfId="0" applyFont="1" applyFill="1" applyAlignment="1">
      <alignment horizontal="center" vertical="center"/>
    </xf>
    <xf numFmtId="165" fontId="4" fillId="17" borderId="0" xfId="0" applyNumberFormat="1" applyFont="1" applyFill="1" applyAlignment="1">
      <alignment horizontal="center" vertical="center"/>
    </xf>
    <xf numFmtId="0" fontId="4" fillId="17" borderId="1" xfId="0" applyFont="1" applyFill="1" applyBorder="1" applyAlignment="1">
      <alignment horizontal="center" vertical="center"/>
    </xf>
    <xf numFmtId="0" fontId="0" fillId="16" borderId="1" xfId="0" applyFill="1" applyBorder="1" applyAlignment="1">
      <alignment horizontal="center" vertical="center"/>
    </xf>
    <xf numFmtId="2" fontId="0" fillId="16" borderId="0" xfId="0" applyNumberFormat="1" applyFill="1" applyAlignment="1">
      <alignment horizontal="center" vertical="center"/>
    </xf>
    <xf numFmtId="2" fontId="0" fillId="16" borderId="1" xfId="0" applyNumberFormat="1" applyFill="1" applyBorder="1" applyAlignment="1">
      <alignment horizontal="center" vertical="center"/>
    </xf>
    <xf numFmtId="14" fontId="0" fillId="16" borderId="0" xfId="0" applyNumberFormat="1" applyFill="1" applyAlignment="1">
      <alignment horizontal="center" vertical="center"/>
    </xf>
    <xf numFmtId="165" fontId="0" fillId="16" borderId="0" xfId="0" applyNumberForma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18" borderId="0" xfId="0" applyFill="1" applyAlignment="1">
      <alignment horizontal="center" vertical="center"/>
    </xf>
    <xf numFmtId="2" fontId="4" fillId="19" borderId="1" xfId="0" applyNumberFormat="1" applyFont="1" applyFill="1" applyBorder="1" applyAlignment="1">
      <alignment horizontal="center" vertical="center"/>
    </xf>
    <xf numFmtId="2" fontId="4" fillId="19" borderId="0" xfId="0" applyNumberFormat="1" applyFont="1" applyFill="1" applyAlignment="1">
      <alignment horizontal="center" vertical="center"/>
    </xf>
    <xf numFmtId="0" fontId="4" fillId="19" borderId="0" xfId="0" applyFont="1" applyFill="1" applyAlignment="1">
      <alignment horizontal="center" vertical="center"/>
    </xf>
    <xf numFmtId="165" fontId="4" fillId="19" borderId="0" xfId="0" applyNumberFormat="1" applyFont="1" applyFill="1" applyAlignment="1">
      <alignment horizontal="center" vertical="center"/>
    </xf>
    <xf numFmtId="0" fontId="4" fillId="19" borderId="1" xfId="0" applyFont="1" applyFill="1" applyBorder="1" applyAlignment="1">
      <alignment horizontal="center" vertical="center"/>
    </xf>
    <xf numFmtId="0" fontId="0" fillId="18" borderId="1" xfId="0" applyFill="1" applyBorder="1" applyAlignment="1">
      <alignment horizontal="center" vertical="center"/>
    </xf>
    <xf numFmtId="2" fontId="0" fillId="18" borderId="0" xfId="0" applyNumberFormat="1" applyFill="1" applyAlignment="1">
      <alignment horizontal="center" vertical="center"/>
    </xf>
    <xf numFmtId="2" fontId="0" fillId="18" borderId="1" xfId="0" applyNumberFormat="1" applyFill="1" applyBorder="1" applyAlignment="1">
      <alignment horizontal="center" vertical="center"/>
    </xf>
    <xf numFmtId="2" fontId="4" fillId="13" borderId="0" xfId="0" applyNumberFormat="1" applyFont="1" applyFill="1" applyAlignment="1">
      <alignment horizontal="center" vertical="center"/>
    </xf>
    <xf numFmtId="2" fontId="4" fillId="7" borderId="1" xfId="0" applyNumberFormat="1" applyFont="1" applyFill="1" applyBorder="1" applyAlignment="1">
      <alignment horizontal="center" vertical="center"/>
    </xf>
    <xf numFmtId="2" fontId="4" fillId="7" borderId="0" xfId="0" applyNumberFormat="1" applyFont="1" applyFill="1" applyAlignment="1">
      <alignment horizontal="center" vertical="center"/>
    </xf>
    <xf numFmtId="165" fontId="4" fillId="7" borderId="0" xfId="0" applyNumberFormat="1" applyFont="1" applyFill="1" applyAlignment="1">
      <alignment horizontal="center" vertical="center"/>
    </xf>
    <xf numFmtId="165" fontId="4" fillId="13" borderId="0" xfId="0" applyNumberFormat="1" applyFont="1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165" fontId="0" fillId="0" borderId="0" xfId="0" applyNumberForma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5" fontId="0" fillId="12" borderId="0" xfId="0" applyNumberFormat="1" applyFill="1" applyAlignment="1">
      <alignment horizontal="center" vertical="center"/>
    </xf>
    <xf numFmtId="165" fontId="0" fillId="11" borderId="0" xfId="0" applyNumberFormat="1" applyFill="1" applyAlignment="1">
      <alignment horizontal="center" vertical="center"/>
    </xf>
    <xf numFmtId="165" fontId="5" fillId="11" borderId="0" xfId="0" applyNumberFormat="1" applyFont="1" applyFill="1" applyAlignment="1">
      <alignment horizontal="center" vertical="center"/>
    </xf>
    <xf numFmtId="165" fontId="5" fillId="14" borderId="0" xfId="0" applyNumberFormat="1" applyFont="1" applyFill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5" fillId="16" borderId="0" xfId="0" applyFont="1" applyFill="1" applyAlignment="1">
      <alignment horizontal="center" vertical="center"/>
    </xf>
    <xf numFmtId="165" fontId="5" fillId="16" borderId="0" xfId="0" applyNumberFormat="1" applyFont="1" applyFill="1" applyAlignment="1">
      <alignment horizontal="center" vertical="center"/>
    </xf>
    <xf numFmtId="2" fontId="5" fillId="16" borderId="0" xfId="0" applyNumberFormat="1" applyFont="1" applyFill="1" applyAlignment="1">
      <alignment horizontal="center" vertical="center"/>
    </xf>
    <xf numFmtId="0" fontId="8" fillId="16" borderId="0" xfId="0" applyFont="1" applyFill="1" applyAlignment="1">
      <alignment horizontal="center" vertical="center"/>
    </xf>
    <xf numFmtId="165" fontId="8" fillId="16" borderId="0" xfId="0" applyNumberFormat="1" applyFont="1" applyFill="1" applyAlignment="1">
      <alignment horizontal="center" vertical="center"/>
    </xf>
    <xf numFmtId="2" fontId="8" fillId="16" borderId="0" xfId="0" applyNumberFormat="1" applyFont="1" applyFill="1" applyAlignment="1">
      <alignment horizontal="center" vertical="center"/>
    </xf>
    <xf numFmtId="2" fontId="4" fillId="8" borderId="1" xfId="0" applyNumberFormat="1" applyFont="1" applyFill="1" applyBorder="1" applyAlignment="1">
      <alignment horizontal="center" vertical="center"/>
    </xf>
    <xf numFmtId="2" fontId="4" fillId="8" borderId="0" xfId="0" applyNumberFormat="1" applyFont="1" applyFill="1" applyAlignment="1">
      <alignment horizontal="center" vertical="center"/>
    </xf>
    <xf numFmtId="165" fontId="4" fillId="8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12" borderId="0" xfId="0" applyFont="1" applyFill="1" applyAlignment="1">
      <alignment horizontal="center" vertical="center"/>
    </xf>
    <xf numFmtId="2" fontId="5" fillId="15" borderId="1" xfId="0" applyNumberFormat="1" applyFont="1" applyFill="1" applyBorder="1" applyAlignment="1">
      <alignment horizontal="center" vertical="center"/>
    </xf>
    <xf numFmtId="2" fontId="5" fillId="15" borderId="0" xfId="0" applyNumberFormat="1" applyFont="1" applyFill="1" applyAlignment="1">
      <alignment horizontal="center" vertical="center"/>
    </xf>
    <xf numFmtId="0" fontId="5" fillId="15" borderId="0" xfId="0" applyFont="1" applyFill="1" applyAlignment="1">
      <alignment horizontal="center" vertical="center"/>
    </xf>
    <xf numFmtId="165" fontId="5" fillId="15" borderId="0" xfId="0" applyNumberFormat="1" applyFont="1" applyFill="1" applyAlignment="1">
      <alignment horizontal="center" vertical="center"/>
    </xf>
    <xf numFmtId="0" fontId="5" fillId="15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/>
    </xf>
    <xf numFmtId="2" fontId="5" fillId="12" borderId="0" xfId="0" applyNumberFormat="1" applyFont="1" applyFill="1" applyAlignment="1">
      <alignment horizontal="center" vertical="center"/>
    </xf>
    <xf numFmtId="2" fontId="5" fillId="12" borderId="1" xfId="0" applyNumberFormat="1" applyFont="1" applyFill="1" applyBorder="1" applyAlignment="1">
      <alignment horizontal="center" vertical="center"/>
    </xf>
    <xf numFmtId="0" fontId="7" fillId="14" borderId="0" xfId="0" applyFont="1" applyFill="1" applyAlignment="1">
      <alignment horizontal="center" vertical="center"/>
    </xf>
    <xf numFmtId="2" fontId="7" fillId="20" borderId="1" xfId="0" applyNumberFormat="1" applyFont="1" applyFill="1" applyBorder="1" applyAlignment="1">
      <alignment horizontal="center" vertical="center"/>
    </xf>
    <xf numFmtId="2" fontId="7" fillId="20" borderId="0" xfId="0" applyNumberFormat="1" applyFont="1" applyFill="1" applyAlignment="1">
      <alignment horizontal="center" vertical="center"/>
    </xf>
    <xf numFmtId="0" fontId="7" fillId="20" borderId="0" xfId="0" applyFont="1" applyFill="1" applyAlignment="1">
      <alignment horizontal="center" vertical="center"/>
    </xf>
    <xf numFmtId="165" fontId="7" fillId="20" borderId="0" xfId="0" applyNumberFormat="1" applyFont="1" applyFill="1" applyAlignment="1">
      <alignment horizontal="center" vertical="center"/>
    </xf>
    <xf numFmtId="0" fontId="7" fillId="20" borderId="1" xfId="0" applyFont="1" applyFill="1" applyBorder="1" applyAlignment="1">
      <alignment horizontal="center" vertical="center"/>
    </xf>
    <xf numFmtId="0" fontId="7" fillId="14" borderId="1" xfId="0" applyFont="1" applyFill="1" applyBorder="1" applyAlignment="1">
      <alignment horizontal="center" vertical="center"/>
    </xf>
    <xf numFmtId="2" fontId="7" fillId="14" borderId="0" xfId="0" applyNumberFormat="1" applyFont="1" applyFill="1" applyAlignment="1">
      <alignment horizontal="center" vertical="center"/>
    </xf>
    <xf numFmtId="2" fontId="7" fillId="14" borderId="1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5" fillId="20" borderId="1" xfId="0" applyNumberFormat="1" applyFont="1" applyFill="1" applyBorder="1" applyAlignment="1">
      <alignment horizontal="center" vertical="center"/>
    </xf>
    <xf numFmtId="2" fontId="5" fillId="20" borderId="0" xfId="0" applyNumberFormat="1" applyFont="1" applyFill="1" applyAlignment="1">
      <alignment horizontal="center" vertical="center"/>
    </xf>
    <xf numFmtId="0" fontId="5" fillId="20" borderId="0" xfId="0" applyFont="1" applyFill="1" applyAlignment="1">
      <alignment horizontal="center" vertical="center"/>
    </xf>
    <xf numFmtId="165" fontId="5" fillId="20" borderId="0" xfId="0" applyNumberFormat="1" applyFont="1" applyFill="1" applyAlignment="1">
      <alignment horizontal="center" vertical="center"/>
    </xf>
    <xf numFmtId="0" fontId="5" fillId="20" borderId="1" xfId="0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/>
    </xf>
    <xf numFmtId="2" fontId="5" fillId="1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5" fillId="17" borderId="1" xfId="0" applyNumberFormat="1" applyFont="1" applyFill="1" applyBorder="1" applyAlignment="1">
      <alignment horizontal="center" vertical="center"/>
    </xf>
    <xf numFmtId="2" fontId="5" fillId="17" borderId="0" xfId="0" applyNumberFormat="1" applyFont="1" applyFill="1" applyAlignment="1">
      <alignment horizontal="center" vertical="center"/>
    </xf>
    <xf numFmtId="0" fontId="5" fillId="17" borderId="0" xfId="0" applyFont="1" applyFill="1" applyAlignment="1">
      <alignment horizontal="center" vertical="center"/>
    </xf>
    <xf numFmtId="165" fontId="5" fillId="17" borderId="0" xfId="0" applyNumberFormat="1" applyFont="1" applyFill="1" applyAlignment="1">
      <alignment horizontal="center" vertical="center"/>
    </xf>
    <xf numFmtId="0" fontId="5" fillId="17" borderId="1" xfId="0" applyFont="1" applyFill="1" applyBorder="1" applyAlignment="1">
      <alignment horizontal="center" vertical="center"/>
    </xf>
    <xf numFmtId="0" fontId="5" fillId="16" borderId="1" xfId="0" applyFont="1" applyFill="1" applyBorder="1" applyAlignment="1">
      <alignment horizontal="center" vertical="center"/>
    </xf>
    <xf numFmtId="2" fontId="5" fillId="16" borderId="1" xfId="0" applyNumberFormat="1" applyFont="1" applyFill="1" applyBorder="1" applyAlignment="1">
      <alignment horizontal="center" vertical="center"/>
    </xf>
    <xf numFmtId="0" fontId="7" fillId="16" borderId="0" xfId="0" applyFont="1" applyFill="1" applyAlignment="1">
      <alignment horizontal="center" vertical="center"/>
    </xf>
    <xf numFmtId="0" fontId="7" fillId="16" borderId="1" xfId="0" applyFont="1" applyFill="1" applyBorder="1" applyAlignment="1">
      <alignment horizontal="center" vertical="center"/>
    </xf>
    <xf numFmtId="2" fontId="7" fillId="16" borderId="0" xfId="0" applyNumberFormat="1" applyFont="1" applyFill="1" applyAlignment="1">
      <alignment horizontal="center" vertical="center"/>
    </xf>
    <xf numFmtId="2" fontId="7" fillId="16" borderId="1" xfId="0" applyNumberFormat="1" applyFont="1" applyFill="1" applyBorder="1" applyAlignment="1">
      <alignment horizontal="center" vertical="center"/>
    </xf>
    <xf numFmtId="0" fontId="7" fillId="17" borderId="0" xfId="0" applyFont="1" applyFill="1" applyAlignment="1">
      <alignment horizontal="center" vertical="center"/>
    </xf>
    <xf numFmtId="165" fontId="7" fillId="17" borderId="0" xfId="0" applyNumberFormat="1" applyFont="1" applyFill="1" applyAlignment="1">
      <alignment horizontal="center" vertical="center"/>
    </xf>
    <xf numFmtId="0" fontId="7" fillId="17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4" fillId="20" borderId="1" xfId="0" applyNumberFormat="1" applyFont="1" applyFill="1" applyBorder="1" applyAlignment="1">
      <alignment horizontal="center" vertical="center"/>
    </xf>
    <xf numFmtId="2" fontId="4" fillId="20" borderId="0" xfId="0" applyNumberFormat="1" applyFont="1" applyFill="1" applyAlignment="1">
      <alignment horizontal="center" vertical="center"/>
    </xf>
    <xf numFmtId="0" fontId="4" fillId="20" borderId="0" xfId="0" applyFont="1" applyFill="1" applyAlignment="1">
      <alignment horizontal="center" vertical="center"/>
    </xf>
    <xf numFmtId="165" fontId="4" fillId="20" borderId="0" xfId="0" applyNumberFormat="1" applyFont="1" applyFill="1" applyAlignment="1">
      <alignment horizontal="center" vertical="center"/>
    </xf>
    <xf numFmtId="0" fontId="4" fillId="20" borderId="1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19" borderId="0" xfId="0" applyFont="1" applyFill="1" applyAlignment="1">
      <alignment horizontal="center" vertical="center"/>
    </xf>
    <xf numFmtId="165" fontId="7" fillId="19" borderId="0" xfId="0" applyNumberFormat="1" applyFont="1" applyFill="1" applyAlignment="1">
      <alignment horizontal="center" vertical="center"/>
    </xf>
    <xf numFmtId="0" fontId="7" fillId="19" borderId="1" xfId="0" applyFont="1" applyFill="1" applyBorder="1" applyAlignment="1">
      <alignment horizontal="center" vertical="center"/>
    </xf>
    <xf numFmtId="0" fontId="7" fillId="18" borderId="0" xfId="0" applyFont="1" applyFill="1" applyAlignment="1">
      <alignment horizontal="center" vertical="center"/>
    </xf>
    <xf numFmtId="0" fontId="7" fillId="18" borderId="1" xfId="0" applyFont="1" applyFill="1" applyBorder="1" applyAlignment="1">
      <alignment horizontal="center" vertical="center"/>
    </xf>
    <xf numFmtId="2" fontId="7" fillId="18" borderId="0" xfId="0" applyNumberFormat="1" applyFont="1" applyFill="1" applyAlignment="1">
      <alignment horizontal="center" vertical="center"/>
    </xf>
    <xf numFmtId="2" fontId="7" fillId="18" borderId="1" xfId="0" applyNumberFormat="1" applyFont="1" applyFill="1" applyBorder="1" applyAlignment="1">
      <alignment horizontal="center" vertical="center"/>
    </xf>
    <xf numFmtId="2" fontId="4" fillId="19" borderId="2" xfId="0" applyNumberFormat="1" applyFont="1" applyFill="1" applyBorder="1" applyAlignment="1">
      <alignment horizontal="center" vertical="center"/>
    </xf>
    <xf numFmtId="2" fontId="4" fillId="19" borderId="0" xfId="0" applyNumberFormat="1" applyFont="1" applyFill="1" applyBorder="1" applyAlignment="1">
      <alignment horizontal="center" vertical="center"/>
    </xf>
    <xf numFmtId="165" fontId="7" fillId="19" borderId="0" xfId="0" applyNumberFormat="1" applyFont="1" applyFill="1" applyBorder="1" applyAlignment="1">
      <alignment horizontal="center" vertical="center"/>
    </xf>
    <xf numFmtId="165" fontId="4" fillId="19" borderId="0" xfId="0" applyNumberFormat="1" applyFont="1" applyFill="1" applyBorder="1" applyAlignment="1">
      <alignment horizontal="center" vertical="center"/>
    </xf>
    <xf numFmtId="1" fontId="4" fillId="19" borderId="0" xfId="0" applyNumberFormat="1" applyFont="1" applyFill="1" applyBorder="1" applyAlignment="1">
      <alignment horizontal="center" vertical="center"/>
    </xf>
    <xf numFmtId="1" fontId="4" fillId="19" borderId="1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0" fillId="4" borderId="2" xfId="0" applyNumberFormat="1" applyFill="1" applyBorder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165" fontId="0" fillId="0" borderId="9" xfId="0" applyNumberFormat="1" applyBorder="1" applyAlignment="1">
      <alignment horizontal="center" vertical="center" wrapText="1"/>
    </xf>
    <xf numFmtId="165" fontId="0" fillId="0" borderId="10" xfId="0" applyNumberForma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0" borderId="0" xfId="0" applyFill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Product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'Calibration Curve'!$R$9:$R$17</c:f>
              <c:numCache>
                <c:formatCode>0.000</c:formatCode>
                <c:ptCount val="9"/>
                <c:pt idx="0">
                  <c:v>0.12599465831824058</c:v>
                </c:pt>
                <c:pt idx="1">
                  <c:v>0.25888371004520783</c:v>
                </c:pt>
                <c:pt idx="2">
                  <c:v>0.43765242295463747</c:v>
                </c:pt>
                <c:pt idx="3">
                  <c:v>0.69223630842789985</c:v>
                </c:pt>
                <c:pt idx="4">
                  <c:v>1.0126853640882689</c:v>
                </c:pt>
                <c:pt idx="5">
                  <c:v>1.5024117152984939</c:v>
                </c:pt>
                <c:pt idx="6">
                  <c:v>2.3327273365000707</c:v>
                </c:pt>
                <c:pt idx="7">
                  <c:v>4.0192001051959547</c:v>
                </c:pt>
                <c:pt idx="8">
                  <c:v>9.0572237833401523</c:v>
                </c:pt>
              </c:numCache>
            </c:numRef>
          </c:xVal>
          <c:yVal>
            <c:numRef>
              <c:f>'Calibration Curve'!$P$9:$P$17</c:f>
              <c:numCache>
                <c:formatCode>0.000</c:formatCode>
                <c:ptCount val="9"/>
                <c:pt idx="0">
                  <c:v>9.7952355589972506E-2</c:v>
                </c:pt>
                <c:pt idx="1">
                  <c:v>0.22039280007743814</c:v>
                </c:pt>
                <c:pt idx="2">
                  <c:v>0.37781622870417969</c:v>
                </c:pt>
                <c:pt idx="3">
                  <c:v>0.58771413353983504</c:v>
                </c:pt>
                <c:pt idx="4">
                  <c:v>0.88157120030975256</c:v>
                </c:pt>
                <c:pt idx="5">
                  <c:v>1.3223568004646287</c:v>
                </c:pt>
                <c:pt idx="6">
                  <c:v>2.0569994673894225</c:v>
                </c:pt>
                <c:pt idx="7">
                  <c:v>3.5262848012390102</c:v>
                </c:pt>
                <c:pt idx="8">
                  <c:v>7.9341408027877725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97-704D-B096-67479CB6B77F}"/>
            </c:ext>
          </c:extLst>
        </c:ser>
        <c:ser>
          <c:idx val="1"/>
          <c:order val="1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6087882764654418"/>
                  <c:y val="2.0618256051326916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NL"/>
                </a:p>
              </c:txPr>
            </c:trendlineLbl>
          </c:trendline>
          <c:xVal>
            <c:numRef>
              <c:f>'Calibration Curve'!$R$9:$R$17</c:f>
              <c:numCache>
                <c:formatCode>0.000</c:formatCode>
                <c:ptCount val="9"/>
                <c:pt idx="0">
                  <c:v>0.12599465831824058</c:v>
                </c:pt>
                <c:pt idx="1">
                  <c:v>0.25888371004520783</c:v>
                </c:pt>
                <c:pt idx="2">
                  <c:v>0.43765242295463747</c:v>
                </c:pt>
                <c:pt idx="3">
                  <c:v>0.69223630842789985</c:v>
                </c:pt>
                <c:pt idx="4">
                  <c:v>1.0126853640882689</c:v>
                </c:pt>
                <c:pt idx="5">
                  <c:v>1.5024117152984939</c:v>
                </c:pt>
                <c:pt idx="6">
                  <c:v>2.3327273365000707</c:v>
                </c:pt>
                <c:pt idx="7">
                  <c:v>4.0192001051959547</c:v>
                </c:pt>
                <c:pt idx="8">
                  <c:v>9.0572237833401523</c:v>
                </c:pt>
              </c:numCache>
            </c:numRef>
          </c:xVal>
          <c:yVal>
            <c:numRef>
              <c:f>'Calibration Curve'!$P$9:$P$17</c:f>
              <c:numCache>
                <c:formatCode>0.000</c:formatCode>
                <c:ptCount val="9"/>
                <c:pt idx="0">
                  <c:v>9.7952355589972506E-2</c:v>
                </c:pt>
                <c:pt idx="1">
                  <c:v>0.22039280007743814</c:v>
                </c:pt>
                <c:pt idx="2">
                  <c:v>0.37781622870417969</c:v>
                </c:pt>
                <c:pt idx="3">
                  <c:v>0.58771413353983504</c:v>
                </c:pt>
                <c:pt idx="4">
                  <c:v>0.88157120030975256</c:v>
                </c:pt>
                <c:pt idx="5">
                  <c:v>1.3223568004646287</c:v>
                </c:pt>
                <c:pt idx="6">
                  <c:v>2.0569994673894225</c:v>
                </c:pt>
                <c:pt idx="7">
                  <c:v>3.5262848012390102</c:v>
                </c:pt>
                <c:pt idx="8">
                  <c:v>7.9341408027877725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997-704D-B096-67479CB6B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624512"/>
        <c:axId val="322629408"/>
      </c:scatterChart>
      <c:valAx>
        <c:axId val="322624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</a:t>
                </a:r>
                <a:r>
                  <a:rPr lang="en-US" baseline="-25000"/>
                  <a:t>p</a:t>
                </a:r>
                <a:r>
                  <a:rPr lang="en-US"/>
                  <a:t>/A</a:t>
                </a:r>
                <a:r>
                  <a:rPr lang="en-US" baseline="-25000"/>
                  <a:t>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322629408"/>
        <c:crossesAt val="0"/>
        <c:crossBetween val="midCat"/>
      </c:valAx>
      <c:valAx>
        <c:axId val="322629408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</a:t>
                </a:r>
                <a:r>
                  <a:rPr lang="en-US" baseline="-25000"/>
                  <a:t>p</a:t>
                </a:r>
                <a:r>
                  <a:rPr lang="en-US"/>
                  <a:t>/C</a:t>
                </a:r>
                <a:r>
                  <a:rPr lang="en-US" cap="none" baseline="-25000"/>
                  <a:t>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322624512"/>
        <c:crossesAt val="0"/>
        <c:crossBetween val="midCat"/>
        <c:majorUnit val="2"/>
        <c:minorUnit val="1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Substrate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3442208425716093"/>
                  <c:y val="-9.641121867469962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NL"/>
                </a:p>
              </c:txPr>
            </c:trendlineLbl>
          </c:trendline>
          <c:xVal>
            <c:numRef>
              <c:f>'Calibration Curve'!$H$25:$H$29</c:f>
              <c:numCache>
                <c:formatCode>General</c:formatCode>
                <c:ptCount val="5"/>
                <c:pt idx="0">
                  <c:v>0.12602257513573523</c:v>
                </c:pt>
                <c:pt idx="1">
                  <c:v>0.17670976096838079</c:v>
                </c:pt>
                <c:pt idx="2">
                  <c:v>0.24560247531792581</c:v>
                </c:pt>
                <c:pt idx="3">
                  <c:v>0.37790686010855501</c:v>
                </c:pt>
                <c:pt idx="4">
                  <c:v>0.72562390017179412</c:v>
                </c:pt>
              </c:numCache>
            </c:numRef>
          </c:xVal>
          <c:yVal>
            <c:numRef>
              <c:f>'Calibration Curve'!$I$25:$I$29</c:f>
              <c:numCache>
                <c:formatCode>General</c:formatCode>
                <c:ptCount val="5"/>
                <c:pt idx="0">
                  <c:v>0.19034311446181018</c:v>
                </c:pt>
                <c:pt idx="1">
                  <c:v>0.25947067544737917</c:v>
                </c:pt>
                <c:pt idx="2">
                  <c:v>0.35425855657174987</c:v>
                </c:pt>
                <c:pt idx="3">
                  <c:v>0.53870014288303592</c:v>
                </c:pt>
                <c:pt idx="4">
                  <c:v>1.0067546451084106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B9-D747-85C8-B24E03174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631584"/>
        <c:axId val="322632672"/>
      </c:scatterChart>
      <c:valAx>
        <c:axId val="322631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</a:t>
                </a:r>
                <a:r>
                  <a:rPr lang="en-US" baseline="-25000"/>
                  <a:t>sub</a:t>
                </a:r>
                <a:r>
                  <a:rPr lang="en-US"/>
                  <a:t>/A</a:t>
                </a:r>
                <a:r>
                  <a:rPr lang="en-US" baseline="-25000"/>
                  <a:t>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322632672"/>
        <c:crossesAt val="0"/>
        <c:crossBetween val="midCat"/>
      </c:valAx>
      <c:valAx>
        <c:axId val="322632672"/>
        <c:scaling>
          <c:orientation val="minMax"/>
          <c:max val="1.6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</a:t>
                </a:r>
                <a:r>
                  <a:rPr lang="en-US" baseline="-25000"/>
                  <a:t>sub</a:t>
                </a:r>
                <a:r>
                  <a:rPr lang="en-US"/>
                  <a:t>/n</a:t>
                </a:r>
                <a:r>
                  <a:rPr lang="en-US" cap="none" baseline="-25000"/>
                  <a:t>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322631584"/>
        <c:crossesAt val="0"/>
        <c:crossBetween val="midCat"/>
        <c:majorUnit val="0.4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92284273714341"/>
          <c:y val="3.5714285714285712E-2"/>
          <c:w val="0.79584401660775062"/>
          <c:h val="0.78808211473565803"/>
        </c:manualLayout>
      </c:layout>
      <c:scatterChart>
        <c:scatterStyle val="smoothMarker"/>
        <c:varyColors val="0"/>
        <c:ser>
          <c:idx val="0"/>
          <c:order val="0"/>
          <c:tx>
            <c:v>5% pulsation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Results!$N$30:$N$35</c:f>
              <c:numCache>
                <c:formatCode>General</c:formatCode>
                <c:ptCount val="6"/>
                <c:pt idx="0">
                  <c:v>24</c:v>
                </c:pt>
                <c:pt idx="1">
                  <c:v>48</c:v>
                </c:pt>
                <c:pt idx="2">
                  <c:v>72</c:v>
                </c:pt>
                <c:pt idx="3">
                  <c:v>120</c:v>
                </c:pt>
                <c:pt idx="4">
                  <c:v>168</c:v>
                </c:pt>
                <c:pt idx="5">
                  <c:v>240</c:v>
                </c:pt>
              </c:numCache>
            </c:numRef>
          </c:xVal>
          <c:yVal>
            <c:numRef>
              <c:f>Results!$P$30:$P$35</c:f>
              <c:numCache>
                <c:formatCode>0.00</c:formatCode>
                <c:ptCount val="6"/>
                <c:pt idx="0">
                  <c:v>36.442429755642237</c:v>
                </c:pt>
                <c:pt idx="1">
                  <c:v>58.647333542854547</c:v>
                </c:pt>
                <c:pt idx="2">
                  <c:v>66.101376637978888</c:v>
                </c:pt>
                <c:pt idx="3">
                  <c:v>79.255353015763305</c:v>
                </c:pt>
                <c:pt idx="4">
                  <c:v>83.186036457973586</c:v>
                </c:pt>
                <c:pt idx="5">
                  <c:v>86.004183410321545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135-5F43-A6D5-E84BDA6A1076}"/>
            </c:ext>
          </c:extLst>
        </c:ser>
        <c:ser>
          <c:idx val="1"/>
          <c:order val="1"/>
          <c:tx>
            <c:v>Without pulsation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Results!$N$30:$N$35</c:f>
              <c:numCache>
                <c:formatCode>General</c:formatCode>
                <c:ptCount val="6"/>
                <c:pt idx="0">
                  <c:v>24</c:v>
                </c:pt>
                <c:pt idx="1">
                  <c:v>48</c:v>
                </c:pt>
                <c:pt idx="2">
                  <c:v>72</c:v>
                </c:pt>
                <c:pt idx="3">
                  <c:v>120</c:v>
                </c:pt>
                <c:pt idx="4">
                  <c:v>168</c:v>
                </c:pt>
                <c:pt idx="5">
                  <c:v>240</c:v>
                </c:pt>
              </c:numCache>
            </c:numRef>
          </c:xVal>
          <c:yVal>
            <c:numRef>
              <c:f>Results!$Q$30:$Q$35</c:f>
              <c:numCache>
                <c:formatCode>0.00</c:formatCode>
                <c:ptCount val="6"/>
                <c:pt idx="0">
                  <c:v>29.123685206746632</c:v>
                </c:pt>
                <c:pt idx="1">
                  <c:v>52.588913355311512</c:v>
                </c:pt>
                <c:pt idx="2">
                  <c:v>60.32</c:v>
                </c:pt>
                <c:pt idx="3">
                  <c:v>75.680000000000007</c:v>
                </c:pt>
                <c:pt idx="4">
                  <c:v>77.402261547101759</c:v>
                </c:pt>
                <c:pt idx="5">
                  <c:v>81.90571366943567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135-5F43-A6D5-E84BDA6A1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633216"/>
        <c:axId val="163245216"/>
      </c:scatterChart>
      <c:valAx>
        <c:axId val="322633216"/>
        <c:scaling>
          <c:orientation val="minMax"/>
          <c:max val="2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>
                    <a:solidFill>
                      <a:schemeClr val="tx1"/>
                    </a:solidFill>
                  </a:rPr>
                  <a:t>Light power / 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63245216"/>
        <c:crosses val="autoZero"/>
        <c:crossBetween val="midCat"/>
      </c:valAx>
      <c:valAx>
        <c:axId val="163245216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>
                    <a:solidFill>
                      <a:schemeClr val="tx1"/>
                    </a:solidFill>
                  </a:rPr>
                  <a:t>Yield /%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322633216"/>
        <c:crosses val="autoZero"/>
        <c:crossBetween val="midCat"/>
        <c:majorUnit val="2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54884797637289562"/>
          <c:y val="0.55745656792900888"/>
          <c:w val="0.37819120153333435"/>
          <c:h val="0.174769612131816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53788</xdr:colOff>
      <xdr:row>0</xdr:row>
      <xdr:rowOff>80683</xdr:rowOff>
    </xdr:from>
    <xdr:to>
      <xdr:col>25</xdr:col>
      <xdr:colOff>313766</xdr:colOff>
      <xdr:row>20</xdr:row>
      <xdr:rowOff>143436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143436</xdr:colOff>
      <xdr:row>19</xdr:row>
      <xdr:rowOff>161364</xdr:rowOff>
    </xdr:from>
    <xdr:to>
      <xdr:col>18</xdr:col>
      <xdr:colOff>403414</xdr:colOff>
      <xdr:row>40</xdr:row>
      <xdr:rowOff>44823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91440</xdr:colOff>
      <xdr:row>16</xdr:row>
      <xdr:rowOff>175260</xdr:rowOff>
    </xdr:from>
    <xdr:to>
      <xdr:col>24</xdr:col>
      <xdr:colOff>236220</xdr:colOff>
      <xdr:row>34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9"/>
  <sheetViews>
    <sheetView zoomScale="85" zoomScaleNormal="85" workbookViewId="0">
      <selection activeCell="Y47" sqref="Y47"/>
    </sheetView>
  </sheetViews>
  <sheetFormatPr defaultColWidth="8.7109375" defaultRowHeight="15" x14ac:dyDescent="0.25"/>
  <cols>
    <col min="1" max="1" width="16.7109375" customWidth="1"/>
    <col min="2" max="2" width="12.42578125" customWidth="1"/>
    <col min="3" max="3" width="11.7109375" customWidth="1"/>
  </cols>
  <sheetData>
    <row r="1" spans="1:1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G1" s="1" t="s">
        <v>5</v>
      </c>
    </row>
    <row r="2" spans="1:18" x14ac:dyDescent="0.25">
      <c r="A2" t="s">
        <v>25</v>
      </c>
      <c r="B2">
        <v>0.1066</v>
      </c>
      <c r="C2">
        <v>238.15</v>
      </c>
      <c r="D2">
        <v>5</v>
      </c>
      <c r="E2" s="2">
        <f>(B2/C2)/(D2/1000)</f>
        <v>8.9523409615788363E-2</v>
      </c>
      <c r="G2" s="3">
        <v>9.2230000000000008</v>
      </c>
    </row>
    <row r="3" spans="1:18" x14ac:dyDescent="0.25">
      <c r="A3" t="s">
        <v>6</v>
      </c>
      <c r="B3">
        <v>7.8299999999999995E-2</v>
      </c>
      <c r="C3">
        <v>154.21</v>
      </c>
      <c r="D3">
        <v>5</v>
      </c>
      <c r="E3" s="2">
        <f>(B3/C3)/(D3/1000)</f>
        <v>0.10154983464107385</v>
      </c>
      <c r="G3" s="3">
        <v>6.1239999999999997</v>
      </c>
    </row>
    <row r="4" spans="1:18" x14ac:dyDescent="0.25">
      <c r="E4" s="2"/>
      <c r="G4" s="3"/>
    </row>
    <row r="8" spans="1:18" ht="18" x14ac:dyDescent="0.35">
      <c r="A8" s="1" t="s">
        <v>7</v>
      </c>
      <c r="B8" s="1"/>
      <c r="C8" s="1" t="s">
        <v>8</v>
      </c>
      <c r="D8" s="1" t="s">
        <v>9</v>
      </c>
      <c r="E8" s="1" t="s">
        <v>10</v>
      </c>
      <c r="F8" s="1"/>
      <c r="G8" s="1"/>
      <c r="H8" s="1" t="s">
        <v>11</v>
      </c>
      <c r="I8" s="1" t="s">
        <v>12</v>
      </c>
      <c r="J8" s="1"/>
      <c r="K8" s="1"/>
      <c r="L8" s="1" t="s">
        <v>13</v>
      </c>
      <c r="M8" s="1" t="s">
        <v>14</v>
      </c>
      <c r="N8" s="1"/>
      <c r="O8" s="1"/>
      <c r="P8" s="1" t="s">
        <v>15</v>
      </c>
      <c r="Q8" s="1"/>
      <c r="R8" s="1" t="s">
        <v>16</v>
      </c>
    </row>
    <row r="9" spans="1:18" x14ac:dyDescent="0.25">
      <c r="A9" t="s">
        <v>17</v>
      </c>
      <c r="C9">
        <v>0.9</v>
      </c>
      <c r="D9" s="4">
        <v>0.1</v>
      </c>
      <c r="E9" s="5"/>
      <c r="H9">
        <v>7709557</v>
      </c>
      <c r="I9">
        <v>971363</v>
      </c>
      <c r="K9" s="2"/>
      <c r="L9" s="2">
        <f>C9/SUM(C9:D9)*$E$3</f>
        <v>9.1394851176966468E-2</v>
      </c>
      <c r="M9" s="2">
        <f>D9/SUM(C9:D9)*$E$2</f>
        <v>8.952340961578837E-3</v>
      </c>
      <c r="O9" s="2"/>
      <c r="P9" s="2">
        <f>M9/L9</f>
        <v>9.7952355589972506E-2</v>
      </c>
      <c r="Q9" s="2"/>
      <c r="R9" s="2">
        <f>I9/H9</f>
        <v>0.12599465831824058</v>
      </c>
    </row>
    <row r="10" spans="1:18" x14ac:dyDescent="0.25">
      <c r="A10" t="s">
        <v>18</v>
      </c>
      <c r="C10">
        <v>0.8</v>
      </c>
      <c r="D10" s="4">
        <v>0.2</v>
      </c>
      <c r="E10" s="5"/>
      <c r="H10">
        <v>6734236</v>
      </c>
      <c r="I10">
        <v>1743384</v>
      </c>
      <c r="K10" s="2"/>
      <c r="L10" s="2">
        <f t="shared" ref="L10:L17" si="0">C10/SUM(C10:D10)*$E$3</f>
        <v>8.1239867712859085E-2</v>
      </c>
      <c r="M10" s="2">
        <f>D10/SUM(C10:D10)*$E$2</f>
        <v>1.7904681923157674E-2</v>
      </c>
      <c r="O10" s="2"/>
      <c r="P10" s="2">
        <f t="shared" ref="P10:P17" si="1">M10/L10</f>
        <v>0.22039280007743814</v>
      </c>
      <c r="Q10" s="2"/>
      <c r="R10" s="2">
        <f>I10/H10</f>
        <v>0.25888371004520783</v>
      </c>
    </row>
    <row r="11" spans="1:18" x14ac:dyDescent="0.25">
      <c r="A11" t="s">
        <v>19</v>
      </c>
      <c r="C11">
        <v>0.7</v>
      </c>
      <c r="D11" s="4">
        <v>0.3</v>
      </c>
      <c r="E11" s="5"/>
      <c r="H11">
        <v>6213385</v>
      </c>
      <c r="I11">
        <v>2719303</v>
      </c>
      <c r="K11" s="2"/>
      <c r="L11" s="2">
        <f t="shared" si="0"/>
        <v>7.1084884248751687E-2</v>
      </c>
      <c r="M11" s="2">
        <f>D11/SUM(C11:D11)*$E$2</f>
        <v>2.6857022884736508E-2</v>
      </c>
      <c r="O11" s="2"/>
      <c r="P11" s="2">
        <f t="shared" si="1"/>
        <v>0.37781622870417969</v>
      </c>
      <c r="Q11" s="2"/>
      <c r="R11" s="2">
        <f>I11/H11</f>
        <v>0.43765242295463747</v>
      </c>
    </row>
    <row r="12" spans="1:18" x14ac:dyDescent="0.25">
      <c r="A12" t="s">
        <v>20</v>
      </c>
      <c r="C12">
        <v>0.6</v>
      </c>
      <c r="D12" s="4">
        <v>0.4</v>
      </c>
      <c r="E12" s="5"/>
      <c r="H12">
        <v>5049621</v>
      </c>
      <c r="I12">
        <v>3495531</v>
      </c>
      <c r="K12" s="2"/>
      <c r="L12" s="2">
        <f t="shared" si="0"/>
        <v>6.092990078464431E-2</v>
      </c>
      <c r="M12" s="2">
        <f t="shared" ref="M12:M17" si="2">D12/SUM(C12:D12)*$E$2</f>
        <v>3.5809363846315348E-2</v>
      </c>
      <c r="O12" s="2"/>
      <c r="P12" s="2">
        <f t="shared" si="1"/>
        <v>0.58771413353983504</v>
      </c>
      <c r="Q12" s="2"/>
      <c r="R12" s="2">
        <f t="shared" ref="R12:R17" si="3">I12/H12</f>
        <v>0.69223630842789985</v>
      </c>
    </row>
    <row r="13" spans="1:18" x14ac:dyDescent="0.25">
      <c r="A13" t="s">
        <v>21</v>
      </c>
      <c r="C13">
        <v>0.5</v>
      </c>
      <c r="D13" s="4">
        <v>0.5</v>
      </c>
      <c r="E13" s="5"/>
      <c r="H13">
        <v>4012104</v>
      </c>
      <c r="I13">
        <v>4062999</v>
      </c>
      <c r="K13" s="2"/>
      <c r="L13" s="2">
        <f t="shared" si="0"/>
        <v>5.0774917320536926E-2</v>
      </c>
      <c r="M13" s="2">
        <f t="shared" si="2"/>
        <v>4.4761704807894181E-2</v>
      </c>
      <c r="O13" s="2"/>
      <c r="P13" s="2">
        <f t="shared" si="1"/>
        <v>0.88157120030975256</v>
      </c>
      <c r="Q13" s="2"/>
      <c r="R13" s="2">
        <f t="shared" si="3"/>
        <v>1.0126853640882689</v>
      </c>
    </row>
    <row r="14" spans="1:18" x14ac:dyDescent="0.25">
      <c r="A14" t="s">
        <v>22</v>
      </c>
      <c r="C14">
        <v>0.4</v>
      </c>
      <c r="D14" s="4">
        <v>0.6</v>
      </c>
      <c r="E14" s="5"/>
      <c r="H14">
        <v>3215761</v>
      </c>
      <c r="I14">
        <v>4831397</v>
      </c>
      <c r="K14" s="2"/>
      <c r="L14" s="2">
        <f t="shared" si="0"/>
        <v>4.0619933856429542E-2</v>
      </c>
      <c r="M14" s="2">
        <f t="shared" si="2"/>
        <v>5.3714045769473015E-2</v>
      </c>
      <c r="O14" s="2"/>
      <c r="P14" s="2">
        <f t="shared" si="1"/>
        <v>1.3223568004646287</v>
      </c>
      <c r="Q14" s="2"/>
      <c r="R14" s="2">
        <f t="shared" si="3"/>
        <v>1.5024117152984939</v>
      </c>
    </row>
    <row r="15" spans="1:18" x14ac:dyDescent="0.25">
      <c r="A15" t="s">
        <v>23</v>
      </c>
      <c r="B15" s="4"/>
      <c r="C15">
        <v>0.3</v>
      </c>
      <c r="D15" s="4">
        <v>0.7</v>
      </c>
      <c r="E15" s="5"/>
      <c r="H15">
        <v>2537417</v>
      </c>
      <c r="I15">
        <v>5919102</v>
      </c>
      <c r="K15" s="2"/>
      <c r="L15" s="2">
        <f t="shared" si="0"/>
        <v>3.0464950392322155E-2</v>
      </c>
      <c r="M15" s="2">
        <f t="shared" si="2"/>
        <v>6.2666386731051849E-2</v>
      </c>
      <c r="O15" s="2"/>
      <c r="P15" s="2">
        <f>M15/L15</f>
        <v>2.0569994673894225</v>
      </c>
      <c r="Q15" s="2"/>
      <c r="R15" s="2">
        <f>I15/H15</f>
        <v>2.3327273365000707</v>
      </c>
    </row>
    <row r="16" spans="1:18" x14ac:dyDescent="0.25">
      <c r="A16" t="s">
        <v>24</v>
      </c>
      <c r="B16" s="4"/>
      <c r="C16">
        <v>0.2</v>
      </c>
      <c r="D16" s="4">
        <v>0.8</v>
      </c>
      <c r="E16" s="5"/>
      <c r="H16">
        <v>1627439</v>
      </c>
      <c r="I16">
        <v>6541003</v>
      </c>
      <c r="K16" s="2"/>
      <c r="L16" s="2">
        <f t="shared" si="0"/>
        <v>2.0309966928214771E-2</v>
      </c>
      <c r="M16" s="2">
        <f t="shared" si="2"/>
        <v>7.1618727692630696E-2</v>
      </c>
      <c r="O16" s="2"/>
      <c r="P16" s="2">
        <f>M16/L16</f>
        <v>3.5262848012390102</v>
      </c>
      <c r="Q16" s="2"/>
      <c r="R16" s="2">
        <f t="shared" si="3"/>
        <v>4.0192001051959547</v>
      </c>
    </row>
    <row r="17" spans="1:18" x14ac:dyDescent="0.25">
      <c r="A17" t="s">
        <v>26</v>
      </c>
      <c r="B17" s="4"/>
      <c r="C17">
        <v>0.1</v>
      </c>
      <c r="D17" s="4">
        <v>0.9</v>
      </c>
      <c r="E17" s="5"/>
      <c r="H17">
        <v>848039</v>
      </c>
      <c r="I17">
        <v>7680879</v>
      </c>
      <c r="K17" s="2"/>
      <c r="L17" s="2">
        <f t="shared" si="0"/>
        <v>1.0154983464107386E-2</v>
      </c>
      <c r="M17" s="2">
        <f t="shared" si="2"/>
        <v>8.0571068654209529E-2</v>
      </c>
      <c r="O17" s="2"/>
      <c r="P17" s="2">
        <f t="shared" si="1"/>
        <v>7.9341408027877725</v>
      </c>
      <c r="Q17" s="2"/>
      <c r="R17" s="2">
        <f t="shared" si="3"/>
        <v>9.0572237833401523</v>
      </c>
    </row>
    <row r="18" spans="1:18" x14ac:dyDescent="0.25">
      <c r="B18" s="4"/>
      <c r="E18" s="5"/>
      <c r="K18" s="2"/>
      <c r="L18" s="2"/>
      <c r="M18" s="2"/>
      <c r="O18" s="2"/>
      <c r="P18" s="2"/>
      <c r="Q18" s="2"/>
      <c r="R18" s="2"/>
    </row>
    <row r="19" spans="1:18" x14ac:dyDescent="0.25">
      <c r="B19" s="4"/>
      <c r="E19" s="5"/>
      <c r="K19" s="2"/>
      <c r="L19" s="2"/>
      <c r="M19" s="2"/>
      <c r="O19" s="2"/>
      <c r="P19" s="2"/>
      <c r="Q19" s="2"/>
      <c r="R19" s="2"/>
    </row>
    <row r="23" spans="1:18" ht="15.75" x14ac:dyDescent="0.25">
      <c r="A23" s="7" t="s">
        <v>27</v>
      </c>
      <c r="B23" s="6"/>
      <c r="C23" s="6"/>
      <c r="D23" s="6"/>
      <c r="E23" s="6"/>
      <c r="F23" s="6"/>
      <c r="G23" s="6"/>
      <c r="H23" s="6"/>
      <c r="I23" s="6"/>
      <c r="J23" s="6"/>
    </row>
    <row r="24" spans="1:18" x14ac:dyDescent="0.25">
      <c r="A24" s="8" t="s">
        <v>28</v>
      </c>
      <c r="B24" s="8" t="s">
        <v>29</v>
      </c>
      <c r="C24" s="8" t="s">
        <v>30</v>
      </c>
      <c r="D24" s="8" t="s">
        <v>31</v>
      </c>
      <c r="E24" s="8" t="s">
        <v>32</v>
      </c>
      <c r="F24" s="8" t="s">
        <v>33</v>
      </c>
      <c r="G24" s="8" t="s">
        <v>34</v>
      </c>
      <c r="H24" s="8" t="s">
        <v>35</v>
      </c>
      <c r="I24" s="8" t="s">
        <v>36</v>
      </c>
      <c r="J24" s="8" t="s">
        <v>37</v>
      </c>
    </row>
    <row r="25" spans="1:18" x14ac:dyDescent="0.25">
      <c r="A25" s="8">
        <v>1</v>
      </c>
      <c r="B25" s="8">
        <v>1.49E-2</v>
      </c>
      <c r="C25" s="8">
        <v>7.8299999999999995E-2</v>
      </c>
      <c r="D25" s="8">
        <v>9.6646558993319077E-5</v>
      </c>
      <c r="E25" s="8">
        <v>5.0774917320536926E-4</v>
      </c>
      <c r="F25" s="8">
        <v>623427</v>
      </c>
      <c r="G25" s="8">
        <v>4946947</v>
      </c>
      <c r="H25" s="8">
        <f>F25/G25</f>
        <v>0.12602257513573523</v>
      </c>
      <c r="I25" s="8">
        <f>D25/E25</f>
        <v>0.19034311446181018</v>
      </c>
      <c r="J25" s="8">
        <v>1.5103890255916226</v>
      </c>
    </row>
    <row r="26" spans="1:18" x14ac:dyDescent="0.25">
      <c r="A26" s="8">
        <v>2</v>
      </c>
      <c r="B26" s="8">
        <v>0.02</v>
      </c>
      <c r="C26" s="8">
        <v>7.7100000000000002E-2</v>
      </c>
      <c r="D26" s="8">
        <v>1.2972692482324707E-4</v>
      </c>
      <c r="E26" s="8">
        <v>4.9996757668114905E-4</v>
      </c>
      <c r="F26" s="8">
        <v>850793</v>
      </c>
      <c r="G26" s="8">
        <v>4814635</v>
      </c>
      <c r="H26" s="8">
        <f t="shared" ref="H26:H29" si="4">F26/G26</f>
        <v>0.17670976096838079</v>
      </c>
      <c r="I26" s="8">
        <f t="shared" ref="I26:I29" si="5">D26/E26</f>
        <v>0.25947067544737917</v>
      </c>
      <c r="J26" s="8">
        <v>1.4683437633861496</v>
      </c>
    </row>
    <row r="27" spans="1:18" x14ac:dyDescent="0.25">
      <c r="A27" s="8">
        <v>3</v>
      </c>
      <c r="B27" s="8">
        <v>2.7199999999999998E-2</v>
      </c>
      <c r="C27" s="8">
        <v>7.6799999999999993E-2</v>
      </c>
      <c r="D27" s="8">
        <v>1.7642861775961602E-4</v>
      </c>
      <c r="E27" s="8">
        <v>4.9802217755009397E-4</v>
      </c>
      <c r="F27" s="8">
        <v>1139846</v>
      </c>
      <c r="G27" s="8">
        <v>4641020</v>
      </c>
      <c r="H27" s="8">
        <f t="shared" si="4"/>
        <v>0.24560247531792581</v>
      </c>
      <c r="I27" s="8">
        <f t="shared" si="5"/>
        <v>0.35425855657174987</v>
      </c>
      <c r="J27" s="8">
        <v>1.4424062954299288</v>
      </c>
    </row>
    <row r="28" spans="1:18" x14ac:dyDescent="0.25">
      <c r="A28" s="8">
        <v>4</v>
      </c>
      <c r="B28" s="8">
        <v>4.19E-2</v>
      </c>
      <c r="C28" s="8">
        <v>7.7799999999999994E-2</v>
      </c>
      <c r="D28" s="8">
        <v>2.7177790750470263E-4</v>
      </c>
      <c r="E28" s="8">
        <v>5.0450684132027749E-4</v>
      </c>
      <c r="F28" s="8">
        <v>1789570</v>
      </c>
      <c r="G28" s="8">
        <v>4735479</v>
      </c>
      <c r="H28" s="8">
        <f t="shared" si="4"/>
        <v>0.37790686010855501</v>
      </c>
      <c r="I28" s="8">
        <f t="shared" si="5"/>
        <v>0.53870014288303592</v>
      </c>
      <c r="J28" s="8">
        <v>1.4254838949689681</v>
      </c>
    </row>
    <row r="29" spans="1:18" x14ac:dyDescent="0.25">
      <c r="A29" s="8">
        <v>5</v>
      </c>
      <c r="B29" s="8">
        <v>3.1E-2</v>
      </c>
      <c r="C29" s="8">
        <v>3.0800000000000001E-2</v>
      </c>
      <c r="D29" s="8">
        <v>2.0107673347603296E-4</v>
      </c>
      <c r="E29" s="8">
        <v>1.9972764412165228E-4</v>
      </c>
      <c r="F29" s="8">
        <v>3473230</v>
      </c>
      <c r="G29" s="8">
        <v>4786543</v>
      </c>
      <c r="H29" s="8">
        <f t="shared" si="4"/>
        <v>0.72562390017179412</v>
      </c>
      <c r="I29" s="8">
        <f t="shared" si="5"/>
        <v>1.0067546451084106</v>
      </c>
      <c r="J29" s="8">
        <v>1.3874331383931231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35"/>
  <sheetViews>
    <sheetView zoomScaleNormal="100" workbookViewId="0">
      <pane ySplit="1" topLeftCell="A322" activePane="bottomLeft" state="frozen"/>
      <selection pane="bottomLeft" activeCell="Q345" sqref="Q345"/>
    </sheetView>
  </sheetViews>
  <sheetFormatPr defaultColWidth="8.7109375" defaultRowHeight="15" x14ac:dyDescent="0.25"/>
  <cols>
    <col min="1" max="1" width="13.7109375" style="10" customWidth="1"/>
    <col min="2" max="2" width="12.28515625" style="8" customWidth="1"/>
    <col min="3" max="3" width="10.28515625" style="8" customWidth="1"/>
    <col min="4" max="4" width="8.7109375" style="8"/>
    <col min="5" max="6" width="11.140625" style="8" customWidth="1"/>
    <col min="7" max="7" width="13.42578125" style="8" customWidth="1"/>
    <col min="8" max="8" width="11.140625" style="8" customWidth="1"/>
    <col min="9" max="10" width="8.7109375" style="8"/>
    <col min="11" max="11" width="9.140625" style="8" bestFit="1" customWidth="1"/>
    <col min="12" max="12" width="14.140625" style="8" customWidth="1"/>
    <col min="13" max="13" width="8.7109375" style="8"/>
    <col min="14" max="14" width="12.140625" style="88" bestFit="1" customWidth="1"/>
    <col min="15" max="16" width="8.7109375" style="88"/>
    <col min="17" max="17" width="20" style="88" bestFit="1" customWidth="1"/>
    <col min="18" max="18" width="13.5703125" style="88" bestFit="1" customWidth="1"/>
    <col min="19" max="19" width="18.42578125" style="88" customWidth="1"/>
    <col min="20" max="20" width="10.7109375" style="8" customWidth="1"/>
    <col min="21" max="16384" width="8.7109375" style="8"/>
  </cols>
  <sheetData>
    <row r="1" spans="1:25" ht="49.5" customHeight="1" x14ac:dyDescent="0.25">
      <c r="A1" s="275" t="s">
        <v>73</v>
      </c>
      <c r="B1" s="282" t="s">
        <v>38</v>
      </c>
      <c r="C1" s="281" t="s">
        <v>44</v>
      </c>
      <c r="D1" s="283" t="s">
        <v>39</v>
      </c>
      <c r="E1" s="283" t="s">
        <v>49</v>
      </c>
      <c r="F1" s="283" t="s">
        <v>50</v>
      </c>
      <c r="G1" s="283" t="s">
        <v>53</v>
      </c>
      <c r="H1" s="281" t="s">
        <v>52</v>
      </c>
      <c r="I1" s="282" t="s">
        <v>40</v>
      </c>
      <c r="J1" s="282"/>
      <c r="K1" s="284"/>
      <c r="L1" s="285" t="s">
        <v>47</v>
      </c>
      <c r="M1" s="284" t="s">
        <v>48</v>
      </c>
      <c r="N1" s="276" t="s">
        <v>41</v>
      </c>
      <c r="O1" s="277" t="s">
        <v>42</v>
      </c>
      <c r="P1" s="280" t="s">
        <v>51</v>
      </c>
      <c r="Q1" s="279" t="s">
        <v>63</v>
      </c>
      <c r="R1" s="279" t="s">
        <v>64</v>
      </c>
      <c r="S1" s="279" t="s">
        <v>65</v>
      </c>
    </row>
    <row r="2" spans="1:25" x14ac:dyDescent="0.25">
      <c r="A2" s="275"/>
      <c r="B2" s="282"/>
      <c r="C2" s="281"/>
      <c r="D2" s="283"/>
      <c r="E2" s="283"/>
      <c r="F2" s="283"/>
      <c r="G2" s="283"/>
      <c r="H2" s="281"/>
      <c r="I2" s="28" t="s">
        <v>43</v>
      </c>
      <c r="J2" s="28" t="s">
        <v>45</v>
      </c>
      <c r="K2" s="27" t="s">
        <v>46</v>
      </c>
      <c r="L2" s="285"/>
      <c r="M2" s="284"/>
      <c r="N2" s="276"/>
      <c r="O2" s="277"/>
      <c r="P2" s="280"/>
      <c r="Q2" s="279"/>
      <c r="R2" s="279"/>
      <c r="S2" s="279"/>
    </row>
    <row r="3" spans="1:25" x14ac:dyDescent="0.25">
      <c r="A3" s="22">
        <v>43816</v>
      </c>
      <c r="B3" s="29" t="s">
        <v>54</v>
      </c>
      <c r="C3" s="23">
        <v>0.1</v>
      </c>
      <c r="D3" s="17">
        <v>0.1</v>
      </c>
      <c r="E3" s="17">
        <v>15</v>
      </c>
      <c r="F3" s="17">
        <v>10</v>
      </c>
      <c r="G3" s="18">
        <v>2</v>
      </c>
      <c r="H3" s="23">
        <v>1</v>
      </c>
      <c r="I3" s="29">
        <v>5346446</v>
      </c>
      <c r="J3" s="29">
        <v>14223</v>
      </c>
      <c r="K3" s="23">
        <v>5408181</v>
      </c>
      <c r="L3" s="17">
        <f t="shared" ref="L3:L14" si="0">1.4045*(J3/I3)</f>
        <v>3.7363518681381991E-3</v>
      </c>
      <c r="M3" s="23">
        <f t="shared" ref="M3:M14" si="1">0.8764*(K3/I3)</f>
        <v>0.88651972327037443</v>
      </c>
      <c r="N3" s="33">
        <f t="shared" ref="N3:N14" si="2">100*(1-L3/(C3/D3))</f>
        <v>99.626364813186186</v>
      </c>
      <c r="O3" s="34">
        <f t="shared" ref="O3:O14" si="3">100*M3/(C3/D3)</f>
        <v>88.651972327037441</v>
      </c>
      <c r="P3" s="35">
        <f t="shared" ref="P3:P14" si="4">(238.15*C3*(O3/100)*7.5/1000)*(60/E3)</f>
        <v>0.63337401629051893</v>
      </c>
      <c r="Q3" s="279">
        <f>AVERAGE(N3:N5)</f>
        <v>99.747503515636666</v>
      </c>
      <c r="R3" s="279">
        <f t="shared" ref="R3:S3" si="5">AVERAGE(O3:O5)</f>
        <v>87.749367708105396</v>
      </c>
      <c r="S3" s="279">
        <f t="shared" si="5"/>
        <v>0.62692535759055901</v>
      </c>
      <c r="T3" s="81">
        <f>Q3-N5</f>
        <v>-0.14517956385007835</v>
      </c>
      <c r="U3" s="81">
        <f>Q3-N3</f>
        <v>0.1211387024504802</v>
      </c>
      <c r="V3" s="81">
        <f>R3-O3</f>
        <v>-0.90260461893204535</v>
      </c>
      <c r="W3" s="81">
        <f>R3-O5</f>
        <v>1.3260621178056766</v>
      </c>
      <c r="X3" s="81">
        <f>S3-P3</f>
        <v>-6.4486586999599194E-3</v>
      </c>
      <c r="Y3" s="81">
        <f>S3-P5</f>
        <v>9.4740508006626589E-3</v>
      </c>
    </row>
    <row r="4" spans="1:25" x14ac:dyDescent="0.25">
      <c r="B4" s="29" t="s">
        <v>55</v>
      </c>
      <c r="C4" s="23">
        <v>0.1</v>
      </c>
      <c r="D4" s="17">
        <v>0.1</v>
      </c>
      <c r="E4" s="17">
        <v>15</v>
      </c>
      <c r="F4" s="17">
        <v>10</v>
      </c>
      <c r="G4" s="17">
        <v>2</v>
      </c>
      <c r="H4" s="23">
        <v>1</v>
      </c>
      <c r="I4" s="29">
        <v>4199218</v>
      </c>
      <c r="J4" s="29">
        <v>8268</v>
      </c>
      <c r="K4" s="23">
        <v>4224748</v>
      </c>
      <c r="L4" s="17">
        <f t="shared" si="0"/>
        <v>2.7653734576294918E-3</v>
      </c>
      <c r="M4" s="23">
        <f t="shared" si="1"/>
        <v>0.88172825206979</v>
      </c>
      <c r="N4" s="33">
        <f t="shared" si="2"/>
        <v>99.723462654237053</v>
      </c>
      <c r="O4" s="34">
        <f t="shared" si="3"/>
        <v>88.172825206978999</v>
      </c>
      <c r="P4" s="35">
        <f t="shared" si="4"/>
        <v>0.62995074969126152</v>
      </c>
      <c r="Q4" s="279"/>
      <c r="R4" s="279"/>
      <c r="S4" s="279"/>
    </row>
    <row r="5" spans="1:25" x14ac:dyDescent="0.25">
      <c r="B5" s="29" t="s">
        <v>56</v>
      </c>
      <c r="C5" s="23">
        <v>0.1</v>
      </c>
      <c r="D5" s="17">
        <v>0.1</v>
      </c>
      <c r="E5" s="17">
        <v>15</v>
      </c>
      <c r="F5" s="17">
        <v>10</v>
      </c>
      <c r="G5" s="17">
        <v>2</v>
      </c>
      <c r="H5" s="23">
        <v>1</v>
      </c>
      <c r="I5" s="29">
        <v>1997138</v>
      </c>
      <c r="J5" s="29">
        <v>1526</v>
      </c>
      <c r="K5" s="23">
        <v>1969412</v>
      </c>
      <c r="L5" s="17">
        <f t="shared" si="0"/>
        <v>1.0731692051325448E-3</v>
      </c>
      <c r="M5" s="23">
        <f t="shared" si="1"/>
        <v>0.86423305590299715</v>
      </c>
      <c r="N5" s="33">
        <f t="shared" si="2"/>
        <v>99.892683079486744</v>
      </c>
      <c r="O5" s="34">
        <f t="shared" si="3"/>
        <v>86.423305590299719</v>
      </c>
      <c r="P5" s="35">
        <f t="shared" si="4"/>
        <v>0.61745130678989635</v>
      </c>
      <c r="Q5" s="279"/>
      <c r="R5" s="279"/>
      <c r="S5" s="279"/>
    </row>
    <row r="6" spans="1:25" x14ac:dyDescent="0.25">
      <c r="A6" s="22">
        <v>43816</v>
      </c>
      <c r="B6" s="30" t="s">
        <v>57</v>
      </c>
      <c r="C6" s="24">
        <v>0.1</v>
      </c>
      <c r="D6" s="11">
        <v>0.1</v>
      </c>
      <c r="E6" s="11">
        <v>15</v>
      </c>
      <c r="F6" s="11">
        <v>10</v>
      </c>
      <c r="G6" s="12">
        <v>2</v>
      </c>
      <c r="H6" s="24">
        <v>2.8</v>
      </c>
      <c r="I6" s="30">
        <v>1415105</v>
      </c>
      <c r="J6" s="30">
        <v>930</v>
      </c>
      <c r="K6" s="24">
        <v>1390293</v>
      </c>
      <c r="L6" s="11">
        <f t="shared" si="0"/>
        <v>9.2303044650396968E-4</v>
      </c>
      <c r="M6" s="24">
        <f t="shared" si="1"/>
        <v>0.86103348175577066</v>
      </c>
      <c r="N6" s="36">
        <f t="shared" si="2"/>
        <v>99.907696955349607</v>
      </c>
      <c r="O6" s="37">
        <f t="shared" si="3"/>
        <v>86.103348175577068</v>
      </c>
      <c r="P6" s="38">
        <f t="shared" si="4"/>
        <v>0.61516537104041036</v>
      </c>
      <c r="Q6" s="279">
        <f t="shared" ref="Q6" si="6">AVERAGE(N6:N8)</f>
        <v>99.931427826295575</v>
      </c>
      <c r="R6" s="279">
        <f t="shared" ref="R6" si="7">AVERAGE(O6:O8)</f>
        <v>85.95558662807376</v>
      </c>
      <c r="S6" s="279">
        <f t="shared" ref="S6" si="8">AVERAGE(P6:P8)</f>
        <v>0.61410968866427285</v>
      </c>
    </row>
    <row r="7" spans="1:25" x14ac:dyDescent="0.25">
      <c r="B7" s="30" t="s">
        <v>58</v>
      </c>
      <c r="C7" s="24">
        <v>0.1</v>
      </c>
      <c r="D7" s="11">
        <v>0.1</v>
      </c>
      <c r="E7" s="11">
        <v>15</v>
      </c>
      <c r="F7" s="11">
        <v>10</v>
      </c>
      <c r="G7" s="11">
        <v>2</v>
      </c>
      <c r="H7" s="24">
        <v>2.8</v>
      </c>
      <c r="I7" s="30">
        <v>4306211</v>
      </c>
      <c r="J7" s="30">
        <v>2078</v>
      </c>
      <c r="K7" s="24">
        <v>4228738</v>
      </c>
      <c r="L7" s="11">
        <f t="shared" si="0"/>
        <v>6.7775383045559081E-4</v>
      </c>
      <c r="M7" s="24">
        <f t="shared" si="1"/>
        <v>0.86063269616839477</v>
      </c>
      <c r="N7" s="36">
        <f t="shared" si="2"/>
        <v>99.932224616954443</v>
      </c>
      <c r="O7" s="37">
        <f t="shared" si="3"/>
        <v>86.063269616839477</v>
      </c>
      <c r="P7" s="38">
        <f t="shared" si="4"/>
        <v>0.61487902977750963</v>
      </c>
      <c r="Q7" s="279"/>
      <c r="R7" s="279"/>
      <c r="S7" s="279"/>
    </row>
    <row r="8" spans="1:25" x14ac:dyDescent="0.25">
      <c r="B8" s="30" t="s">
        <v>59</v>
      </c>
      <c r="C8" s="24">
        <v>0.1</v>
      </c>
      <c r="D8" s="11">
        <v>0.1</v>
      </c>
      <c r="E8" s="11">
        <v>15</v>
      </c>
      <c r="F8" s="11">
        <v>10</v>
      </c>
      <c r="G8" s="11">
        <v>2</v>
      </c>
      <c r="H8" s="24">
        <v>2.8</v>
      </c>
      <c r="I8" s="30">
        <v>5868741</v>
      </c>
      <c r="J8" s="30">
        <v>1907</v>
      </c>
      <c r="K8" s="24">
        <v>5738840</v>
      </c>
      <c r="L8" s="11">
        <f t="shared" si="0"/>
        <v>4.5638093417310459E-4</v>
      </c>
      <c r="M8" s="24">
        <f t="shared" si="1"/>
        <v>0.85700142091804699</v>
      </c>
      <c r="N8" s="36">
        <f t="shared" si="2"/>
        <v>99.95436190658269</v>
      </c>
      <c r="O8" s="37">
        <f t="shared" si="3"/>
        <v>85.700142091804693</v>
      </c>
      <c r="P8" s="38">
        <f t="shared" si="4"/>
        <v>0.61228466517489866</v>
      </c>
      <c r="Q8" s="279"/>
      <c r="R8" s="279"/>
      <c r="S8" s="279"/>
    </row>
    <row r="9" spans="1:25" x14ac:dyDescent="0.25">
      <c r="A9" s="22">
        <v>43816</v>
      </c>
      <c r="B9" s="31" t="s">
        <v>60</v>
      </c>
      <c r="C9" s="25">
        <v>0.1</v>
      </c>
      <c r="D9" s="13">
        <v>0.1</v>
      </c>
      <c r="E9" s="13">
        <v>10</v>
      </c>
      <c r="F9" s="13">
        <v>10</v>
      </c>
      <c r="G9" s="14">
        <v>2</v>
      </c>
      <c r="H9" s="25">
        <v>2.8</v>
      </c>
      <c r="I9" s="31">
        <v>1193574</v>
      </c>
      <c r="J9" s="31">
        <v>2748</v>
      </c>
      <c r="K9" s="25">
        <v>1175869</v>
      </c>
      <c r="L9" s="13">
        <f t="shared" si="0"/>
        <v>3.2336210406728027E-3</v>
      </c>
      <c r="M9" s="25">
        <f t="shared" si="1"/>
        <v>0.86339983243602825</v>
      </c>
      <c r="N9" s="39">
        <f t="shared" si="2"/>
        <v>99.676637895932714</v>
      </c>
      <c r="O9" s="40">
        <f t="shared" si="3"/>
        <v>86.33998324360283</v>
      </c>
      <c r="P9" s="41">
        <f t="shared" si="4"/>
        <v>0.92528401542588068</v>
      </c>
      <c r="Q9" s="279">
        <f t="shared" ref="Q9" si="9">AVERAGE(N9:N11)</f>
        <v>99.767443684723006</v>
      </c>
      <c r="R9" s="279">
        <f t="shared" ref="R9" si="10">AVERAGE(O9:O11)</f>
        <v>84.497432795439877</v>
      </c>
      <c r="S9" s="279">
        <f t="shared" ref="S9" si="11">AVERAGE(P9:P11)</f>
        <v>0.9055378629105304</v>
      </c>
    </row>
    <row r="10" spans="1:25" x14ac:dyDescent="0.25">
      <c r="B10" s="31" t="s">
        <v>61</v>
      </c>
      <c r="C10" s="25">
        <v>0.1</v>
      </c>
      <c r="D10" s="13">
        <v>0.1</v>
      </c>
      <c r="E10" s="13">
        <v>10</v>
      </c>
      <c r="F10" s="13">
        <v>10</v>
      </c>
      <c r="G10" s="13">
        <v>2</v>
      </c>
      <c r="H10" s="25">
        <v>2.8</v>
      </c>
      <c r="I10" s="31">
        <v>4743343</v>
      </c>
      <c r="J10" s="31">
        <v>5783</v>
      </c>
      <c r="K10" s="25">
        <v>4539037</v>
      </c>
      <c r="L10" s="13">
        <f t="shared" si="0"/>
        <v>1.7123415911520629E-3</v>
      </c>
      <c r="M10" s="25">
        <f t="shared" si="1"/>
        <v>0.83865156426596177</v>
      </c>
      <c r="N10" s="39">
        <f t="shared" si="2"/>
        <v>99.828765840884799</v>
      </c>
      <c r="O10" s="40">
        <f t="shared" si="3"/>
        <v>83.865156426596172</v>
      </c>
      <c r="P10" s="41">
        <f t="shared" si="4"/>
        <v>0.89876191513472459</v>
      </c>
      <c r="Q10" s="279"/>
      <c r="R10" s="279"/>
      <c r="S10" s="279"/>
    </row>
    <row r="11" spans="1:25" x14ac:dyDescent="0.25">
      <c r="B11" s="31" t="s">
        <v>62</v>
      </c>
      <c r="C11" s="25">
        <v>0.1</v>
      </c>
      <c r="D11" s="13">
        <v>0.1</v>
      </c>
      <c r="E11" s="13">
        <v>10</v>
      </c>
      <c r="F11" s="13">
        <v>10</v>
      </c>
      <c r="G11" s="13">
        <v>2</v>
      </c>
      <c r="H11" s="25">
        <v>2.8</v>
      </c>
      <c r="I11" s="31">
        <v>6577347</v>
      </c>
      <c r="J11" s="31">
        <v>9510</v>
      </c>
      <c r="K11" s="25">
        <v>6250668</v>
      </c>
      <c r="L11" s="13">
        <f t="shared" si="0"/>
        <v>2.0307268264849036E-3</v>
      </c>
      <c r="M11" s="25">
        <f t="shared" si="1"/>
        <v>0.83287158716120646</v>
      </c>
      <c r="N11" s="39">
        <f t="shared" si="2"/>
        <v>99.796927317351518</v>
      </c>
      <c r="O11" s="40">
        <f t="shared" si="3"/>
        <v>83.287158716120643</v>
      </c>
      <c r="P11" s="41">
        <f t="shared" si="4"/>
        <v>0.89256765817098604</v>
      </c>
      <c r="Q11" s="279"/>
      <c r="R11" s="279"/>
      <c r="S11" s="279"/>
    </row>
    <row r="12" spans="1:25" x14ac:dyDescent="0.25">
      <c r="A12" s="22">
        <v>43816</v>
      </c>
      <c r="B12" s="32" t="s">
        <v>70</v>
      </c>
      <c r="C12" s="26">
        <v>0.1</v>
      </c>
      <c r="D12" s="15">
        <v>0.1</v>
      </c>
      <c r="E12" s="15">
        <v>10</v>
      </c>
      <c r="F12" s="15">
        <v>10</v>
      </c>
      <c r="G12" s="16">
        <v>2</v>
      </c>
      <c r="H12" s="26">
        <v>1</v>
      </c>
      <c r="I12" s="32">
        <v>2100661</v>
      </c>
      <c r="J12" s="32">
        <v>4199</v>
      </c>
      <c r="K12" s="26">
        <v>2098682</v>
      </c>
      <c r="L12" s="15">
        <f t="shared" si="0"/>
        <v>2.8074475129494956E-3</v>
      </c>
      <c r="M12" s="26">
        <f t="shared" si="1"/>
        <v>0.87557435721422916</v>
      </c>
      <c r="N12" s="42">
        <f t="shared" si="2"/>
        <v>99.719255248705053</v>
      </c>
      <c r="O12" s="43">
        <f t="shared" si="3"/>
        <v>87.55743572142292</v>
      </c>
      <c r="P12" s="44">
        <f t="shared" si="4"/>
        <v>0.93833114926755923</v>
      </c>
      <c r="Q12" s="279">
        <f t="shared" ref="Q12" si="12">AVERAGE(N12:N14)</f>
        <v>99.766637854780996</v>
      </c>
      <c r="R12" s="279">
        <f t="shared" ref="R12" si="13">AVERAGE(O12:O14)</f>
        <v>86.124361094685455</v>
      </c>
      <c r="S12" s="279">
        <f t="shared" ref="S12" si="14">AVERAGE(P12:P14)</f>
        <v>0.9229732467614703</v>
      </c>
      <c r="T12" s="81">
        <f>Q12-N14</f>
        <v>-3.2170867952288518E-2</v>
      </c>
      <c r="U12" s="81">
        <f>Q12-N12</f>
        <v>4.7382606075942135E-2</v>
      </c>
      <c r="V12" s="81">
        <f>R12-O12</f>
        <v>-1.433074626737465</v>
      </c>
      <c r="W12" s="81">
        <f>R12-O13</f>
        <v>1.4381942349138086</v>
      </c>
      <c r="X12" s="81">
        <f>S12-P12</f>
        <v>-1.5357902506088927E-2</v>
      </c>
      <c r="Y12" s="81">
        <f>S12-P13</f>
        <v>1.5412768067012528E-2</v>
      </c>
    </row>
    <row r="13" spans="1:25" x14ac:dyDescent="0.25">
      <c r="B13" s="32" t="s">
        <v>71</v>
      </c>
      <c r="C13" s="26">
        <v>0.1</v>
      </c>
      <c r="D13" s="15">
        <v>0.1</v>
      </c>
      <c r="E13" s="15">
        <v>10</v>
      </c>
      <c r="F13" s="15">
        <v>10</v>
      </c>
      <c r="G13" s="15">
        <v>2</v>
      </c>
      <c r="H13" s="26">
        <v>1</v>
      </c>
      <c r="I13" s="32">
        <v>4571779</v>
      </c>
      <c r="J13" s="32">
        <v>7101</v>
      </c>
      <c r="K13" s="26">
        <v>4417691</v>
      </c>
      <c r="L13" s="15">
        <f t="shared" si="0"/>
        <v>2.1815040709535611E-3</v>
      </c>
      <c r="M13" s="26">
        <f t="shared" si="1"/>
        <v>0.8468616685977165</v>
      </c>
      <c r="N13" s="42">
        <f t="shared" si="2"/>
        <v>99.781849592904649</v>
      </c>
      <c r="O13" s="43">
        <f t="shared" si="3"/>
        <v>84.686166859771646</v>
      </c>
      <c r="P13" s="44">
        <f t="shared" si="4"/>
        <v>0.90756047869445777</v>
      </c>
      <c r="Q13" s="279"/>
      <c r="R13" s="279"/>
      <c r="S13" s="279"/>
    </row>
    <row r="14" spans="1:25" x14ac:dyDescent="0.25">
      <c r="B14" s="32" t="s">
        <v>72</v>
      </c>
      <c r="C14" s="26">
        <v>0.1</v>
      </c>
      <c r="D14" s="15">
        <v>0.1</v>
      </c>
      <c r="E14" s="15">
        <v>10</v>
      </c>
      <c r="F14" s="15">
        <v>10</v>
      </c>
      <c r="G14" s="15">
        <v>2</v>
      </c>
      <c r="H14" s="26">
        <v>1</v>
      </c>
      <c r="I14" s="32">
        <v>3669171</v>
      </c>
      <c r="J14" s="32">
        <v>5256</v>
      </c>
      <c r="K14" s="26">
        <v>3605931</v>
      </c>
      <c r="L14" s="15">
        <f t="shared" si="0"/>
        <v>2.0119127726671775E-3</v>
      </c>
      <c r="M14" s="26">
        <f t="shared" si="1"/>
        <v>0.8612948070286176</v>
      </c>
      <c r="N14" s="42">
        <f t="shared" si="2"/>
        <v>99.798808722733284</v>
      </c>
      <c r="O14" s="43">
        <f t="shared" si="3"/>
        <v>86.129480702861756</v>
      </c>
      <c r="P14" s="44">
        <f t="shared" si="4"/>
        <v>0.9230281123223939</v>
      </c>
      <c r="Q14" s="279"/>
      <c r="R14" s="279"/>
      <c r="S14" s="279"/>
    </row>
    <row r="15" spans="1:25" x14ac:dyDescent="0.25">
      <c r="A15" s="22">
        <v>43817</v>
      </c>
      <c r="B15" s="29" t="s">
        <v>76</v>
      </c>
      <c r="C15" s="23">
        <v>0.1</v>
      </c>
      <c r="D15" s="17">
        <v>0.1</v>
      </c>
      <c r="E15" s="17">
        <v>5</v>
      </c>
      <c r="F15" s="17">
        <v>10</v>
      </c>
      <c r="G15" s="18">
        <v>2</v>
      </c>
      <c r="H15" s="23">
        <v>1</v>
      </c>
      <c r="I15" s="29">
        <v>2531128</v>
      </c>
      <c r="J15" s="29">
        <v>87019</v>
      </c>
      <c r="K15" s="23">
        <v>2173189</v>
      </c>
      <c r="L15" s="17">
        <f t="shared" ref="L15:L17" si="15">1.4045*(J15/I15)</f>
        <v>4.8286054873558346E-2</v>
      </c>
      <c r="M15" s="23">
        <f t="shared" ref="M15:M17" si="16">0.8764*(K15/I15)</f>
        <v>0.7524640553934846</v>
      </c>
      <c r="N15" s="33">
        <f t="shared" ref="N15:N17" si="17">100*(1-L15/(C15/D15))</f>
        <v>95.17139451264417</v>
      </c>
      <c r="O15" s="34">
        <f t="shared" ref="O15:O17" si="18">100*M15/(C15/D15)</f>
        <v>75.246405539348459</v>
      </c>
      <c r="P15" s="35">
        <f t="shared" ref="P15:P17" si="19">(238.15*C15*(O15/100)*7.5/1000)*(60/E15)</f>
        <v>1.612793833127625</v>
      </c>
      <c r="Q15" s="276">
        <f>AVERAGE(N16:N17)</f>
        <v>89.317651900459893</v>
      </c>
      <c r="R15" s="278">
        <f>AVERAGE(O16:O17)</f>
        <v>71.911200110410135</v>
      </c>
      <c r="S15" s="278">
        <f>AVERAGE(P16:P17)</f>
        <v>1.541308707566476</v>
      </c>
    </row>
    <row r="16" spans="1:25" x14ac:dyDescent="0.25">
      <c r="B16" s="29" t="s">
        <v>77</v>
      </c>
      <c r="C16" s="23">
        <v>0.1</v>
      </c>
      <c r="D16" s="17">
        <v>0.1</v>
      </c>
      <c r="E16" s="17">
        <v>5</v>
      </c>
      <c r="F16" s="17">
        <v>10</v>
      </c>
      <c r="G16" s="17">
        <v>2</v>
      </c>
      <c r="H16" s="23">
        <v>1</v>
      </c>
      <c r="I16" s="29">
        <v>6352679</v>
      </c>
      <c r="J16" s="29">
        <v>497999</v>
      </c>
      <c r="K16" s="23">
        <v>5123764</v>
      </c>
      <c r="L16" s="17">
        <f t="shared" si="15"/>
        <v>0.11010151709223778</v>
      </c>
      <c r="M16" s="23">
        <f t="shared" si="16"/>
        <v>0.70686190339540211</v>
      </c>
      <c r="N16" s="33">
        <f t="shared" si="17"/>
        <v>88.989848290776223</v>
      </c>
      <c r="O16" s="34">
        <f t="shared" si="18"/>
        <v>70.686190339540218</v>
      </c>
      <c r="P16" s="35">
        <f t="shared" si="19"/>
        <v>1.5150524606425355</v>
      </c>
      <c r="Q16" s="276"/>
      <c r="R16" s="278"/>
      <c r="S16" s="278"/>
    </row>
    <row r="17" spans="1:25" x14ac:dyDescent="0.25">
      <c r="B17" s="29" t="s">
        <v>78</v>
      </c>
      <c r="C17" s="23">
        <v>0.1</v>
      </c>
      <c r="D17" s="17">
        <v>0.1</v>
      </c>
      <c r="E17" s="17">
        <v>5</v>
      </c>
      <c r="F17" s="17">
        <v>10</v>
      </c>
      <c r="G17" s="17">
        <v>2</v>
      </c>
      <c r="H17" s="23">
        <v>1</v>
      </c>
      <c r="I17" s="29">
        <v>5395050</v>
      </c>
      <c r="J17" s="29">
        <v>397745</v>
      </c>
      <c r="K17" s="23">
        <v>4502208</v>
      </c>
      <c r="L17" s="17">
        <f t="shared" si="15"/>
        <v>0.10354544489856443</v>
      </c>
      <c r="M17" s="23">
        <f t="shared" si="16"/>
        <v>0.73136209881280057</v>
      </c>
      <c r="N17" s="33">
        <f t="shared" si="17"/>
        <v>89.645455510143563</v>
      </c>
      <c r="O17" s="34">
        <f t="shared" si="18"/>
        <v>73.136209881280053</v>
      </c>
      <c r="P17" s="35">
        <f t="shared" si="19"/>
        <v>1.5675649544904162</v>
      </c>
      <c r="Q17" s="276"/>
      <c r="R17" s="278"/>
      <c r="S17" s="278"/>
    </row>
    <row r="18" spans="1:25" x14ac:dyDescent="0.25">
      <c r="A18" s="22">
        <v>43817</v>
      </c>
      <c r="B18" s="30" t="s">
        <v>79</v>
      </c>
      <c r="C18" s="24">
        <v>0.1</v>
      </c>
      <c r="D18" s="11">
        <v>0.1</v>
      </c>
      <c r="E18" s="11">
        <v>5</v>
      </c>
      <c r="F18" s="11">
        <v>10</v>
      </c>
      <c r="G18" s="12">
        <v>2</v>
      </c>
      <c r="H18" s="24">
        <v>1</v>
      </c>
      <c r="I18" s="30">
        <v>3703788</v>
      </c>
      <c r="J18" s="30">
        <v>184834</v>
      </c>
      <c r="K18" s="24">
        <v>2935147</v>
      </c>
      <c r="L18" s="11">
        <f t="shared" ref="L18:L20" si="20">1.4045*(J18/I18)</f>
        <v>7.0090230056363917E-2</v>
      </c>
      <c r="M18" s="24">
        <f t="shared" ref="M18:M20" si="21">0.8764*(K18/I18)</f>
        <v>0.69452215699170683</v>
      </c>
      <c r="N18" s="36">
        <f t="shared" ref="N18:N20" si="22">100*(1-L18/(C18/D18))</f>
        <v>92.990976994363606</v>
      </c>
      <c r="O18" s="37">
        <f t="shared" ref="O18:O20" si="23">100*M18/(C18/D18)</f>
        <v>69.452215699170679</v>
      </c>
      <c r="P18" s="38">
        <f t="shared" ref="P18:P20" si="24">(238.15*C18*(O18/100)*7.5/1000)*(60/E18)</f>
        <v>1.4886040651881749</v>
      </c>
      <c r="Q18" s="276">
        <f>AVERAGE(N18:N20)</f>
        <v>90.589751074438411</v>
      </c>
      <c r="R18" s="278">
        <f>AVERAGE(O18:O20)</f>
        <v>69.399416784088601</v>
      </c>
      <c r="S18" s="278">
        <f>AVERAGE(P18:P20)</f>
        <v>1.4874723996417629</v>
      </c>
      <c r="T18" s="81">
        <f>Q18-N18</f>
        <v>-2.4012259199251957</v>
      </c>
      <c r="U18" s="81">
        <f>Q18-N19</f>
        <v>1.9655422113638679</v>
      </c>
      <c r="V18" s="81">
        <f>R18-O19</f>
        <v>-4.0246918211133504</v>
      </c>
      <c r="W18" s="81">
        <f>R18-O20</f>
        <v>4.0774907361954575</v>
      </c>
      <c r="X18" s="81">
        <f>S18-P19</f>
        <v>-8.626323214783338E-2</v>
      </c>
      <c r="Y18" s="81">
        <f>S18-P20</f>
        <v>8.7394897694245133E-2</v>
      </c>
    </row>
    <row r="19" spans="1:25" x14ac:dyDescent="0.25">
      <c r="B19" s="30" t="s">
        <v>80</v>
      </c>
      <c r="C19" s="24">
        <v>0.1</v>
      </c>
      <c r="D19" s="11">
        <v>0.1</v>
      </c>
      <c r="E19" s="11">
        <v>5</v>
      </c>
      <c r="F19" s="11">
        <v>10</v>
      </c>
      <c r="G19" s="11">
        <v>2</v>
      </c>
      <c r="H19" s="24">
        <v>1</v>
      </c>
      <c r="I19" s="30">
        <v>6561380</v>
      </c>
      <c r="J19" s="30">
        <v>531441</v>
      </c>
      <c r="K19" s="24">
        <v>5497073</v>
      </c>
      <c r="L19" s="11">
        <f t="shared" si="20"/>
        <v>0.11375791136925466</v>
      </c>
      <c r="M19" s="24">
        <f t="shared" si="21"/>
        <v>0.73424108605201954</v>
      </c>
      <c r="N19" s="36">
        <f t="shared" si="22"/>
        <v>88.624208863074543</v>
      </c>
      <c r="O19" s="37">
        <f t="shared" si="23"/>
        <v>73.424108605201951</v>
      </c>
      <c r="P19" s="38">
        <f t="shared" si="24"/>
        <v>1.5737356317895963</v>
      </c>
      <c r="Q19" s="276"/>
      <c r="R19" s="278"/>
      <c r="S19" s="278"/>
    </row>
    <row r="20" spans="1:25" x14ac:dyDescent="0.25">
      <c r="B20" s="30" t="s">
        <v>81</v>
      </c>
      <c r="C20" s="24">
        <v>0.1</v>
      </c>
      <c r="D20" s="11">
        <v>0.1</v>
      </c>
      <c r="E20" s="11">
        <v>5</v>
      </c>
      <c r="F20" s="11">
        <v>10</v>
      </c>
      <c r="G20" s="11">
        <v>2</v>
      </c>
      <c r="H20" s="24">
        <v>1</v>
      </c>
      <c r="I20" s="30">
        <v>4336320</v>
      </c>
      <c r="J20" s="30">
        <v>303988</v>
      </c>
      <c r="K20" s="24">
        <v>3232049</v>
      </c>
      <c r="L20" s="11">
        <f t="shared" si="20"/>
        <v>9.845932634122942E-2</v>
      </c>
      <c r="M20" s="24">
        <f t="shared" si="21"/>
        <v>0.65321926047893142</v>
      </c>
      <c r="N20" s="36">
        <f t="shared" si="22"/>
        <v>90.154067365877054</v>
      </c>
      <c r="O20" s="37">
        <f t="shared" si="23"/>
        <v>65.321926047893143</v>
      </c>
      <c r="P20" s="38">
        <f t="shared" si="24"/>
        <v>1.4000775019475178</v>
      </c>
      <c r="Q20" s="276"/>
      <c r="R20" s="278"/>
      <c r="S20" s="278"/>
      <c r="T20" s="8" t="s">
        <v>196</v>
      </c>
      <c r="U20" s="8" t="s">
        <v>197</v>
      </c>
      <c r="V20" s="8" t="s">
        <v>198</v>
      </c>
      <c r="W20" s="8" t="s">
        <v>199</v>
      </c>
      <c r="X20" s="8" t="s">
        <v>200</v>
      </c>
      <c r="Y20" s="8" t="s">
        <v>201</v>
      </c>
    </row>
    <row r="21" spans="1:25" x14ac:dyDescent="0.25">
      <c r="A21" s="22">
        <v>43818</v>
      </c>
      <c r="B21" s="31" t="s">
        <v>82</v>
      </c>
      <c r="C21" s="25">
        <v>0.1</v>
      </c>
      <c r="D21" s="13">
        <v>0.1</v>
      </c>
      <c r="E21" s="13">
        <v>2</v>
      </c>
      <c r="F21" s="13">
        <v>10</v>
      </c>
      <c r="G21" s="14">
        <v>2</v>
      </c>
      <c r="H21" s="25">
        <v>1</v>
      </c>
      <c r="I21" s="31">
        <v>1807052</v>
      </c>
      <c r="J21" s="31">
        <v>434214</v>
      </c>
      <c r="K21" s="25">
        <v>1018342</v>
      </c>
      <c r="L21" s="13">
        <f t="shared" ref="L21:L23" si="25">1.4045*(J21/I21)</f>
        <v>0.33748534242512118</v>
      </c>
      <c r="M21" s="25">
        <f t="shared" ref="M21:M23" si="26">0.8764*(K21/I21)</f>
        <v>0.49388447526689871</v>
      </c>
      <c r="N21" s="39">
        <f t="shared" ref="N21:N23" si="27">100*(1-L21/(C21/D21))</f>
        <v>66.251465757487878</v>
      </c>
      <c r="O21" s="40">
        <f t="shared" ref="O21:O23" si="28">100*M21/(C21/D21)</f>
        <v>49.388447526689873</v>
      </c>
      <c r="P21" s="41">
        <f t="shared" ref="P21:P23" si="29">(238.15*C21*(O21/100)*7.5/1000)*(60/E21)</f>
        <v>2.6464182251582691</v>
      </c>
      <c r="Q21" s="276">
        <f>AVERAGE(N21:N23)</f>
        <v>63.5270081307944</v>
      </c>
      <c r="R21" s="278">
        <f>AVERAGE(O21:O23)</f>
        <v>47.221228852628748</v>
      </c>
      <c r="S21" s="278">
        <f>AVERAGE(P21:P23)</f>
        <v>2.5302905215320459</v>
      </c>
      <c r="T21" s="81">
        <f>AVERAGE(N21:N23)-MAX(N21:N23)</f>
        <v>-2.7244576266934786</v>
      </c>
      <c r="U21" s="81">
        <f>AVERAGE(N21:N23)-MIN(N21:N23)</f>
        <v>3.4501870311894507</v>
      </c>
      <c r="V21" s="81">
        <f>AVERAGE(O21:O23)-O21</f>
        <v>-2.1672186740611252</v>
      </c>
      <c r="W21" s="81">
        <f>AVERAGE(O21:O23)-O22</f>
        <v>4.321715227493705</v>
      </c>
      <c r="X21" s="81">
        <f>AVERAGE(P21:P23)-P21</f>
        <v>-0.11612770362622316</v>
      </c>
      <c r="Y21" s="81">
        <f>AVERAGE(P21:P23)-P22</f>
        <v>0.23157370832121593</v>
      </c>
    </row>
    <row r="22" spans="1:25" x14ac:dyDescent="0.25">
      <c r="B22" s="31" t="s">
        <v>83</v>
      </c>
      <c r="C22" s="25">
        <v>0.1</v>
      </c>
      <c r="D22" s="13">
        <v>0.1</v>
      </c>
      <c r="E22" s="13">
        <v>2</v>
      </c>
      <c r="F22" s="13">
        <v>10</v>
      </c>
      <c r="G22" s="13">
        <v>2</v>
      </c>
      <c r="H22" s="25">
        <v>1</v>
      </c>
      <c r="I22" s="31">
        <v>5630513</v>
      </c>
      <c r="J22" s="31">
        <v>1600484</v>
      </c>
      <c r="K22" s="25">
        <v>2756119</v>
      </c>
      <c r="L22" s="13">
        <f t="shared" si="25"/>
        <v>0.39923178900395045</v>
      </c>
      <c r="M22" s="25">
        <f t="shared" si="26"/>
        <v>0.42899513625135044</v>
      </c>
      <c r="N22" s="39">
        <f t="shared" si="27"/>
        <v>60.076821099604949</v>
      </c>
      <c r="O22" s="40">
        <f t="shared" si="28"/>
        <v>42.899513625135043</v>
      </c>
      <c r="P22" s="41">
        <f t="shared" si="29"/>
        <v>2.29871681321083</v>
      </c>
      <c r="Q22" s="276"/>
      <c r="R22" s="278"/>
      <c r="S22" s="278"/>
    </row>
    <row r="23" spans="1:25" x14ac:dyDescent="0.25">
      <c r="B23" s="31" t="s">
        <v>84</v>
      </c>
      <c r="C23" s="25">
        <v>0.1</v>
      </c>
      <c r="D23" s="13">
        <v>0.1</v>
      </c>
      <c r="E23" s="13">
        <v>2</v>
      </c>
      <c r="F23" s="13">
        <v>10</v>
      </c>
      <c r="G23" s="13">
        <v>2</v>
      </c>
      <c r="H23" s="25">
        <v>1</v>
      </c>
      <c r="I23" s="31">
        <v>3658930</v>
      </c>
      <c r="J23" s="31">
        <v>931269</v>
      </c>
      <c r="K23" s="25">
        <v>2061414</v>
      </c>
      <c r="L23" s="13">
        <f t="shared" si="25"/>
        <v>0.35747262464709628</v>
      </c>
      <c r="M23" s="25">
        <f t="shared" si="26"/>
        <v>0.49375725406061327</v>
      </c>
      <c r="N23" s="39">
        <f t="shared" si="27"/>
        <v>64.252737535290379</v>
      </c>
      <c r="O23" s="40">
        <f t="shared" si="28"/>
        <v>49.375725406061328</v>
      </c>
      <c r="P23" s="41">
        <f t="shared" si="29"/>
        <v>2.6457365262270391</v>
      </c>
      <c r="Q23" s="276"/>
      <c r="R23" s="278"/>
      <c r="S23" s="278"/>
    </row>
    <row r="24" spans="1:25" x14ac:dyDescent="0.25">
      <c r="A24" s="22">
        <v>43818</v>
      </c>
      <c r="B24" s="32" t="s">
        <v>85</v>
      </c>
      <c r="C24" s="26">
        <v>0.1</v>
      </c>
      <c r="D24" s="15">
        <v>0.1</v>
      </c>
      <c r="E24" s="15">
        <v>2</v>
      </c>
      <c r="F24" s="15">
        <v>10</v>
      </c>
      <c r="G24" s="16">
        <v>2</v>
      </c>
      <c r="H24" s="26">
        <v>1</v>
      </c>
      <c r="I24" s="32">
        <v>5348059</v>
      </c>
      <c r="J24" s="32">
        <v>1535958</v>
      </c>
      <c r="K24" s="26">
        <v>2575302</v>
      </c>
      <c r="L24" s="15">
        <f t="shared" ref="L24:L26" si="30">1.4045*(J24/I24)</f>
        <v>0.40337120645078894</v>
      </c>
      <c r="M24" s="26">
        <f t="shared" ref="M24:M26" si="31">0.8764*(K24/I24)</f>
        <v>0.42202127403605683</v>
      </c>
      <c r="N24" s="42">
        <f t="shared" ref="N24:N26" si="32">100*(1-L24/(C24/D24))</f>
        <v>59.662879354921103</v>
      </c>
      <c r="O24" s="43">
        <f t="shared" ref="O24:O26" si="33">100*M24/(C24/D24)</f>
        <v>42.202127403605679</v>
      </c>
      <c r="P24" s="44">
        <f t="shared" ref="P24:P26" si="34">(238.15*C24*(O24/100)*7.5/1000)*(60/E24)</f>
        <v>2.261348244262956</v>
      </c>
      <c r="Q24" s="276">
        <f>AVERAGE(N24:N26)</f>
        <v>62.189759801721699</v>
      </c>
      <c r="R24" s="278">
        <f>AVERAGE(O24:O26)</f>
        <v>45.636685630828758</v>
      </c>
      <c r="S24" s="278">
        <f>AVERAGE(P24:P26)</f>
        <v>2.4453847536709206</v>
      </c>
    </row>
    <row r="25" spans="1:25" x14ac:dyDescent="0.25">
      <c r="B25" s="32" t="s">
        <v>86</v>
      </c>
      <c r="C25" s="26">
        <v>0.1</v>
      </c>
      <c r="D25" s="15">
        <v>0.1</v>
      </c>
      <c r="E25" s="15">
        <v>2</v>
      </c>
      <c r="F25" s="15">
        <v>10</v>
      </c>
      <c r="G25" s="15">
        <v>2</v>
      </c>
      <c r="H25" s="26">
        <v>1</v>
      </c>
      <c r="I25" s="32">
        <v>5375926</v>
      </c>
      <c r="J25" s="32">
        <v>1506263</v>
      </c>
      <c r="K25" s="26">
        <v>2680262</v>
      </c>
      <c r="L25" s="15">
        <f t="shared" si="30"/>
        <v>0.39352222919363106</v>
      </c>
      <c r="M25" s="26">
        <f t="shared" si="31"/>
        <v>0.43694455928150794</v>
      </c>
      <c r="N25" s="42">
        <f t="shared" si="32"/>
        <v>60.647777080636885</v>
      </c>
      <c r="O25" s="43">
        <f t="shared" si="33"/>
        <v>43.694455928150795</v>
      </c>
      <c r="P25" s="44">
        <f t="shared" si="34"/>
        <v>2.3413128028400503</v>
      </c>
      <c r="Q25" s="276"/>
      <c r="R25" s="278"/>
      <c r="S25" s="278"/>
    </row>
    <row r="26" spans="1:25" x14ac:dyDescent="0.25">
      <c r="B26" s="32" t="s">
        <v>87</v>
      </c>
      <c r="C26" s="26">
        <v>0.1</v>
      </c>
      <c r="D26" s="15">
        <v>0.1</v>
      </c>
      <c r="E26" s="15">
        <v>2</v>
      </c>
      <c r="F26" s="15">
        <v>10</v>
      </c>
      <c r="G26" s="15">
        <v>2</v>
      </c>
      <c r="H26" s="26">
        <v>1</v>
      </c>
      <c r="I26" s="32">
        <v>3181404</v>
      </c>
      <c r="J26" s="32">
        <v>764293</v>
      </c>
      <c r="K26" s="26">
        <v>1851831</v>
      </c>
      <c r="L26" s="15">
        <f t="shared" si="30"/>
        <v>0.33741377030392872</v>
      </c>
      <c r="M26" s="26">
        <f t="shared" si="31"/>
        <v>0.51013473560729783</v>
      </c>
      <c r="N26" s="42">
        <f t="shared" si="32"/>
        <v>66.258622969607131</v>
      </c>
      <c r="O26" s="43">
        <f t="shared" si="33"/>
        <v>51.013473560729786</v>
      </c>
      <c r="P26" s="44">
        <f t="shared" si="34"/>
        <v>2.733493213909755</v>
      </c>
      <c r="Q26" s="276"/>
      <c r="R26" s="278"/>
      <c r="S26" s="278"/>
    </row>
    <row r="27" spans="1:25" x14ac:dyDescent="0.25">
      <c r="A27" s="22">
        <v>43818</v>
      </c>
      <c r="B27" s="29" t="s">
        <v>91</v>
      </c>
      <c r="C27" s="23">
        <v>0.1</v>
      </c>
      <c r="D27" s="17">
        <v>0.1</v>
      </c>
      <c r="E27" s="17">
        <v>30</v>
      </c>
      <c r="F27" s="17">
        <v>10</v>
      </c>
      <c r="G27" s="18">
        <v>2</v>
      </c>
      <c r="H27" s="23">
        <v>1</v>
      </c>
      <c r="I27" s="29">
        <v>6532697</v>
      </c>
      <c r="J27" s="29">
        <v>11058</v>
      </c>
      <c r="K27" s="23">
        <v>5847910</v>
      </c>
      <c r="L27" s="17">
        <f t="shared" ref="L27:L29" si="35">1.4045*(J27/I27)</f>
        <v>2.3774194639671793E-3</v>
      </c>
      <c r="M27" s="23">
        <f t="shared" ref="M27:M29" si="36">0.8764*(K27/I27)</f>
        <v>0.78453176750735565</v>
      </c>
      <c r="N27" s="33">
        <f t="shared" ref="N27:N29" si="37">100*(1-L27/(C27/D27))</f>
        <v>99.762258053603276</v>
      </c>
      <c r="O27" s="34">
        <f t="shared" ref="O27:O29" si="38">100*M27/(C27/D27)</f>
        <v>78.453176750735565</v>
      </c>
      <c r="P27" s="35">
        <f t="shared" ref="P27:P29" si="39">(238.15*C27*(O27/100)*7.5/1000)*(60/E27)</f>
        <v>0.28025436064781512</v>
      </c>
      <c r="Q27" s="276">
        <f>AVERAGE(N27:N29)</f>
        <v>99.708167681640006</v>
      </c>
      <c r="R27" s="278">
        <f>AVERAGE(O27:O29)</f>
        <v>78.09073486046006</v>
      </c>
      <c r="S27" s="278">
        <f>AVERAGE(P27:P29)</f>
        <v>0.27895962760527848</v>
      </c>
      <c r="T27" s="95">
        <f>AVERAGE(N27:N29)-MAX(N27:N29)</f>
        <v>-5.4800994705331618E-2</v>
      </c>
      <c r="U27" s="95">
        <f>AVERAGE(N27:N29)-MIN(N27:N29)</f>
        <v>0.1088913666685869</v>
      </c>
      <c r="V27" s="95">
        <f>AVERAGE(O27:O29)-O28</f>
        <v>-0.79659962408520357</v>
      </c>
      <c r="W27" s="95">
        <f>AVERAGE(O27:O29)-O29</f>
        <v>1.1590415143606947</v>
      </c>
      <c r="X27" s="95">
        <f>AVERAGE(P27:P29)-P27</f>
        <v>-1.2947330425366332E-3</v>
      </c>
      <c r="Y27" s="95">
        <f>AVERAGE(P27:P29)-P28</f>
        <v>-2.8456530071384045E-3</v>
      </c>
    </row>
    <row r="28" spans="1:25" x14ac:dyDescent="0.25">
      <c r="B28" s="29" t="s">
        <v>92</v>
      </c>
      <c r="C28" s="23">
        <v>0.1</v>
      </c>
      <c r="D28" s="17">
        <v>0.1</v>
      </c>
      <c r="E28" s="17">
        <v>30</v>
      </c>
      <c r="F28" s="17">
        <v>10</v>
      </c>
      <c r="G28" s="17">
        <v>2</v>
      </c>
      <c r="H28" s="23">
        <v>1</v>
      </c>
      <c r="I28" s="29">
        <v>6205055</v>
      </c>
      <c r="J28" s="29">
        <v>10472</v>
      </c>
      <c r="K28" s="23">
        <v>5585352</v>
      </c>
      <c r="L28" s="17">
        <f t="shared" si="35"/>
        <v>2.3703132365466544E-3</v>
      </c>
      <c r="M28" s="23">
        <f t="shared" si="36"/>
        <v>0.78887334484545257</v>
      </c>
      <c r="N28" s="33">
        <f t="shared" si="37"/>
        <v>99.762968676345338</v>
      </c>
      <c r="O28" s="34">
        <f t="shared" si="38"/>
        <v>78.887334484545264</v>
      </c>
      <c r="P28" s="35">
        <f t="shared" si="39"/>
        <v>0.28180528061241689</v>
      </c>
      <c r="Q28" s="276"/>
      <c r="R28" s="278"/>
      <c r="S28" s="278"/>
    </row>
    <row r="29" spans="1:25" x14ac:dyDescent="0.25">
      <c r="B29" s="29" t="s">
        <v>93</v>
      </c>
      <c r="C29" s="23">
        <v>0.1</v>
      </c>
      <c r="D29" s="17">
        <v>0.1</v>
      </c>
      <c r="E29" s="17">
        <v>30</v>
      </c>
      <c r="F29" s="17">
        <v>10</v>
      </c>
      <c r="G29" s="17">
        <v>2</v>
      </c>
      <c r="H29" s="23">
        <v>1</v>
      </c>
      <c r="I29" s="29">
        <v>3538556</v>
      </c>
      <c r="J29" s="29">
        <v>10096</v>
      </c>
      <c r="K29" s="23">
        <v>3106197</v>
      </c>
      <c r="L29" s="17">
        <f t="shared" si="35"/>
        <v>4.0072368502858235E-3</v>
      </c>
      <c r="M29" s="23">
        <f t="shared" si="36"/>
        <v>0.76931693346099372</v>
      </c>
      <c r="N29" s="33">
        <f t="shared" si="37"/>
        <v>99.599276314971419</v>
      </c>
      <c r="O29" s="34">
        <f t="shared" si="38"/>
        <v>76.931693346099365</v>
      </c>
      <c r="P29" s="35">
        <f t="shared" si="39"/>
        <v>0.27481924155560344</v>
      </c>
      <c r="Q29" s="276"/>
      <c r="R29" s="278"/>
      <c r="S29" s="278"/>
    </row>
    <row r="30" spans="1:25" x14ac:dyDescent="0.25">
      <c r="A30" s="22">
        <v>43819</v>
      </c>
      <c r="B30" s="30" t="s">
        <v>94</v>
      </c>
      <c r="C30" s="24">
        <v>0.1</v>
      </c>
      <c r="D30" s="11">
        <v>0.1</v>
      </c>
      <c r="E30" s="11">
        <v>10</v>
      </c>
      <c r="F30" s="11">
        <v>10</v>
      </c>
      <c r="G30" s="12">
        <v>2</v>
      </c>
      <c r="H30" s="24">
        <v>1</v>
      </c>
      <c r="I30" s="30">
        <v>2600906</v>
      </c>
      <c r="J30" s="30">
        <v>2280</v>
      </c>
      <c r="K30" s="24">
        <v>2342887</v>
      </c>
      <c r="L30" s="11">
        <f t="shared" ref="L30:L32" si="40">1.4045*(J30/I30)</f>
        <v>1.2312094324054773E-3</v>
      </c>
      <c r="M30" s="24">
        <f t="shared" ref="M30:M32" si="41">0.8764*(K30/I30)</f>
        <v>0.78945804531190278</v>
      </c>
      <c r="N30" s="36">
        <f t="shared" ref="N30:N32" si="42">100*(1-L30/(C30/D30))</f>
        <v>99.876879056759449</v>
      </c>
      <c r="O30" s="37">
        <f t="shared" ref="O30:O32" si="43">100*M30/(C30/D30)</f>
        <v>78.945804531190277</v>
      </c>
      <c r="P30" s="38">
        <f t="shared" ref="P30:P32" si="44">(238.15*C30*(O30/100)*7.5/1000)*(60/E30)</f>
        <v>0.84604245070963335</v>
      </c>
      <c r="Q30" s="276">
        <f>AVERAGE(N30:N32)</f>
        <v>99.878521550011143</v>
      </c>
      <c r="R30" s="278">
        <f>AVERAGE(O31:O32)</f>
        <v>81.024499302328223</v>
      </c>
      <c r="S30" s="278">
        <f>AVERAGE(P31:P32)</f>
        <v>0.86831930289822601</v>
      </c>
    </row>
    <row r="31" spans="1:25" x14ac:dyDescent="0.25">
      <c r="B31" s="30" t="s">
        <v>95</v>
      </c>
      <c r="C31" s="24">
        <v>0.1</v>
      </c>
      <c r="D31" s="11">
        <v>0.1</v>
      </c>
      <c r="E31" s="11">
        <v>10</v>
      </c>
      <c r="F31" s="11">
        <v>10</v>
      </c>
      <c r="G31" s="11">
        <v>2</v>
      </c>
      <c r="H31" s="24">
        <v>1</v>
      </c>
      <c r="I31" s="30">
        <v>5931886</v>
      </c>
      <c r="J31" s="30">
        <v>5201</v>
      </c>
      <c r="K31" s="24">
        <v>5477523</v>
      </c>
      <c r="L31" s="11">
        <f t="shared" si="40"/>
        <v>1.2314472159444738E-3</v>
      </c>
      <c r="M31" s="24">
        <f t="shared" si="41"/>
        <v>0.80927063621923956</v>
      </c>
      <c r="N31" s="36">
        <f t="shared" si="42"/>
        <v>99.876855278405557</v>
      </c>
      <c r="O31" s="37">
        <f t="shared" si="43"/>
        <v>80.927063621923949</v>
      </c>
      <c r="P31" s="38">
        <f t="shared" si="44"/>
        <v>0.86727510907025351</v>
      </c>
      <c r="Q31" s="276"/>
      <c r="R31" s="278"/>
      <c r="S31" s="278"/>
    </row>
    <row r="32" spans="1:25" x14ac:dyDescent="0.25">
      <c r="B32" s="30" t="s">
        <v>96</v>
      </c>
      <c r="C32" s="24">
        <v>0.1</v>
      </c>
      <c r="D32" s="11">
        <v>0.1</v>
      </c>
      <c r="E32" s="11">
        <v>10</v>
      </c>
      <c r="F32" s="11">
        <v>10</v>
      </c>
      <c r="G32" s="11">
        <v>2</v>
      </c>
      <c r="H32" s="24">
        <v>1</v>
      </c>
      <c r="I32" s="30">
        <v>5758501</v>
      </c>
      <c r="J32" s="30">
        <v>4845</v>
      </c>
      <c r="K32" s="24">
        <v>5330223</v>
      </c>
      <c r="L32" s="11">
        <f t="shared" si="40"/>
        <v>1.1816968513159935E-3</v>
      </c>
      <c r="M32" s="24">
        <f t="shared" si="41"/>
        <v>0.8112193498273248</v>
      </c>
      <c r="N32" s="36">
        <f t="shared" si="42"/>
        <v>99.881830314868409</v>
      </c>
      <c r="O32" s="37">
        <f t="shared" si="43"/>
        <v>81.121934982732483</v>
      </c>
      <c r="P32" s="38">
        <f t="shared" si="44"/>
        <v>0.8693634967261985</v>
      </c>
      <c r="Q32" s="276"/>
      <c r="R32" s="278"/>
      <c r="S32" s="278"/>
    </row>
    <row r="33" spans="1:25" x14ac:dyDescent="0.25">
      <c r="A33" s="22">
        <v>43819</v>
      </c>
      <c r="B33" s="31" t="s">
        <v>97</v>
      </c>
      <c r="C33" s="25">
        <v>0.1</v>
      </c>
      <c r="D33" s="13">
        <v>0.1</v>
      </c>
      <c r="E33" s="13">
        <v>30</v>
      </c>
      <c r="F33" s="13">
        <v>10</v>
      </c>
      <c r="G33" s="14">
        <v>2</v>
      </c>
      <c r="H33" s="25">
        <v>1</v>
      </c>
      <c r="I33" s="31">
        <v>3589901</v>
      </c>
      <c r="J33" s="31">
        <v>7324</v>
      </c>
      <c r="K33" s="25">
        <v>3028667</v>
      </c>
      <c r="L33" s="13">
        <f t="shared" ref="L33:L35" si="45">1.4045*(J33/I33)</f>
        <v>2.8654155086728023E-3</v>
      </c>
      <c r="M33" s="25">
        <f t="shared" ref="M33:M35" si="46">0.8764*(K33/I33)</f>
        <v>0.7393863392890222</v>
      </c>
      <c r="N33" s="39">
        <f t="shared" ref="N33:N35" si="47">100*(1-L33/(C33/D33))</f>
        <v>99.713458449132716</v>
      </c>
      <c r="O33" s="40">
        <f t="shared" ref="O33:O35" si="48">100*M33/(C33/D33)</f>
        <v>73.93863392890222</v>
      </c>
      <c r="P33" s="41">
        <f t="shared" ref="P33:P35" si="49">(238.15*C33*(O33/100)*7.5/1000)*(60/E33)</f>
        <v>0.26412728505252098</v>
      </c>
      <c r="Q33" s="276">
        <f>AVERAGE(N33:N35)</f>
        <v>99.749210488086149</v>
      </c>
      <c r="R33" s="278">
        <f>AVERAGE(O34:O35)</f>
        <v>76.606554601440394</v>
      </c>
      <c r="S33" s="278">
        <f>AVERAGE(P34:P35)</f>
        <v>0.27365776467499547</v>
      </c>
      <c r="T33" s="81">
        <f>Q33-N34</f>
        <v>-2.178310701879127E-2</v>
      </c>
      <c r="U33" s="81">
        <f>Q33-N33</f>
        <v>3.575203895343293E-2</v>
      </c>
      <c r="V33" s="81">
        <f>R33-O35</f>
        <v>-0.36276450509953406</v>
      </c>
      <c r="W33" s="81">
        <f>R33-O34</f>
        <v>0.36276450509951985</v>
      </c>
      <c r="X33" s="81">
        <f>S33-P35</f>
        <v>-1.2958855033418093E-3</v>
      </c>
      <c r="Y33" s="81">
        <f>S33-P34</f>
        <v>1.2958855033417538E-3</v>
      </c>
    </row>
    <row r="34" spans="1:25" x14ac:dyDescent="0.25">
      <c r="B34" s="31" t="s">
        <v>98</v>
      </c>
      <c r="C34" s="25">
        <v>0.1</v>
      </c>
      <c r="D34" s="13">
        <v>0.1</v>
      </c>
      <c r="E34" s="13">
        <v>30</v>
      </c>
      <c r="F34" s="13">
        <v>10</v>
      </c>
      <c r="G34" s="13">
        <v>2</v>
      </c>
      <c r="H34" s="25">
        <v>1</v>
      </c>
      <c r="I34" s="31">
        <v>5589631</v>
      </c>
      <c r="J34" s="31">
        <v>9114</v>
      </c>
      <c r="K34" s="25">
        <v>4862787</v>
      </c>
      <c r="L34" s="13">
        <f t="shared" si="45"/>
        <v>2.2900640489506375E-3</v>
      </c>
      <c r="M34" s="25">
        <f t="shared" si="46"/>
        <v>0.7624379009634088</v>
      </c>
      <c r="N34" s="39">
        <f t="shared" si="47"/>
        <v>99.77099359510494</v>
      </c>
      <c r="O34" s="40">
        <f t="shared" si="48"/>
        <v>76.243790096340874</v>
      </c>
      <c r="P34" s="41">
        <f t="shared" si="49"/>
        <v>0.27236187917165372</v>
      </c>
      <c r="Q34" s="276"/>
      <c r="R34" s="278"/>
      <c r="S34" s="278"/>
    </row>
    <row r="35" spans="1:25" x14ac:dyDescent="0.25">
      <c r="B35" s="31" t="s">
        <v>99</v>
      </c>
      <c r="C35" s="25">
        <v>0.1</v>
      </c>
      <c r="D35" s="13">
        <v>0.1</v>
      </c>
      <c r="E35" s="13">
        <v>30</v>
      </c>
      <c r="F35" s="13">
        <v>10</v>
      </c>
      <c r="G35" s="13">
        <v>2</v>
      </c>
      <c r="H35" s="25">
        <v>1</v>
      </c>
      <c r="I35" s="13">
        <v>5135943</v>
      </c>
      <c r="J35" s="13">
        <v>8660</v>
      </c>
      <c r="K35" s="13">
        <v>4510612</v>
      </c>
      <c r="L35" s="45">
        <f t="shared" si="45"/>
        <v>2.3682057997917814E-3</v>
      </c>
      <c r="M35" s="25">
        <f t="shared" si="46"/>
        <v>0.76969319106539924</v>
      </c>
      <c r="N35" s="39">
        <f t="shared" si="47"/>
        <v>99.763179420020819</v>
      </c>
      <c r="O35" s="40">
        <f t="shared" si="48"/>
        <v>76.969319106539928</v>
      </c>
      <c r="P35" s="41">
        <f t="shared" si="49"/>
        <v>0.27495365017833728</v>
      </c>
      <c r="Q35" s="276"/>
      <c r="R35" s="278"/>
      <c r="S35" s="278"/>
    </row>
    <row r="36" spans="1:25" x14ac:dyDescent="0.25">
      <c r="A36" s="22">
        <v>43822</v>
      </c>
      <c r="B36" s="15" t="s">
        <v>104</v>
      </c>
      <c r="C36" s="26">
        <v>0.1</v>
      </c>
      <c r="D36" s="15">
        <v>0.1</v>
      </c>
      <c r="E36" s="15">
        <v>10</v>
      </c>
      <c r="F36" s="15">
        <v>10</v>
      </c>
      <c r="G36" s="16">
        <v>2</v>
      </c>
      <c r="H36" s="26">
        <v>1</v>
      </c>
      <c r="I36" s="15">
        <v>753482</v>
      </c>
      <c r="J36" s="15">
        <v>3627</v>
      </c>
      <c r="K36" s="15">
        <v>756285</v>
      </c>
      <c r="L36" s="47">
        <f t="shared" ref="L36:L37" si="50">1.4045*(J36/I36)</f>
        <v>6.7607739800021778E-3</v>
      </c>
      <c r="M36" s="26">
        <f t="shared" ref="M36:M37" si="51">0.8764*(K36/I36)</f>
        <v>0.87966026262073949</v>
      </c>
      <c r="N36" s="42">
        <f t="shared" ref="N36:N37" si="52">100*(1-L36/(C36/D36))</f>
        <v>99.323922601999783</v>
      </c>
      <c r="O36" s="43">
        <f t="shared" ref="O36:O37" si="53">100*M36/(C36/D36)</f>
        <v>87.966026262073953</v>
      </c>
      <c r="P36" s="44">
        <f t="shared" ref="P36:P37" si="54">(238.15*C36*(O36/100)*7.5/1000)*(60/E36)</f>
        <v>0.94270991194408094</v>
      </c>
      <c r="Q36" s="276">
        <f>AVERAGE(N36:N39)</f>
        <v>99.775413844270076</v>
      </c>
      <c r="R36" s="278">
        <f>AVERAGE(O36:O39)</f>
        <v>88.790721906701492</v>
      </c>
      <c r="S36" s="278">
        <f>AVERAGE(P36:P39)</f>
        <v>0.95154796899364325</v>
      </c>
      <c r="T36" s="95">
        <f>AVERAGE(N36:N39)-MAX(N36:N39)</f>
        <v>-0.15245345487254269</v>
      </c>
      <c r="U36" s="95">
        <f>AVERAGE(N36:N39)-MIN(N36:N39)</f>
        <v>0.45149124227029347</v>
      </c>
      <c r="V36" s="95">
        <f>AVERAGE(O36:O39)-MAX(O36:O39)</f>
        <v>-0.89467435962616548</v>
      </c>
      <c r="W36" s="95">
        <f>AVERAGE(O36:O39)-MIN(O36:O39)</f>
        <v>0.82469564462753908</v>
      </c>
    </row>
    <row r="37" spans="1:25" x14ac:dyDescent="0.25">
      <c r="B37" s="15" t="s">
        <v>105</v>
      </c>
      <c r="C37" s="26">
        <v>0.1</v>
      </c>
      <c r="D37" s="15">
        <v>0.1</v>
      </c>
      <c r="E37" s="15">
        <v>10</v>
      </c>
      <c r="F37" s="15">
        <v>10</v>
      </c>
      <c r="G37" s="15">
        <v>2</v>
      </c>
      <c r="H37" s="26">
        <v>1</v>
      </c>
      <c r="I37" s="15">
        <v>2687006</v>
      </c>
      <c r="J37" s="15">
        <v>1380</v>
      </c>
      <c r="K37" s="15">
        <v>2749717</v>
      </c>
      <c r="L37" s="47">
        <f t="shared" si="50"/>
        <v>7.2132700857385518E-4</v>
      </c>
      <c r="M37" s="26">
        <f t="shared" si="51"/>
        <v>0.89685396266327655</v>
      </c>
      <c r="N37" s="42">
        <f t="shared" si="52"/>
        <v>99.927867299142619</v>
      </c>
      <c r="O37" s="43">
        <f t="shared" si="53"/>
        <v>89.685396266327658</v>
      </c>
      <c r="P37" s="44">
        <f t="shared" si="54"/>
        <v>0.96113597043716692</v>
      </c>
      <c r="Q37" s="276"/>
      <c r="R37" s="278"/>
      <c r="S37" s="278"/>
    </row>
    <row r="38" spans="1:25" x14ac:dyDescent="0.25">
      <c r="B38" s="15" t="s">
        <v>106</v>
      </c>
      <c r="C38" s="26">
        <v>0.1</v>
      </c>
      <c r="D38" s="15">
        <v>0.1</v>
      </c>
      <c r="E38" s="15">
        <v>10</v>
      </c>
      <c r="F38" s="15">
        <v>10</v>
      </c>
      <c r="G38" s="15">
        <v>2</v>
      </c>
      <c r="H38" s="26">
        <v>1</v>
      </c>
      <c r="I38" s="15">
        <v>3327834</v>
      </c>
      <c r="J38" s="15">
        <v>1799</v>
      </c>
      <c r="K38" s="15">
        <v>3367964</v>
      </c>
      <c r="L38" s="47">
        <f t="shared" ref="L38:L39" si="55">1.4045*(J38/I38)</f>
        <v>7.5926127925852072E-4</v>
      </c>
      <c r="M38" s="26">
        <f t="shared" ref="M38:M39" si="56">0.8764*(K38/I38)</f>
        <v>0.88696841537168014</v>
      </c>
      <c r="N38" s="42">
        <f t="shared" ref="N38:N39" si="57">100*(1-L38/(C38/D38))</f>
        <v>99.924073872074146</v>
      </c>
      <c r="O38" s="43">
        <f t="shared" ref="O38:O39" si="58">100*M38/(C38/D38)</f>
        <v>88.696841537168012</v>
      </c>
      <c r="P38" s="44">
        <f t="shared" ref="P38:P39" si="59">(238.15*C38*(O38/100)*7.5/1000)*(60/E38)</f>
        <v>0.95054187654344546</v>
      </c>
      <c r="Q38" s="276"/>
      <c r="R38" s="278"/>
      <c r="S38" s="278"/>
    </row>
    <row r="39" spans="1:25" x14ac:dyDescent="0.25">
      <c r="B39" s="15" t="s">
        <v>107</v>
      </c>
      <c r="C39" s="26">
        <v>0.1</v>
      </c>
      <c r="D39" s="15">
        <v>0.1</v>
      </c>
      <c r="E39" s="15">
        <v>10</v>
      </c>
      <c r="F39" s="15">
        <v>10</v>
      </c>
      <c r="G39" s="15">
        <v>2</v>
      </c>
      <c r="H39" s="26">
        <v>1</v>
      </c>
      <c r="I39" s="15">
        <v>3302662</v>
      </c>
      <c r="J39" s="15">
        <v>1745</v>
      </c>
      <c r="K39" s="15">
        <v>3346927</v>
      </c>
      <c r="L39" s="47">
        <f t="shared" si="55"/>
        <v>7.4208396136207712E-4</v>
      </c>
      <c r="M39" s="26">
        <f t="shared" si="56"/>
        <v>0.8881462356123635</v>
      </c>
      <c r="N39" s="42">
        <f t="shared" si="57"/>
        <v>99.925791603863786</v>
      </c>
      <c r="O39" s="43">
        <f t="shared" si="58"/>
        <v>88.814623561236345</v>
      </c>
      <c r="P39" s="44">
        <f t="shared" si="59"/>
        <v>0.95180411704987977</v>
      </c>
      <c r="Q39" s="276"/>
      <c r="R39" s="278"/>
      <c r="S39" s="278"/>
    </row>
    <row r="40" spans="1:25" x14ac:dyDescent="0.25">
      <c r="A40" s="22">
        <v>43822</v>
      </c>
      <c r="B40" s="17" t="s">
        <v>108</v>
      </c>
      <c r="C40" s="23">
        <v>0.1</v>
      </c>
      <c r="D40" s="17">
        <v>0.1</v>
      </c>
      <c r="E40" s="17">
        <v>5</v>
      </c>
      <c r="F40" s="17">
        <v>10</v>
      </c>
      <c r="G40" s="18">
        <v>2</v>
      </c>
      <c r="H40" s="23">
        <v>1</v>
      </c>
      <c r="I40" s="17">
        <v>1307706</v>
      </c>
      <c r="J40" s="17">
        <v>61575</v>
      </c>
      <c r="K40" s="23">
        <v>1235513</v>
      </c>
      <c r="L40" s="29">
        <f t="shared" ref="L40" si="60">1.4045*(J40/I40)</f>
        <v>6.6132668581470141E-2</v>
      </c>
      <c r="M40" s="23">
        <f t="shared" ref="M40" si="61">0.8764*(K40/I40)</f>
        <v>0.8280176073215233</v>
      </c>
      <c r="N40" s="34">
        <f t="shared" ref="N40" si="62">100*(1-L40/(C40/D40))</f>
        <v>93.386733141852986</v>
      </c>
      <c r="O40" s="34">
        <f t="shared" ref="O40" si="63">100*M40/(C40/D40)</f>
        <v>82.801760732152331</v>
      </c>
      <c r="P40" s="35">
        <f t="shared" ref="P40" si="64">(238.15*C40*(O40/100)*7.5/1000)*(60/E40)</f>
        <v>1.774731538652587</v>
      </c>
      <c r="Q40" s="276">
        <f>AVERAGE(N41:N43)</f>
        <v>95.398548423863758</v>
      </c>
      <c r="R40" s="278">
        <f>AVERAGE(O40:O43)</f>
        <v>82.310769455491965</v>
      </c>
      <c r="S40" s="278">
        <f>AVERAGE(P40:P43)</f>
        <v>1.7642078771242868</v>
      </c>
    </row>
    <row r="41" spans="1:25" x14ac:dyDescent="0.25">
      <c r="B41" s="17" t="s">
        <v>109</v>
      </c>
      <c r="C41" s="23">
        <v>0.1</v>
      </c>
      <c r="D41" s="17">
        <v>0.1</v>
      </c>
      <c r="E41" s="17">
        <v>5</v>
      </c>
      <c r="F41" s="17">
        <v>10</v>
      </c>
      <c r="G41" s="17">
        <v>2</v>
      </c>
      <c r="H41" s="23">
        <v>1</v>
      </c>
      <c r="I41" s="17">
        <v>3046864</v>
      </c>
      <c r="J41" s="17">
        <v>101823</v>
      </c>
      <c r="K41" s="23">
        <v>2820675</v>
      </c>
      <c r="L41" s="29">
        <f t="shared" ref="L41:L55" si="65">1.4045*(J41/I41)</f>
        <v>4.693691726969107E-2</v>
      </c>
      <c r="M41" s="23">
        <f t="shared" ref="M41:M55" si="66">0.8764*(K41/I41)</f>
        <v>0.8113389931418008</v>
      </c>
      <c r="N41" s="34">
        <f t="shared" ref="N41:N55" si="67">100*(1-L41/(C41/D41))</f>
        <v>95.306308273030893</v>
      </c>
      <c r="O41" s="34">
        <f t="shared" ref="O41:O55" si="68">100*M41/(C41/D41)</f>
        <v>81.133899314180084</v>
      </c>
      <c r="P41" s="35">
        <f t="shared" ref="P41:P55" si="69">(238.15*C41*(O41/100)*7.5/1000)*(60/E41)</f>
        <v>1.738983430950479</v>
      </c>
      <c r="Q41" s="276"/>
      <c r="R41" s="278"/>
      <c r="S41" s="278"/>
    </row>
    <row r="42" spans="1:25" x14ac:dyDescent="0.25">
      <c r="B42" s="17" t="s">
        <v>110</v>
      </c>
      <c r="C42" s="23">
        <v>0.1</v>
      </c>
      <c r="D42" s="17">
        <v>0.1</v>
      </c>
      <c r="E42" s="17">
        <v>5</v>
      </c>
      <c r="F42" s="17">
        <v>10</v>
      </c>
      <c r="G42" s="17">
        <v>2</v>
      </c>
      <c r="H42" s="23">
        <v>1</v>
      </c>
      <c r="I42" s="17">
        <v>3715007</v>
      </c>
      <c r="J42" s="17">
        <v>135947</v>
      </c>
      <c r="K42" s="23">
        <v>3521680</v>
      </c>
      <c r="L42" s="29">
        <f t="shared" si="65"/>
        <v>5.1396285794347088E-2</v>
      </c>
      <c r="M42" s="23">
        <f t="shared" si="66"/>
        <v>0.83079260738943428</v>
      </c>
      <c r="N42" s="34">
        <f t="shared" si="67"/>
        <v>94.860371420565286</v>
      </c>
      <c r="O42" s="34">
        <f t="shared" si="68"/>
        <v>83.079260738943432</v>
      </c>
      <c r="P42" s="35">
        <f t="shared" si="69"/>
        <v>1.780679335048144</v>
      </c>
      <c r="Q42" s="276"/>
      <c r="R42" s="278"/>
      <c r="S42" s="278"/>
    </row>
    <row r="43" spans="1:25" x14ac:dyDescent="0.25">
      <c r="B43" s="17" t="s">
        <v>111</v>
      </c>
      <c r="C43" s="23">
        <v>0.1</v>
      </c>
      <c r="D43" s="17">
        <v>0.1</v>
      </c>
      <c r="E43" s="17">
        <v>5</v>
      </c>
      <c r="F43" s="17">
        <v>10</v>
      </c>
      <c r="G43" s="17">
        <v>2</v>
      </c>
      <c r="H43" s="23">
        <v>1</v>
      </c>
      <c r="I43" s="17">
        <v>2644936</v>
      </c>
      <c r="J43" s="17">
        <v>74782</v>
      </c>
      <c r="K43" s="23">
        <v>2481609</v>
      </c>
      <c r="L43" s="29">
        <f t="shared" si="65"/>
        <v>3.9710344220049182E-2</v>
      </c>
      <c r="M43" s="23">
        <f t="shared" si="66"/>
        <v>0.82228157036691996</v>
      </c>
      <c r="N43" s="34">
        <f t="shared" si="67"/>
        <v>96.028965577995081</v>
      </c>
      <c r="O43" s="34">
        <f t="shared" si="68"/>
        <v>82.228157036691996</v>
      </c>
      <c r="P43" s="35">
        <f t="shared" si="69"/>
        <v>1.7624372038459377</v>
      </c>
      <c r="Q43" s="276"/>
      <c r="R43" s="278"/>
      <c r="S43" s="278"/>
    </row>
    <row r="44" spans="1:25" x14ac:dyDescent="0.25">
      <c r="A44" s="22">
        <v>43822</v>
      </c>
      <c r="B44" s="11" t="s">
        <v>112</v>
      </c>
      <c r="C44" s="24">
        <v>0.1</v>
      </c>
      <c r="D44" s="11">
        <v>0.1</v>
      </c>
      <c r="E44" s="11">
        <v>10</v>
      </c>
      <c r="F44" s="11">
        <v>10</v>
      </c>
      <c r="G44" s="12">
        <v>2</v>
      </c>
      <c r="H44" s="24">
        <v>1</v>
      </c>
      <c r="I44" s="11">
        <v>812270</v>
      </c>
      <c r="J44" s="11">
        <v>6494</v>
      </c>
      <c r="K44" s="24">
        <v>827936</v>
      </c>
      <c r="L44" s="11">
        <f t="shared" si="65"/>
        <v>1.1228806923806123E-2</v>
      </c>
      <c r="M44" s="24">
        <f t="shared" si="66"/>
        <v>0.89330285545446708</v>
      </c>
      <c r="N44" s="96">
        <f t="shared" si="67"/>
        <v>98.877119307619381</v>
      </c>
      <c r="O44" s="96">
        <f t="shared" si="68"/>
        <v>89.330285545446714</v>
      </c>
      <c r="P44" s="38">
        <f t="shared" si="69"/>
        <v>0.95733033761916619</v>
      </c>
      <c r="Q44" s="276">
        <f>AVERAGE(N44:N47)</f>
        <v>99.652386183505001</v>
      </c>
      <c r="R44" s="278">
        <f>AVERAGE(O44:O46)</f>
        <v>87.21792826043162</v>
      </c>
      <c r="S44" s="278">
        <f>AVERAGE(P44:P46)</f>
        <v>0.93469273268498065</v>
      </c>
    </row>
    <row r="45" spans="1:25" x14ac:dyDescent="0.25">
      <c r="B45" s="11" t="s">
        <v>113</v>
      </c>
      <c r="C45" s="24">
        <v>0.1</v>
      </c>
      <c r="D45" s="11">
        <v>0.1</v>
      </c>
      <c r="E45" s="11">
        <v>10</v>
      </c>
      <c r="F45" s="11">
        <v>10</v>
      </c>
      <c r="G45" s="11">
        <v>2</v>
      </c>
      <c r="H45" s="24">
        <v>1</v>
      </c>
      <c r="I45" s="11">
        <v>2511559</v>
      </c>
      <c r="J45" s="11">
        <v>1933</v>
      </c>
      <c r="K45" s="24">
        <v>2437074</v>
      </c>
      <c r="L45" s="11">
        <f t="shared" si="65"/>
        <v>1.0809614665631985E-3</v>
      </c>
      <c r="M45" s="24">
        <f t="shared" si="66"/>
        <v>0.85040871172048904</v>
      </c>
      <c r="N45" s="96">
        <f t="shared" si="67"/>
        <v>99.891903853343678</v>
      </c>
      <c r="O45" s="96">
        <f t="shared" si="68"/>
        <v>85.040871172048909</v>
      </c>
      <c r="P45" s="38">
        <f t="shared" si="69"/>
        <v>0.91136175613305526</v>
      </c>
      <c r="Q45" s="276"/>
      <c r="R45" s="278"/>
      <c r="S45" s="278"/>
    </row>
    <row r="46" spans="1:25" x14ac:dyDescent="0.25">
      <c r="B46" s="11" t="s">
        <v>114</v>
      </c>
      <c r="C46" s="24">
        <v>0.1</v>
      </c>
      <c r="D46" s="11">
        <v>0.1</v>
      </c>
      <c r="E46" s="11">
        <v>10</v>
      </c>
      <c r="F46" s="11">
        <v>10</v>
      </c>
      <c r="G46" s="11">
        <v>2</v>
      </c>
      <c r="H46" s="24">
        <v>1</v>
      </c>
      <c r="I46" s="11">
        <v>3065679</v>
      </c>
      <c r="J46" s="11">
        <v>1338</v>
      </c>
      <c r="K46" s="24">
        <v>3053178</v>
      </c>
      <c r="L46" s="11">
        <f t="shared" si="65"/>
        <v>6.1298687827394851E-4</v>
      </c>
      <c r="M46" s="24">
        <f t="shared" si="66"/>
        <v>0.87282628063799239</v>
      </c>
      <c r="N46" s="96">
        <f t="shared" si="67"/>
        <v>99.938701312172611</v>
      </c>
      <c r="O46" s="96">
        <f t="shared" si="68"/>
        <v>87.282628063799237</v>
      </c>
      <c r="P46" s="38">
        <f t="shared" si="69"/>
        <v>0.93538610430272051</v>
      </c>
      <c r="Q46" s="276"/>
      <c r="R46" s="278"/>
      <c r="S46" s="278"/>
    </row>
    <row r="47" spans="1:25" x14ac:dyDescent="0.25">
      <c r="B47" s="11" t="s">
        <v>115</v>
      </c>
      <c r="C47" s="24">
        <v>0.1</v>
      </c>
      <c r="D47" s="11">
        <v>0.1</v>
      </c>
      <c r="E47" s="11">
        <v>10</v>
      </c>
      <c r="F47" s="11">
        <v>10</v>
      </c>
      <c r="G47" s="11">
        <v>2</v>
      </c>
      <c r="H47" s="24">
        <v>1</v>
      </c>
      <c r="I47" s="11">
        <v>3128590</v>
      </c>
      <c r="J47" s="11">
        <v>2187</v>
      </c>
      <c r="K47" s="24">
        <v>2904897</v>
      </c>
      <c r="L47" s="11">
        <f t="shared" si="65"/>
        <v>9.817973911570388E-4</v>
      </c>
      <c r="M47" s="24">
        <f t="shared" si="66"/>
        <v>0.81373773194953636</v>
      </c>
      <c r="N47" s="96">
        <f t="shared" si="67"/>
        <v>99.901820260884307</v>
      </c>
      <c r="O47" s="96">
        <f t="shared" si="68"/>
        <v>81.373773194953642</v>
      </c>
      <c r="P47" s="38">
        <f t="shared" si="69"/>
        <v>0.87206238388701962</v>
      </c>
      <c r="Q47" s="276"/>
      <c r="R47" s="278"/>
      <c r="S47" s="278"/>
    </row>
    <row r="48" spans="1:25" x14ac:dyDescent="0.25">
      <c r="A48" s="22">
        <v>43822</v>
      </c>
      <c r="B48" s="13" t="s">
        <v>119</v>
      </c>
      <c r="C48" s="25">
        <v>0.1</v>
      </c>
      <c r="D48" s="13">
        <v>0.1</v>
      </c>
      <c r="E48" s="13">
        <v>5</v>
      </c>
      <c r="F48" s="13">
        <v>10</v>
      </c>
      <c r="G48" s="14">
        <v>2</v>
      </c>
      <c r="H48" s="25">
        <v>1</v>
      </c>
      <c r="I48" s="13">
        <v>707806</v>
      </c>
      <c r="J48" s="13">
        <v>69790</v>
      </c>
      <c r="K48" s="25">
        <v>644799</v>
      </c>
      <c r="L48" s="13">
        <f t="shared" si="65"/>
        <v>0.13848435164437714</v>
      </c>
      <c r="M48" s="25">
        <f t="shared" si="66"/>
        <v>0.79838521233219273</v>
      </c>
      <c r="N48" s="97">
        <f t="shared" si="67"/>
        <v>86.151564835562283</v>
      </c>
      <c r="O48" s="97">
        <f t="shared" si="68"/>
        <v>79.838521233219268</v>
      </c>
      <c r="P48" s="41">
        <f t="shared" si="69"/>
        <v>1.7112189448522055</v>
      </c>
    </row>
    <row r="49" spans="1:25" x14ac:dyDescent="0.25">
      <c r="B49" s="13" t="s">
        <v>120</v>
      </c>
      <c r="C49" s="25">
        <v>0.1</v>
      </c>
      <c r="D49" s="13">
        <v>0.1</v>
      </c>
      <c r="E49" s="13">
        <v>5</v>
      </c>
      <c r="F49" s="13">
        <v>10</v>
      </c>
      <c r="G49" s="13">
        <v>2</v>
      </c>
      <c r="H49" s="25">
        <v>1</v>
      </c>
      <c r="I49" s="13">
        <v>2301053</v>
      </c>
      <c r="J49" s="13">
        <v>79642</v>
      </c>
      <c r="K49" s="25">
        <v>2151242</v>
      </c>
      <c r="L49" s="13">
        <f t="shared" si="65"/>
        <v>4.8611304911273238E-2</v>
      </c>
      <c r="M49" s="25">
        <f t="shared" si="66"/>
        <v>0.81934161829388541</v>
      </c>
      <c r="N49" s="97">
        <f t="shared" si="67"/>
        <v>95.138869508872688</v>
      </c>
      <c r="O49" s="97">
        <f t="shared" si="68"/>
        <v>81.934161829388543</v>
      </c>
      <c r="P49" s="41">
        <f t="shared" si="69"/>
        <v>1.7561358575701995</v>
      </c>
      <c r="Q49" s="276">
        <f>AVERAGE(N49:N51)</f>
        <v>95.410064929105886</v>
      </c>
      <c r="R49" s="278">
        <f>AVERAGE(O49:O51)</f>
        <v>83.310870659701195</v>
      </c>
      <c r="S49" s="278">
        <f>AVERAGE(P49:P51)</f>
        <v>1.7856435462847056</v>
      </c>
      <c r="T49" s="95">
        <f>AVERAGE(N49:N51)-MAX(N49:N51)</f>
        <v>-0.81296413302574422</v>
      </c>
      <c r="U49" s="95">
        <f>AVERAGE(N49:N51)-MIN(N49:N51)</f>
        <v>0.54176871279253191</v>
      </c>
      <c r="V49" s="95">
        <f>AVERAGE(O49:O51)-MAX(O49:O51)</f>
        <v>-1.5507843525655858</v>
      </c>
      <c r="W49" s="95">
        <f>AVERAGE(O49:O51)-MIN(O49:O51)</f>
        <v>1.3767088303126513</v>
      </c>
    </row>
    <row r="50" spans="1:25" x14ac:dyDescent="0.25">
      <c r="B50" s="13" t="s">
        <v>121</v>
      </c>
      <c r="C50" s="25">
        <v>0.1</v>
      </c>
      <c r="D50" s="13">
        <v>0.1</v>
      </c>
      <c r="E50" s="13">
        <v>5</v>
      </c>
      <c r="F50" s="13">
        <v>10</v>
      </c>
      <c r="G50" s="13">
        <v>2</v>
      </c>
      <c r="H50" s="25">
        <v>1</v>
      </c>
      <c r="I50" s="13">
        <v>3316448</v>
      </c>
      <c r="J50" s="13">
        <v>121175</v>
      </c>
      <c r="K50" s="25">
        <v>3146039</v>
      </c>
      <c r="L50" s="13">
        <f t="shared" si="65"/>
        <v>5.1317037836866433E-2</v>
      </c>
      <c r="M50" s="25">
        <f t="shared" si="66"/>
        <v>0.83136795137448249</v>
      </c>
      <c r="N50" s="97">
        <f t="shared" si="67"/>
        <v>94.868296216313354</v>
      </c>
      <c r="O50" s="97">
        <f t="shared" si="68"/>
        <v>83.136795137448246</v>
      </c>
      <c r="P50" s="41">
        <f t="shared" si="69"/>
        <v>1.7819124985784969</v>
      </c>
      <c r="Q50" s="276"/>
      <c r="R50" s="278"/>
      <c r="S50" s="278"/>
    </row>
    <row r="51" spans="1:25" x14ac:dyDescent="0.25">
      <c r="B51" s="13" t="s">
        <v>122</v>
      </c>
      <c r="C51" s="25">
        <v>0.1</v>
      </c>
      <c r="D51" s="13">
        <v>0.1</v>
      </c>
      <c r="E51" s="13">
        <v>5</v>
      </c>
      <c r="F51" s="13">
        <v>10</v>
      </c>
      <c r="G51" s="13">
        <v>2</v>
      </c>
      <c r="H51" s="25">
        <v>1</v>
      </c>
      <c r="I51" s="13">
        <v>2705273</v>
      </c>
      <c r="J51" s="13">
        <v>72750</v>
      </c>
      <c r="K51" s="25">
        <v>2619511</v>
      </c>
      <c r="L51" s="13">
        <f t="shared" si="65"/>
        <v>3.7769709378683784E-2</v>
      </c>
      <c r="M51" s="25">
        <f t="shared" si="66"/>
        <v>0.84861655012266779</v>
      </c>
      <c r="N51" s="97">
        <f t="shared" si="67"/>
        <v>96.22302906213163</v>
      </c>
      <c r="O51" s="97">
        <f t="shared" si="68"/>
        <v>84.86165501226678</v>
      </c>
      <c r="P51" s="41">
        <f t="shared" si="69"/>
        <v>1.8188822827054201</v>
      </c>
      <c r="Q51" s="276"/>
      <c r="R51" s="278"/>
      <c r="S51" s="278"/>
    </row>
    <row r="52" spans="1:25" x14ac:dyDescent="0.25">
      <c r="A52" s="22">
        <v>43822</v>
      </c>
      <c r="B52" s="15" t="s">
        <v>123</v>
      </c>
      <c r="C52" s="48">
        <v>0.1</v>
      </c>
      <c r="D52" s="49">
        <v>0.1</v>
      </c>
      <c r="E52" s="49">
        <v>2</v>
      </c>
      <c r="F52" s="49">
        <v>10</v>
      </c>
      <c r="G52" s="50">
        <v>2</v>
      </c>
      <c r="H52" s="48">
        <v>1</v>
      </c>
      <c r="I52" s="15">
        <v>250376</v>
      </c>
      <c r="J52" s="15">
        <v>100616</v>
      </c>
      <c r="K52" s="26">
        <v>111283</v>
      </c>
      <c r="L52" s="15">
        <f t="shared" si="65"/>
        <v>0.5644118126337988</v>
      </c>
      <c r="M52" s="26">
        <f t="shared" si="66"/>
        <v>0.38952783493625581</v>
      </c>
      <c r="N52" s="98">
        <f t="shared" si="67"/>
        <v>43.558818736620118</v>
      </c>
      <c r="O52" s="98">
        <f t="shared" si="68"/>
        <v>38.952783493625581</v>
      </c>
      <c r="P52" s="44">
        <f t="shared" si="69"/>
        <v>2.0872362125265598</v>
      </c>
    </row>
    <row r="53" spans="1:25" x14ac:dyDescent="0.25">
      <c r="B53" s="15" t="s">
        <v>124</v>
      </c>
      <c r="C53" s="48">
        <v>0.1</v>
      </c>
      <c r="D53" s="49">
        <v>0.1</v>
      </c>
      <c r="E53" s="49">
        <v>2</v>
      </c>
      <c r="F53" s="49">
        <v>10</v>
      </c>
      <c r="G53" s="49">
        <v>2</v>
      </c>
      <c r="H53" s="48">
        <v>1</v>
      </c>
      <c r="I53" s="15">
        <v>1490900</v>
      </c>
      <c r="J53" s="15">
        <v>391142</v>
      </c>
      <c r="K53" s="26">
        <v>943709</v>
      </c>
      <c r="L53" s="15">
        <f t="shared" si="65"/>
        <v>0.36847470588235293</v>
      </c>
      <c r="M53" s="26">
        <f t="shared" si="66"/>
        <v>0.55474315353142389</v>
      </c>
      <c r="N53" s="98">
        <f t="shared" si="67"/>
        <v>63.152529411764704</v>
      </c>
      <c r="O53" s="98">
        <f t="shared" si="68"/>
        <v>55.474315353142387</v>
      </c>
      <c r="P53" s="44">
        <f t="shared" si="69"/>
        <v>2.9725218453039437</v>
      </c>
      <c r="Q53" s="276">
        <f>AVERAGE(N53:N55)</f>
        <v>65.447051455369859</v>
      </c>
      <c r="R53" s="278">
        <f>AVERAGE(O53:O55)</f>
        <v>56.478080376189119</v>
      </c>
      <c r="S53" s="278">
        <f>AVERAGE(P53:P55)</f>
        <v>3.0263073393576239</v>
      </c>
      <c r="T53" s="95">
        <f>AVERAGE(N53:N55)-MAX(N53:N55)</f>
        <v>-1.8929801838482376</v>
      </c>
      <c r="U53" s="95">
        <f>AVERAGE(N53:N55)-MIN(N53:N55)</f>
        <v>2.2945220436051557</v>
      </c>
      <c r="V53" s="95">
        <f>AVERAGE(O53:O55)-MAX(O53:O55)</f>
        <v>-1.1831759461177214</v>
      </c>
      <c r="W53" s="95">
        <f>AVERAGE(O53:O55)-MIN(O53:O55)</f>
        <v>1.0037650230467321</v>
      </c>
      <c r="X53" s="95">
        <f>S52-P52</f>
        <v>-2.0872362125265598</v>
      </c>
      <c r="Y53" s="95">
        <f>S52-P53</f>
        <v>-2.9725218453039437</v>
      </c>
    </row>
    <row r="54" spans="1:25" x14ac:dyDescent="0.25">
      <c r="B54" s="15" t="s">
        <v>125</v>
      </c>
      <c r="C54" s="48">
        <v>0.1</v>
      </c>
      <c r="D54" s="49">
        <v>0.1</v>
      </c>
      <c r="E54" s="49">
        <v>2</v>
      </c>
      <c r="F54" s="49">
        <v>10</v>
      </c>
      <c r="G54" s="49">
        <v>2</v>
      </c>
      <c r="H54" s="48">
        <v>1</v>
      </c>
      <c r="I54" s="15">
        <v>2451864</v>
      </c>
      <c r="J54" s="15">
        <v>596188</v>
      </c>
      <c r="K54" s="26">
        <v>1575042</v>
      </c>
      <c r="L54" s="15">
        <f t="shared" si="65"/>
        <v>0.34151406684873226</v>
      </c>
      <c r="M54" s="26">
        <f t="shared" si="66"/>
        <v>0.56298669453118122</v>
      </c>
      <c r="N54" s="98">
        <f t="shared" si="67"/>
        <v>65.848593315126777</v>
      </c>
      <c r="O54" s="98">
        <f t="shared" si="68"/>
        <v>56.298669453118123</v>
      </c>
      <c r="P54" s="44">
        <f t="shared" si="69"/>
        <v>3.0166938293085179</v>
      </c>
      <c r="Q54" s="276"/>
      <c r="R54" s="278"/>
      <c r="S54" s="278"/>
    </row>
    <row r="55" spans="1:25" x14ac:dyDescent="0.25">
      <c r="B55" s="15" t="s">
        <v>126</v>
      </c>
      <c r="C55" s="48">
        <v>0.1</v>
      </c>
      <c r="D55" s="49">
        <v>0.1</v>
      </c>
      <c r="E55" s="49">
        <v>2</v>
      </c>
      <c r="F55" s="49">
        <v>10</v>
      </c>
      <c r="G55" s="49">
        <v>2</v>
      </c>
      <c r="H55" s="48">
        <v>1</v>
      </c>
      <c r="I55" s="15">
        <v>2889768</v>
      </c>
      <c r="J55" s="15">
        <v>671981</v>
      </c>
      <c r="K55" s="26">
        <v>1901274</v>
      </c>
      <c r="L55" s="15">
        <f t="shared" si="65"/>
        <v>0.32659968360781905</v>
      </c>
      <c r="M55" s="26">
        <f t="shared" si="66"/>
        <v>0.57661256322306842</v>
      </c>
      <c r="N55" s="98">
        <f t="shared" si="67"/>
        <v>67.340031639218097</v>
      </c>
      <c r="O55" s="98">
        <f t="shared" si="68"/>
        <v>57.661256322306841</v>
      </c>
      <c r="P55" s="44">
        <f t="shared" si="69"/>
        <v>3.08970634346041</v>
      </c>
      <c r="Q55" s="276"/>
      <c r="R55" s="278"/>
      <c r="S55" s="278"/>
    </row>
    <row r="56" spans="1:25" x14ac:dyDescent="0.25">
      <c r="A56" s="22">
        <v>43838</v>
      </c>
      <c r="B56" s="17" t="s">
        <v>128</v>
      </c>
      <c r="C56" s="55">
        <v>0.1</v>
      </c>
      <c r="D56" s="56">
        <v>0.1</v>
      </c>
      <c r="E56" s="56">
        <v>7.5</v>
      </c>
      <c r="F56" s="56">
        <v>10</v>
      </c>
      <c r="G56" s="57">
        <v>2</v>
      </c>
      <c r="H56" s="55">
        <v>1</v>
      </c>
      <c r="I56" s="17">
        <v>433147</v>
      </c>
      <c r="J56" s="17">
        <v>2385</v>
      </c>
      <c r="K56" s="23">
        <v>424865</v>
      </c>
      <c r="L56" s="17">
        <f t="shared" ref="L56:L59" si="70">1.4045*(J56/I56)</f>
        <v>7.7334773183238021E-3</v>
      </c>
      <c r="M56" s="23">
        <f t="shared" ref="M56:M59" si="71">0.8764*(K56/I56)</f>
        <v>0.85964276792867078</v>
      </c>
      <c r="N56" s="99">
        <f t="shared" ref="N56:N59" si="72">100*(1-L56/(C56/D56))</f>
        <v>99.226652268167612</v>
      </c>
      <c r="O56" s="99">
        <f t="shared" ref="O56:O59" si="73">100*M56/(C56/D56)</f>
        <v>85.964276792867082</v>
      </c>
      <c r="P56" s="35">
        <f t="shared" ref="P56:P59" si="74">(238.15*C56*(O56/100)*7.5/1000)*(60/E56)</f>
        <v>1.2283435510932776</v>
      </c>
      <c r="Q56" s="276">
        <f>AVERAGE(N56:N58)</f>
        <v>99.543941390729472</v>
      </c>
      <c r="R56" s="278">
        <f>AVERAGE(O56:O58)</f>
        <v>83.917343462963757</v>
      </c>
      <c r="S56" s="278">
        <f>AVERAGE(P56:P58)</f>
        <v>1.1990949207422894</v>
      </c>
      <c r="T56" s="81">
        <f>Q56-N57</f>
        <v>-0.31066980315392811</v>
      </c>
      <c r="U56" s="81">
        <f>Q56-N56</f>
        <v>0.31728912256185993</v>
      </c>
      <c r="V56" s="81">
        <f>R56-O56</f>
        <v>-2.0469333299033252</v>
      </c>
      <c r="W56" s="81">
        <f>R56-O57</f>
        <v>1.465684004699682</v>
      </c>
      <c r="X56" s="81">
        <f>S56-P56</f>
        <v>-2.9248630350988236E-2</v>
      </c>
      <c r="Y56" s="81">
        <f>S56-P57</f>
        <v>2.0943158743153889E-2</v>
      </c>
    </row>
    <row r="57" spans="1:25" x14ac:dyDescent="0.25">
      <c r="B57" s="17" t="s">
        <v>129</v>
      </c>
      <c r="C57" s="55">
        <v>0.1</v>
      </c>
      <c r="D57" s="56">
        <v>0.1</v>
      </c>
      <c r="E57" s="56">
        <v>7.5</v>
      </c>
      <c r="F57" s="56">
        <v>10</v>
      </c>
      <c r="G57" s="56">
        <v>2</v>
      </c>
      <c r="H57" s="55">
        <v>1</v>
      </c>
      <c r="I57" s="17">
        <v>1686689</v>
      </c>
      <c r="J57" s="17">
        <v>1746</v>
      </c>
      <c r="K57" s="23">
        <v>1586836</v>
      </c>
      <c r="L57" s="17">
        <f t="shared" si="70"/>
        <v>1.4538880611659885E-3</v>
      </c>
      <c r="M57" s="23">
        <f t="shared" si="71"/>
        <v>0.82451659458264082</v>
      </c>
      <c r="N57" s="99">
        <f t="shared" si="72"/>
        <v>99.8546111938834</v>
      </c>
      <c r="O57" s="99">
        <f t="shared" si="73"/>
        <v>82.451659458264075</v>
      </c>
      <c r="P57" s="35">
        <f t="shared" si="74"/>
        <v>1.1781517619991355</v>
      </c>
      <c r="Q57" s="276"/>
      <c r="R57" s="278"/>
      <c r="S57" s="278"/>
    </row>
    <row r="58" spans="1:25" x14ac:dyDescent="0.25">
      <c r="B58" s="17" t="s">
        <v>130</v>
      </c>
      <c r="C58" s="55">
        <v>0.1</v>
      </c>
      <c r="D58" s="56">
        <v>0.1</v>
      </c>
      <c r="E58" s="56">
        <v>7.5</v>
      </c>
      <c r="F58" s="56">
        <v>10</v>
      </c>
      <c r="G58" s="56">
        <v>2</v>
      </c>
      <c r="H58" s="55">
        <v>1</v>
      </c>
      <c r="I58" s="17">
        <v>5063133</v>
      </c>
      <c r="J58" s="17">
        <v>16202</v>
      </c>
      <c r="K58" s="23">
        <v>4814488</v>
      </c>
      <c r="L58" s="17">
        <f t="shared" si="70"/>
        <v>4.4943928986262071E-3</v>
      </c>
      <c r="M58" s="23">
        <f t="shared" si="71"/>
        <v>0.83336094137760153</v>
      </c>
      <c r="N58" s="99">
        <f t="shared" si="72"/>
        <v>99.550560710137376</v>
      </c>
      <c r="O58" s="99">
        <f t="shared" si="73"/>
        <v>83.336094137760156</v>
      </c>
      <c r="P58" s="35">
        <f t="shared" si="74"/>
        <v>1.1907894491344551</v>
      </c>
      <c r="Q58" s="276"/>
      <c r="R58" s="278"/>
      <c r="S58" s="278"/>
    </row>
    <row r="59" spans="1:25" x14ac:dyDescent="0.25">
      <c r="B59" s="17" t="s">
        <v>131</v>
      </c>
      <c r="C59" s="55">
        <v>0.1</v>
      </c>
      <c r="D59" s="56">
        <v>0.1</v>
      </c>
      <c r="E59" s="56">
        <v>7.5</v>
      </c>
      <c r="F59" s="56">
        <v>10</v>
      </c>
      <c r="G59" s="56">
        <v>2</v>
      </c>
      <c r="H59" s="55">
        <v>1</v>
      </c>
      <c r="I59" s="17">
        <v>4596173</v>
      </c>
      <c r="J59" s="17">
        <v>7814</v>
      </c>
      <c r="K59" s="23">
        <v>4282619</v>
      </c>
      <c r="L59" s="17">
        <f t="shared" si="70"/>
        <v>2.3878045930821141E-3</v>
      </c>
      <c r="M59" s="23">
        <f t="shared" si="71"/>
        <v>0.81661140509724062</v>
      </c>
      <c r="N59" s="99">
        <f t="shared" si="72"/>
        <v>99.761219540691798</v>
      </c>
      <c r="O59" s="99">
        <f t="shared" si="73"/>
        <v>81.661140509724063</v>
      </c>
      <c r="P59" s="35">
        <f t="shared" si="74"/>
        <v>1.1668560367434473</v>
      </c>
      <c r="Q59" s="276"/>
      <c r="R59" s="278"/>
      <c r="S59" s="278"/>
    </row>
    <row r="60" spans="1:25" x14ac:dyDescent="0.25">
      <c r="A60" s="22">
        <v>43838</v>
      </c>
      <c r="B60" s="11" t="s">
        <v>132</v>
      </c>
      <c r="C60" s="58">
        <v>0.1</v>
      </c>
      <c r="D60" s="59">
        <v>0.1</v>
      </c>
      <c r="E60" s="59">
        <v>7.5</v>
      </c>
      <c r="F60" s="59">
        <v>10</v>
      </c>
      <c r="G60" s="60">
        <v>2</v>
      </c>
      <c r="H60" s="58">
        <v>1</v>
      </c>
      <c r="I60" s="11">
        <v>2105696</v>
      </c>
      <c r="J60" s="11">
        <v>2606</v>
      </c>
      <c r="K60" s="24">
        <v>1978593</v>
      </c>
      <c r="L60" s="11">
        <f t="shared" ref="L60:L63" si="75">1.4045*(J60/I60)</f>
        <v>1.7382029504733826E-3</v>
      </c>
      <c r="M60" s="24">
        <f t="shared" ref="M60:M63" si="76">0.8764*(K60/I60)</f>
        <v>0.82349916854094796</v>
      </c>
      <c r="N60" s="96">
        <f t="shared" ref="N60:N63" si="77">100*(1-L60/(C60/D60))</f>
        <v>99.826179704952665</v>
      </c>
      <c r="O60" s="96">
        <f t="shared" ref="O60:O63" si="78">100*M60/(C60/D60)</f>
        <v>82.349916854094801</v>
      </c>
      <c r="P60" s="38">
        <f t="shared" ref="P60:P63" si="79">(238.15*C60*(O60/100)*7.5/1000)*(60/E60)</f>
        <v>1.1766979619281606</v>
      </c>
      <c r="Q60" s="276">
        <f>AVERAGE(N60:N63)</f>
        <v>99.748366606681529</v>
      </c>
      <c r="R60" s="278">
        <f>AVERAGE(O60:O61,O63)</f>
        <v>82.909684211569257</v>
      </c>
      <c r="S60" s="278">
        <f>AVERAGE(P60,P61,P63)</f>
        <v>1.1846964776991136</v>
      </c>
      <c r="T60" s="95">
        <f>Q60-N61</f>
        <v>-5.787840286804169E-2</v>
      </c>
      <c r="U60" s="95">
        <f>Q60-N60</f>
        <v>-7.7813098271136028E-2</v>
      </c>
      <c r="V60" s="95">
        <f>R60-O63</f>
        <v>-1.5389998423388533</v>
      </c>
      <c r="W60" s="95">
        <f>R60-O61</f>
        <v>0.97923248486435455</v>
      </c>
      <c r="X60" s="95">
        <f>S60-P60</f>
        <v>7.9985157709530075E-3</v>
      </c>
      <c r="Y60" s="95">
        <f>S60-P61</f>
        <v>1.3992252976227082E-2</v>
      </c>
    </row>
    <row r="61" spans="1:25" x14ac:dyDescent="0.25">
      <c r="B61" s="11" t="s">
        <v>133</v>
      </c>
      <c r="C61" s="58">
        <v>0.1</v>
      </c>
      <c r="D61" s="59">
        <v>0.1</v>
      </c>
      <c r="E61" s="59">
        <v>7.5</v>
      </c>
      <c r="F61" s="59">
        <v>10</v>
      </c>
      <c r="G61" s="59">
        <v>2</v>
      </c>
      <c r="H61" s="58">
        <v>1</v>
      </c>
      <c r="I61" s="11">
        <v>4144165</v>
      </c>
      <c r="J61" s="11">
        <v>5717</v>
      </c>
      <c r="K61" s="24">
        <v>3874182</v>
      </c>
      <c r="L61" s="11">
        <f t="shared" si="75"/>
        <v>1.9375499045042853E-3</v>
      </c>
      <c r="M61" s="24">
        <f t="shared" si="76"/>
        <v>0.819304517267049</v>
      </c>
      <c r="N61" s="96">
        <f t="shared" si="77"/>
        <v>99.806245009549571</v>
      </c>
      <c r="O61" s="96">
        <f t="shared" si="78"/>
        <v>81.930451726704902</v>
      </c>
      <c r="P61" s="38">
        <f t="shared" si="79"/>
        <v>1.1707042247228865</v>
      </c>
      <c r="Q61" s="276"/>
      <c r="R61" s="278"/>
      <c r="S61" s="278"/>
    </row>
    <row r="62" spans="1:25" x14ac:dyDescent="0.25">
      <c r="B62" s="11" t="s">
        <v>134</v>
      </c>
      <c r="C62" s="58">
        <v>0.1</v>
      </c>
      <c r="D62" s="59">
        <v>0.1</v>
      </c>
      <c r="E62" s="59">
        <v>7.5</v>
      </c>
      <c r="F62" s="59">
        <v>10</v>
      </c>
      <c r="G62" s="59">
        <v>2</v>
      </c>
      <c r="H62" s="58">
        <v>1</v>
      </c>
      <c r="I62" s="11">
        <v>482861</v>
      </c>
      <c r="J62" s="11">
        <v>871</v>
      </c>
      <c r="K62" s="24">
        <v>428130</v>
      </c>
      <c r="L62" s="11">
        <f t="shared" si="75"/>
        <v>2.5334816852054733E-3</v>
      </c>
      <c r="M62" s="24">
        <f t="shared" si="76"/>
        <v>0.7770624092647781</v>
      </c>
      <c r="N62" s="96">
        <f t="shared" si="77"/>
        <v>99.746651831479454</v>
      </c>
      <c r="O62" s="96">
        <f t="shared" si="78"/>
        <v>77.706240926477804</v>
      </c>
      <c r="P62" s="38">
        <f t="shared" si="79"/>
        <v>1.1103444765984414</v>
      </c>
      <c r="Q62" s="276"/>
      <c r="R62" s="278"/>
      <c r="S62" s="278"/>
    </row>
    <row r="63" spans="1:25" x14ac:dyDescent="0.25">
      <c r="B63" s="11" t="s">
        <v>135</v>
      </c>
      <c r="C63" s="58">
        <v>0.1</v>
      </c>
      <c r="D63" s="59">
        <v>0.1</v>
      </c>
      <c r="E63" s="59">
        <v>7.5</v>
      </c>
      <c r="F63" s="59">
        <v>10</v>
      </c>
      <c r="G63" s="59">
        <v>2</v>
      </c>
      <c r="H63" s="58">
        <v>1</v>
      </c>
      <c r="I63" s="11">
        <v>5581794</v>
      </c>
      <c r="J63" s="11">
        <v>15325</v>
      </c>
      <c r="K63" s="24">
        <v>5378539</v>
      </c>
      <c r="L63" s="11">
        <f t="shared" si="75"/>
        <v>3.8561011925556552E-3</v>
      </c>
      <c r="M63" s="24">
        <f t="shared" si="76"/>
        <v>0.84448684053908107</v>
      </c>
      <c r="N63" s="96">
        <f t="shared" si="77"/>
        <v>99.61438988074444</v>
      </c>
      <c r="O63" s="96">
        <f t="shared" si="78"/>
        <v>84.44868405390811</v>
      </c>
      <c r="P63" s="38">
        <f t="shared" si="79"/>
        <v>1.206687246446293</v>
      </c>
      <c r="Q63" s="276"/>
      <c r="R63" s="278"/>
      <c r="S63" s="278"/>
    </row>
    <row r="64" spans="1:25" x14ac:dyDescent="0.25">
      <c r="A64" s="22">
        <v>43838</v>
      </c>
      <c r="B64" s="13" t="s">
        <v>136</v>
      </c>
      <c r="C64" s="61">
        <v>0.1</v>
      </c>
      <c r="D64" s="62">
        <v>0.1</v>
      </c>
      <c r="E64" s="62">
        <v>7.5</v>
      </c>
      <c r="F64" s="62">
        <v>10</v>
      </c>
      <c r="G64" s="63">
        <v>2</v>
      </c>
      <c r="H64" s="61">
        <v>1</v>
      </c>
      <c r="I64" s="13">
        <v>2325423</v>
      </c>
      <c r="J64" s="13">
        <v>2769</v>
      </c>
      <c r="K64" s="25">
        <v>2234383</v>
      </c>
      <c r="L64" s="13">
        <f t="shared" ref="L64:L67" si="80">1.4045*(J64/I64)</f>
        <v>1.6724099228398446E-3</v>
      </c>
      <c r="M64" s="25">
        <f t="shared" ref="M64:M67" si="81">0.8764*(K64/I64)</f>
        <v>0.84208905700167236</v>
      </c>
      <c r="N64" s="97">
        <f t="shared" ref="N64:N67" si="82">100*(1-L64/(C64/D64))</f>
        <v>99.832759007716021</v>
      </c>
      <c r="O64" s="97">
        <f t="shared" ref="O64:O67" si="83">100*M64/(C64/D64)</f>
        <v>84.208905700167236</v>
      </c>
      <c r="P64" s="41">
        <f t="shared" ref="P64:P67" si="84">(238.15*C64*(O64/100)*7.5/1000)*(60/E64)</f>
        <v>1.2032610535496897</v>
      </c>
      <c r="Q64" s="276">
        <f>AVERAGE(N64:N67)</f>
        <v>99.865489207615667</v>
      </c>
      <c r="R64" s="278">
        <f>AVERAGE(O64,O66,O67)</f>
        <v>83.522836890313556</v>
      </c>
      <c r="S64" s="278">
        <f>AVERAGE(P64,P66,P67)</f>
        <v>1.1934578163256904</v>
      </c>
    </row>
    <row r="65" spans="1:25" x14ac:dyDescent="0.25">
      <c r="B65" s="13" t="s">
        <v>137</v>
      </c>
      <c r="C65" s="61">
        <v>0.1</v>
      </c>
      <c r="D65" s="62">
        <v>0.1</v>
      </c>
      <c r="E65" s="62">
        <v>7.5</v>
      </c>
      <c r="F65" s="62">
        <v>10</v>
      </c>
      <c r="G65" s="62">
        <v>2</v>
      </c>
      <c r="H65" s="61">
        <v>1</v>
      </c>
      <c r="I65" s="13">
        <v>3283280</v>
      </c>
      <c r="J65" s="13">
        <v>3418</v>
      </c>
      <c r="K65" s="25">
        <v>3033450</v>
      </c>
      <c r="L65" s="13">
        <f t="shared" si="80"/>
        <v>1.4621296386540291E-3</v>
      </c>
      <c r="M65" s="25">
        <f t="shared" si="81"/>
        <v>0.80971332935357321</v>
      </c>
      <c r="N65" s="97">
        <f t="shared" si="82"/>
        <v>99.853787036134605</v>
      </c>
      <c r="O65" s="97">
        <f t="shared" si="83"/>
        <v>80.971332935357324</v>
      </c>
      <c r="P65" s="41">
        <f t="shared" si="84"/>
        <v>1.1569993763133208</v>
      </c>
      <c r="Q65" s="276"/>
      <c r="R65" s="278"/>
      <c r="S65" s="278"/>
    </row>
    <row r="66" spans="1:25" x14ac:dyDescent="0.25">
      <c r="B66" s="13" t="s">
        <v>138</v>
      </c>
      <c r="C66" s="61">
        <v>0.1</v>
      </c>
      <c r="D66" s="62">
        <v>0.1</v>
      </c>
      <c r="E66" s="62">
        <v>7.5</v>
      </c>
      <c r="F66" s="62">
        <v>10</v>
      </c>
      <c r="G66" s="62">
        <v>2</v>
      </c>
      <c r="H66" s="61">
        <v>1</v>
      </c>
      <c r="I66" s="13">
        <v>3236116</v>
      </c>
      <c r="J66" s="13">
        <v>2217</v>
      </c>
      <c r="K66" s="25">
        <v>3021418</v>
      </c>
      <c r="L66" s="13">
        <f t="shared" si="80"/>
        <v>9.6219557642556711E-4</v>
      </c>
      <c r="M66" s="25">
        <f t="shared" si="81"/>
        <v>0.81825581505730938</v>
      </c>
      <c r="N66" s="97">
        <f t="shared" si="82"/>
        <v>99.903780442357444</v>
      </c>
      <c r="O66" s="97">
        <f t="shared" si="83"/>
        <v>81.825581505730938</v>
      </c>
      <c r="P66" s="41">
        <f t="shared" si="84"/>
        <v>1.1692057341353896</v>
      </c>
      <c r="Q66" s="276"/>
      <c r="R66" s="278"/>
      <c r="S66" s="278"/>
    </row>
    <row r="67" spans="1:25" x14ac:dyDescent="0.25">
      <c r="B67" s="13" t="s">
        <v>139</v>
      </c>
      <c r="C67" s="61">
        <v>0.1</v>
      </c>
      <c r="D67" s="62">
        <v>0.1</v>
      </c>
      <c r="E67" s="62">
        <v>7.5</v>
      </c>
      <c r="F67" s="62">
        <v>10</v>
      </c>
      <c r="G67" s="62">
        <v>2</v>
      </c>
      <c r="H67" s="61">
        <v>1</v>
      </c>
      <c r="I67" s="13">
        <v>2551455</v>
      </c>
      <c r="J67" s="13">
        <v>2332</v>
      </c>
      <c r="K67" s="25">
        <v>2461031</v>
      </c>
      <c r="L67" s="13">
        <f t="shared" si="80"/>
        <v>1.2836965574544721E-3</v>
      </c>
      <c r="M67" s="25">
        <f t="shared" si="81"/>
        <v>0.84534023465042485</v>
      </c>
      <c r="N67" s="97">
        <f t="shared" si="82"/>
        <v>99.871630344254555</v>
      </c>
      <c r="O67" s="97">
        <f t="shared" si="83"/>
        <v>84.53402346504248</v>
      </c>
      <c r="P67" s="41">
        <f t="shared" si="84"/>
        <v>1.2079066612919922</v>
      </c>
      <c r="Q67" s="276"/>
      <c r="R67" s="278"/>
      <c r="S67" s="278"/>
    </row>
    <row r="68" spans="1:25" x14ac:dyDescent="0.25">
      <c r="A68" s="22">
        <v>43838</v>
      </c>
      <c r="B68" s="15" t="s">
        <v>140</v>
      </c>
      <c r="C68" s="48">
        <v>0.1</v>
      </c>
      <c r="D68" s="49">
        <v>0.1</v>
      </c>
      <c r="E68" s="49">
        <v>7.5</v>
      </c>
      <c r="F68" s="49">
        <v>10</v>
      </c>
      <c r="G68" s="50">
        <v>2</v>
      </c>
      <c r="H68" s="48">
        <v>1</v>
      </c>
      <c r="I68" s="15">
        <v>619701</v>
      </c>
      <c r="J68" s="15">
        <v>15530</v>
      </c>
      <c r="K68" s="26">
        <v>611731</v>
      </c>
      <c r="L68" s="15">
        <f t="shared" ref="L68:L72" si="85">1.4045*(J68/I68)</f>
        <v>3.5197433923779373E-2</v>
      </c>
      <c r="M68" s="26">
        <f t="shared" ref="M68:M72" si="86">0.8764*(K68/I68)</f>
        <v>0.86512858362339251</v>
      </c>
      <c r="N68" s="98">
        <f t="shared" ref="N68:N72" si="87">100*(1-L68/(C68/D68))</f>
        <v>96.480256607622067</v>
      </c>
      <c r="O68" s="98">
        <f t="shared" ref="O68:O72" si="88">100*M68/(C68/D68)</f>
        <v>86.512858362339244</v>
      </c>
      <c r="P68" s="44">
        <f t="shared" ref="P68:P72" si="89">(238.15*C68*(O68/100)*7.5/1000)*(60/E68)</f>
        <v>1.2361822331394656</v>
      </c>
      <c r="Q68" s="278">
        <f>AVERAGE(N69,N71,N72)</f>
        <v>99.857976756216047</v>
      </c>
      <c r="R68" s="278">
        <f>AVERAGE(O69,O71,O72)</f>
        <v>86.004183410321545</v>
      </c>
      <c r="S68" s="278">
        <f>AVERAGE(P69,P71,P72)</f>
        <v>1.2289137767500844</v>
      </c>
      <c r="T68" s="86">
        <f>Q68-N71</f>
        <v>-1.9849719524870579E-2</v>
      </c>
      <c r="U68" s="86">
        <f>Q68-N69</f>
        <v>3.76307943623857E-2</v>
      </c>
      <c r="V68" s="86">
        <f>R68-O71</f>
        <v>-1.1347571178327911</v>
      </c>
      <c r="W68" s="86">
        <f>R68-O69</f>
        <v>1.2111088960745207</v>
      </c>
      <c r="X68" s="86">
        <f>S68-P71</f>
        <v>-1.6214544456712998E-2</v>
      </c>
      <c r="Y68" s="86">
        <f>S68-P69</f>
        <v>1.7305535016008733E-2</v>
      </c>
    </row>
    <row r="69" spans="1:25" x14ac:dyDescent="0.25">
      <c r="A69" s="51"/>
      <c r="B69" s="15" t="s">
        <v>141</v>
      </c>
      <c r="C69" s="48">
        <v>0.1</v>
      </c>
      <c r="D69" s="49">
        <v>0.1</v>
      </c>
      <c r="E69" s="49">
        <v>7.5</v>
      </c>
      <c r="F69" s="49">
        <v>10</v>
      </c>
      <c r="G69" s="49">
        <v>2</v>
      </c>
      <c r="H69" s="48">
        <v>1</v>
      </c>
      <c r="I69" s="15">
        <v>2381303</v>
      </c>
      <c r="J69" s="15">
        <v>3046</v>
      </c>
      <c r="K69" s="26">
        <v>2303948</v>
      </c>
      <c r="L69" s="15">
        <f t="shared" si="85"/>
        <v>1.7965403814634259E-3</v>
      </c>
      <c r="M69" s="26">
        <f t="shared" si="86"/>
        <v>0.84793074514247024</v>
      </c>
      <c r="N69" s="98">
        <f t="shared" si="87"/>
        <v>99.820345961853661</v>
      </c>
      <c r="O69" s="98">
        <f t="shared" si="88"/>
        <v>84.793074514247024</v>
      </c>
      <c r="P69" s="44">
        <f t="shared" si="89"/>
        <v>1.2116082417340757</v>
      </c>
      <c r="Q69" s="278"/>
      <c r="R69" s="278"/>
      <c r="S69" s="278"/>
    </row>
    <row r="70" spans="1:25" x14ac:dyDescent="0.25">
      <c r="A70" s="51"/>
      <c r="B70" s="15" t="s">
        <v>148</v>
      </c>
      <c r="C70" s="48">
        <v>0.1</v>
      </c>
      <c r="D70" s="49">
        <v>0.1</v>
      </c>
      <c r="E70" s="49">
        <v>7.5</v>
      </c>
      <c r="F70" s="49">
        <v>10</v>
      </c>
      <c r="G70" s="49">
        <v>2</v>
      </c>
      <c r="H70" s="48">
        <v>1</v>
      </c>
      <c r="I70" s="15">
        <v>3781016</v>
      </c>
      <c r="J70" s="15">
        <v>3289</v>
      </c>
      <c r="K70" s="26">
        <v>3463691</v>
      </c>
      <c r="L70" s="15">
        <f t="shared" si="85"/>
        <v>1.2217352425908804E-3</v>
      </c>
      <c r="M70" s="26">
        <f t="shared" si="86"/>
        <v>0.80284738080981399</v>
      </c>
      <c r="N70" s="98">
        <f t="shared" si="87"/>
        <v>99.877826475740918</v>
      </c>
      <c r="O70" s="98">
        <f t="shared" si="88"/>
        <v>80.284738080981398</v>
      </c>
      <c r="P70" s="44">
        <f t="shared" si="89"/>
        <v>1.1471886224391432</v>
      </c>
      <c r="Q70" s="278"/>
      <c r="R70" s="278"/>
      <c r="S70" s="278"/>
    </row>
    <row r="71" spans="1:25" s="64" customFormat="1" x14ac:dyDescent="0.25">
      <c r="B71" s="15" t="s">
        <v>147</v>
      </c>
      <c r="C71" s="48">
        <v>0.1</v>
      </c>
      <c r="D71" s="49">
        <v>0.1</v>
      </c>
      <c r="E71" s="49">
        <v>7.5</v>
      </c>
      <c r="F71" s="49">
        <v>10</v>
      </c>
      <c r="G71" s="49">
        <v>2</v>
      </c>
      <c r="H71" s="48">
        <v>1</v>
      </c>
      <c r="I71" s="15">
        <v>3781016</v>
      </c>
      <c r="J71" s="15">
        <v>3289</v>
      </c>
      <c r="K71" s="26">
        <v>3759399</v>
      </c>
      <c r="L71" s="15">
        <f t="shared" ref="L71" si="90">1.4045*(J71/I71)</f>
        <v>1.2217352425908804E-3</v>
      </c>
      <c r="M71" s="26">
        <f t="shared" ref="M71" si="91">0.8764*(K71/I71)</f>
        <v>0.87138940528154341</v>
      </c>
      <c r="N71" s="98">
        <f t="shared" ref="N71" si="92">100*(1-L71/(C71/D71))</f>
        <v>99.877826475740918</v>
      </c>
      <c r="O71" s="98">
        <f t="shared" ref="O71" si="93">100*M71/(C71/D71)</f>
        <v>87.138940528154336</v>
      </c>
      <c r="P71" s="44">
        <f t="shared" ref="P71" si="94">(238.15*C71*(O71/100)*7.5/1000)*(60/E71)</f>
        <v>1.2451283212067974</v>
      </c>
      <c r="Q71" s="278"/>
      <c r="R71" s="278"/>
      <c r="S71" s="278"/>
    </row>
    <row r="72" spans="1:25" x14ac:dyDescent="0.25">
      <c r="A72" s="51"/>
      <c r="B72" s="15" t="s">
        <v>142</v>
      </c>
      <c r="C72" s="48">
        <v>0.1</v>
      </c>
      <c r="D72" s="49">
        <v>0.1</v>
      </c>
      <c r="E72" s="49">
        <v>7.5</v>
      </c>
      <c r="F72" s="49">
        <v>10</v>
      </c>
      <c r="G72" s="49">
        <v>2</v>
      </c>
      <c r="H72" s="48">
        <v>1</v>
      </c>
      <c r="I72" s="15">
        <v>3893282</v>
      </c>
      <c r="J72" s="15">
        <v>3444</v>
      </c>
      <c r="K72" s="26">
        <v>3824005</v>
      </c>
      <c r="L72" s="15">
        <f t="shared" si="85"/>
        <v>1.2424216894640562E-3</v>
      </c>
      <c r="M72" s="26">
        <f t="shared" si="86"/>
        <v>0.86080535188563267</v>
      </c>
      <c r="N72" s="98">
        <f t="shared" si="87"/>
        <v>99.875757831053591</v>
      </c>
      <c r="O72" s="98">
        <f t="shared" si="88"/>
        <v>86.08053518856326</v>
      </c>
      <c r="P72" s="44">
        <f t="shared" si="89"/>
        <v>1.2300047673093804</v>
      </c>
      <c r="Q72" s="278"/>
      <c r="R72" s="278"/>
      <c r="S72" s="278"/>
    </row>
    <row r="73" spans="1:25" x14ac:dyDescent="0.25">
      <c r="A73" s="22">
        <v>43839</v>
      </c>
      <c r="B73" s="17" t="s">
        <v>165</v>
      </c>
      <c r="C73" s="55">
        <v>0.1</v>
      </c>
      <c r="D73" s="56">
        <v>0.1</v>
      </c>
      <c r="E73" s="56">
        <v>7.5</v>
      </c>
      <c r="F73" s="56">
        <v>10</v>
      </c>
      <c r="G73" s="56">
        <v>2</v>
      </c>
      <c r="H73" s="55">
        <v>1</v>
      </c>
      <c r="I73" s="17">
        <v>1488692</v>
      </c>
      <c r="J73" s="17">
        <v>3014</v>
      </c>
      <c r="K73" s="23">
        <v>1472720</v>
      </c>
      <c r="L73" s="17">
        <f t="shared" ref="L73:L80" si="95">1.4045*(J73/I73)</f>
        <v>2.8435452061272583E-3</v>
      </c>
      <c r="M73" s="23">
        <f t="shared" ref="M73:M80" si="96">0.8764*(K73/I73)</f>
        <v>0.86699720828754356</v>
      </c>
      <c r="N73" s="99">
        <f t="shared" ref="N73:N80" si="97">100*(1-L73/(C73/D73))</f>
        <v>99.715645479387277</v>
      </c>
      <c r="O73" s="99">
        <f t="shared" ref="O73:O80" si="98">100*M73/(C73/D73)</f>
        <v>86.699720828754351</v>
      </c>
      <c r="P73" s="35">
        <f t="shared" ref="P73:P80" si="99">(238.15*C73*(O73/100)*7.5/1000)*(60/E73)</f>
        <v>1.2388523109220713</v>
      </c>
      <c r="Q73" s="276">
        <f>AVERAGE(N73:N76)</f>
        <v>99.832101647727725</v>
      </c>
      <c r="R73" s="278">
        <f>AVERAGE(O73:O76)</f>
        <v>84.698439415481801</v>
      </c>
      <c r="S73" s="278">
        <f>AVERAGE(P73:P76)</f>
        <v>1.2102560008078194</v>
      </c>
      <c r="T73" s="86">
        <f>Q73-N76</f>
        <v>-4.8441713562269229E-2</v>
      </c>
      <c r="U73" s="86">
        <f>Q73-N73</f>
        <v>0.11645616834044858</v>
      </c>
      <c r="V73" s="86">
        <f>R73-O73</f>
        <v>-2.0012814132725509</v>
      </c>
      <c r="W73" s="86">
        <f>R73-O74</f>
        <v>1.4295586266226366</v>
      </c>
      <c r="X73" s="86">
        <f>S73-P73</f>
        <v>-2.8596310114251899E-2</v>
      </c>
      <c r="Y73" s="86">
        <f>S73-P74</f>
        <v>2.0426963215810723E-2</v>
      </c>
    </row>
    <row r="74" spans="1:25" x14ac:dyDescent="0.25">
      <c r="B74" s="17" t="s">
        <v>166</v>
      </c>
      <c r="C74" s="55">
        <v>0.1</v>
      </c>
      <c r="D74" s="56">
        <v>0.1</v>
      </c>
      <c r="E74" s="56">
        <v>7.5</v>
      </c>
      <c r="F74" s="56">
        <v>10</v>
      </c>
      <c r="G74" s="56">
        <v>2</v>
      </c>
      <c r="H74" s="55">
        <v>1</v>
      </c>
      <c r="I74" s="17">
        <v>3285859</v>
      </c>
      <c r="J74" s="17">
        <v>2890</v>
      </c>
      <c r="K74" s="23">
        <v>3121974</v>
      </c>
      <c r="L74" s="17">
        <f t="shared" si="95"/>
        <v>1.235294941140201E-3</v>
      </c>
      <c r="M74" s="23">
        <f t="shared" si="96"/>
        <v>0.83268880788859168</v>
      </c>
      <c r="N74" s="99">
        <f t="shared" si="97"/>
        <v>99.87647050588599</v>
      </c>
      <c r="O74" s="99">
        <f t="shared" si="98"/>
        <v>83.268880788859164</v>
      </c>
      <c r="P74" s="35">
        <f t="shared" si="99"/>
        <v>1.1898290375920086</v>
      </c>
      <c r="Q74" s="276"/>
      <c r="R74" s="278"/>
      <c r="S74" s="278"/>
    </row>
    <row r="75" spans="1:25" x14ac:dyDescent="0.25">
      <c r="B75" s="17" t="s">
        <v>167</v>
      </c>
      <c r="C75" s="55">
        <v>0.1</v>
      </c>
      <c r="D75" s="56">
        <v>0.1</v>
      </c>
      <c r="E75" s="56">
        <v>7.5</v>
      </c>
      <c r="F75" s="56">
        <v>10</v>
      </c>
      <c r="G75" s="56">
        <v>2</v>
      </c>
      <c r="H75" s="55">
        <v>1</v>
      </c>
      <c r="I75" s="17">
        <v>3996785</v>
      </c>
      <c r="J75" s="17">
        <v>4105</v>
      </c>
      <c r="K75" s="23">
        <v>3897055</v>
      </c>
      <c r="L75" s="17">
        <f t="shared" si="95"/>
        <v>1.4425275565235561E-3</v>
      </c>
      <c r="M75" s="23">
        <f t="shared" si="96"/>
        <v>0.85453158025763198</v>
      </c>
      <c r="N75" s="99">
        <f t="shared" si="97"/>
        <v>99.855747244347654</v>
      </c>
      <c r="O75" s="99">
        <f t="shared" si="98"/>
        <v>85.453158025763202</v>
      </c>
      <c r="P75" s="35">
        <f t="shared" si="99"/>
        <v>1.2210401750301305</v>
      </c>
      <c r="Q75" s="276"/>
      <c r="R75" s="278"/>
      <c r="S75" s="278"/>
    </row>
    <row r="76" spans="1:25" x14ac:dyDescent="0.25">
      <c r="B76" s="17" t="s">
        <v>168</v>
      </c>
      <c r="C76" s="55">
        <v>0.1</v>
      </c>
      <c r="D76" s="56">
        <v>0.1</v>
      </c>
      <c r="E76" s="56">
        <v>7.5</v>
      </c>
      <c r="F76" s="56">
        <v>10</v>
      </c>
      <c r="G76" s="56">
        <v>2</v>
      </c>
      <c r="H76" s="55">
        <v>1</v>
      </c>
      <c r="I76" s="17">
        <v>3102779</v>
      </c>
      <c r="J76" s="17">
        <v>2639</v>
      </c>
      <c r="K76" s="23">
        <v>2951676</v>
      </c>
      <c r="L76" s="17">
        <f t="shared" si="95"/>
        <v>1.1945663871000803E-3</v>
      </c>
      <c r="M76" s="23">
        <f t="shared" si="96"/>
        <v>0.83371998018550464</v>
      </c>
      <c r="N76" s="99">
        <f t="shared" si="97"/>
        <v>99.880543361289995</v>
      </c>
      <c r="O76" s="99">
        <f t="shared" si="98"/>
        <v>83.371998018550471</v>
      </c>
      <c r="P76" s="35">
        <f t="shared" si="99"/>
        <v>1.1913024796870677</v>
      </c>
      <c r="Q76" s="276"/>
      <c r="R76" s="278"/>
      <c r="S76" s="278"/>
    </row>
    <row r="77" spans="1:25" x14ac:dyDescent="0.25">
      <c r="A77" s="22">
        <v>43839</v>
      </c>
      <c r="B77" s="11" t="s">
        <v>169</v>
      </c>
      <c r="C77" s="58">
        <v>0.1</v>
      </c>
      <c r="D77" s="59">
        <v>0.1</v>
      </c>
      <c r="E77" s="59">
        <v>7.5</v>
      </c>
      <c r="F77" s="59">
        <v>10</v>
      </c>
      <c r="G77" s="59">
        <v>2</v>
      </c>
      <c r="H77" s="58">
        <v>1</v>
      </c>
      <c r="I77" s="11">
        <v>510779</v>
      </c>
      <c r="J77" s="11" t="s">
        <v>185</v>
      </c>
      <c r="K77" s="24">
        <v>498362</v>
      </c>
      <c r="L77" s="11" t="e">
        <f>J77/I77</f>
        <v>#VALUE!</v>
      </c>
      <c r="M77" s="24">
        <f t="shared" ref="M77" si="100">0.8764*(K77/I77)</f>
        <v>0.85509478032573771</v>
      </c>
      <c r="N77" s="96" t="e">
        <f t="shared" ref="N77" si="101">100*(1-L77/(C77/D77))</f>
        <v>#VALUE!</v>
      </c>
      <c r="O77" s="96">
        <f t="shared" ref="O77" si="102">100*M77/(C77/D77)</f>
        <v>85.509478032573767</v>
      </c>
      <c r="P77" s="38">
        <f t="shared" ref="P77" si="103">(238.15*C77*(O77/100)*7.5/1000)*(60/E77)</f>
        <v>1.2218449316074469</v>
      </c>
    </row>
    <row r="78" spans="1:25" x14ac:dyDescent="0.25">
      <c r="A78" s="85">
        <v>0.25</v>
      </c>
      <c r="B78" s="11" t="s">
        <v>170</v>
      </c>
      <c r="C78" s="58">
        <v>0.1</v>
      </c>
      <c r="D78" s="59">
        <v>0.1</v>
      </c>
      <c r="E78" s="59">
        <v>7.5</v>
      </c>
      <c r="F78" s="59">
        <v>10</v>
      </c>
      <c r="G78" s="59">
        <v>2</v>
      </c>
      <c r="H78" s="58">
        <v>1</v>
      </c>
      <c r="I78" s="11">
        <v>2056026</v>
      </c>
      <c r="J78" s="11">
        <v>3254</v>
      </c>
      <c r="K78" s="24">
        <v>2036579</v>
      </c>
      <c r="L78" s="11">
        <f t="shared" si="95"/>
        <v>2.2228527265705784E-3</v>
      </c>
      <c r="M78" s="24">
        <f t="shared" si="96"/>
        <v>0.86811053731810783</v>
      </c>
      <c r="N78" s="96">
        <f t="shared" si="97"/>
        <v>99.777714727342953</v>
      </c>
      <c r="O78" s="96">
        <f t="shared" si="98"/>
        <v>86.811053731810787</v>
      </c>
      <c r="P78" s="38">
        <f t="shared" si="99"/>
        <v>1.2404431467738444</v>
      </c>
    </row>
    <row r="79" spans="1:25" x14ac:dyDescent="0.25">
      <c r="B79" s="11" t="s">
        <v>171</v>
      </c>
      <c r="C79" s="58">
        <v>0.1</v>
      </c>
      <c r="D79" s="59">
        <v>0.1</v>
      </c>
      <c r="E79" s="59">
        <v>7.5</v>
      </c>
      <c r="F79" s="59">
        <v>10</v>
      </c>
      <c r="G79" s="59">
        <v>2</v>
      </c>
      <c r="H79" s="58">
        <v>1</v>
      </c>
      <c r="I79" s="11">
        <v>3919166</v>
      </c>
      <c r="J79" s="11">
        <v>4876</v>
      </c>
      <c r="K79" s="24">
        <v>3585233</v>
      </c>
      <c r="L79" s="11">
        <f t="shared" si="95"/>
        <v>1.7473977882028985E-3</v>
      </c>
      <c r="M79" s="24">
        <f t="shared" si="96"/>
        <v>0.80172623491834738</v>
      </c>
      <c r="N79" s="100">
        <f t="shared" si="97"/>
        <v>99.825260221179718</v>
      </c>
      <c r="O79" s="100">
        <f t="shared" si="98"/>
        <v>80.172623491834742</v>
      </c>
      <c r="P79" s="101">
        <f t="shared" si="99"/>
        <v>1.1455866170748266</v>
      </c>
      <c r="Q79" s="276">
        <f>AVERAGE(N79:N80)</f>
        <v>99.842397282266703</v>
      </c>
      <c r="R79" s="278">
        <f t="shared" ref="R79:S79" si="104">AVERAGE(O79:O80)</f>
        <v>80.88502765021974</v>
      </c>
      <c r="S79" s="278">
        <f t="shared" si="104"/>
        <v>1.1557661600939899</v>
      </c>
      <c r="T79" s="8">
        <f>Q79-N80</f>
        <v>-1.7137061086984318E-2</v>
      </c>
      <c r="U79" s="8">
        <f>Q79-N79</f>
        <v>1.7137061086984318E-2</v>
      </c>
      <c r="V79" s="8">
        <f>R79-O80</f>
        <v>-0.71240415838501292</v>
      </c>
      <c r="W79" s="8">
        <f>R79-O79</f>
        <v>0.71240415838499871</v>
      </c>
      <c r="X79" s="8">
        <f>S79-P80</f>
        <v>-1.0179543019163351E-2</v>
      </c>
      <c r="Y79" s="8">
        <f>S79-P79</f>
        <v>1.0179543019163351E-2</v>
      </c>
    </row>
    <row r="80" spans="1:25" x14ac:dyDescent="0.25">
      <c r="B80" s="11" t="s">
        <v>172</v>
      </c>
      <c r="C80" s="58">
        <v>0.1</v>
      </c>
      <c r="D80" s="59">
        <v>0.1</v>
      </c>
      <c r="E80" s="59">
        <v>7.5</v>
      </c>
      <c r="F80" s="59">
        <v>10</v>
      </c>
      <c r="G80" s="59">
        <v>2</v>
      </c>
      <c r="H80" s="58">
        <v>1</v>
      </c>
      <c r="I80" s="11">
        <v>3794577</v>
      </c>
      <c r="J80" s="11">
        <v>3795</v>
      </c>
      <c r="K80" s="24">
        <v>3532950</v>
      </c>
      <c r="L80" s="11">
        <f t="shared" si="95"/>
        <v>1.4046565664631396E-3</v>
      </c>
      <c r="M80" s="24">
        <f t="shared" si="96"/>
        <v>0.81597431808604748</v>
      </c>
      <c r="N80" s="100">
        <f t="shared" si="97"/>
        <v>99.859534343353687</v>
      </c>
      <c r="O80" s="100">
        <f t="shared" si="98"/>
        <v>81.597431808604753</v>
      </c>
      <c r="P80" s="101">
        <f t="shared" si="99"/>
        <v>1.1659457031131533</v>
      </c>
      <c r="Q80" s="276"/>
      <c r="R80" s="278"/>
      <c r="S80" s="278"/>
    </row>
    <row r="81" spans="1:25" x14ac:dyDescent="0.25">
      <c r="A81" s="22">
        <v>43839</v>
      </c>
      <c r="B81" s="13" t="s">
        <v>173</v>
      </c>
      <c r="C81" s="61">
        <v>0.1</v>
      </c>
      <c r="D81" s="62">
        <v>0.1</v>
      </c>
      <c r="E81" s="62">
        <v>7.5</v>
      </c>
      <c r="F81" s="62">
        <v>10</v>
      </c>
      <c r="G81" s="62">
        <v>2</v>
      </c>
      <c r="H81" s="61">
        <v>1</v>
      </c>
      <c r="I81" s="13">
        <v>480246</v>
      </c>
      <c r="J81" s="13">
        <v>35051</v>
      </c>
      <c r="K81" s="25">
        <v>463934</v>
      </c>
      <c r="L81" s="13">
        <f t="shared" ref="L81:L84" si="105">1.4045*(J81/I81)</f>
        <v>0.10250815103092999</v>
      </c>
      <c r="M81" s="25">
        <f t="shared" ref="M81:M84" si="106">0.8764*(K81/I81)</f>
        <v>0.8466322626320677</v>
      </c>
      <c r="N81" s="97">
        <f t="shared" ref="N81:N84" si="107">100*(1-L81/(C81/D81))</f>
        <v>89.749184896906996</v>
      </c>
      <c r="O81" s="97">
        <f t="shared" ref="O81:O84" si="108">100*M81/(C81/D81)</f>
        <v>84.663226263206766</v>
      </c>
      <c r="P81" s="41">
        <f t="shared" ref="P81:P84" si="109">(238.15*C81*(O81/100)*7.5/1000)*(60/E81)</f>
        <v>1.2097528400749615</v>
      </c>
    </row>
    <row r="82" spans="1:25" x14ac:dyDescent="0.25">
      <c r="A82" s="85">
        <v>0.5</v>
      </c>
      <c r="B82" s="13" t="s">
        <v>174</v>
      </c>
      <c r="C82" s="61">
        <v>0.1</v>
      </c>
      <c r="D82" s="62">
        <v>0.1</v>
      </c>
      <c r="E82" s="62">
        <v>7.5</v>
      </c>
      <c r="F82" s="62">
        <v>10</v>
      </c>
      <c r="G82" s="62">
        <v>2</v>
      </c>
      <c r="H82" s="61">
        <v>1</v>
      </c>
      <c r="I82" s="13">
        <v>2255107</v>
      </c>
      <c r="J82" s="13">
        <v>3860</v>
      </c>
      <c r="K82" s="25">
        <v>2248708</v>
      </c>
      <c r="L82" s="13">
        <f t="shared" si="105"/>
        <v>2.4040411386244643E-3</v>
      </c>
      <c r="M82" s="25">
        <f t="shared" si="106"/>
        <v>0.87391316296743349</v>
      </c>
      <c r="N82" s="97">
        <f t="shared" si="107"/>
        <v>99.759595886137546</v>
      </c>
      <c r="O82" s="97">
        <f t="shared" si="108"/>
        <v>87.391316296743355</v>
      </c>
      <c r="P82" s="41">
        <f t="shared" si="109"/>
        <v>1.2487345185641658</v>
      </c>
    </row>
    <row r="83" spans="1:25" x14ac:dyDescent="0.25">
      <c r="A83" s="65"/>
      <c r="B83" s="13" t="s">
        <v>175</v>
      </c>
      <c r="C83" s="61">
        <v>0.1</v>
      </c>
      <c r="D83" s="62">
        <v>0.1</v>
      </c>
      <c r="E83" s="62">
        <v>7.5</v>
      </c>
      <c r="F83" s="62">
        <v>10</v>
      </c>
      <c r="G83" s="62">
        <v>2</v>
      </c>
      <c r="H83" s="61">
        <v>1</v>
      </c>
      <c r="I83" s="13">
        <v>4159096</v>
      </c>
      <c r="J83" s="13">
        <v>4832</v>
      </c>
      <c r="K83" s="25">
        <v>3755265</v>
      </c>
      <c r="L83" s="13">
        <f t="shared" si="105"/>
        <v>1.6317353578758462E-3</v>
      </c>
      <c r="M83" s="25">
        <f t="shared" si="106"/>
        <v>0.79130518891605284</v>
      </c>
      <c r="N83" s="100">
        <f t="shared" si="107"/>
        <v>99.836826464212407</v>
      </c>
      <c r="O83" s="100">
        <f t="shared" si="108"/>
        <v>79.130518891605277</v>
      </c>
      <c r="P83" s="101">
        <f t="shared" si="109"/>
        <v>1.1306959844421478</v>
      </c>
      <c r="Q83" s="276">
        <f>AVERAGE(N83:N84)</f>
        <v>99.840320749285837</v>
      </c>
      <c r="R83" s="278">
        <f t="shared" ref="R83:S83" si="110">AVERAGE(O83:O84)</f>
        <v>79.337800342369718</v>
      </c>
      <c r="S83" s="278">
        <f t="shared" si="110"/>
        <v>1.1336578290921211</v>
      </c>
      <c r="T83" s="8">
        <f>Q83-N84</f>
        <v>-3.494285073443848E-3</v>
      </c>
      <c r="U83" s="8">
        <f>Q83-N83</f>
        <v>3.4942850734296371E-3</v>
      </c>
      <c r="V83" s="8">
        <f>R83-O84</f>
        <v>-0.20728145076445514</v>
      </c>
      <c r="W83" s="8">
        <f>R83-O83</f>
        <v>0.20728145076444093</v>
      </c>
      <c r="X83" s="8">
        <f>S83-P84</f>
        <v>-2.9618446499732887E-3</v>
      </c>
      <c r="Y83" s="8">
        <f>S83-P83</f>
        <v>2.9618446499732887E-3</v>
      </c>
    </row>
    <row r="84" spans="1:25" x14ac:dyDescent="0.25">
      <c r="A84" s="65"/>
      <c r="B84" s="13" t="s">
        <v>176</v>
      </c>
      <c r="C84" s="61">
        <v>0.1</v>
      </c>
      <c r="D84" s="62">
        <v>0.1</v>
      </c>
      <c r="E84" s="62">
        <v>7.5</v>
      </c>
      <c r="F84" s="62">
        <v>10</v>
      </c>
      <c r="G84" s="62">
        <v>2</v>
      </c>
      <c r="H84" s="61">
        <v>1</v>
      </c>
      <c r="I84" s="13">
        <v>4247178</v>
      </c>
      <c r="J84" s="13">
        <v>4723</v>
      </c>
      <c r="K84" s="25">
        <v>3854885</v>
      </c>
      <c r="L84" s="13">
        <f t="shared" si="105"/>
        <v>1.5618496564071484E-3</v>
      </c>
      <c r="M84" s="25">
        <f t="shared" si="106"/>
        <v>0.79545081793134176</v>
      </c>
      <c r="N84" s="100">
        <f t="shared" si="107"/>
        <v>99.843815034359281</v>
      </c>
      <c r="O84" s="100">
        <f t="shared" si="108"/>
        <v>79.545081793134173</v>
      </c>
      <c r="P84" s="101">
        <f t="shared" si="109"/>
        <v>1.1366196737420944</v>
      </c>
      <c r="Q84" s="276"/>
      <c r="R84" s="278"/>
      <c r="S84" s="278"/>
    </row>
    <row r="85" spans="1:25" x14ac:dyDescent="0.25">
      <c r="A85" s="22">
        <v>43839</v>
      </c>
      <c r="B85" s="65" t="s">
        <v>177</v>
      </c>
      <c r="C85" s="48">
        <v>0.1</v>
      </c>
      <c r="D85" s="49">
        <v>0.1</v>
      </c>
      <c r="E85" s="49">
        <v>7.5</v>
      </c>
      <c r="F85" s="49">
        <v>10</v>
      </c>
      <c r="G85" s="49">
        <v>2</v>
      </c>
      <c r="H85" s="48">
        <v>1</v>
      </c>
      <c r="I85" s="15">
        <v>167181</v>
      </c>
      <c r="J85" s="15">
        <v>33140</v>
      </c>
      <c r="K85" s="26">
        <v>127268</v>
      </c>
      <c r="L85" s="15">
        <f t="shared" ref="L85:L88" si="111">1.4045*(J85/I85)</f>
        <v>0.27841160179685492</v>
      </c>
      <c r="M85" s="26">
        <f t="shared" ref="M85:M88" si="112">0.8764*(K85/I85)</f>
        <v>0.66716717330318631</v>
      </c>
      <c r="N85" s="100">
        <f t="shared" ref="N85:N88" si="113">100*(1-L85/(C85/D85))</f>
        <v>72.158839820314498</v>
      </c>
      <c r="O85" s="100">
        <f t="shared" ref="O85:O88" si="114">100*M85/(C85/D85)</f>
        <v>66.71671733031863</v>
      </c>
      <c r="P85" s="101">
        <f t="shared" ref="P85:P88" si="115">(238.15*C85*(O85/100)*7.5/1000)*(60/E85)</f>
        <v>0.95331517393292298</v>
      </c>
    </row>
    <row r="86" spans="1:25" x14ac:dyDescent="0.25">
      <c r="A86" s="85">
        <v>0.75</v>
      </c>
      <c r="B86" s="65" t="s">
        <v>178</v>
      </c>
      <c r="C86" s="48">
        <v>0.1</v>
      </c>
      <c r="D86" s="49">
        <v>0.1</v>
      </c>
      <c r="E86" s="49">
        <v>7.5</v>
      </c>
      <c r="F86" s="49">
        <v>10</v>
      </c>
      <c r="G86" s="49">
        <v>2</v>
      </c>
      <c r="H86" s="48">
        <v>1</v>
      </c>
      <c r="I86" s="15">
        <v>1131506</v>
      </c>
      <c r="J86" s="15">
        <v>4885</v>
      </c>
      <c r="K86" s="26">
        <v>1154307</v>
      </c>
      <c r="L86" s="15">
        <f t="shared" si="111"/>
        <v>6.063584726903791E-3</v>
      </c>
      <c r="M86" s="26">
        <f t="shared" si="112"/>
        <v>0.89406035390002336</v>
      </c>
      <c r="N86" s="98">
        <f t="shared" si="113"/>
        <v>99.393641527309612</v>
      </c>
      <c r="O86" s="98">
        <f t="shared" si="114"/>
        <v>89.40603539000233</v>
      </c>
      <c r="P86" s="44">
        <f t="shared" si="115"/>
        <v>1.2775228396877432</v>
      </c>
      <c r="Q86" s="276">
        <f>AVERAGE(N86:N88)</f>
        <v>99.708555243095418</v>
      </c>
      <c r="R86" s="278">
        <f>AVERAGE(O86:O88)</f>
        <v>84.723703484210702</v>
      </c>
      <c r="S86" s="278">
        <f>AVERAGE(P86:P88)</f>
        <v>1.2106169990858866</v>
      </c>
      <c r="T86" s="8">
        <f>Q86-N87</f>
        <v>-0.16809308864586114</v>
      </c>
      <c r="U86" s="8">
        <f>Q86-N86</f>
        <v>0.3149137157858064</v>
      </c>
      <c r="V86" s="8">
        <f>R86-O86</f>
        <v>-4.6823319057916279</v>
      </c>
      <c r="W86" s="8">
        <f>R86-O88</f>
        <v>4.7111848748402565</v>
      </c>
      <c r="X86" s="8">
        <f>S86-P86</f>
        <v>-6.6905840601856559E-2</v>
      </c>
      <c r="Y86" s="8">
        <f>S86-P88</f>
        <v>6.7318120676592264E-2</v>
      </c>
    </row>
    <row r="87" spans="1:25" x14ac:dyDescent="0.25">
      <c r="A87" s="65"/>
      <c r="B87" s="65" t="s">
        <v>179</v>
      </c>
      <c r="C87" s="48">
        <v>0.1</v>
      </c>
      <c r="D87" s="49">
        <v>0.1</v>
      </c>
      <c r="E87" s="49">
        <v>7.5</v>
      </c>
      <c r="F87" s="49">
        <v>10</v>
      </c>
      <c r="G87" s="49">
        <v>2</v>
      </c>
      <c r="H87" s="48">
        <v>1</v>
      </c>
      <c r="I87" s="15">
        <v>3325893</v>
      </c>
      <c r="J87" s="15">
        <v>2921</v>
      </c>
      <c r="K87" s="26">
        <v>3216316</v>
      </c>
      <c r="L87" s="15">
        <f t="shared" si="111"/>
        <v>1.2335166825872029E-3</v>
      </c>
      <c r="M87" s="26">
        <f t="shared" si="112"/>
        <v>0.84752556453259309</v>
      </c>
      <c r="N87" s="98">
        <f t="shared" si="113"/>
        <v>99.876648331741279</v>
      </c>
      <c r="O87" s="98">
        <f t="shared" si="114"/>
        <v>84.752556453259302</v>
      </c>
      <c r="P87" s="44">
        <f t="shared" si="115"/>
        <v>1.2110292791606223</v>
      </c>
      <c r="Q87" s="276"/>
      <c r="R87" s="278"/>
      <c r="S87" s="278"/>
    </row>
    <row r="88" spans="1:25" x14ac:dyDescent="0.25">
      <c r="A88" s="65"/>
      <c r="B88" s="65" t="s">
        <v>180</v>
      </c>
      <c r="C88" s="48">
        <v>0.1</v>
      </c>
      <c r="D88" s="49">
        <v>0.1</v>
      </c>
      <c r="E88" s="49">
        <v>7.5</v>
      </c>
      <c r="F88" s="49">
        <v>10</v>
      </c>
      <c r="G88" s="49">
        <v>2</v>
      </c>
      <c r="H88" s="48">
        <v>1</v>
      </c>
      <c r="I88" s="15">
        <v>4212797</v>
      </c>
      <c r="J88" s="15">
        <v>4338</v>
      </c>
      <c r="K88" s="26">
        <v>3846149</v>
      </c>
      <c r="L88" s="15">
        <f t="shared" si="111"/>
        <v>1.4462412976461957E-3</v>
      </c>
      <c r="M88" s="26">
        <f t="shared" si="112"/>
        <v>0.80012518609370442</v>
      </c>
      <c r="N88" s="98">
        <f t="shared" si="113"/>
        <v>99.855375870235392</v>
      </c>
      <c r="O88" s="98">
        <f t="shared" si="114"/>
        <v>80.012518609370446</v>
      </c>
      <c r="P88" s="44">
        <f t="shared" si="115"/>
        <v>1.1432988784092943</v>
      </c>
      <c r="Q88" s="276"/>
      <c r="R88" s="278"/>
      <c r="S88" s="278"/>
    </row>
    <row r="89" spans="1:25" x14ac:dyDescent="0.25">
      <c r="A89" s="78">
        <v>43839</v>
      </c>
      <c r="B89" s="79" t="s">
        <v>181</v>
      </c>
      <c r="C89" s="55">
        <v>0.1</v>
      </c>
      <c r="D89" s="56">
        <v>0.1</v>
      </c>
      <c r="E89" s="56">
        <v>7.5</v>
      </c>
      <c r="F89" s="56">
        <v>10</v>
      </c>
      <c r="G89" s="56">
        <v>2</v>
      </c>
      <c r="H89" s="55">
        <v>1</v>
      </c>
      <c r="I89" s="17">
        <v>507695</v>
      </c>
      <c r="J89" s="17">
        <v>29270</v>
      </c>
      <c r="K89" s="23">
        <v>505226</v>
      </c>
      <c r="L89" s="17">
        <f t="shared" ref="L89:L92" si="116">1.4045*(J89/I89)</f>
        <v>8.0973251656998799E-2</v>
      </c>
      <c r="M89" s="23">
        <f t="shared" ref="M89:M92" si="117">0.8764*(K89/I89)</f>
        <v>0.87213793005643148</v>
      </c>
      <c r="N89" s="99">
        <f t="shared" ref="N89:N92" si="118">100*(1-L89/(C89/D89))</f>
        <v>91.902674834300129</v>
      </c>
      <c r="O89" s="99">
        <f t="shared" ref="O89:O92" si="119">100*M89/(C89/D89)</f>
        <v>87.213793005643154</v>
      </c>
      <c r="P89" s="35">
        <f t="shared" ref="P89:P92" si="120">(238.15*C89*(O89/100)*7.5/1000)*(60/E89)</f>
        <v>1.2461978882576352</v>
      </c>
      <c r="Q89" s="276">
        <f>AVERAGE(N90:N92)</f>
        <v>99.858031745739311</v>
      </c>
      <c r="R89" s="278">
        <f>AVERAGE(O90:O92)</f>
        <v>84.418910307492226</v>
      </c>
      <c r="S89" s="278">
        <f t="shared" ref="S89" si="121">AVERAGE(P89:P92)</f>
        <v>1.2162458291022262</v>
      </c>
      <c r="T89" s="8">
        <f>Q89-N90</f>
        <v>-2.3583281696062386E-3</v>
      </c>
      <c r="U89" s="103">
        <f>Q89-N89</f>
        <v>7.955356911439182</v>
      </c>
      <c r="V89" s="8">
        <f>R89-O90</f>
        <v>-3.7690190651801174</v>
      </c>
      <c r="W89" s="8">
        <f>R89-O92</f>
        <v>2.7180507109684982</v>
      </c>
      <c r="X89" s="8">
        <f>S89-P90</f>
        <v>-4.3871493703889097E-2</v>
      </c>
      <c r="Y89" s="8">
        <f>S89-P92</f>
        <v>4.8822246327498764E-2</v>
      </c>
    </row>
    <row r="90" spans="1:25" x14ac:dyDescent="0.25">
      <c r="A90" s="84">
        <v>1</v>
      </c>
      <c r="B90" s="79" t="s">
        <v>182</v>
      </c>
      <c r="C90" s="55">
        <v>0.1</v>
      </c>
      <c r="D90" s="56">
        <v>0.1</v>
      </c>
      <c r="E90" s="56">
        <v>7.5</v>
      </c>
      <c r="F90" s="56">
        <v>10</v>
      </c>
      <c r="G90" s="56">
        <v>2</v>
      </c>
      <c r="H90" s="55">
        <v>1</v>
      </c>
      <c r="I90" s="17">
        <v>2326918</v>
      </c>
      <c r="J90" s="17">
        <v>2313</v>
      </c>
      <c r="K90" s="23">
        <v>2341466</v>
      </c>
      <c r="L90" s="17">
        <f t="shared" si="116"/>
        <v>1.3960992609107841E-3</v>
      </c>
      <c r="M90" s="23">
        <f t="shared" si="117"/>
        <v>0.88187929372672347</v>
      </c>
      <c r="N90" s="99">
        <f t="shared" si="118"/>
        <v>99.860390073908917</v>
      </c>
      <c r="O90" s="99">
        <f t="shared" si="119"/>
        <v>88.187929372672343</v>
      </c>
      <c r="P90" s="35">
        <f t="shared" si="120"/>
        <v>1.2601173228061153</v>
      </c>
      <c r="Q90" s="276"/>
      <c r="R90" s="278"/>
      <c r="S90" s="278"/>
    </row>
    <row r="91" spans="1:25" x14ac:dyDescent="0.25">
      <c r="A91" s="77"/>
      <c r="B91" s="79" t="s">
        <v>183</v>
      </c>
      <c r="C91" s="55">
        <v>0.1</v>
      </c>
      <c r="D91" s="56">
        <v>0.1</v>
      </c>
      <c r="E91" s="56">
        <v>7.5</v>
      </c>
      <c r="F91" s="56">
        <v>10</v>
      </c>
      <c r="G91" s="56">
        <v>2</v>
      </c>
      <c r="H91" s="55">
        <v>1</v>
      </c>
      <c r="I91" s="17">
        <v>3954332</v>
      </c>
      <c r="J91" s="17">
        <v>3969</v>
      </c>
      <c r="K91" s="23">
        <v>3761576</v>
      </c>
      <c r="L91" s="17">
        <f t="shared" si="116"/>
        <v>1.4097097815762561E-3</v>
      </c>
      <c r="M91" s="23">
        <f t="shared" si="117"/>
        <v>0.833679419532806</v>
      </c>
      <c r="N91" s="99">
        <f t="shared" si="118"/>
        <v>99.859029021842375</v>
      </c>
      <c r="O91" s="99">
        <f t="shared" si="119"/>
        <v>83.367941953280607</v>
      </c>
      <c r="P91" s="35">
        <f t="shared" si="120"/>
        <v>1.1912445225704267</v>
      </c>
      <c r="Q91" s="276"/>
      <c r="R91" s="278"/>
      <c r="S91" s="278"/>
    </row>
    <row r="92" spans="1:25" x14ac:dyDescent="0.25">
      <c r="A92" s="77"/>
      <c r="B92" s="79" t="s">
        <v>184</v>
      </c>
      <c r="C92" s="55">
        <v>0.1</v>
      </c>
      <c r="D92" s="56">
        <v>0.1</v>
      </c>
      <c r="E92" s="56">
        <v>7.5</v>
      </c>
      <c r="F92" s="56">
        <v>10</v>
      </c>
      <c r="G92" s="56">
        <v>2</v>
      </c>
      <c r="H92" s="55">
        <v>1</v>
      </c>
      <c r="I92" s="17">
        <v>4180915</v>
      </c>
      <c r="J92" s="17">
        <v>4326</v>
      </c>
      <c r="K92" s="23">
        <v>3897585</v>
      </c>
      <c r="L92" s="17">
        <f t="shared" si="116"/>
        <v>1.4532385853335934E-3</v>
      </c>
      <c r="M92" s="23">
        <f t="shared" si="117"/>
        <v>0.81700859596523723</v>
      </c>
      <c r="N92" s="99">
        <f t="shared" si="118"/>
        <v>99.854676141466641</v>
      </c>
      <c r="O92" s="99">
        <f t="shared" si="119"/>
        <v>81.700859596523728</v>
      </c>
      <c r="P92" s="35">
        <f t="shared" si="120"/>
        <v>1.1674235827747275</v>
      </c>
      <c r="Q92" s="276"/>
      <c r="R92" s="278"/>
      <c r="S92" s="278"/>
    </row>
    <row r="93" spans="1:25" x14ac:dyDescent="0.25">
      <c r="A93" s="22">
        <v>43840</v>
      </c>
      <c r="B93" s="82" t="s">
        <v>188</v>
      </c>
      <c r="C93" s="58">
        <v>0.1</v>
      </c>
      <c r="D93" s="59">
        <v>0.1</v>
      </c>
      <c r="E93" s="59">
        <v>7.5</v>
      </c>
      <c r="F93" s="59">
        <v>10</v>
      </c>
      <c r="G93" s="59">
        <v>2</v>
      </c>
      <c r="H93" s="58">
        <v>1</v>
      </c>
      <c r="I93" s="11">
        <v>583489</v>
      </c>
      <c r="J93" s="11">
        <v>45670</v>
      </c>
      <c r="K93" s="24">
        <v>513667</v>
      </c>
      <c r="L93" s="11">
        <f t="shared" ref="L93:L96" si="122">1.4045*(J93/I93)</f>
        <v>0.10993097556252132</v>
      </c>
      <c r="M93" s="24">
        <f t="shared" ref="M93:M96" si="123">0.8764*(K93/I93)</f>
        <v>0.77152741319887774</v>
      </c>
      <c r="N93" s="96">
        <f t="shared" ref="N93:N96" si="124">100*(1-L93/(C93/D93))</f>
        <v>89.006902443747876</v>
      </c>
      <c r="O93" s="96">
        <f t="shared" ref="O93:O96" si="125">100*M93/(C93/D93)</f>
        <v>77.152741319887781</v>
      </c>
      <c r="P93" s="38">
        <f t="shared" ref="P93:P96" si="126">(238.15*C93*(O93/100)*7.5/1000)*(60/E93)</f>
        <v>1.1024355207198766</v>
      </c>
      <c r="Q93" s="276">
        <f>AVERAGE(N94:N96)</f>
        <v>99.820813160644988</v>
      </c>
      <c r="R93" s="278">
        <f>AVERAGE(O94:O96)</f>
        <v>83.503648838097206</v>
      </c>
      <c r="S93" s="278">
        <f t="shared" ref="S93" si="127">AVERAGE(P93:P96)</f>
        <v>1.1704966088656474</v>
      </c>
      <c r="T93" s="8">
        <f>Q93-N96</f>
        <v>-2.9314822193924783E-2</v>
      </c>
      <c r="U93" s="103">
        <f>Q93-N94</f>
        <v>4.7350182874595248E-2</v>
      </c>
      <c r="V93" s="8">
        <f>R93-O94</f>
        <v>-2.723374889418551</v>
      </c>
      <c r="W93" s="103">
        <f>R93-O96</f>
        <v>3.2015157857968575</v>
      </c>
      <c r="X93" s="8">
        <f>S93-P94</f>
        <v>-6.1601333176825479E-2</v>
      </c>
      <c r="Y93" s="8">
        <f>S93-P93</f>
        <v>6.8061088145770832E-2</v>
      </c>
    </row>
    <row r="94" spans="1:25" x14ac:dyDescent="0.25">
      <c r="A94" s="85">
        <v>1</v>
      </c>
      <c r="B94" s="82" t="s">
        <v>189</v>
      </c>
      <c r="C94" s="58">
        <v>0.1</v>
      </c>
      <c r="D94" s="59">
        <v>0.1</v>
      </c>
      <c r="E94" s="59">
        <v>7.5</v>
      </c>
      <c r="F94" s="59">
        <v>10</v>
      </c>
      <c r="G94" s="59">
        <v>2</v>
      </c>
      <c r="H94" s="58">
        <v>1</v>
      </c>
      <c r="I94" s="11">
        <v>2329911</v>
      </c>
      <c r="J94" s="11">
        <v>3758</v>
      </c>
      <c r="K94" s="24">
        <v>2292347</v>
      </c>
      <c r="L94" s="11">
        <f t="shared" si="122"/>
        <v>2.2653702222960449E-3</v>
      </c>
      <c r="M94" s="24">
        <f t="shared" si="123"/>
        <v>0.86227023727515761</v>
      </c>
      <c r="N94" s="96">
        <f t="shared" si="124"/>
        <v>99.773462977770393</v>
      </c>
      <c r="O94" s="96">
        <f t="shared" si="125"/>
        <v>86.227023727515757</v>
      </c>
      <c r="P94" s="38">
        <f t="shared" si="126"/>
        <v>1.2320979420424729</v>
      </c>
      <c r="Q94" s="276"/>
      <c r="R94" s="278"/>
      <c r="S94" s="278"/>
    </row>
    <row r="95" spans="1:25" x14ac:dyDescent="0.25">
      <c r="B95" s="82" t="s">
        <v>190</v>
      </c>
      <c r="C95" s="58">
        <v>0.1</v>
      </c>
      <c r="D95" s="59">
        <v>0.1</v>
      </c>
      <c r="E95" s="59">
        <v>7.5</v>
      </c>
      <c r="F95" s="59">
        <v>10</v>
      </c>
      <c r="G95" s="59">
        <v>2</v>
      </c>
      <c r="H95" s="58">
        <v>1</v>
      </c>
      <c r="I95" s="11">
        <v>2998970</v>
      </c>
      <c r="J95" s="11">
        <v>3441</v>
      </c>
      <c r="K95" s="24">
        <v>2873789</v>
      </c>
      <c r="L95" s="11">
        <f t="shared" si="122"/>
        <v>1.6115147867434487E-3</v>
      </c>
      <c r="M95" s="24">
        <f t="shared" si="123"/>
        <v>0.83981789734475498</v>
      </c>
      <c r="N95" s="96">
        <f t="shared" si="124"/>
        <v>99.838848521325644</v>
      </c>
      <c r="O95" s="96">
        <f t="shared" si="125"/>
        <v>83.981789734475498</v>
      </c>
      <c r="P95" s="38">
        <f t="shared" si="126"/>
        <v>1.2000157935159204</v>
      </c>
      <c r="Q95" s="276"/>
      <c r="R95" s="278"/>
      <c r="S95" s="278"/>
    </row>
    <row r="96" spans="1:25" x14ac:dyDescent="0.25">
      <c r="B96" s="82" t="s">
        <v>191</v>
      </c>
      <c r="C96" s="58">
        <v>0.1</v>
      </c>
      <c r="D96" s="59">
        <v>0.1</v>
      </c>
      <c r="E96" s="59">
        <v>7.5</v>
      </c>
      <c r="F96" s="59">
        <v>10</v>
      </c>
      <c r="G96" s="59">
        <v>2</v>
      </c>
      <c r="H96" s="58">
        <v>1</v>
      </c>
      <c r="I96" s="11">
        <v>4011866</v>
      </c>
      <c r="J96" s="11">
        <v>4281</v>
      </c>
      <c r="K96" s="24">
        <v>3675963</v>
      </c>
      <c r="L96" s="11">
        <f t="shared" si="122"/>
        <v>1.4987201716109163E-3</v>
      </c>
      <c r="M96" s="24">
        <f t="shared" si="123"/>
        <v>0.80302133052300351</v>
      </c>
      <c r="N96" s="96">
        <f t="shared" si="124"/>
        <v>99.850127982838913</v>
      </c>
      <c r="O96" s="96">
        <f t="shared" si="125"/>
        <v>80.302133052300348</v>
      </c>
      <c r="P96" s="38">
        <f t="shared" si="126"/>
        <v>1.1474371791843196</v>
      </c>
      <c r="Q96" s="276"/>
      <c r="R96" s="278"/>
      <c r="S96" s="278"/>
    </row>
    <row r="97" spans="1:25" x14ac:dyDescent="0.25">
      <c r="A97" s="22">
        <v>43840</v>
      </c>
      <c r="B97" s="83" t="s">
        <v>192</v>
      </c>
      <c r="C97" s="61">
        <v>0.1</v>
      </c>
      <c r="D97" s="62">
        <v>0.1</v>
      </c>
      <c r="E97" s="62">
        <v>7.5</v>
      </c>
      <c r="F97" s="62">
        <v>10</v>
      </c>
      <c r="G97" s="62">
        <v>2</v>
      </c>
      <c r="H97" s="61">
        <v>1</v>
      </c>
      <c r="I97" s="13">
        <v>763544</v>
      </c>
      <c r="J97" s="13">
        <v>16117</v>
      </c>
      <c r="K97" s="25">
        <v>767415</v>
      </c>
      <c r="L97" s="13">
        <f t="shared" ref="L97:L101" si="128">1.4045*(J97/I97)</f>
        <v>2.9646394313883679E-2</v>
      </c>
      <c r="M97" s="25">
        <f t="shared" ref="M97:M101" si="129">0.8764*(K97/I97)</f>
        <v>0.88084315507685218</v>
      </c>
      <c r="N97" s="97">
        <f t="shared" ref="N97:N101" si="130">100*(1-L97/(C97/D97))</f>
        <v>97.035360568611623</v>
      </c>
      <c r="O97" s="97">
        <f t="shared" ref="O97:O101" si="131">100*M97/(C97/D97)</f>
        <v>88.084315507685218</v>
      </c>
      <c r="P97" s="41">
        <f t="shared" ref="P97:P101" si="132">(238.15*C97*(O97/100)*7.5/1000)*(60/E97)</f>
        <v>1.2586367842893142</v>
      </c>
      <c r="Q97" s="276">
        <f>AVERAGE(N97:N100)</f>
        <v>99.156152017812829</v>
      </c>
      <c r="R97" s="278">
        <f>AVERAGE(O97:O100)</f>
        <v>84.034105386525141</v>
      </c>
      <c r="S97" s="278">
        <f>AVERAGE(P97:P100)</f>
        <v>1.2007633318680577</v>
      </c>
      <c r="T97" s="8">
        <f>Q97-N98</f>
        <v>-0.71431455309324576</v>
      </c>
      <c r="U97" s="103">
        <f>Q97-N97</f>
        <v>2.1207914492012065</v>
      </c>
      <c r="V97" s="8">
        <f>R97-O97</f>
        <v>-4.0502101211600774</v>
      </c>
      <c r="W97" s="8">
        <f>R97-O100</f>
        <v>3.079359552763492</v>
      </c>
      <c r="X97" s="8">
        <f>S97-P97</f>
        <v>-5.7873452421256522E-2</v>
      </c>
      <c r="Y97" s="8">
        <f>S97-P100</f>
        <v>4.4000968649437366E-2</v>
      </c>
    </row>
    <row r="98" spans="1:25" x14ac:dyDescent="0.25">
      <c r="A98" s="85">
        <v>0.75</v>
      </c>
      <c r="B98" s="83" t="s">
        <v>193</v>
      </c>
      <c r="C98" s="61">
        <v>0.1</v>
      </c>
      <c r="D98" s="62">
        <v>0.1</v>
      </c>
      <c r="E98" s="62">
        <v>7.5</v>
      </c>
      <c r="F98" s="62">
        <v>10</v>
      </c>
      <c r="G98" s="62">
        <v>2</v>
      </c>
      <c r="H98" s="61">
        <v>1</v>
      </c>
      <c r="I98" s="13">
        <v>2462391</v>
      </c>
      <c r="J98" s="13">
        <v>2271</v>
      </c>
      <c r="K98" s="25">
        <v>2413893</v>
      </c>
      <c r="L98" s="13">
        <f t="shared" si="128"/>
        <v>1.2953342909391727E-3</v>
      </c>
      <c r="M98" s="25">
        <f t="shared" si="129"/>
        <v>0.85913887160893621</v>
      </c>
      <c r="N98" s="97">
        <f t="shared" si="130"/>
        <v>99.870466570906075</v>
      </c>
      <c r="O98" s="97">
        <f t="shared" si="131"/>
        <v>85.913887160893623</v>
      </c>
      <c r="P98" s="41">
        <f t="shared" si="132"/>
        <v>1.2276235336420092</v>
      </c>
      <c r="Q98" s="276"/>
      <c r="R98" s="278"/>
      <c r="S98" s="278"/>
    </row>
    <row r="99" spans="1:25" x14ac:dyDescent="0.25">
      <c r="A99" s="80"/>
      <c r="B99" s="83" t="s">
        <v>194</v>
      </c>
      <c r="C99" s="61">
        <v>0.1</v>
      </c>
      <c r="D99" s="62">
        <v>0.1</v>
      </c>
      <c r="E99" s="62">
        <v>7.5</v>
      </c>
      <c r="F99" s="62">
        <v>10</v>
      </c>
      <c r="G99" s="62">
        <v>2</v>
      </c>
      <c r="H99" s="61">
        <v>1</v>
      </c>
      <c r="I99" s="13">
        <v>3900544</v>
      </c>
      <c r="J99" s="13">
        <v>3863</v>
      </c>
      <c r="K99" s="25">
        <v>3613187</v>
      </c>
      <c r="L99" s="13">
        <f t="shared" si="128"/>
        <v>1.3909812323614349E-3</v>
      </c>
      <c r="M99" s="25">
        <f t="shared" si="129"/>
        <v>0.81183473043760046</v>
      </c>
      <c r="N99" s="97">
        <f t="shared" si="130"/>
        <v>99.860901876763847</v>
      </c>
      <c r="O99" s="97">
        <f t="shared" si="131"/>
        <v>81.183473043760046</v>
      </c>
      <c r="P99" s="41">
        <f t="shared" si="132"/>
        <v>1.1600306463222874</v>
      </c>
      <c r="Q99" s="276"/>
      <c r="R99" s="278"/>
      <c r="S99" s="278"/>
    </row>
    <row r="100" spans="1:25" x14ac:dyDescent="0.25">
      <c r="A100" s="80"/>
      <c r="B100" s="83" t="s">
        <v>195</v>
      </c>
      <c r="C100" s="61">
        <v>0.1</v>
      </c>
      <c r="D100" s="62">
        <v>0.1</v>
      </c>
      <c r="E100" s="62">
        <v>7.5</v>
      </c>
      <c r="F100" s="62">
        <v>10</v>
      </c>
      <c r="G100" s="62">
        <v>2</v>
      </c>
      <c r="H100" s="61">
        <v>1</v>
      </c>
      <c r="I100" s="13">
        <v>4115043</v>
      </c>
      <c r="J100" s="13">
        <v>4164</v>
      </c>
      <c r="K100" s="25">
        <v>3801144</v>
      </c>
      <c r="L100" s="13">
        <f t="shared" si="128"/>
        <v>1.4212094503022203E-3</v>
      </c>
      <c r="M100" s="25">
        <f t="shared" si="129"/>
        <v>0.80954745833761643</v>
      </c>
      <c r="N100" s="97">
        <f t="shared" si="130"/>
        <v>99.857879054969771</v>
      </c>
      <c r="O100" s="97">
        <f t="shared" si="131"/>
        <v>80.954745833761649</v>
      </c>
      <c r="P100" s="41">
        <f t="shared" si="132"/>
        <v>1.1567623632186204</v>
      </c>
      <c r="Q100" s="276"/>
      <c r="R100" s="278"/>
      <c r="S100" s="278"/>
    </row>
    <row r="101" spans="1:25" x14ac:dyDescent="0.25">
      <c r="A101" s="22">
        <v>43841</v>
      </c>
      <c r="B101" s="15" t="s">
        <v>202</v>
      </c>
      <c r="C101" s="48">
        <v>0.1</v>
      </c>
      <c r="D101" s="49">
        <v>0.1</v>
      </c>
      <c r="E101" s="49">
        <v>7.5</v>
      </c>
      <c r="F101" s="49">
        <v>10</v>
      </c>
      <c r="G101" s="49">
        <v>2</v>
      </c>
      <c r="H101" s="48">
        <v>1</v>
      </c>
      <c r="I101" s="15">
        <v>1108356</v>
      </c>
      <c r="J101" s="15">
        <v>375505</v>
      </c>
      <c r="K101" s="26">
        <v>567689</v>
      </c>
      <c r="L101" s="15">
        <f t="shared" si="128"/>
        <v>0.47583698062716312</v>
      </c>
      <c r="M101" s="26">
        <f t="shared" si="129"/>
        <v>0.44888342698555339</v>
      </c>
      <c r="N101" s="98">
        <f t="shared" si="130"/>
        <v>52.416301937283684</v>
      </c>
      <c r="O101" s="98">
        <f t="shared" si="131"/>
        <v>44.888342698555341</v>
      </c>
      <c r="P101" s="44">
        <f t="shared" si="132"/>
        <v>0.64140952881965718</v>
      </c>
    </row>
    <row r="102" spans="1:25" x14ac:dyDescent="0.25">
      <c r="A102" s="10" t="s">
        <v>216</v>
      </c>
      <c r="B102" s="15" t="s">
        <v>203</v>
      </c>
      <c r="C102" s="48">
        <v>0.1</v>
      </c>
      <c r="D102" s="49">
        <v>0.1</v>
      </c>
      <c r="E102" s="49">
        <v>7.5</v>
      </c>
      <c r="F102" s="49">
        <v>10</v>
      </c>
      <c r="G102" s="49">
        <v>2</v>
      </c>
      <c r="H102" s="48">
        <v>1</v>
      </c>
      <c r="I102" s="15">
        <v>4042058</v>
      </c>
      <c r="J102" s="15">
        <v>1884061</v>
      </c>
      <c r="K102" s="26">
        <v>1337506</v>
      </c>
      <c r="L102" s="15">
        <f t="shared" ref="L102:L104" si="133">1.4045*(J102/I102)</f>
        <v>0.65465752210878725</v>
      </c>
      <c r="M102" s="26">
        <f t="shared" ref="M102:M104" si="134">0.8764*(K102/I102)</f>
        <v>0.28999837666851885</v>
      </c>
      <c r="N102" s="98">
        <f t="shared" ref="N102:N104" si="135">100*(1-L102/(C102/D102))</f>
        <v>34.534247789121274</v>
      </c>
      <c r="O102" s="98">
        <f t="shared" ref="O102:O104" si="136">100*M102/(C102/D102)</f>
        <v>28.999837666851885</v>
      </c>
      <c r="P102" s="44">
        <f t="shared" ref="P102:P104" si="137">(238.15*C102*(O102/100)*7.5/1000)*(60/E102)</f>
        <v>0.41437868042164661</v>
      </c>
      <c r="Q102" s="276">
        <f>AVERAGE(N102:N104)</f>
        <v>35.863416503992987</v>
      </c>
      <c r="R102" s="278">
        <f>AVERAGE(O102:O104)</f>
        <v>29.123685206746632</v>
      </c>
      <c r="S102" s="278">
        <f>AVERAGE(P102:P104)</f>
        <v>0.41614833791920275</v>
      </c>
      <c r="T102" s="8">
        <f>Q102-N104</f>
        <v>-2.9054996214752009</v>
      </c>
      <c r="U102" s="8">
        <f>Q102-N103</f>
        <v>1.576330906603495</v>
      </c>
      <c r="V102" s="8">
        <f>R102-O104</f>
        <v>-2.9147186295789247</v>
      </c>
      <c r="W102" s="8">
        <f>R102-O103</f>
        <v>2.7908710896841669</v>
      </c>
    </row>
    <row r="103" spans="1:25" x14ac:dyDescent="0.25">
      <c r="B103" s="15" t="s">
        <v>204</v>
      </c>
      <c r="C103" s="48">
        <v>0.1</v>
      </c>
      <c r="D103" s="49">
        <v>0.1</v>
      </c>
      <c r="E103" s="49">
        <v>7.5</v>
      </c>
      <c r="F103" s="49">
        <v>10</v>
      </c>
      <c r="G103" s="49">
        <v>2</v>
      </c>
      <c r="H103" s="48">
        <v>1</v>
      </c>
      <c r="I103" s="15">
        <v>5803927</v>
      </c>
      <c r="J103" s="15">
        <v>2715507</v>
      </c>
      <c r="K103" s="26">
        <v>1743881</v>
      </c>
      <c r="L103" s="15">
        <f t="shared" si="133"/>
        <v>0.65712914402610512</v>
      </c>
      <c r="M103" s="26">
        <f t="shared" si="134"/>
        <v>0.26332814117062464</v>
      </c>
      <c r="N103" s="98">
        <f t="shared" si="135"/>
        <v>34.287085597389492</v>
      </c>
      <c r="O103" s="98">
        <f t="shared" si="136"/>
        <v>26.332814117062465</v>
      </c>
      <c r="P103" s="44">
        <f t="shared" si="137"/>
        <v>0.37626958091870555</v>
      </c>
      <c r="Q103" s="276"/>
      <c r="R103" s="278"/>
      <c r="S103" s="278"/>
    </row>
    <row r="104" spans="1:25" x14ac:dyDescent="0.25">
      <c r="B104" s="15" t="s">
        <v>205</v>
      </c>
      <c r="C104" s="48">
        <v>0.1</v>
      </c>
      <c r="D104" s="49">
        <v>0.1</v>
      </c>
      <c r="E104" s="49">
        <v>7.5</v>
      </c>
      <c r="F104" s="49">
        <v>10</v>
      </c>
      <c r="G104" s="49">
        <v>2</v>
      </c>
      <c r="H104" s="48">
        <v>1</v>
      </c>
      <c r="I104" s="15">
        <v>6165483</v>
      </c>
      <c r="J104" s="15">
        <v>2687926</v>
      </c>
      <c r="K104" s="26">
        <v>2253905</v>
      </c>
      <c r="L104" s="15">
        <f t="shared" si="133"/>
        <v>0.61231083874531811</v>
      </c>
      <c r="M104" s="26">
        <f t="shared" si="134"/>
        <v>0.32038403836325557</v>
      </c>
      <c r="N104" s="98">
        <f t="shared" si="135"/>
        <v>38.768916125468188</v>
      </c>
      <c r="O104" s="98">
        <f t="shared" si="136"/>
        <v>32.038403836325557</v>
      </c>
      <c r="P104" s="44">
        <f t="shared" si="137"/>
        <v>0.45779675241725598</v>
      </c>
      <c r="Q104" s="276"/>
      <c r="R104" s="278"/>
      <c r="S104" s="278"/>
    </row>
    <row r="105" spans="1:25" x14ac:dyDescent="0.25">
      <c r="A105" s="22">
        <v>43841</v>
      </c>
      <c r="B105" s="17" t="s">
        <v>218</v>
      </c>
      <c r="C105" s="55">
        <v>0.1</v>
      </c>
      <c r="D105" s="56">
        <v>0.1</v>
      </c>
      <c r="E105" s="56">
        <v>7.5</v>
      </c>
      <c r="F105" s="56">
        <v>10</v>
      </c>
      <c r="G105" s="56">
        <v>2</v>
      </c>
      <c r="H105" s="55">
        <v>1</v>
      </c>
      <c r="I105" s="17">
        <v>2176493</v>
      </c>
      <c r="J105" s="17">
        <v>496121</v>
      </c>
      <c r="K105" s="23">
        <v>1483212</v>
      </c>
      <c r="L105" s="17">
        <f t="shared" ref="L105:L109" si="138">1.4045*(J105/I105)</f>
        <v>0.32014894810137229</v>
      </c>
      <c r="M105" s="23">
        <f t="shared" ref="M105:M109" si="139">0.8764*(K105/I105)</f>
        <v>0.59723922695823051</v>
      </c>
      <c r="N105" s="99">
        <f t="shared" ref="N105:N109" si="140">100*(1-L105/(C105/D105))</f>
        <v>67.985105189862765</v>
      </c>
      <c r="O105" s="99">
        <f t="shared" ref="O105:O109" si="141">100*M105/(C105/D105)</f>
        <v>59.723922695823049</v>
      </c>
      <c r="P105" s="35">
        <f t="shared" ref="P105:P109" si="142">(238.15*C105*(O105/100)*7.5/1000)*(60/E105)</f>
        <v>0.85339513140061563</v>
      </c>
      <c r="Q105" s="276">
        <f>AVERAGE(N106:N107)</f>
        <v>59.760103535100498</v>
      </c>
      <c r="R105" s="276">
        <f t="shared" ref="R105:S105" si="143">AVERAGE(O106:O107)</f>
        <v>52.588913355311512</v>
      </c>
      <c r="S105" s="276">
        <f t="shared" si="143"/>
        <v>0.75144298293404632</v>
      </c>
      <c r="T105" s="8">
        <f>Q105-N105</f>
        <v>-8.2250016547622664</v>
      </c>
      <c r="U105" s="8">
        <f>Q105-N106</f>
        <v>0.20842460283724762</v>
      </c>
      <c r="V105" s="269">
        <f>R105-O106</f>
        <v>-5.7158934820407126E-2</v>
      </c>
      <c r="W105" s="8">
        <f>R105-O107</f>
        <v>5.7158934820407126E-2</v>
      </c>
    </row>
    <row r="106" spans="1:25" x14ac:dyDescent="0.25">
      <c r="A106" s="10" t="s">
        <v>217</v>
      </c>
      <c r="B106" s="17" t="s">
        <v>219</v>
      </c>
      <c r="C106" s="55">
        <v>0.1</v>
      </c>
      <c r="D106" s="56">
        <v>0.1</v>
      </c>
      <c r="E106" s="56">
        <v>7.5</v>
      </c>
      <c r="F106" s="56">
        <v>10</v>
      </c>
      <c r="G106" s="56">
        <v>2</v>
      </c>
      <c r="H106" s="55">
        <v>1</v>
      </c>
      <c r="I106" s="17">
        <v>4842542</v>
      </c>
      <c r="J106" s="17">
        <v>1394608</v>
      </c>
      <c r="K106" s="23">
        <v>2908955</v>
      </c>
      <c r="L106" s="17">
        <f t="shared" si="138"/>
        <v>0.40448321067736742</v>
      </c>
      <c r="M106" s="23">
        <f t="shared" si="139"/>
        <v>0.52646072290131918</v>
      </c>
      <c r="N106" s="99">
        <f t="shared" si="140"/>
        <v>59.55167893226325</v>
      </c>
      <c r="O106" s="99">
        <f t="shared" si="141"/>
        <v>52.646072290131919</v>
      </c>
      <c r="P106" s="35">
        <f t="shared" si="142"/>
        <v>0.75225972695369503</v>
      </c>
      <c r="Q106" s="276"/>
      <c r="R106" s="276"/>
      <c r="S106" s="276"/>
    </row>
    <row r="107" spans="1:25" x14ac:dyDescent="0.25">
      <c r="B107" s="17" t="s">
        <v>220</v>
      </c>
      <c r="C107" s="55">
        <v>0.1</v>
      </c>
      <c r="D107" s="56">
        <v>0.1</v>
      </c>
      <c r="E107" s="56">
        <v>7.5</v>
      </c>
      <c r="F107" s="56">
        <v>10</v>
      </c>
      <c r="G107" s="56">
        <v>2</v>
      </c>
      <c r="H107" s="55">
        <v>1</v>
      </c>
      <c r="I107" s="17">
        <v>6305917</v>
      </c>
      <c r="J107" s="17">
        <v>1797331</v>
      </c>
      <c r="K107" s="23">
        <v>3779791</v>
      </c>
      <c r="L107" s="17">
        <f t="shared" si="138"/>
        <v>0.40031471862062251</v>
      </c>
      <c r="M107" s="23">
        <f t="shared" si="139"/>
        <v>0.52531754420491106</v>
      </c>
      <c r="N107" s="99">
        <f t="shared" si="140"/>
        <v>59.968528137937746</v>
      </c>
      <c r="O107" s="99">
        <f t="shared" si="141"/>
        <v>52.531754420491104</v>
      </c>
      <c r="P107" s="35">
        <f t="shared" si="142"/>
        <v>0.7506262389143975</v>
      </c>
      <c r="Q107" s="276"/>
      <c r="R107" s="276"/>
      <c r="S107" s="276"/>
    </row>
    <row r="108" spans="1:25" x14ac:dyDescent="0.25">
      <c r="B108" s="17" t="s">
        <v>221</v>
      </c>
      <c r="C108" s="55">
        <v>0.1</v>
      </c>
      <c r="D108" s="56">
        <v>0.1</v>
      </c>
      <c r="E108" s="56">
        <v>7.5</v>
      </c>
      <c r="F108" s="56">
        <v>10</v>
      </c>
      <c r="G108" s="56">
        <v>2</v>
      </c>
      <c r="H108" s="55">
        <v>1</v>
      </c>
      <c r="I108" s="17">
        <v>5144288</v>
      </c>
      <c r="J108" s="17">
        <v>1316091</v>
      </c>
      <c r="K108" s="23">
        <v>3353126</v>
      </c>
      <c r="L108" s="17">
        <f t="shared" si="138"/>
        <v>0.35932082525317399</v>
      </c>
      <c r="M108" s="23">
        <f t="shared" si="139"/>
        <v>0.57125099263493806</v>
      </c>
      <c r="N108" s="99">
        <f t="shared" si="140"/>
        <v>64.067917474682602</v>
      </c>
      <c r="O108" s="99">
        <f t="shared" si="141"/>
        <v>57.125099263493809</v>
      </c>
      <c r="P108" s="35">
        <f t="shared" si="142"/>
        <v>0.81626054337606313</v>
      </c>
      <c r="Q108" s="276"/>
      <c r="R108" s="276"/>
      <c r="S108" s="276"/>
    </row>
    <row r="109" spans="1:25" x14ac:dyDescent="0.25">
      <c r="A109" s="22">
        <v>43841</v>
      </c>
      <c r="B109" s="11" t="s">
        <v>222</v>
      </c>
      <c r="C109" s="58">
        <v>0.1</v>
      </c>
      <c r="D109" s="59">
        <v>0.1</v>
      </c>
      <c r="E109" s="59">
        <v>7.5</v>
      </c>
      <c r="F109" s="59">
        <v>10</v>
      </c>
      <c r="G109" s="59">
        <v>2</v>
      </c>
      <c r="H109" s="58">
        <v>1</v>
      </c>
      <c r="I109" s="11">
        <v>1106454</v>
      </c>
      <c r="J109" s="11">
        <v>140664</v>
      </c>
      <c r="K109" s="24">
        <v>1000953</v>
      </c>
      <c r="L109" s="11">
        <f t="shared" si="138"/>
        <v>0.17855472346794354</v>
      </c>
      <c r="M109" s="24">
        <f t="shared" si="139"/>
        <v>0.79283477595995855</v>
      </c>
      <c r="N109" s="96">
        <f t="shared" si="140"/>
        <v>82.144527653205643</v>
      </c>
      <c r="O109" s="96">
        <f t="shared" si="141"/>
        <v>79.283477595995862</v>
      </c>
      <c r="P109" s="38">
        <f t="shared" si="142"/>
        <v>1.1328816113691849</v>
      </c>
      <c r="Q109" s="276">
        <f>AVERAGE(N109:N112)</f>
        <v>79.524576213741099</v>
      </c>
      <c r="R109" s="278">
        <f>AVERAGE(O109:O112)</f>
        <v>72.859913646608305</v>
      </c>
      <c r="S109" s="278">
        <f>AVERAGE(P109:P112)</f>
        <v>1.0410953060963859</v>
      </c>
      <c r="T109" s="8">
        <f>Q109-N109</f>
        <v>-2.6199514394645433</v>
      </c>
      <c r="U109" s="8">
        <f>Q109-N111</f>
        <v>2.3968520157411035</v>
      </c>
      <c r="V109" s="8">
        <f>R109-O109</f>
        <v>-6.4235639493875567</v>
      </c>
      <c r="W109" s="8">
        <f>R109-O111</f>
        <v>3.8532747449299194</v>
      </c>
    </row>
    <row r="110" spans="1:25" x14ac:dyDescent="0.25">
      <c r="A110" s="87" t="s">
        <v>226</v>
      </c>
      <c r="B110" s="11" t="s">
        <v>223</v>
      </c>
      <c r="C110" s="58">
        <v>0.1</v>
      </c>
      <c r="D110" s="59">
        <v>0.1</v>
      </c>
      <c r="E110" s="59">
        <v>7.5</v>
      </c>
      <c r="F110" s="59">
        <v>10</v>
      </c>
      <c r="G110" s="59">
        <v>2</v>
      </c>
      <c r="H110" s="58">
        <v>1</v>
      </c>
      <c r="I110" s="11">
        <v>3968443</v>
      </c>
      <c r="J110" s="11">
        <v>578410</v>
      </c>
      <c r="K110" s="24">
        <v>3229735</v>
      </c>
      <c r="L110" s="11">
        <f t="shared" ref="L110" si="144">1.4045*(J110/I110)</f>
        <v>0.20470921341190995</v>
      </c>
      <c r="M110" s="24">
        <f t="shared" ref="M110" si="145">0.8764*(K110/I110)</f>
        <v>0.7132620410574122</v>
      </c>
      <c r="N110" s="96">
        <f t="shared" ref="N110" si="146">100*(1-L110/(C110/D110))</f>
        <v>79.529078658808999</v>
      </c>
      <c r="O110" s="96">
        <f t="shared" ref="O110" si="147">100*M110/(C110/D110)</f>
        <v>71.326204105741226</v>
      </c>
      <c r="P110" s="38">
        <f t="shared" ref="P110" si="148">(238.15*C110*(O110/100)*7.5/1000)*(60/E110)</f>
        <v>1.0191801304669366</v>
      </c>
      <c r="Q110" s="276"/>
      <c r="R110" s="278"/>
      <c r="S110" s="278"/>
    </row>
    <row r="111" spans="1:25" x14ac:dyDescent="0.25">
      <c r="B111" s="11" t="s">
        <v>224</v>
      </c>
      <c r="C111" s="58">
        <v>0.1</v>
      </c>
      <c r="D111" s="59">
        <v>0.1</v>
      </c>
      <c r="E111" s="59">
        <v>7.5</v>
      </c>
      <c r="F111" s="59">
        <v>10</v>
      </c>
      <c r="G111" s="59">
        <v>2</v>
      </c>
      <c r="H111" s="58">
        <v>1</v>
      </c>
      <c r="I111" s="11">
        <v>5918485</v>
      </c>
      <c r="J111" s="11">
        <v>963825</v>
      </c>
      <c r="K111" s="24">
        <v>4660141</v>
      </c>
      <c r="L111" s="11">
        <f t="shared" ref="L111:L112" si="149">1.4045*(J111/I111)</f>
        <v>0.22872275802000006</v>
      </c>
      <c r="M111" s="24">
        <f t="shared" ref="M111:M112" si="150">0.8764*(K111/I111)</f>
        <v>0.69006638901678385</v>
      </c>
      <c r="N111" s="96">
        <f t="shared" ref="N111:N112" si="151">100*(1-L111/(C111/D111))</f>
        <v>77.127724197999996</v>
      </c>
      <c r="O111" s="96">
        <f t="shared" ref="O111:O112" si="152">100*M111/(C111/D111)</f>
        <v>69.006638901678386</v>
      </c>
      <c r="P111" s="38">
        <f t="shared" ref="P111:P112" si="153">(238.15*C111*(O111/100)*7.5/1000)*(60/E111)</f>
        <v>0.9860358632660825</v>
      </c>
      <c r="Q111" s="276"/>
      <c r="R111" s="278"/>
      <c r="S111" s="278"/>
    </row>
    <row r="112" spans="1:25" x14ac:dyDescent="0.25">
      <c r="B112" s="11" t="s">
        <v>225</v>
      </c>
      <c r="C112" s="58">
        <v>0.1</v>
      </c>
      <c r="D112" s="59">
        <v>0.1</v>
      </c>
      <c r="E112" s="59">
        <v>7.5</v>
      </c>
      <c r="F112" s="59">
        <v>10</v>
      </c>
      <c r="G112" s="59">
        <v>2</v>
      </c>
      <c r="H112" s="58">
        <v>1</v>
      </c>
      <c r="I112" s="11">
        <v>4899815</v>
      </c>
      <c r="J112" s="11">
        <v>722257</v>
      </c>
      <c r="K112" s="24">
        <v>4015530</v>
      </c>
      <c r="L112" s="11">
        <f t="shared" si="149"/>
        <v>0.20703025655050245</v>
      </c>
      <c r="M112" s="24">
        <f t="shared" si="150"/>
        <v>0.71823333983017723</v>
      </c>
      <c r="N112" s="96">
        <f t="shared" si="151"/>
        <v>79.29697434494976</v>
      </c>
      <c r="O112" s="96">
        <f t="shared" si="152"/>
        <v>71.823333983017719</v>
      </c>
      <c r="P112" s="38">
        <f t="shared" si="153"/>
        <v>1.0262836192833402</v>
      </c>
      <c r="Q112" s="276"/>
      <c r="R112" s="278"/>
      <c r="S112" s="278"/>
    </row>
    <row r="113" spans="1:23" x14ac:dyDescent="0.25">
      <c r="A113" s="22">
        <v>43841</v>
      </c>
      <c r="B113" s="13" t="s">
        <v>228</v>
      </c>
      <c r="C113" s="61">
        <v>0.1</v>
      </c>
      <c r="D113" s="62">
        <v>0.1</v>
      </c>
      <c r="E113" s="62">
        <v>7.5</v>
      </c>
      <c r="F113" s="62">
        <v>10</v>
      </c>
      <c r="G113" s="62">
        <v>2</v>
      </c>
      <c r="H113" s="61">
        <v>1</v>
      </c>
      <c r="I113" s="13">
        <v>1446216</v>
      </c>
      <c r="J113" s="13">
        <v>47843</v>
      </c>
      <c r="K113" s="25">
        <v>1512623</v>
      </c>
      <c r="L113" s="13">
        <f t="shared" ref="L113:L116" si="154">1.4045*(J113/I113)</f>
        <v>4.6462971990352757E-2</v>
      </c>
      <c r="M113" s="25">
        <f t="shared" ref="M113:M116" si="155">0.8764*(K113/I113)</f>
        <v>0.91664232535112322</v>
      </c>
      <c r="N113" s="97">
        <f t="shared" ref="N113:N116" si="156">100*(1-L113/(C113/D113))</f>
        <v>95.353702800964726</v>
      </c>
      <c r="O113" s="97">
        <f t="shared" ref="O113:O116" si="157">100*M113/(C113/D113)</f>
        <v>91.664232535112319</v>
      </c>
      <c r="P113" s="41">
        <f t="shared" ref="P113:P116" si="158">(238.15*C113*(O113/100)*7.5/1000)*(60/E113)</f>
        <v>1.3097902186942201</v>
      </c>
      <c r="Q113" s="276">
        <f>AVERAGE(N113:N116)</f>
        <v>94.900037158900176</v>
      </c>
      <c r="R113" s="278">
        <f>AVERAGE(O113:O116)</f>
        <v>87.290204866556849</v>
      </c>
      <c r="S113" s="278">
        <f>AVERAGE(P113:P116)</f>
        <v>1.2472897373382312</v>
      </c>
      <c r="T113" s="8">
        <f>Q113-N114</f>
        <v>-0.63400043006647877</v>
      </c>
      <c r="U113" s="8">
        <f>Q113-N115</f>
        <v>1.495862303250604</v>
      </c>
      <c r="V113" s="8">
        <f>R113-O113</f>
        <v>-4.3740276685554704</v>
      </c>
      <c r="W113" s="8">
        <f>R113-O115</f>
        <v>3.6152017903700369</v>
      </c>
    </row>
    <row r="114" spans="1:23" x14ac:dyDescent="0.25">
      <c r="A114" s="87" t="s">
        <v>227</v>
      </c>
      <c r="B114" s="13" t="s">
        <v>229</v>
      </c>
      <c r="C114" s="61">
        <v>0.1</v>
      </c>
      <c r="D114" s="62">
        <v>0.1</v>
      </c>
      <c r="E114" s="62">
        <v>7.5</v>
      </c>
      <c r="F114" s="62">
        <v>10</v>
      </c>
      <c r="G114" s="62">
        <v>2</v>
      </c>
      <c r="H114" s="61">
        <v>1</v>
      </c>
      <c r="I114" s="13">
        <v>4232625</v>
      </c>
      <c r="J114" s="13">
        <v>134587</v>
      </c>
      <c r="K114" s="25">
        <v>4114933</v>
      </c>
      <c r="L114" s="13">
        <f t="shared" si="154"/>
        <v>4.4659624110333425E-2</v>
      </c>
      <c r="M114" s="25">
        <f t="shared" si="155"/>
        <v>0.85203089836685264</v>
      </c>
      <c r="N114" s="97">
        <f t="shared" si="156"/>
        <v>95.534037588966655</v>
      </c>
      <c r="O114" s="97">
        <f t="shared" si="157"/>
        <v>85.203089836685265</v>
      </c>
      <c r="P114" s="41">
        <f t="shared" si="158"/>
        <v>1.2174669506763958</v>
      </c>
      <c r="Q114" s="276"/>
      <c r="R114" s="278"/>
      <c r="S114" s="278"/>
    </row>
    <row r="115" spans="1:23" x14ac:dyDescent="0.25">
      <c r="A115" s="87"/>
      <c r="B115" s="13" t="s">
        <v>230</v>
      </c>
      <c r="C115" s="61">
        <v>0.1</v>
      </c>
      <c r="D115" s="62">
        <v>0.1</v>
      </c>
      <c r="E115" s="62">
        <v>7.5</v>
      </c>
      <c r="F115" s="62">
        <v>10</v>
      </c>
      <c r="G115" s="62">
        <v>2</v>
      </c>
      <c r="H115" s="61">
        <v>1</v>
      </c>
      <c r="I115" s="13">
        <v>5817267</v>
      </c>
      <c r="J115" s="13">
        <v>273191</v>
      </c>
      <c r="K115" s="25">
        <v>5554083</v>
      </c>
      <c r="L115" s="13">
        <f t="shared" si="154"/>
        <v>6.5958251443504326E-2</v>
      </c>
      <c r="M115" s="25">
        <f t="shared" si="155"/>
        <v>0.83675003076186805</v>
      </c>
      <c r="N115" s="97">
        <f t="shared" si="156"/>
        <v>93.404174855649572</v>
      </c>
      <c r="O115" s="97">
        <f t="shared" si="157"/>
        <v>83.675003076186812</v>
      </c>
      <c r="P115" s="41">
        <f t="shared" si="158"/>
        <v>1.1956321189556336</v>
      </c>
      <c r="Q115" s="276"/>
      <c r="R115" s="278"/>
      <c r="S115" s="278"/>
    </row>
    <row r="116" spans="1:23" x14ac:dyDescent="0.25">
      <c r="A116" s="87"/>
      <c r="B116" s="13" t="s">
        <v>231</v>
      </c>
      <c r="C116" s="61">
        <v>0.1</v>
      </c>
      <c r="D116" s="62">
        <v>0.1</v>
      </c>
      <c r="E116" s="62">
        <v>7.5</v>
      </c>
      <c r="F116" s="62">
        <v>10</v>
      </c>
      <c r="G116" s="62">
        <v>2</v>
      </c>
      <c r="H116" s="61">
        <v>1</v>
      </c>
      <c r="I116" s="13">
        <v>4177368</v>
      </c>
      <c r="J116" s="13">
        <v>139546</v>
      </c>
      <c r="K116" s="25">
        <v>4224008</v>
      </c>
      <c r="L116" s="13">
        <f t="shared" si="154"/>
        <v>4.6917666099802566E-2</v>
      </c>
      <c r="M116" s="25">
        <f t="shared" si="155"/>
        <v>0.88618494018243066</v>
      </c>
      <c r="N116" s="97">
        <f t="shared" si="156"/>
        <v>95.308233390019751</v>
      </c>
      <c r="O116" s="97">
        <f t="shared" si="157"/>
        <v>88.618494018243069</v>
      </c>
      <c r="P116" s="41">
        <f t="shared" si="158"/>
        <v>1.266269661026675</v>
      </c>
      <c r="Q116" s="276"/>
      <c r="R116" s="278"/>
      <c r="S116" s="278"/>
    </row>
    <row r="117" spans="1:23" x14ac:dyDescent="0.25">
      <c r="A117" s="52">
        <v>43841</v>
      </c>
      <c r="B117" s="109" t="s">
        <v>233</v>
      </c>
      <c r="C117" s="110">
        <v>0.1</v>
      </c>
      <c r="D117" s="111">
        <v>0.1</v>
      </c>
      <c r="E117" s="111">
        <v>7.5</v>
      </c>
      <c r="F117" s="111">
        <v>10</v>
      </c>
      <c r="G117" s="111">
        <v>2</v>
      </c>
      <c r="H117" s="110">
        <v>1</v>
      </c>
      <c r="I117" s="109">
        <v>674659</v>
      </c>
      <c r="J117" s="109">
        <v>30451</v>
      </c>
      <c r="K117" s="112">
        <v>725767</v>
      </c>
      <c r="L117" s="109">
        <f t="shared" ref="L117:L120" si="159">1.4045*(J117/I117)</f>
        <v>6.3392661329649491E-2</v>
      </c>
      <c r="M117" s="112">
        <f t="shared" ref="M117:M120" si="160">0.8764*(K117/I117)</f>
        <v>0.94279065246294791</v>
      </c>
      <c r="N117" s="113">
        <f t="shared" ref="N117:N120" si="161">100*(1-L117/(C117/D117))</f>
        <v>93.660733867035049</v>
      </c>
      <c r="O117" s="113">
        <f t="shared" ref="O117:O120" si="162">100*M117/(C117/D117)</f>
        <v>94.279065246294792</v>
      </c>
      <c r="P117" s="114">
        <f t="shared" ref="P117:P120" si="163">(238.15*C117*(O117/100)*7.5/1000)*(60/E117)</f>
        <v>1.3471535633043064</v>
      </c>
      <c r="Q117" s="286">
        <f>AVERAGE(N118:N120)</f>
        <v>98.551887205976826</v>
      </c>
      <c r="R117" s="287">
        <f>AVERAGE(O118:O120)</f>
        <v>93.000774840329939</v>
      </c>
      <c r="S117" s="287">
        <f>AVERAGE(P118:P120)</f>
        <v>1.3288880716934746</v>
      </c>
      <c r="T117" s="54"/>
      <c r="U117" s="54"/>
      <c r="V117" s="54"/>
      <c r="W117" s="54"/>
    </row>
    <row r="118" spans="1:23" x14ac:dyDescent="0.25">
      <c r="A118" s="54" t="s">
        <v>232</v>
      </c>
      <c r="B118" s="109" t="s">
        <v>234</v>
      </c>
      <c r="C118" s="110">
        <v>0.1</v>
      </c>
      <c r="D118" s="111">
        <v>0.1</v>
      </c>
      <c r="E118" s="111">
        <v>7.5</v>
      </c>
      <c r="F118" s="111">
        <v>10</v>
      </c>
      <c r="G118" s="111">
        <v>2</v>
      </c>
      <c r="H118" s="110">
        <v>1</v>
      </c>
      <c r="I118" s="109">
        <v>3668168</v>
      </c>
      <c r="J118" s="109">
        <v>12384</v>
      </c>
      <c r="K118" s="112">
        <v>3975133</v>
      </c>
      <c r="L118" s="109">
        <f t="shared" si="159"/>
        <v>4.7416934011746464E-3</v>
      </c>
      <c r="M118" s="112">
        <f t="shared" si="160"/>
        <v>0.94974018670900551</v>
      </c>
      <c r="N118" s="113">
        <f t="shared" si="161"/>
        <v>99.52583065988253</v>
      </c>
      <c r="O118" s="113">
        <f t="shared" si="162"/>
        <v>94.974018670900548</v>
      </c>
      <c r="P118" s="114">
        <f t="shared" si="163"/>
        <v>1.357083752788498</v>
      </c>
      <c r="Q118" s="286"/>
      <c r="R118" s="287"/>
      <c r="S118" s="287"/>
      <c r="T118" s="54">
        <f>Q117-N118</f>
        <v>-0.97394345390570436</v>
      </c>
      <c r="U118" s="54">
        <f>Q117-N119</f>
        <v>0.73357412257624333</v>
      </c>
      <c r="V118" s="54">
        <f>R117-O118</f>
        <v>-1.9732438305706097</v>
      </c>
      <c r="W118" s="54">
        <f>R117-O119</f>
        <v>2.1924448547805042</v>
      </c>
    </row>
    <row r="119" spans="1:23" x14ac:dyDescent="0.25">
      <c r="A119" s="54"/>
      <c r="B119" s="109" t="s">
        <v>235</v>
      </c>
      <c r="C119" s="110">
        <v>0.1</v>
      </c>
      <c r="D119" s="111">
        <v>0.1</v>
      </c>
      <c r="E119" s="111">
        <v>7.5</v>
      </c>
      <c r="F119" s="111">
        <v>10</v>
      </c>
      <c r="G119" s="111">
        <v>2</v>
      </c>
      <c r="H119" s="110">
        <v>1</v>
      </c>
      <c r="I119" s="109">
        <v>6330556</v>
      </c>
      <c r="J119" s="109">
        <v>98336</v>
      </c>
      <c r="K119" s="112">
        <v>6559416</v>
      </c>
      <c r="L119" s="109">
        <f t="shared" si="159"/>
        <v>2.181686916599427E-2</v>
      </c>
      <c r="M119" s="112">
        <f t="shared" si="160"/>
        <v>0.90808329985549441</v>
      </c>
      <c r="N119" s="113">
        <f t="shared" si="161"/>
        <v>97.818313083400582</v>
      </c>
      <c r="O119" s="113">
        <f t="shared" si="162"/>
        <v>90.808329985549435</v>
      </c>
      <c r="P119" s="114">
        <f t="shared" si="163"/>
        <v>1.2975602271635158</v>
      </c>
      <c r="Q119" s="286"/>
      <c r="R119" s="287"/>
      <c r="S119" s="287"/>
      <c r="T119" s="54"/>
      <c r="U119" s="54"/>
      <c r="V119" s="54"/>
      <c r="W119" s="54"/>
    </row>
    <row r="120" spans="1:23" x14ac:dyDescent="0.25">
      <c r="A120" s="54"/>
      <c r="B120" s="109" t="s">
        <v>236</v>
      </c>
      <c r="C120" s="110">
        <v>0.1</v>
      </c>
      <c r="D120" s="111">
        <v>0.1</v>
      </c>
      <c r="E120" s="111">
        <v>7.5</v>
      </c>
      <c r="F120" s="111">
        <v>10</v>
      </c>
      <c r="G120" s="111">
        <v>2</v>
      </c>
      <c r="H120" s="110">
        <v>1</v>
      </c>
      <c r="I120" s="109">
        <v>5809709</v>
      </c>
      <c r="J120" s="109">
        <v>69844</v>
      </c>
      <c r="K120" s="112">
        <v>6179609</v>
      </c>
      <c r="L120" s="109">
        <f t="shared" si="159"/>
        <v>1.6884821253525781E-2</v>
      </c>
      <c r="M120" s="112">
        <f t="shared" si="160"/>
        <v>0.9321997586453985</v>
      </c>
      <c r="N120" s="113">
        <f t="shared" si="161"/>
        <v>98.311517874647421</v>
      </c>
      <c r="O120" s="113">
        <f t="shared" si="162"/>
        <v>93.219975864539848</v>
      </c>
      <c r="P120" s="114">
        <f t="shared" si="163"/>
        <v>1.3320202351284098</v>
      </c>
      <c r="Q120" s="286"/>
      <c r="R120" s="287"/>
      <c r="S120" s="287"/>
      <c r="T120" s="54"/>
      <c r="U120" s="54"/>
      <c r="V120" s="54"/>
      <c r="W120" s="54"/>
    </row>
    <row r="121" spans="1:23" x14ac:dyDescent="0.25">
      <c r="A121" s="104">
        <v>43843</v>
      </c>
      <c r="B121" s="13" t="s">
        <v>238</v>
      </c>
      <c r="C121" s="61">
        <v>0.1</v>
      </c>
      <c r="D121" s="62">
        <v>0.1</v>
      </c>
      <c r="E121" s="62">
        <v>7.5</v>
      </c>
      <c r="F121" s="62">
        <v>10</v>
      </c>
      <c r="G121" s="62">
        <v>2</v>
      </c>
      <c r="H121" s="61">
        <v>1</v>
      </c>
      <c r="I121" s="13">
        <v>1219053</v>
      </c>
      <c r="J121" s="13">
        <v>15425</v>
      </c>
      <c r="K121" s="25">
        <v>1129201</v>
      </c>
      <c r="L121" s="13">
        <f t="shared" ref="L121:L124" si="164">1.4045*(J121/I121)</f>
        <v>1.7771509934350681E-2</v>
      </c>
      <c r="M121" s="25">
        <f t="shared" ref="M121:M124" si="165">0.8764*(K121/I121)</f>
        <v>0.81180371681953112</v>
      </c>
      <c r="N121" s="97">
        <f t="shared" ref="N121:N124" si="166">100*(1-L121/(C121/D121))</f>
        <v>98.222849006564928</v>
      </c>
      <c r="O121" s="97">
        <f t="shared" ref="O121:O124" si="167">100*M121/(C121/D121)</f>
        <v>81.180371681953119</v>
      </c>
      <c r="P121" s="41">
        <f t="shared" ref="P121:P124" si="168">(238.15*C121*(O121/100)*7.5/1000)*(60/E121)</f>
        <v>1.1599863309634284</v>
      </c>
      <c r="Q121" s="288">
        <f>AVERAGE(N122:N124)</f>
        <v>94.907590357669633</v>
      </c>
      <c r="R121" s="289">
        <f>AVERAGE(O122:O124)</f>
        <v>77.402261547101759</v>
      </c>
      <c r="S121" s="289">
        <f>AVERAGE(P122:P124)</f>
        <v>1.1060009152465369</v>
      </c>
      <c r="T121" s="15"/>
      <c r="U121" s="15"/>
      <c r="V121" s="15"/>
      <c r="W121" s="15"/>
    </row>
    <row r="122" spans="1:23" x14ac:dyDescent="0.25">
      <c r="A122" s="13" t="s">
        <v>232</v>
      </c>
      <c r="B122" s="13" t="s">
        <v>239</v>
      </c>
      <c r="C122" s="61">
        <v>0.1</v>
      </c>
      <c r="D122" s="62">
        <v>0.1</v>
      </c>
      <c r="E122" s="62">
        <v>7.5</v>
      </c>
      <c r="F122" s="62">
        <v>10</v>
      </c>
      <c r="G122" s="62">
        <v>2</v>
      </c>
      <c r="H122" s="61">
        <v>1</v>
      </c>
      <c r="I122" s="13">
        <v>3464275</v>
      </c>
      <c r="J122" s="13">
        <v>67018</v>
      </c>
      <c r="K122" s="25">
        <v>3127019</v>
      </c>
      <c r="L122" s="13">
        <f t="shared" si="164"/>
        <v>2.7170701228972877E-2</v>
      </c>
      <c r="M122" s="25">
        <f t="shared" si="165"/>
        <v>0.79108022648317466</v>
      </c>
      <c r="N122" s="97">
        <f t="shared" si="166"/>
        <v>97.282929877102703</v>
      </c>
      <c r="O122" s="97">
        <f t="shared" si="167"/>
        <v>79.108022648317473</v>
      </c>
      <c r="P122" s="41">
        <f t="shared" si="168"/>
        <v>1.1303745356218085</v>
      </c>
      <c r="Q122" s="288"/>
      <c r="R122" s="289"/>
      <c r="S122" s="289"/>
      <c r="T122" s="15">
        <f>Q121-N122</f>
        <v>-2.3753395194330693</v>
      </c>
      <c r="U122" s="15">
        <f>Q121-N123</f>
        <v>1.6177770443052566</v>
      </c>
      <c r="V122" s="15">
        <f>R121-O122</f>
        <v>-1.7057611012157139</v>
      </c>
      <c r="W122" s="15">
        <f>R121-O123</f>
        <v>0.7403970228615151</v>
      </c>
    </row>
    <row r="123" spans="1:23" x14ac:dyDescent="0.25">
      <c r="A123" s="13"/>
      <c r="B123" s="13" t="s">
        <v>240</v>
      </c>
      <c r="C123" s="61">
        <v>0.1</v>
      </c>
      <c r="D123" s="62">
        <v>0.1</v>
      </c>
      <c r="E123" s="62">
        <v>7.5</v>
      </c>
      <c r="F123" s="62">
        <v>10</v>
      </c>
      <c r="G123" s="62">
        <v>2</v>
      </c>
      <c r="H123" s="61">
        <v>1</v>
      </c>
      <c r="I123" s="13">
        <v>5302897</v>
      </c>
      <c r="J123" s="13">
        <v>253353</v>
      </c>
      <c r="K123" s="25">
        <v>4638635</v>
      </c>
      <c r="L123" s="13">
        <f t="shared" si="164"/>
        <v>6.7101866866356261E-2</v>
      </c>
      <c r="M123" s="25">
        <f t="shared" si="165"/>
        <v>0.76661864524240242</v>
      </c>
      <c r="N123" s="97">
        <f t="shared" si="166"/>
        <v>93.289813313364377</v>
      </c>
      <c r="O123" s="97">
        <f t="shared" si="167"/>
        <v>76.661864524240244</v>
      </c>
      <c r="P123" s="41">
        <f t="shared" si="168"/>
        <v>1.0954213821868688</v>
      </c>
      <c r="Q123" s="288"/>
      <c r="R123" s="289"/>
      <c r="S123" s="289"/>
      <c r="T123" s="15"/>
      <c r="U123" s="15"/>
      <c r="V123" s="15"/>
      <c r="W123" s="15"/>
    </row>
    <row r="124" spans="1:23" x14ac:dyDescent="0.25">
      <c r="A124" s="13"/>
      <c r="B124" s="13" t="s">
        <v>241</v>
      </c>
      <c r="C124" s="61">
        <v>0.1</v>
      </c>
      <c r="D124" s="62">
        <v>0.1</v>
      </c>
      <c r="E124" s="62">
        <v>7.5</v>
      </c>
      <c r="F124" s="62">
        <v>10</v>
      </c>
      <c r="G124" s="62">
        <v>2</v>
      </c>
      <c r="H124" s="61">
        <v>1</v>
      </c>
      <c r="I124" s="13">
        <v>5058721</v>
      </c>
      <c r="J124" s="13">
        <v>210704</v>
      </c>
      <c r="K124" s="25">
        <v>4412060</v>
      </c>
      <c r="L124" s="13">
        <f t="shared" si="164"/>
        <v>5.8499721174581479E-2</v>
      </c>
      <c r="M124" s="25">
        <f t="shared" si="165"/>
        <v>0.76436897468747533</v>
      </c>
      <c r="N124" s="97">
        <f t="shared" si="166"/>
        <v>94.150027882541849</v>
      </c>
      <c r="O124" s="97">
        <f t="shared" si="167"/>
        <v>76.436897468747532</v>
      </c>
      <c r="P124" s="41">
        <f t="shared" si="168"/>
        <v>1.0922068279309336</v>
      </c>
      <c r="Q124" s="288"/>
      <c r="R124" s="289"/>
      <c r="S124" s="289"/>
      <c r="T124" s="15"/>
      <c r="U124" s="15"/>
      <c r="V124" s="15"/>
      <c r="W124" s="15"/>
    </row>
    <row r="125" spans="1:23" x14ac:dyDescent="0.25">
      <c r="A125" s="89">
        <v>43843</v>
      </c>
      <c r="B125" s="90" t="s">
        <v>242</v>
      </c>
      <c r="C125" s="105">
        <v>0.1</v>
      </c>
      <c r="D125" s="106">
        <v>0.1</v>
      </c>
      <c r="E125" s="106">
        <v>7.5</v>
      </c>
      <c r="F125" s="106">
        <v>10</v>
      </c>
      <c r="G125" s="106">
        <v>2</v>
      </c>
      <c r="H125" s="105">
        <v>1</v>
      </c>
      <c r="I125" s="90">
        <v>648992</v>
      </c>
      <c r="J125" s="90">
        <v>16153</v>
      </c>
      <c r="K125" s="107">
        <v>596111</v>
      </c>
      <c r="L125" s="90">
        <f t="shared" ref="L125:L128" si="169">1.4045*(J125/I125)</f>
        <v>3.4957115804200974E-2</v>
      </c>
      <c r="M125" s="107">
        <f t="shared" ref="M125:M128" si="170">0.8764*(K125/I125)</f>
        <v>0.80498939956116555</v>
      </c>
      <c r="N125" s="102">
        <f t="shared" ref="N125:N128" si="171">100*(1-L125/(C125/D125))</f>
        <v>96.504288419579893</v>
      </c>
      <c r="O125" s="102">
        <f t="shared" ref="O125:O128" si="172">100*M125/(C125/D125)</f>
        <v>80.498939956116558</v>
      </c>
      <c r="P125" s="108">
        <f t="shared" ref="P125:P128" si="173">(238.15*C125*(O125/100)*7.5/1000)*(60/E125)</f>
        <v>1.1502493530329496</v>
      </c>
      <c r="Q125" s="288">
        <f>AVERAGE(N126:N128)</f>
        <v>98.708329917793506</v>
      </c>
      <c r="R125" s="289">
        <f>AVERAGE(O126:O128)</f>
        <v>81.90571366943567</v>
      </c>
      <c r="S125" s="289">
        <f>AVERAGE(P126:P128)</f>
        <v>1.1703507426225663</v>
      </c>
      <c r="T125" s="15"/>
      <c r="U125" s="15"/>
      <c r="V125" s="15"/>
      <c r="W125" s="15"/>
    </row>
    <row r="126" spans="1:23" x14ac:dyDescent="0.25">
      <c r="A126" s="90" t="s">
        <v>246</v>
      </c>
      <c r="B126" s="90" t="s">
        <v>243</v>
      </c>
      <c r="C126" s="105">
        <v>0.1</v>
      </c>
      <c r="D126" s="106">
        <v>0.1</v>
      </c>
      <c r="E126" s="106">
        <v>7.5</v>
      </c>
      <c r="F126" s="106">
        <v>10</v>
      </c>
      <c r="G126" s="106">
        <v>2</v>
      </c>
      <c r="H126" s="105">
        <v>1</v>
      </c>
      <c r="I126" s="90">
        <v>3337765</v>
      </c>
      <c r="J126" s="90">
        <v>10438</v>
      </c>
      <c r="K126" s="107">
        <v>3157597</v>
      </c>
      <c r="L126" s="90">
        <f t="shared" si="169"/>
        <v>4.3922118543396555E-3</v>
      </c>
      <c r="M126" s="107">
        <f t="shared" si="170"/>
        <v>0.82909312393173273</v>
      </c>
      <c r="N126" s="102">
        <f t="shared" si="171"/>
        <v>99.560778814566035</v>
      </c>
      <c r="O126" s="102">
        <f t="shared" si="172"/>
        <v>82.90931239317328</v>
      </c>
      <c r="P126" s="108">
        <f t="shared" si="173"/>
        <v>1.1846911647860532</v>
      </c>
      <c r="Q126" s="288"/>
      <c r="R126" s="289"/>
      <c r="S126" s="289"/>
      <c r="T126" s="15">
        <f>Q125-N126</f>
        <v>-0.852448896772529</v>
      </c>
      <c r="U126" s="15">
        <f>Q125-N127</f>
        <v>0.36909500781077043</v>
      </c>
      <c r="V126" s="15">
        <f>R125-O126</f>
        <v>-1.0035987237376105</v>
      </c>
      <c r="W126" s="15">
        <f>R125-O127</f>
        <v>0.80533652939210754</v>
      </c>
    </row>
    <row r="127" spans="1:23" x14ac:dyDescent="0.25">
      <c r="A127" s="90"/>
      <c r="B127" s="90" t="s">
        <v>244</v>
      </c>
      <c r="C127" s="105">
        <v>0.1</v>
      </c>
      <c r="D127" s="106">
        <v>0.1</v>
      </c>
      <c r="E127" s="106">
        <v>7.5</v>
      </c>
      <c r="F127" s="106">
        <v>10</v>
      </c>
      <c r="G127" s="106">
        <v>2</v>
      </c>
      <c r="H127" s="105">
        <v>1</v>
      </c>
      <c r="I127" s="90">
        <v>5548602</v>
      </c>
      <c r="J127" s="90">
        <v>65610</v>
      </c>
      <c r="K127" s="107">
        <v>5134570</v>
      </c>
      <c r="L127" s="90">
        <f t="shared" si="169"/>
        <v>1.6607650900172695E-2</v>
      </c>
      <c r="M127" s="107">
        <f t="shared" si="170"/>
        <v>0.81100377140043556</v>
      </c>
      <c r="N127" s="102">
        <f t="shared" si="171"/>
        <v>98.339234909982736</v>
      </c>
      <c r="O127" s="102">
        <f t="shared" si="172"/>
        <v>81.100377140043562</v>
      </c>
      <c r="P127" s="108">
        <f t="shared" si="173"/>
        <v>1.1588432889540825</v>
      </c>
      <c r="Q127" s="288"/>
      <c r="R127" s="289"/>
      <c r="S127" s="289"/>
      <c r="T127" s="15"/>
      <c r="U127" s="15"/>
      <c r="V127" s="15"/>
      <c r="W127" s="15"/>
    </row>
    <row r="128" spans="1:23" x14ac:dyDescent="0.25">
      <c r="A128" s="90"/>
      <c r="B128" s="90" t="s">
        <v>245</v>
      </c>
      <c r="C128" s="105">
        <v>0.1</v>
      </c>
      <c r="D128" s="106">
        <v>0.1</v>
      </c>
      <c r="E128" s="106">
        <v>7.5</v>
      </c>
      <c r="F128" s="106">
        <v>10</v>
      </c>
      <c r="G128" s="106">
        <v>2</v>
      </c>
      <c r="H128" s="105">
        <v>1</v>
      </c>
      <c r="I128" s="90">
        <v>5574405</v>
      </c>
      <c r="J128" s="90">
        <v>70450</v>
      </c>
      <c r="K128" s="107">
        <v>5197061</v>
      </c>
      <c r="L128" s="90">
        <f t="shared" si="169"/>
        <v>1.7750239711682235E-2</v>
      </c>
      <c r="M128" s="107">
        <f t="shared" si="170"/>
        <v>0.81707451475090165</v>
      </c>
      <c r="N128" s="102">
        <f t="shared" si="171"/>
        <v>98.224976028831776</v>
      </c>
      <c r="O128" s="102">
        <f t="shared" si="172"/>
        <v>81.707451475090167</v>
      </c>
      <c r="P128" s="108">
        <f t="shared" si="173"/>
        <v>1.1675177741275633</v>
      </c>
      <c r="Q128" s="288"/>
      <c r="R128" s="289"/>
      <c r="S128" s="289"/>
      <c r="T128" s="15"/>
      <c r="U128" s="15"/>
      <c r="V128" s="15"/>
      <c r="W128" s="15"/>
    </row>
    <row r="129" spans="1:23" x14ac:dyDescent="0.25">
      <c r="A129" s="22">
        <v>43844</v>
      </c>
      <c r="B129" s="17" t="s">
        <v>248</v>
      </c>
      <c r="C129" s="55">
        <v>0.1</v>
      </c>
      <c r="D129" s="56">
        <v>0.1</v>
      </c>
      <c r="E129" s="56">
        <v>7.5</v>
      </c>
      <c r="F129" s="56">
        <v>10</v>
      </c>
      <c r="G129" s="56">
        <v>2</v>
      </c>
      <c r="H129" s="55">
        <v>1</v>
      </c>
      <c r="I129" s="17">
        <v>622571</v>
      </c>
      <c r="J129" s="17">
        <v>207776</v>
      </c>
      <c r="K129" s="23">
        <v>276249</v>
      </c>
      <c r="L129" s="17">
        <f t="shared" ref="L129:L132" si="174">1.4045*(J129/I129)</f>
        <v>0.4687359224891619</v>
      </c>
      <c r="M129" s="23">
        <f t="shared" ref="M129:M132" si="175">0.8764*(K129/I129)</f>
        <v>0.38887873607990092</v>
      </c>
      <c r="N129" s="99">
        <f t="shared" ref="N129:N132" si="176">100*(1-L129/(C129/D129))</f>
        <v>53.126407751083818</v>
      </c>
      <c r="O129" s="99">
        <f t="shared" ref="O129:O132" si="177">100*M129/(C129/D129)</f>
        <v>38.887873607990095</v>
      </c>
      <c r="P129" s="35">
        <f t="shared" ref="P129:P132" si="178">(238.15*C129*(O129/100)*7.5/1000)*(60/E129)</f>
        <v>0.55566882598457046</v>
      </c>
      <c r="Q129" s="276">
        <f>AVERAGE(N129:N132)</f>
        <v>50.472643292737516</v>
      </c>
      <c r="R129" s="278">
        <f t="shared" ref="R129:S129" si="179">AVERAGE(O129:O132)</f>
        <v>36.442429755642237</v>
      </c>
      <c r="S129" s="278">
        <f t="shared" si="179"/>
        <v>0.52072587877837195</v>
      </c>
      <c r="T129" s="116">
        <f>Q129-N132</f>
        <v>-3.1680701433066361</v>
      </c>
      <c r="U129" s="116">
        <f>Q129-N130</f>
        <v>2.9699492006364778</v>
      </c>
      <c r="V129" s="116">
        <f>R129-O129</f>
        <v>-2.4454438523478572</v>
      </c>
      <c r="W129" s="116">
        <f>R129-O131</f>
        <v>1.7595312008334716</v>
      </c>
    </row>
    <row r="130" spans="1:23" x14ac:dyDescent="0.25">
      <c r="A130" s="10" t="s">
        <v>260</v>
      </c>
      <c r="B130" s="17" t="s">
        <v>249</v>
      </c>
      <c r="C130" s="55">
        <v>0.1</v>
      </c>
      <c r="D130" s="56">
        <v>0.1</v>
      </c>
      <c r="E130" s="56">
        <v>7.5</v>
      </c>
      <c r="F130" s="56">
        <v>10</v>
      </c>
      <c r="G130" s="56">
        <v>2</v>
      </c>
      <c r="H130" s="55">
        <v>1</v>
      </c>
      <c r="I130" s="17">
        <v>2275479</v>
      </c>
      <c r="J130" s="17">
        <v>850527</v>
      </c>
      <c r="K130" s="23">
        <v>914793</v>
      </c>
      <c r="L130" s="17">
        <f t="shared" si="174"/>
        <v>0.52497305907898961</v>
      </c>
      <c r="M130" s="23">
        <f t="shared" si="175"/>
        <v>0.35233222771996581</v>
      </c>
      <c r="N130" s="99">
        <f t="shared" si="176"/>
        <v>47.502694092101038</v>
      </c>
      <c r="O130" s="99">
        <f t="shared" si="177"/>
        <v>35.23322277199658</v>
      </c>
      <c r="P130" s="35">
        <f t="shared" si="178"/>
        <v>0.50344752018905914</v>
      </c>
      <c r="Q130" s="276"/>
      <c r="R130" s="278"/>
      <c r="S130" s="278"/>
    </row>
    <row r="131" spans="1:23" x14ac:dyDescent="0.25">
      <c r="B131" s="17" t="s">
        <v>250</v>
      </c>
      <c r="C131" s="55">
        <v>0.1</v>
      </c>
      <c r="D131" s="56">
        <v>0.1</v>
      </c>
      <c r="E131" s="56">
        <v>7.5</v>
      </c>
      <c r="F131" s="56">
        <v>10</v>
      </c>
      <c r="G131" s="56">
        <v>2</v>
      </c>
      <c r="H131" s="55">
        <v>1</v>
      </c>
      <c r="I131" s="17">
        <v>2980782</v>
      </c>
      <c r="J131" s="17">
        <v>1111649</v>
      </c>
      <c r="K131" s="23">
        <v>1179623</v>
      </c>
      <c r="L131" s="17">
        <f t="shared" si="174"/>
        <v>0.52379242108278967</v>
      </c>
      <c r="M131" s="23">
        <f t="shared" si="175"/>
        <v>0.34682898554808766</v>
      </c>
      <c r="N131" s="99">
        <f t="shared" si="176"/>
        <v>47.620757891721034</v>
      </c>
      <c r="O131" s="99">
        <f t="shared" si="177"/>
        <v>34.682898554808766</v>
      </c>
      <c r="P131" s="35">
        <f t="shared" si="178"/>
        <v>0.49558393744966245</v>
      </c>
      <c r="Q131" s="276"/>
      <c r="R131" s="278"/>
      <c r="S131" s="278"/>
    </row>
    <row r="132" spans="1:23" x14ac:dyDescent="0.25">
      <c r="B132" s="17" t="s">
        <v>251</v>
      </c>
      <c r="C132" s="55">
        <v>0.1</v>
      </c>
      <c r="D132" s="56">
        <v>0.1</v>
      </c>
      <c r="E132" s="56">
        <v>7.5</v>
      </c>
      <c r="F132" s="56">
        <v>10</v>
      </c>
      <c r="G132" s="56">
        <v>2</v>
      </c>
      <c r="H132" s="55">
        <v>1</v>
      </c>
      <c r="I132" s="17">
        <v>3067577</v>
      </c>
      <c r="J132" s="17">
        <v>1012536</v>
      </c>
      <c r="K132" s="23">
        <v>1293875</v>
      </c>
      <c r="L132" s="17">
        <f t="shared" si="174"/>
        <v>0.46359286563955854</v>
      </c>
      <c r="M132" s="23">
        <f t="shared" si="175"/>
        <v>0.3696572408777351</v>
      </c>
      <c r="N132" s="99">
        <f t="shared" si="176"/>
        <v>53.640713436044152</v>
      </c>
      <c r="O132" s="99">
        <f t="shared" si="177"/>
        <v>36.965724087773509</v>
      </c>
      <c r="P132" s="35">
        <f t="shared" si="178"/>
        <v>0.52820323149019577</v>
      </c>
      <c r="Q132" s="276"/>
      <c r="R132" s="278"/>
      <c r="S132" s="278"/>
    </row>
    <row r="133" spans="1:23" x14ac:dyDescent="0.25">
      <c r="A133" s="22">
        <v>43844</v>
      </c>
      <c r="B133" s="11" t="s">
        <v>252</v>
      </c>
      <c r="C133" s="58">
        <v>0.1</v>
      </c>
      <c r="D133" s="59">
        <v>0.1</v>
      </c>
      <c r="E133" s="59">
        <v>7.5</v>
      </c>
      <c r="F133" s="59">
        <v>10</v>
      </c>
      <c r="G133" s="59">
        <v>2</v>
      </c>
      <c r="H133" s="58">
        <v>1</v>
      </c>
      <c r="I133" s="11">
        <v>434114</v>
      </c>
      <c r="J133" s="11">
        <v>117910</v>
      </c>
      <c r="K133" s="24">
        <v>235085</v>
      </c>
      <c r="L133" s="11">
        <f t="shared" ref="L133:L136" si="180">1.4045*(J133/I133)</f>
        <v>0.38147720414453351</v>
      </c>
      <c r="M133" s="24">
        <f t="shared" ref="M133:M136" si="181">0.8764*(K133/I133)</f>
        <v>0.47459536895838417</v>
      </c>
      <c r="N133" s="96">
        <f t="shared" ref="N133:N136" si="182">100*(1-L133/(C133/D133))</f>
        <v>61.85227958554664</v>
      </c>
      <c r="O133" s="96">
        <f t="shared" ref="O133:O136" si="183">100*M133/(C133/D133)</f>
        <v>47.459536895838419</v>
      </c>
      <c r="P133" s="38">
        <f t="shared" ref="P133:P136" si="184">(238.15*C133*(O133/100)*7.5/1000)*(60/E133)</f>
        <v>0.67814932270463513</v>
      </c>
    </row>
    <row r="134" spans="1:23" x14ac:dyDescent="0.25">
      <c r="A134" s="115" t="s">
        <v>261</v>
      </c>
      <c r="B134" s="11" t="s">
        <v>253</v>
      </c>
      <c r="C134" s="58">
        <v>0.1</v>
      </c>
      <c r="D134" s="59">
        <v>0.1</v>
      </c>
      <c r="E134" s="59">
        <v>7.5</v>
      </c>
      <c r="F134" s="59">
        <v>10</v>
      </c>
      <c r="G134" s="59">
        <v>2</v>
      </c>
      <c r="H134" s="58">
        <v>1</v>
      </c>
      <c r="I134" s="11">
        <v>1820926</v>
      </c>
      <c r="J134" s="11">
        <v>375159</v>
      </c>
      <c r="K134" s="24">
        <v>1189068</v>
      </c>
      <c r="L134" s="11">
        <f t="shared" si="180"/>
        <v>0.28936421112115485</v>
      </c>
      <c r="M134" s="24">
        <f t="shared" si="181"/>
        <v>0.57229079885728462</v>
      </c>
      <c r="N134" s="96">
        <f t="shared" si="182"/>
        <v>71.063578887884518</v>
      </c>
      <c r="O134" s="96">
        <f t="shared" si="183"/>
        <v>57.22907988572846</v>
      </c>
      <c r="P134" s="38">
        <f t="shared" si="184"/>
        <v>0.81774632248717394</v>
      </c>
      <c r="Q134" s="276">
        <f>AVERAGE(N134:N136)</f>
        <v>70.526738319310198</v>
      </c>
      <c r="R134" s="278">
        <f t="shared" ref="R134:S134" si="185">AVERAGE(O134:O136)</f>
        <v>54.777088210023237</v>
      </c>
      <c r="S134" s="278">
        <f t="shared" si="185"/>
        <v>0.78270981343302204</v>
      </c>
      <c r="T134" s="116">
        <f>Q134-N134</f>
        <v>-0.53684056857431983</v>
      </c>
      <c r="U134" s="116">
        <f>Q134-N135</f>
        <v>0.50682023513725483</v>
      </c>
      <c r="V134" s="116">
        <f>R134-O134</f>
        <v>-2.4519916757052229</v>
      </c>
      <c r="W134" s="116">
        <f>R134-O135</f>
        <v>3.7215244990129932</v>
      </c>
    </row>
    <row r="135" spans="1:23" x14ac:dyDescent="0.25">
      <c r="B135" s="11" t="s">
        <v>254</v>
      </c>
      <c r="C135" s="58">
        <v>0.1</v>
      </c>
      <c r="D135" s="59">
        <v>0.1</v>
      </c>
      <c r="E135" s="59">
        <v>7.5</v>
      </c>
      <c r="F135" s="59">
        <v>10</v>
      </c>
      <c r="G135" s="59">
        <v>2</v>
      </c>
      <c r="H135" s="58">
        <v>1</v>
      </c>
      <c r="I135" s="11">
        <v>3376881</v>
      </c>
      <c r="J135" s="11">
        <v>720820</v>
      </c>
      <c r="K135" s="24">
        <v>1967236</v>
      </c>
      <c r="L135" s="11">
        <f t="shared" si="180"/>
        <v>0.29980081915827062</v>
      </c>
      <c r="M135" s="24">
        <f t="shared" si="181"/>
        <v>0.51055563711010243</v>
      </c>
      <c r="N135" s="96">
        <f t="shared" si="182"/>
        <v>70.019918084172943</v>
      </c>
      <c r="O135" s="96">
        <f t="shared" si="183"/>
        <v>51.055563711010244</v>
      </c>
      <c r="P135" s="38">
        <f t="shared" si="184"/>
        <v>0.72953294986662542</v>
      </c>
      <c r="Q135" s="276"/>
      <c r="R135" s="278"/>
      <c r="S135" s="278"/>
    </row>
    <row r="136" spans="1:23" x14ac:dyDescent="0.25">
      <c r="B136" s="11" t="s">
        <v>255</v>
      </c>
      <c r="C136" s="58">
        <v>0.1</v>
      </c>
      <c r="D136" s="59">
        <v>0.1</v>
      </c>
      <c r="E136" s="59">
        <v>7.5</v>
      </c>
      <c r="F136" s="59">
        <v>10</v>
      </c>
      <c r="G136" s="59">
        <v>2</v>
      </c>
      <c r="H136" s="58">
        <v>1</v>
      </c>
      <c r="I136" s="11">
        <v>3552666</v>
      </c>
      <c r="J136" s="11">
        <v>746282</v>
      </c>
      <c r="K136" s="24">
        <v>2271964</v>
      </c>
      <c r="L136" s="11">
        <f t="shared" si="180"/>
        <v>0.29503282014126858</v>
      </c>
      <c r="M136" s="24">
        <f t="shared" si="181"/>
        <v>0.56046621033331023</v>
      </c>
      <c r="N136" s="96">
        <f t="shared" si="182"/>
        <v>70.496717985873133</v>
      </c>
      <c r="O136" s="96">
        <f t="shared" si="183"/>
        <v>56.046621033331022</v>
      </c>
      <c r="P136" s="38">
        <f t="shared" si="184"/>
        <v>0.80085016794526698</v>
      </c>
      <c r="Q136" s="276"/>
      <c r="R136" s="278"/>
      <c r="S136" s="278"/>
    </row>
    <row r="137" spans="1:23" x14ac:dyDescent="0.25">
      <c r="A137" s="22">
        <v>43844</v>
      </c>
      <c r="B137" s="13" t="s">
        <v>256</v>
      </c>
      <c r="C137" s="61">
        <v>0.1</v>
      </c>
      <c r="D137" s="62">
        <v>0.1</v>
      </c>
      <c r="E137" s="62">
        <v>7.5</v>
      </c>
      <c r="F137" s="62">
        <v>10</v>
      </c>
      <c r="G137" s="62">
        <v>2</v>
      </c>
      <c r="H137" s="61">
        <v>1</v>
      </c>
      <c r="I137" s="13">
        <v>304547</v>
      </c>
      <c r="J137" s="13">
        <v>76474</v>
      </c>
      <c r="K137" s="25">
        <v>189160</v>
      </c>
      <c r="L137" s="13">
        <f t="shared" ref="L137:L140" si="186">1.4045*(J137/I137)</f>
        <v>0.35268031863718902</v>
      </c>
      <c r="M137" s="25">
        <f t="shared" ref="M137:M140" si="187">0.8764*(K137/I137)</f>
        <v>0.54434889852797763</v>
      </c>
      <c r="N137" s="97">
        <f t="shared" ref="N137:N140" si="188">100*(1-L137/(C137/D137))</f>
        <v>64.731968136281097</v>
      </c>
      <c r="O137" s="97">
        <f t="shared" ref="O137:O140" si="189">100*M137/(C137/D137)</f>
        <v>54.434889852797767</v>
      </c>
      <c r="P137" s="41">
        <f t="shared" ref="P137:P140" si="190">(238.15*C137*(O137/100)*7.5/1000)*(60/E137)</f>
        <v>0.77782014110662723</v>
      </c>
    </row>
    <row r="138" spans="1:23" x14ac:dyDescent="0.25">
      <c r="A138" s="77" t="s">
        <v>262</v>
      </c>
      <c r="B138" s="13" t="s">
        <v>257</v>
      </c>
      <c r="C138" s="61">
        <v>0.1</v>
      </c>
      <c r="D138" s="62">
        <v>0.1</v>
      </c>
      <c r="E138" s="62">
        <v>7.5</v>
      </c>
      <c r="F138" s="62">
        <v>10</v>
      </c>
      <c r="G138" s="62">
        <v>2</v>
      </c>
      <c r="H138" s="61">
        <v>1</v>
      </c>
      <c r="I138" s="13">
        <v>307191</v>
      </c>
      <c r="J138" s="13">
        <v>34557</v>
      </c>
      <c r="K138" s="25">
        <v>221601</v>
      </c>
      <c r="L138" s="13">
        <f t="shared" si="186"/>
        <v>0.15799716300282238</v>
      </c>
      <c r="M138" s="25">
        <f t="shared" si="187"/>
        <v>0.63221616648925261</v>
      </c>
      <c r="N138" s="97">
        <f t="shared" si="188"/>
        <v>84.200283699717758</v>
      </c>
      <c r="O138" s="97">
        <f t="shared" si="189"/>
        <v>63.221616648925263</v>
      </c>
      <c r="P138" s="41">
        <f t="shared" si="190"/>
        <v>0.90337368029649312</v>
      </c>
      <c r="Q138" s="276">
        <f>AVERAGE(N138:N140)</f>
        <v>82.428266118983757</v>
      </c>
      <c r="R138" s="278">
        <f>AVERAGE(O138:O140)</f>
        <v>66.101376637978888</v>
      </c>
      <c r="S138" s="278">
        <f t="shared" ref="S138" si="191">AVERAGE(P138:P140)</f>
        <v>0.94452257078008028</v>
      </c>
      <c r="T138" s="116">
        <f>Q138-N138</f>
        <v>-1.7720175807340013</v>
      </c>
      <c r="U138" s="116">
        <f>Q138-N140</f>
        <v>1.3210747964139813</v>
      </c>
      <c r="V138" s="116">
        <f>R138-O140</f>
        <v>-1.7901641150365037</v>
      </c>
      <c r="W138" s="116">
        <f>R138-O138</f>
        <v>2.8797599890536247</v>
      </c>
    </row>
    <row r="139" spans="1:23" x14ac:dyDescent="0.25">
      <c r="B139" s="13" t="s">
        <v>258</v>
      </c>
      <c r="C139" s="61">
        <v>0.1</v>
      </c>
      <c r="D139" s="62">
        <v>0.1</v>
      </c>
      <c r="E139" s="62">
        <v>7.5</v>
      </c>
      <c r="F139" s="62">
        <v>10</v>
      </c>
      <c r="G139" s="62">
        <v>2</v>
      </c>
      <c r="H139" s="61">
        <v>1</v>
      </c>
      <c r="I139" s="13">
        <v>2798639</v>
      </c>
      <c r="J139" s="13">
        <v>359124</v>
      </c>
      <c r="K139" s="25">
        <v>2145633</v>
      </c>
      <c r="L139" s="13">
        <f t="shared" si="186"/>
        <v>0.1802267666533626</v>
      </c>
      <c r="M139" s="25">
        <f t="shared" si="187"/>
        <v>0.67190972511996006</v>
      </c>
      <c r="N139" s="97">
        <f t="shared" si="188"/>
        <v>81.977323334663737</v>
      </c>
      <c r="O139" s="97">
        <f t="shared" si="189"/>
        <v>67.190972511996009</v>
      </c>
      <c r="P139" s="41">
        <f t="shared" si="190"/>
        <v>0.96009180622391088</v>
      </c>
      <c r="Q139" s="276"/>
      <c r="R139" s="278"/>
      <c r="S139" s="278"/>
    </row>
    <row r="140" spans="1:23" x14ac:dyDescent="0.25">
      <c r="B140" s="13" t="s">
        <v>259</v>
      </c>
      <c r="C140" s="61">
        <v>0.1</v>
      </c>
      <c r="D140" s="62">
        <v>0.1</v>
      </c>
      <c r="E140" s="62">
        <v>7.5</v>
      </c>
      <c r="F140" s="62">
        <v>10</v>
      </c>
      <c r="G140" s="62">
        <v>2</v>
      </c>
      <c r="H140" s="61">
        <v>1</v>
      </c>
      <c r="I140" s="13">
        <v>2460959</v>
      </c>
      <c r="J140" s="13">
        <v>331039</v>
      </c>
      <c r="K140" s="25">
        <v>1906416</v>
      </c>
      <c r="L140" s="13">
        <f t="shared" si="186"/>
        <v>0.18892808677430223</v>
      </c>
      <c r="M140" s="25">
        <f t="shared" si="187"/>
        <v>0.67891540753015389</v>
      </c>
      <c r="N140" s="97">
        <f t="shared" si="188"/>
        <v>81.107191322569776</v>
      </c>
      <c r="O140" s="97">
        <f t="shared" si="189"/>
        <v>67.891540753015391</v>
      </c>
      <c r="P140" s="41">
        <f t="shared" si="190"/>
        <v>0.97010222581983696</v>
      </c>
      <c r="Q140" s="276"/>
      <c r="R140" s="278"/>
      <c r="S140" s="278"/>
    </row>
    <row r="141" spans="1:23" x14ac:dyDescent="0.25">
      <c r="A141" s="22">
        <v>43844</v>
      </c>
      <c r="B141" s="15" t="s">
        <v>264</v>
      </c>
      <c r="C141" s="48">
        <v>0.1</v>
      </c>
      <c r="D141" s="49">
        <v>0.1</v>
      </c>
      <c r="E141" s="49">
        <v>7.5</v>
      </c>
      <c r="F141" s="49">
        <v>10</v>
      </c>
      <c r="G141" s="49">
        <v>2</v>
      </c>
      <c r="H141" s="48">
        <v>1</v>
      </c>
      <c r="I141" s="15">
        <v>282110</v>
      </c>
      <c r="J141" s="15">
        <v>48958</v>
      </c>
      <c r="K141" s="26">
        <v>223439</v>
      </c>
      <c r="L141" s="15">
        <f t="shared" ref="L141:L144" si="192">1.4045*(J141/I141)</f>
        <v>0.24374006947644539</v>
      </c>
      <c r="M141" s="26">
        <f t="shared" ref="M141:M144" si="193">0.8764*(K141/I141)</f>
        <v>0.69413327992626983</v>
      </c>
      <c r="N141" s="118">
        <f t="shared" ref="N141:N144" si="194">100*(1-L141/(C141/D141))</f>
        <v>75.625993052355469</v>
      </c>
      <c r="O141" s="118">
        <f t="shared" ref="O141:O144" si="195">100*M141/(C141/D141)</f>
        <v>69.413327992626989</v>
      </c>
      <c r="P141" s="44">
        <f t="shared" ref="P141:P144" si="196">(238.15*C141*(O141/100)*7.5/1000)*(60/E141)</f>
        <v>0.99184704368664722</v>
      </c>
    </row>
    <row r="142" spans="1:23" x14ac:dyDescent="0.25">
      <c r="A142" s="77" t="s">
        <v>263</v>
      </c>
      <c r="B142" s="15" t="s">
        <v>265</v>
      </c>
      <c r="C142" s="48">
        <v>0.1</v>
      </c>
      <c r="D142" s="49">
        <v>0.1</v>
      </c>
      <c r="E142" s="49">
        <v>7.5</v>
      </c>
      <c r="F142" s="49">
        <v>10</v>
      </c>
      <c r="G142" s="49">
        <v>2</v>
      </c>
      <c r="H142" s="48">
        <v>1</v>
      </c>
      <c r="I142" s="15">
        <v>1738100</v>
      </c>
      <c r="J142" s="15">
        <v>54805</v>
      </c>
      <c r="K142" s="26">
        <v>1590085</v>
      </c>
      <c r="L142" s="15">
        <f t="shared" si="192"/>
        <v>4.4286072435417989E-2</v>
      </c>
      <c r="M142" s="26">
        <f t="shared" si="193"/>
        <v>0.80176658074909379</v>
      </c>
      <c r="N142" s="118">
        <f t="shared" si="194"/>
        <v>95.571392756458209</v>
      </c>
      <c r="O142" s="118">
        <f t="shared" si="195"/>
        <v>80.176658074909383</v>
      </c>
      <c r="P142" s="44">
        <f t="shared" si="196"/>
        <v>1.1456442672323801</v>
      </c>
      <c r="Q142" s="276">
        <f>AVERAGE(N142:N144)</f>
        <v>95.375206935636186</v>
      </c>
      <c r="R142" s="278">
        <f t="shared" ref="R142:S142" si="197">AVERAGE(O142:O144)</f>
        <v>79.255353015763305</v>
      </c>
      <c r="S142" s="278">
        <f t="shared" si="197"/>
        <v>1.1324797392422419</v>
      </c>
      <c r="T142" s="116">
        <f>Q142-N142</f>
        <v>-0.19618582082202352</v>
      </c>
      <c r="U142" s="116">
        <f>Q142-N144</f>
        <v>0.17808580228911808</v>
      </c>
      <c r="V142" s="116">
        <f>R142-O142</f>
        <v>-0.92130505914607852</v>
      </c>
      <c r="W142" s="116">
        <f>R142-O143</f>
        <v>0.53027695850300915</v>
      </c>
    </row>
    <row r="143" spans="1:23" x14ac:dyDescent="0.25">
      <c r="B143" s="15" t="s">
        <v>266</v>
      </c>
      <c r="C143" s="48">
        <v>0.1</v>
      </c>
      <c r="D143" s="49">
        <v>0.1</v>
      </c>
      <c r="E143" s="49">
        <v>7.5</v>
      </c>
      <c r="F143" s="49">
        <v>10</v>
      </c>
      <c r="G143" s="49">
        <v>2</v>
      </c>
      <c r="H143" s="48">
        <v>1</v>
      </c>
      <c r="I143" s="15">
        <v>3378047</v>
      </c>
      <c r="J143" s="15">
        <v>111669</v>
      </c>
      <c r="K143" s="26">
        <v>3034425</v>
      </c>
      <c r="L143" s="15">
        <f t="shared" si="192"/>
        <v>4.6428930828967152E-2</v>
      </c>
      <c r="M143" s="26">
        <f t="shared" si="193"/>
        <v>0.78725076057260301</v>
      </c>
      <c r="N143" s="118">
        <f t="shared" si="194"/>
        <v>95.35710691710328</v>
      </c>
      <c r="O143" s="118">
        <f t="shared" si="195"/>
        <v>78.725076057260296</v>
      </c>
      <c r="P143" s="44">
        <f t="shared" si="196"/>
        <v>1.1249026117821925</v>
      </c>
      <c r="Q143" s="276"/>
      <c r="R143" s="278"/>
      <c r="S143" s="278"/>
    </row>
    <row r="144" spans="1:23" x14ac:dyDescent="0.25">
      <c r="B144" s="15" t="s">
        <v>267</v>
      </c>
      <c r="C144" s="48">
        <v>0.1</v>
      </c>
      <c r="D144" s="49">
        <v>0.1</v>
      </c>
      <c r="E144" s="49">
        <v>7.5</v>
      </c>
      <c r="F144" s="49">
        <v>10</v>
      </c>
      <c r="G144" s="49">
        <v>2</v>
      </c>
      <c r="H144" s="48">
        <v>1</v>
      </c>
      <c r="I144" s="15">
        <v>3612168</v>
      </c>
      <c r="J144" s="15">
        <v>123523</v>
      </c>
      <c r="K144" s="26">
        <v>3250470</v>
      </c>
      <c r="L144" s="15">
        <f t="shared" si="192"/>
        <v>4.8028788666529362E-2</v>
      </c>
      <c r="M144" s="26">
        <f t="shared" si="193"/>
        <v>0.78864324915120221</v>
      </c>
      <c r="N144" s="118">
        <f t="shared" si="194"/>
        <v>95.197121133347068</v>
      </c>
      <c r="O144" s="118">
        <f t="shared" si="195"/>
        <v>78.864324915120221</v>
      </c>
      <c r="P144" s="44">
        <f t="shared" si="196"/>
        <v>1.1268923387121528</v>
      </c>
      <c r="Q144" s="276"/>
      <c r="R144" s="278"/>
      <c r="S144" s="278"/>
    </row>
    <row r="145" spans="1:23" x14ac:dyDescent="0.25">
      <c r="A145" s="22">
        <v>43844</v>
      </c>
      <c r="B145" s="17" t="s">
        <v>280</v>
      </c>
      <c r="C145" s="55">
        <v>0.1</v>
      </c>
      <c r="D145" s="56">
        <v>0.1</v>
      </c>
      <c r="E145" s="56">
        <v>7.5</v>
      </c>
      <c r="F145" s="56">
        <v>10</v>
      </c>
      <c r="G145" s="56">
        <v>2</v>
      </c>
      <c r="H145" s="55">
        <v>1</v>
      </c>
      <c r="I145" s="121">
        <v>280132</v>
      </c>
      <c r="J145" s="121">
        <v>46064</v>
      </c>
      <c r="K145" s="122">
        <v>207226</v>
      </c>
      <c r="L145" s="121">
        <f t="shared" ref="L145:L148" si="198">1.4045*(J145/I145)</f>
        <v>0.23095143717961533</v>
      </c>
      <c r="M145" s="122">
        <f t="shared" ref="M145:M148" si="199">0.8764*(K145/I145)</f>
        <v>0.648311747319121</v>
      </c>
      <c r="N145" s="123">
        <f t="shared" ref="N145:N148" si="200">100*(1-L145/(C145/D145))</f>
        <v>76.904856282038466</v>
      </c>
      <c r="O145" s="123">
        <f t="shared" ref="O145:O148" si="201">100*M145/(C145/D145)</f>
        <v>64.8311747319121</v>
      </c>
      <c r="P145" s="124">
        <f t="shared" ref="P145:P148" si="202">(238.15*C145*(O145/100)*7.5/1000)*(60/E145)</f>
        <v>0.92637265574429206</v>
      </c>
    </row>
    <row r="146" spans="1:23" x14ac:dyDescent="0.25">
      <c r="A146" s="77" t="s">
        <v>268</v>
      </c>
      <c r="B146" s="17" t="s">
        <v>281</v>
      </c>
      <c r="C146" s="55">
        <v>0.1</v>
      </c>
      <c r="D146" s="56">
        <v>0.1</v>
      </c>
      <c r="E146" s="56">
        <v>7.5</v>
      </c>
      <c r="F146" s="56">
        <v>10</v>
      </c>
      <c r="G146" s="56">
        <v>2</v>
      </c>
      <c r="H146" s="55">
        <v>1</v>
      </c>
      <c r="I146" s="121">
        <v>1938699</v>
      </c>
      <c r="J146" s="121">
        <v>18217</v>
      </c>
      <c r="K146" s="122">
        <v>1855697</v>
      </c>
      <c r="L146" s="121">
        <f t="shared" si="198"/>
        <v>1.319739500561975E-2</v>
      </c>
      <c r="M146" s="122">
        <f t="shared" si="199"/>
        <v>0.83887846994298743</v>
      </c>
      <c r="N146" s="123">
        <f t="shared" si="200"/>
        <v>98.68026049943802</v>
      </c>
      <c r="O146" s="123">
        <f t="shared" si="201"/>
        <v>83.887846994298741</v>
      </c>
      <c r="P146" s="124">
        <f t="shared" si="202"/>
        <v>1.1986734457015347</v>
      </c>
      <c r="Q146" s="276">
        <f>AVERAGE(N146:N148)</f>
        <v>98.84871082504651</v>
      </c>
      <c r="R146" s="278">
        <f>AVERAGE(O146:O148)</f>
        <v>83.186036457973586</v>
      </c>
      <c r="S146" s="278">
        <f>AVERAGE(P146:P148)</f>
        <v>1.1886452749479846</v>
      </c>
      <c r="T146" s="116">
        <f>Q146-N147</f>
        <v>-0.11571219557676216</v>
      </c>
      <c r="U146" s="116">
        <f>Q146-N146</f>
        <v>0.16845032560848949</v>
      </c>
      <c r="V146" s="116">
        <f>R146-O146</f>
        <v>-0.701810536325155</v>
      </c>
      <c r="W146" s="116">
        <f>R146-O147</f>
        <v>0.41543790392984192</v>
      </c>
    </row>
    <row r="147" spans="1:23" x14ac:dyDescent="0.25">
      <c r="B147" s="17" t="s">
        <v>282</v>
      </c>
      <c r="C147" s="55">
        <v>0.1</v>
      </c>
      <c r="D147" s="56">
        <v>0.1</v>
      </c>
      <c r="E147" s="56">
        <v>7.5</v>
      </c>
      <c r="F147" s="56">
        <v>10</v>
      </c>
      <c r="G147" s="56">
        <v>2</v>
      </c>
      <c r="H147" s="55">
        <v>1</v>
      </c>
      <c r="I147" s="121">
        <v>3296227</v>
      </c>
      <c r="J147" s="121">
        <v>24304</v>
      </c>
      <c r="K147" s="122">
        <v>3113084</v>
      </c>
      <c r="L147" s="121">
        <f t="shared" si="198"/>
        <v>1.0355769793767238E-2</v>
      </c>
      <c r="M147" s="122">
        <f t="shared" si="199"/>
        <v>0.82770598554043751</v>
      </c>
      <c r="N147" s="123">
        <f t="shared" si="200"/>
        <v>98.964423020623272</v>
      </c>
      <c r="O147" s="123">
        <f t="shared" si="201"/>
        <v>82.770598554043744</v>
      </c>
      <c r="P147" s="124">
        <f t="shared" si="202"/>
        <v>1.182709082738731</v>
      </c>
      <c r="Q147" s="276"/>
      <c r="R147" s="278"/>
      <c r="S147" s="278"/>
    </row>
    <row r="148" spans="1:23" x14ac:dyDescent="0.25">
      <c r="B148" s="17" t="s">
        <v>283</v>
      </c>
      <c r="C148" s="55">
        <v>0.1</v>
      </c>
      <c r="D148" s="56">
        <v>0.1</v>
      </c>
      <c r="E148" s="56">
        <v>7.5</v>
      </c>
      <c r="F148" s="56">
        <v>10</v>
      </c>
      <c r="G148" s="56">
        <v>2</v>
      </c>
      <c r="H148" s="55">
        <v>1</v>
      </c>
      <c r="I148" s="121">
        <v>3300965</v>
      </c>
      <c r="J148" s="121">
        <v>25819</v>
      </c>
      <c r="K148" s="122">
        <v>3122420</v>
      </c>
      <c r="L148" s="121">
        <f t="shared" si="198"/>
        <v>1.0985510449217122E-2</v>
      </c>
      <c r="M148" s="122">
        <f t="shared" si="199"/>
        <v>0.82899663825578274</v>
      </c>
      <c r="N148" s="123">
        <f t="shared" si="200"/>
        <v>98.90144895507828</v>
      </c>
      <c r="O148" s="123">
        <f t="shared" si="201"/>
        <v>82.899663825578273</v>
      </c>
      <c r="P148" s="124">
        <f t="shared" si="202"/>
        <v>1.184553296403688</v>
      </c>
      <c r="Q148" s="276"/>
      <c r="R148" s="278"/>
      <c r="S148" s="278"/>
    </row>
    <row r="149" spans="1:23" x14ac:dyDescent="0.25">
      <c r="A149" s="22">
        <v>43845</v>
      </c>
      <c r="B149" s="13" t="s">
        <v>288</v>
      </c>
      <c r="C149" s="61">
        <v>0.1</v>
      </c>
      <c r="D149" s="62">
        <v>0.1</v>
      </c>
      <c r="E149" s="62">
        <v>7.5</v>
      </c>
      <c r="F149" s="62">
        <v>10</v>
      </c>
      <c r="G149" s="62">
        <v>2</v>
      </c>
      <c r="H149" s="61">
        <v>1</v>
      </c>
      <c r="I149" s="13">
        <v>951669</v>
      </c>
      <c r="J149" s="13">
        <v>144533</v>
      </c>
      <c r="K149" s="25">
        <v>711191</v>
      </c>
      <c r="L149" s="13">
        <f t="shared" ref="L149:L152" si="203">1.4045*(J149/I149)</f>
        <v>0.2133058852395108</v>
      </c>
      <c r="M149" s="25">
        <f t="shared" ref="M149:M152" si="204">0.8764*(K149/I149)</f>
        <v>0.65494178375044254</v>
      </c>
      <c r="N149" s="97">
        <f t="shared" ref="N149:N152" si="205">100*(1-L149/(C149/D149))</f>
        <v>78.669411476048921</v>
      </c>
      <c r="O149" s="97">
        <f t="shared" ref="O149:O152" si="206">100*M149/(C149/D149)</f>
        <v>65.494178375044257</v>
      </c>
      <c r="P149" s="41">
        <f t="shared" ref="P149:P152" si="207">(238.15*C149*(O149/100)*7.5/1000)*(60/E149)</f>
        <v>0.93584631480100744</v>
      </c>
      <c r="Q149" s="131"/>
    </row>
    <row r="150" spans="1:23" x14ac:dyDescent="0.25">
      <c r="A150" s="10" t="s">
        <v>284</v>
      </c>
      <c r="B150" s="13" t="s">
        <v>289</v>
      </c>
      <c r="C150" s="61">
        <v>0.1</v>
      </c>
      <c r="D150" s="62">
        <v>0.1</v>
      </c>
      <c r="E150" s="62">
        <v>7.5</v>
      </c>
      <c r="F150" s="62">
        <v>10</v>
      </c>
      <c r="G150" s="62">
        <v>2</v>
      </c>
      <c r="H150" s="61">
        <v>1</v>
      </c>
      <c r="I150" s="13">
        <v>4105177</v>
      </c>
      <c r="J150" s="13">
        <v>717827</v>
      </c>
      <c r="K150" s="25">
        <v>2824864</v>
      </c>
      <c r="L150" s="13">
        <f t="shared" si="203"/>
        <v>0.24558941587658706</v>
      </c>
      <c r="M150" s="25">
        <f t="shared" si="204"/>
        <v>0.60307041805992767</v>
      </c>
      <c r="N150" s="97">
        <f t="shared" si="205"/>
        <v>75.441058412341306</v>
      </c>
      <c r="O150" s="97">
        <f t="shared" si="206"/>
        <v>60.307041805992768</v>
      </c>
      <c r="P150" s="41">
        <f t="shared" si="207"/>
        <v>0.86172732036583077</v>
      </c>
      <c r="Q150" s="276">
        <f>AVERAGE(N150:N152)</f>
        <v>74.415302617340998</v>
      </c>
      <c r="R150" s="278">
        <f t="shared" ref="R150:S150" si="208">AVERAGE(O150:O152)</f>
        <v>60.315735935493713</v>
      </c>
      <c r="S150" s="278">
        <f t="shared" si="208"/>
        <v>0.86185155078226983</v>
      </c>
      <c r="T150" s="136">
        <f>AVERAGE(N150:N152)-MAX(N150:N152)</f>
        <v>-1.0257557950003076</v>
      </c>
      <c r="U150" s="136">
        <f>AVERAGE(N150:N152)-MIN(N150:N152)</f>
        <v>1.3457743882634503</v>
      </c>
      <c r="V150" s="136">
        <f>AVERAGE(O150:O152)-MAX(O150:O152)</f>
        <v>-2.3769471697975462</v>
      </c>
      <c r="W150" s="136">
        <f>AVERAGE(O150:O152)-MIN(O150:O152)</f>
        <v>2.3682530402965796</v>
      </c>
    </row>
    <row r="151" spans="1:23" x14ac:dyDescent="0.25">
      <c r="B151" s="13" t="s">
        <v>290</v>
      </c>
      <c r="C151" s="61">
        <v>0.1</v>
      </c>
      <c r="D151" s="62">
        <v>0.1</v>
      </c>
      <c r="E151" s="62">
        <v>7.5</v>
      </c>
      <c r="F151" s="62">
        <v>10</v>
      </c>
      <c r="G151" s="62">
        <v>2</v>
      </c>
      <c r="H151" s="61">
        <v>1</v>
      </c>
      <c r="I151" s="13">
        <v>5322774</v>
      </c>
      <c r="J151" s="13">
        <v>1020611</v>
      </c>
      <c r="K151" s="25">
        <v>3519413</v>
      </c>
      <c r="L151" s="13">
        <f t="shared" si="203"/>
        <v>0.26930471770922454</v>
      </c>
      <c r="M151" s="25">
        <f t="shared" si="204"/>
        <v>0.57947482895197133</v>
      </c>
      <c r="N151" s="97">
        <f t="shared" si="205"/>
        <v>73.069528229077548</v>
      </c>
      <c r="O151" s="97">
        <f t="shared" si="206"/>
        <v>57.947482895197133</v>
      </c>
      <c r="P151" s="41">
        <f t="shared" si="207"/>
        <v>0.82801158308947187</v>
      </c>
      <c r="Q151" s="276"/>
      <c r="R151" s="278"/>
      <c r="S151" s="278"/>
    </row>
    <row r="152" spans="1:23" x14ac:dyDescent="0.25">
      <c r="B152" s="13" t="s">
        <v>291</v>
      </c>
      <c r="C152" s="61">
        <v>0.1</v>
      </c>
      <c r="D152" s="62">
        <v>0.1</v>
      </c>
      <c r="E152" s="62">
        <v>7.5</v>
      </c>
      <c r="F152" s="62">
        <v>10</v>
      </c>
      <c r="G152" s="62">
        <v>2</v>
      </c>
      <c r="H152" s="61">
        <v>1</v>
      </c>
      <c r="I152" s="13">
        <v>5089558</v>
      </c>
      <c r="J152" s="13">
        <v>915529</v>
      </c>
      <c r="K152" s="25">
        <v>3640781</v>
      </c>
      <c r="L152" s="13">
        <f t="shared" si="203"/>
        <v>0.25264678789395861</v>
      </c>
      <c r="M152" s="25">
        <f t="shared" si="204"/>
        <v>0.62692683105291258</v>
      </c>
      <c r="N152" s="97">
        <f t="shared" si="205"/>
        <v>74.735321210604127</v>
      </c>
      <c r="O152" s="97">
        <f t="shared" si="206"/>
        <v>62.692683105291259</v>
      </c>
      <c r="P152" s="41">
        <f t="shared" si="207"/>
        <v>0.89581574889150684</v>
      </c>
      <c r="Q152" s="276"/>
      <c r="R152" s="278"/>
      <c r="S152" s="278"/>
    </row>
    <row r="153" spans="1:23" x14ac:dyDescent="0.25">
      <c r="A153" s="22">
        <v>43845</v>
      </c>
      <c r="B153" s="15" t="s">
        <v>293</v>
      </c>
      <c r="C153" s="48">
        <v>0.1</v>
      </c>
      <c r="D153" s="49">
        <v>0.1</v>
      </c>
      <c r="E153" s="49">
        <v>7.5</v>
      </c>
      <c r="F153" s="49">
        <v>10</v>
      </c>
      <c r="G153" s="49">
        <v>2</v>
      </c>
      <c r="H153" s="48">
        <v>1</v>
      </c>
      <c r="I153" s="15">
        <v>767968</v>
      </c>
      <c r="J153" s="15">
        <v>45357</v>
      </c>
      <c r="K153" s="26">
        <v>703151</v>
      </c>
      <c r="L153" s="15">
        <f t="shared" ref="L153:L156" si="209">1.4045*(J153/I153)</f>
        <v>8.2951251224009342E-2</v>
      </c>
      <c r="M153" s="26">
        <f t="shared" ref="M153:M156" si="210">0.8764*(K153/I153)</f>
        <v>0.80243126849035373</v>
      </c>
      <c r="N153" s="134">
        <f t="shared" ref="N153:N155" si="211">100*(1-L153/(C153/D153))</f>
        <v>91.704874877599067</v>
      </c>
      <c r="O153" s="134">
        <f t="shared" ref="O153:O155" si="212">100*M153/(C153/D153)</f>
        <v>80.243126849035377</v>
      </c>
      <c r="P153" s="44">
        <f t="shared" ref="P153:P155" si="213">(238.15*C153*(O153/100)*7.5/1000)*(60/E153)</f>
        <v>1.1465940395458665</v>
      </c>
      <c r="R153" s="135"/>
      <c r="S153" s="135"/>
    </row>
    <row r="154" spans="1:23" x14ac:dyDescent="0.25">
      <c r="A154" s="132" t="s">
        <v>285</v>
      </c>
      <c r="B154" s="15" t="s">
        <v>294</v>
      </c>
      <c r="C154" s="48">
        <v>0.1</v>
      </c>
      <c r="D154" s="49">
        <v>0.1</v>
      </c>
      <c r="E154" s="49">
        <v>7.5</v>
      </c>
      <c r="F154" s="49">
        <v>10</v>
      </c>
      <c r="G154" s="49">
        <v>2</v>
      </c>
      <c r="H154" s="48">
        <v>1</v>
      </c>
      <c r="I154" s="15">
        <v>3951603</v>
      </c>
      <c r="J154" s="15">
        <v>264206</v>
      </c>
      <c r="K154" s="26">
        <v>3407217</v>
      </c>
      <c r="L154" s="15">
        <f t="shared" si="209"/>
        <v>9.3905518089747383E-2</v>
      </c>
      <c r="M154" s="26">
        <f t="shared" si="210"/>
        <v>0.75566421495276725</v>
      </c>
      <c r="N154" s="134">
        <f t="shared" si="211"/>
        <v>90.609448191025265</v>
      </c>
      <c r="O154" s="134">
        <f t="shared" si="212"/>
        <v>75.566421495276728</v>
      </c>
      <c r="P154" s="44">
        <f t="shared" si="213"/>
        <v>1.0797685967460093</v>
      </c>
      <c r="Q154" s="276">
        <f>AVERAGE(N154:N156)</f>
        <v>89.609613920185495</v>
      </c>
      <c r="R154" s="276">
        <f t="shared" ref="R154:S154" si="214">AVERAGE(O154:O156)</f>
        <v>75.678822269198292</v>
      </c>
      <c r="S154" s="276">
        <f t="shared" si="214"/>
        <v>1.0813746914045745</v>
      </c>
      <c r="T154" s="136">
        <f>AVERAGE(N154:N156)-MAX(N154:N156)</f>
        <v>-0.99983427083977006</v>
      </c>
      <c r="U154" s="136">
        <f>AVERAGE(N154:N156)-MIN(N154:N156)</f>
        <v>0.56728673495244664</v>
      </c>
      <c r="V154" s="136">
        <f>AVERAGE(O154:O156)-MAX(O154:O156)</f>
        <v>-0.30058714316925261</v>
      </c>
      <c r="W154" s="136">
        <f>AVERAGE(O154:O156)-MIN(O154:O156)</f>
        <v>0.18818636924768839</v>
      </c>
    </row>
    <row r="155" spans="1:23" x14ac:dyDescent="0.25">
      <c r="B155" s="15" t="s">
        <v>295</v>
      </c>
      <c r="C155" s="48">
        <v>0.1</v>
      </c>
      <c r="D155" s="49">
        <v>0.1</v>
      </c>
      <c r="E155" s="49">
        <v>7.5</v>
      </c>
      <c r="F155" s="49">
        <v>10</v>
      </c>
      <c r="G155" s="49">
        <v>2</v>
      </c>
      <c r="H155" s="48">
        <v>1</v>
      </c>
      <c r="I155" s="15">
        <v>5836437</v>
      </c>
      <c r="J155" s="15">
        <v>455349</v>
      </c>
      <c r="K155" s="26">
        <v>5027343</v>
      </c>
      <c r="L155" s="15">
        <f t="shared" si="209"/>
        <v>0.10957672814766954</v>
      </c>
      <c r="M155" s="26">
        <f t="shared" si="210"/>
        <v>0.75490635899950598</v>
      </c>
      <c r="N155" s="134">
        <f t="shared" si="211"/>
        <v>89.042327185233049</v>
      </c>
      <c r="O155" s="134">
        <f t="shared" si="212"/>
        <v>75.490635899950604</v>
      </c>
      <c r="P155" s="44">
        <f t="shared" si="213"/>
        <v>1.0786856963743945</v>
      </c>
      <c r="Q155" s="276"/>
      <c r="R155" s="276"/>
      <c r="S155" s="276"/>
    </row>
    <row r="156" spans="1:23" x14ac:dyDescent="0.25">
      <c r="B156" s="15" t="s">
        <v>296</v>
      </c>
      <c r="C156" s="48">
        <v>0.1</v>
      </c>
      <c r="D156" s="49">
        <v>0.1</v>
      </c>
      <c r="E156" s="49">
        <v>7.5</v>
      </c>
      <c r="F156" s="49">
        <v>10</v>
      </c>
      <c r="G156" s="49">
        <v>2</v>
      </c>
      <c r="H156" s="48">
        <v>1</v>
      </c>
      <c r="I156" s="15">
        <v>5799986</v>
      </c>
      <c r="J156" s="15">
        <v>446941</v>
      </c>
      <c r="K156" s="26">
        <v>5028292</v>
      </c>
      <c r="L156" s="15">
        <f t="shared" si="209"/>
        <v>0.10822933615701832</v>
      </c>
      <c r="M156" s="26">
        <f t="shared" si="210"/>
        <v>0.75979409412367549</v>
      </c>
      <c r="N156" s="139">
        <f t="shared" ref="N156:N159" si="215">100*(1-L156/(C156/D156))</f>
        <v>89.177066384298172</v>
      </c>
      <c r="O156" s="139">
        <f t="shared" ref="O156:O158" si="216">100*M156/(C156/D156)</f>
        <v>75.979409412367545</v>
      </c>
      <c r="P156" s="44">
        <f t="shared" ref="P156:P159" si="217">(238.15*C156*(O156/100)*7.5/1000)*(60/E156)</f>
        <v>1.0856697810933198</v>
      </c>
      <c r="Q156" s="276"/>
      <c r="R156" s="276"/>
      <c r="S156" s="276"/>
    </row>
    <row r="157" spans="1:23" x14ac:dyDescent="0.25">
      <c r="A157" s="22">
        <v>43846</v>
      </c>
      <c r="B157" s="90" t="s">
        <v>298</v>
      </c>
      <c r="C157" s="142">
        <f>0.1557/154.17/0.005</f>
        <v>0.2019848219497957</v>
      </c>
      <c r="D157" s="106">
        <v>0.1</v>
      </c>
      <c r="E157" s="106">
        <v>7.5</v>
      </c>
      <c r="F157" s="106">
        <v>10</v>
      </c>
      <c r="G157" s="106">
        <v>2</v>
      </c>
      <c r="H157" s="105">
        <v>1</v>
      </c>
      <c r="I157" s="90">
        <v>260476</v>
      </c>
      <c r="J157" s="90">
        <v>102036</v>
      </c>
      <c r="K157" s="107">
        <v>389589</v>
      </c>
      <c r="L157" s="90">
        <f t="shared" ref="L157:L160" si="218">1.4045*(J157/I157)</f>
        <v>0.55018336430227743</v>
      </c>
      <c r="M157" s="107">
        <f t="shared" ref="M157:M160" si="219">0.8764*(K157/I157)</f>
        <v>1.3108148144166831</v>
      </c>
      <c r="N157" s="102">
        <f t="shared" si="215"/>
        <v>72.761153091046211</v>
      </c>
      <c r="O157" s="102">
        <f t="shared" si="216"/>
        <v>64.896698759993583</v>
      </c>
      <c r="P157" s="108">
        <f t="shared" si="217"/>
        <v>1.8730232883199984</v>
      </c>
      <c r="Q157" s="136"/>
      <c r="R157" s="136"/>
      <c r="S157" s="136"/>
    </row>
    <row r="158" spans="1:23" x14ac:dyDescent="0.25">
      <c r="A158" s="137"/>
      <c r="B158" s="90" t="s">
        <v>299</v>
      </c>
      <c r="C158" s="142">
        <f t="shared" ref="C158:C160" si="220">0.1557/154.17/0.005</f>
        <v>0.2019848219497957</v>
      </c>
      <c r="D158" s="106">
        <v>0.1</v>
      </c>
      <c r="E158" s="106">
        <v>7.5</v>
      </c>
      <c r="F158" s="106">
        <v>10</v>
      </c>
      <c r="G158" s="106">
        <v>2</v>
      </c>
      <c r="H158" s="105">
        <v>1</v>
      </c>
      <c r="I158" s="90">
        <v>1569015</v>
      </c>
      <c r="J158" s="90">
        <v>327217</v>
      </c>
      <c r="K158" s="107">
        <v>2699547</v>
      </c>
      <c r="L158" s="90">
        <f t="shared" si="218"/>
        <v>0.29290750980710828</v>
      </c>
      <c r="M158" s="107">
        <f t="shared" si="219"/>
        <v>1.5078778665595931</v>
      </c>
      <c r="N158" s="102">
        <f t="shared" si="215"/>
        <v>85.498538604058481</v>
      </c>
      <c r="O158" s="102">
        <f t="shared" si="216"/>
        <v>74.653028480248068</v>
      </c>
      <c r="P158" s="108">
        <f t="shared" si="217"/>
        <v>2.1546066835270028</v>
      </c>
      <c r="Q158" s="276">
        <f>AVERAGE(N158:N160)</f>
        <v>91.502642949378682</v>
      </c>
      <c r="R158" s="276">
        <f t="shared" ref="R158" si="221">AVERAGE(O158:O160)</f>
        <v>81.39786935156836</v>
      </c>
      <c r="S158" s="276">
        <f t="shared" ref="S158" si="222">AVERAGE(P158:P160)</f>
        <v>2.349273658417617</v>
      </c>
    </row>
    <row r="159" spans="1:23" x14ac:dyDescent="0.25">
      <c r="A159" s="137"/>
      <c r="B159" s="90" t="s">
        <v>300</v>
      </c>
      <c r="C159" s="142">
        <f t="shared" si="220"/>
        <v>0.2019848219497957</v>
      </c>
      <c r="D159" s="106">
        <v>0.1</v>
      </c>
      <c r="E159" s="106">
        <v>7.5</v>
      </c>
      <c r="F159" s="106">
        <v>10</v>
      </c>
      <c r="G159" s="106">
        <v>2</v>
      </c>
      <c r="H159" s="105">
        <v>1</v>
      </c>
      <c r="I159" s="90">
        <v>3010394</v>
      </c>
      <c r="J159" s="90">
        <v>379132</v>
      </c>
      <c r="K159" s="107">
        <v>5610150</v>
      </c>
      <c r="L159" s="90">
        <f t="shared" si="218"/>
        <v>0.17688412015171437</v>
      </c>
      <c r="M159" s="107">
        <f t="shared" si="219"/>
        <v>1.633253142279715</v>
      </c>
      <c r="N159" s="102">
        <f t="shared" si="215"/>
        <v>91.242702375147772</v>
      </c>
      <c r="O159" s="102">
        <f>100*M159/(C159/D159)</f>
        <v>80.860191697258713</v>
      </c>
      <c r="P159" s="108">
        <f t="shared" si="217"/>
        <v>2.3337554150034845</v>
      </c>
      <c r="Q159" s="276"/>
      <c r="R159" s="276"/>
      <c r="S159" s="276"/>
    </row>
    <row r="160" spans="1:23" x14ac:dyDescent="0.25">
      <c r="A160" s="137"/>
      <c r="B160" s="90" t="s">
        <v>301</v>
      </c>
      <c r="C160" s="142">
        <f t="shared" si="220"/>
        <v>0.2019848219497957</v>
      </c>
      <c r="D160" s="106">
        <v>0.1</v>
      </c>
      <c r="E160" s="106">
        <v>7.5</v>
      </c>
      <c r="F160" s="106">
        <v>10</v>
      </c>
      <c r="G160" s="106">
        <v>2</v>
      </c>
      <c r="H160" s="105">
        <v>1</v>
      </c>
      <c r="I160" s="90">
        <v>3366415</v>
      </c>
      <c r="J160" s="90">
        <v>108122</v>
      </c>
      <c r="K160" s="107">
        <v>6880367</v>
      </c>
      <c r="L160" s="90">
        <f t="shared" si="218"/>
        <v>4.510951531525377E-2</v>
      </c>
      <c r="M160" s="107">
        <f t="shared" si="219"/>
        <v>1.7912092355814715</v>
      </c>
      <c r="N160" s="102">
        <f t="shared" ref="N160:N163" si="223">100*(1-L160/(C160/D160))</f>
        <v>97.766687868929779</v>
      </c>
      <c r="O160" s="102">
        <f t="shared" ref="O160:O163" si="224">100*M160/(C160/D160)</f>
        <v>88.680387877198285</v>
      </c>
      <c r="P160" s="108">
        <f t="shared" ref="P160:P163" si="225">(238.15*C160*(O160/100)*7.5/1000)*(60/E160)</f>
        <v>2.5594588767223643</v>
      </c>
      <c r="Q160" s="276"/>
      <c r="R160" s="276"/>
      <c r="S160" s="276"/>
    </row>
    <row r="161" spans="1:19" x14ac:dyDescent="0.25">
      <c r="A161" s="22">
        <v>43846</v>
      </c>
      <c r="B161" s="92" t="s">
        <v>302</v>
      </c>
      <c r="C161" s="143">
        <f>0.1563/154.17/0.005</f>
        <v>0.20276318349873515</v>
      </c>
      <c r="D161" s="148">
        <f>0.0803/154.21/0.005</f>
        <v>0.10414370014914726</v>
      </c>
      <c r="E161" s="144">
        <v>7.5</v>
      </c>
      <c r="F161" s="144">
        <v>10</v>
      </c>
      <c r="G161" s="149">
        <f>(0.135/3320/0.005/C161)*100</f>
        <v>4.0108514672895037</v>
      </c>
      <c r="H161" s="145">
        <v>1</v>
      </c>
      <c r="I161" s="92">
        <v>2199506</v>
      </c>
      <c r="J161" s="92">
        <v>4143</v>
      </c>
      <c r="K161" s="146">
        <v>3962657</v>
      </c>
      <c r="L161" s="92">
        <f t="shared" ref="L161:L164" si="226">1.4045*(J161/I161)</f>
        <v>2.6455229037793035E-3</v>
      </c>
      <c r="M161" s="146">
        <f t="shared" ref="M161:M164" si="227">0.8764*(K161/I161)</f>
        <v>1.5789329944087445</v>
      </c>
      <c r="N161" s="93">
        <f t="shared" si="223"/>
        <v>99.86412003437961</v>
      </c>
      <c r="O161" s="93">
        <f t="shared" si="224"/>
        <v>81.097525442199043</v>
      </c>
      <c r="P161" s="147">
        <f t="shared" si="225"/>
        <v>2.3496249226842041</v>
      </c>
      <c r="Q161" s="136"/>
      <c r="R161" s="136"/>
      <c r="S161" s="136"/>
    </row>
    <row r="162" spans="1:19" x14ac:dyDescent="0.25">
      <c r="A162" s="137"/>
      <c r="B162" s="92" t="s">
        <v>303</v>
      </c>
      <c r="C162" s="143">
        <f t="shared" ref="C162:C164" si="228">0.1563/154.17/0.005</f>
        <v>0.20276318349873515</v>
      </c>
      <c r="D162" s="148">
        <f t="shared" ref="D162:D164" si="229">0.0803/154.21/0.005</f>
        <v>0.10414370014914726</v>
      </c>
      <c r="E162" s="144">
        <v>7.5</v>
      </c>
      <c r="F162" s="144">
        <v>10</v>
      </c>
      <c r="G162" s="149">
        <f t="shared" ref="G162:G164" si="230">(0.135/3320/0.005/C162)*100</f>
        <v>4.0108514672895037</v>
      </c>
      <c r="H162" s="145">
        <v>1</v>
      </c>
      <c r="I162" s="92">
        <v>3628238</v>
      </c>
      <c r="J162" s="92">
        <v>5926</v>
      </c>
      <c r="K162" s="146">
        <v>6482438</v>
      </c>
      <c r="L162" s="92">
        <f t="shared" si="226"/>
        <v>2.2939694143548467E-3</v>
      </c>
      <c r="M162" s="146">
        <f t="shared" si="227"/>
        <v>1.5658313107354038</v>
      </c>
      <c r="N162" s="93">
        <f t="shared" si="223"/>
        <v>99.882176606858522</v>
      </c>
      <c r="O162" s="93">
        <f t="shared" si="224"/>
        <v>80.424593703615514</v>
      </c>
      <c r="P162" s="147">
        <f t="shared" si="225"/>
        <v>2.3301281849524464</v>
      </c>
      <c r="Q162" s="276">
        <f>AVERAGE(N161:N163)</f>
        <v>99.880812987085733</v>
      </c>
      <c r="R162" s="276">
        <f>AVERAGE(O161:O163)</f>
        <v>81.436827148492753</v>
      </c>
      <c r="S162" s="276">
        <f>AVERAGE(P161:P163)</f>
        <v>2.3594554537771066</v>
      </c>
    </row>
    <row r="163" spans="1:19" x14ac:dyDescent="0.25">
      <c r="A163" s="137"/>
      <c r="B163" s="92" t="s">
        <v>304</v>
      </c>
      <c r="C163" s="143">
        <f t="shared" si="228"/>
        <v>0.20276318349873515</v>
      </c>
      <c r="D163" s="148">
        <f t="shared" si="229"/>
        <v>0.10414370014914726</v>
      </c>
      <c r="E163" s="144">
        <v>7.5</v>
      </c>
      <c r="F163" s="144">
        <v>10</v>
      </c>
      <c r="G163" s="149">
        <f t="shared" si="230"/>
        <v>4.0108514672895037</v>
      </c>
      <c r="H163" s="145">
        <v>1</v>
      </c>
      <c r="I163" s="92">
        <v>3631304</v>
      </c>
      <c r="J163" s="92">
        <v>5228</v>
      </c>
      <c r="K163" s="146">
        <v>6678603</v>
      </c>
      <c r="L163" s="92">
        <f t="shared" si="226"/>
        <v>2.0220631486650526E-3</v>
      </c>
      <c r="M163" s="146">
        <f t="shared" si="227"/>
        <v>1.611852841073069</v>
      </c>
      <c r="N163" s="93">
        <f t="shared" si="223"/>
        <v>99.896142320019095</v>
      </c>
      <c r="O163" s="93">
        <f t="shared" si="224"/>
        <v>82.788362299663703</v>
      </c>
      <c r="P163" s="147">
        <f t="shared" si="225"/>
        <v>2.3986132536946685</v>
      </c>
      <c r="Q163" s="276"/>
      <c r="R163" s="276"/>
      <c r="S163" s="276"/>
    </row>
    <row r="164" spans="1:19" x14ac:dyDescent="0.25">
      <c r="A164" s="137"/>
      <c r="B164" s="92" t="s">
        <v>305</v>
      </c>
      <c r="C164" s="143">
        <f t="shared" si="228"/>
        <v>0.20276318349873515</v>
      </c>
      <c r="D164" s="148">
        <f t="shared" si="229"/>
        <v>0.10414370014914726</v>
      </c>
      <c r="E164" s="144">
        <v>7.5</v>
      </c>
      <c r="F164" s="144">
        <v>10</v>
      </c>
      <c r="G164" s="149">
        <f t="shared" si="230"/>
        <v>4.0108514672895037</v>
      </c>
      <c r="H164" s="145">
        <v>1</v>
      </c>
      <c r="I164" s="92">
        <v>1946801</v>
      </c>
      <c r="J164" s="92">
        <v>2450</v>
      </c>
      <c r="K164" s="146">
        <v>3740857</v>
      </c>
      <c r="L164" s="92">
        <f t="shared" si="226"/>
        <v>1.7675278572386187E-3</v>
      </c>
      <c r="M164" s="146">
        <f t="shared" si="227"/>
        <v>1.6840381090825411</v>
      </c>
      <c r="N164" s="93">
        <f t="shared" ref="N164:N167" si="231">100*(1-L164/(C164/D164))</f>
        <v>99.909215821140094</v>
      </c>
      <c r="O164" s="93">
        <f t="shared" ref="O164:O167" si="232">100*M164/(C164/D164)</f>
        <v>86.495958904256966</v>
      </c>
      <c r="P164" s="147">
        <f t="shared" ref="P164:P167" si="233">(238.15*C164*(O164/100)*7.5/1000)*(60/E164)</f>
        <v>2.5060328246114234</v>
      </c>
      <c r="Q164" s="276"/>
      <c r="R164" s="276"/>
      <c r="S164" s="276"/>
    </row>
    <row r="165" spans="1:19" x14ac:dyDescent="0.25">
      <c r="A165" s="22">
        <v>43846</v>
      </c>
      <c r="B165" s="150" t="s">
        <v>306</v>
      </c>
      <c r="C165" s="151">
        <f>0.2337/154.17/0.005</f>
        <v>0.30317182331192838</v>
      </c>
      <c r="D165" s="152">
        <f>0.0789/154.21/0.005</f>
        <v>0.10232799429349589</v>
      </c>
      <c r="E165" s="153">
        <v>7.5</v>
      </c>
      <c r="F165" s="153">
        <v>10</v>
      </c>
      <c r="G165" s="154">
        <f>(0.1987/3320/0.005/C165)*100</f>
        <v>3.9482163570843061</v>
      </c>
      <c r="H165" s="155">
        <v>1</v>
      </c>
      <c r="I165" s="150">
        <v>1275234</v>
      </c>
      <c r="J165" s="150">
        <v>128234</v>
      </c>
      <c r="K165" s="156">
        <v>3611364</v>
      </c>
      <c r="L165" s="150">
        <f t="shared" ref="L165:L168" si="234">1.4045*(J165/I165)</f>
        <v>0.14123263103085396</v>
      </c>
      <c r="M165" s="156">
        <f t="shared" ref="M165:M168" si="235">0.8764*(K165/I165)</f>
        <v>2.4818969770253929</v>
      </c>
      <c r="N165" s="157">
        <f t="shared" si="231"/>
        <v>95.233049132237085</v>
      </c>
      <c r="O165" s="157">
        <f t="shared" si="232"/>
        <v>83.770166015987627</v>
      </c>
      <c r="P165" s="158">
        <f t="shared" si="233"/>
        <v>3.6289421748032935</v>
      </c>
      <c r="Q165" s="276">
        <f>AVERAGE(N165:N167)</f>
        <v>96.615450576407568</v>
      </c>
      <c r="R165" s="277">
        <f>AVERAGE(O165:O168)</f>
        <v>83.870800457010063</v>
      </c>
      <c r="S165" s="277">
        <f>AVERAGE(P165:P168)</f>
        <v>3.6333016811124295</v>
      </c>
    </row>
    <row r="166" spans="1:19" x14ac:dyDescent="0.25">
      <c r="A166" s="137"/>
      <c r="B166" s="150" t="s">
        <v>307</v>
      </c>
      <c r="C166" s="151">
        <f t="shared" ref="C166:C168" si="236">0.2337/154.17/0.005</f>
        <v>0.30317182331192838</v>
      </c>
      <c r="D166" s="152">
        <f t="shared" ref="D166:D172" si="237">0.0789/154.21/0.005</f>
        <v>0.10232799429349589</v>
      </c>
      <c r="E166" s="153">
        <v>7.5</v>
      </c>
      <c r="F166" s="153">
        <v>10</v>
      </c>
      <c r="G166" s="154">
        <f t="shared" ref="G166:G168" si="238">(0.1987/3320/0.005/C166)*100</f>
        <v>3.9482163570843061</v>
      </c>
      <c r="H166" s="155">
        <v>1</v>
      </c>
      <c r="I166" s="150">
        <v>2820407</v>
      </c>
      <c r="J166" s="150">
        <v>241737</v>
      </c>
      <c r="K166" s="156">
        <v>7767877</v>
      </c>
      <c r="L166" s="150">
        <f t="shared" si="234"/>
        <v>0.12037965318480631</v>
      </c>
      <c r="M166" s="156">
        <f t="shared" si="235"/>
        <v>2.4137535479099292</v>
      </c>
      <c r="N166" s="157">
        <f t="shared" si="231"/>
        <v>95.936888748571505</v>
      </c>
      <c r="O166" s="157">
        <f t="shared" si="232"/>
        <v>81.470156618843873</v>
      </c>
      <c r="P166" s="158">
        <f t="shared" si="233"/>
        <v>3.5293052575009467</v>
      </c>
      <c r="Q166" s="276"/>
      <c r="R166" s="277"/>
      <c r="S166" s="277"/>
    </row>
    <row r="167" spans="1:19" x14ac:dyDescent="0.25">
      <c r="A167" s="137"/>
      <c r="B167" s="150" t="s">
        <v>308</v>
      </c>
      <c r="C167" s="151">
        <f t="shared" si="236"/>
        <v>0.30317182331192838</v>
      </c>
      <c r="D167" s="152">
        <f t="shared" si="237"/>
        <v>0.10232799429349589</v>
      </c>
      <c r="E167" s="153">
        <v>7.5</v>
      </c>
      <c r="F167" s="153">
        <v>10</v>
      </c>
      <c r="G167" s="154">
        <f t="shared" si="238"/>
        <v>3.9482163570843061</v>
      </c>
      <c r="H167" s="155">
        <v>1</v>
      </c>
      <c r="I167" s="150">
        <v>3630616</v>
      </c>
      <c r="J167" s="150">
        <v>101369</v>
      </c>
      <c r="K167" s="156">
        <v>10290027</v>
      </c>
      <c r="L167" s="150">
        <f t="shared" si="234"/>
        <v>3.9214491562864266E-2</v>
      </c>
      <c r="M167" s="156">
        <f t="shared" si="235"/>
        <v>2.4839254999151659</v>
      </c>
      <c r="N167" s="157">
        <f t="shared" si="231"/>
        <v>98.676413848414114</v>
      </c>
      <c r="O167" s="157">
        <f t="shared" si="232"/>
        <v>83.838633684394708</v>
      </c>
      <c r="P167" s="158">
        <f t="shared" si="233"/>
        <v>3.6319082093870794</v>
      </c>
      <c r="Q167" s="276"/>
      <c r="R167" s="277"/>
      <c r="S167" s="277"/>
    </row>
    <row r="168" spans="1:19" x14ac:dyDescent="0.25">
      <c r="A168" s="137"/>
      <c r="B168" s="150" t="s">
        <v>309</v>
      </c>
      <c r="C168" s="151">
        <f t="shared" si="236"/>
        <v>0.30317182331192838</v>
      </c>
      <c r="D168" s="152">
        <f t="shared" si="237"/>
        <v>0.10232799429349589</v>
      </c>
      <c r="E168" s="153">
        <v>7.5</v>
      </c>
      <c r="F168" s="153">
        <v>10</v>
      </c>
      <c r="G168" s="154">
        <f t="shared" si="238"/>
        <v>3.9482163570843061</v>
      </c>
      <c r="H168" s="155">
        <v>1</v>
      </c>
      <c r="I168" s="150">
        <v>3051206</v>
      </c>
      <c r="J168" s="150">
        <v>23513</v>
      </c>
      <c r="K168" s="156">
        <v>8912481</v>
      </c>
      <c r="L168" s="150">
        <f t="shared" si="234"/>
        <v>1.0823264145390381E-2</v>
      </c>
      <c r="M168" s="156">
        <f t="shared" si="235"/>
        <v>2.5599380534778704</v>
      </c>
      <c r="N168" s="157">
        <f t="shared" ref="N168:N171" si="239">100*(1-L168/(C168/D168))</f>
        <v>99.634688046003873</v>
      </c>
      <c r="O168" s="157">
        <f t="shared" ref="O168:O171" si="240">100*M168/(C168/D168)</f>
        <v>86.404245508814029</v>
      </c>
      <c r="P168" s="158">
        <f t="shared" ref="P168:P171" si="241">(238.15*C168*(O168/100)*7.5/1000)*(60/E168)</f>
        <v>3.7430510827583983</v>
      </c>
      <c r="Q168" s="276"/>
      <c r="R168" s="277"/>
      <c r="S168" s="277"/>
    </row>
    <row r="169" spans="1:19" x14ac:dyDescent="0.25">
      <c r="A169" s="22">
        <v>43847</v>
      </c>
      <c r="B169" s="163" t="s">
        <v>313</v>
      </c>
      <c r="C169" s="164">
        <v>0.1</v>
      </c>
      <c r="D169" s="165">
        <v>0.1</v>
      </c>
      <c r="E169" s="166">
        <v>7.5</v>
      </c>
      <c r="F169" s="166">
        <v>10</v>
      </c>
      <c r="G169" s="167">
        <f>(0.0347/3320/0.005/C169)*100</f>
        <v>2.0903614457831323</v>
      </c>
      <c r="H169" s="168">
        <v>1</v>
      </c>
      <c r="I169" s="163">
        <v>4612845</v>
      </c>
      <c r="J169" s="163">
        <v>1244916</v>
      </c>
      <c r="K169" s="169">
        <v>2954217</v>
      </c>
      <c r="L169" s="163">
        <f t="shared" ref="L169:L180" si="242">1.4045*(J169/I169)</f>
        <v>0.37904688364772721</v>
      </c>
      <c r="M169" s="169">
        <f t="shared" ref="M169:M180" si="243">0.8764*(K169/I169)</f>
        <v>0.56127526045206366</v>
      </c>
      <c r="N169" s="170">
        <f t="shared" si="239"/>
        <v>62.095311635227276</v>
      </c>
      <c r="O169" s="170">
        <f t="shared" si="240"/>
        <v>56.127526045206366</v>
      </c>
      <c r="P169" s="171">
        <f t="shared" si="241"/>
        <v>0.80200621965995378</v>
      </c>
      <c r="Q169" s="276">
        <f>AVERAGE(N169:N171)</f>
        <v>61.526372534491315</v>
      </c>
      <c r="R169" s="277">
        <f>AVERAGE(O169:O171)</f>
        <v>57.057819451090495</v>
      </c>
      <c r="S169" s="277">
        <f>AVERAGE(P169:P171)</f>
        <v>0.81529918213663199</v>
      </c>
    </row>
    <row r="170" spans="1:19" x14ac:dyDescent="0.25">
      <c r="B170" s="163" t="s">
        <v>314</v>
      </c>
      <c r="C170" s="164">
        <v>0.1</v>
      </c>
      <c r="D170" s="165">
        <f t="shared" si="237"/>
        <v>0.10232799429349589</v>
      </c>
      <c r="E170" s="166">
        <v>7.5</v>
      </c>
      <c r="F170" s="166">
        <v>10</v>
      </c>
      <c r="G170" s="167">
        <f t="shared" ref="G170:G172" si="244">(0.0347/3320/0.005/C170)*100</f>
        <v>2.0903614457831323</v>
      </c>
      <c r="H170" s="168">
        <v>1</v>
      </c>
      <c r="I170" s="163">
        <v>5638189</v>
      </c>
      <c r="J170" s="163">
        <v>1593141</v>
      </c>
      <c r="K170" s="169">
        <v>3544837</v>
      </c>
      <c r="L170" s="163">
        <f t="shared" si="242"/>
        <v>0.39685908622431781</v>
      </c>
      <c r="M170" s="169">
        <f t="shared" si="243"/>
        <v>0.55100940156493505</v>
      </c>
      <c r="N170" s="170">
        <f t="shared" si="239"/>
        <v>59.390205689516016</v>
      </c>
      <c r="O170" s="170">
        <f t="shared" si="240"/>
        <v>56.383686898999258</v>
      </c>
      <c r="P170" s="171">
        <f t="shared" si="241"/>
        <v>0.80566650209980051</v>
      </c>
      <c r="Q170" s="276"/>
      <c r="R170" s="277"/>
      <c r="S170" s="277"/>
    </row>
    <row r="171" spans="1:19" x14ac:dyDescent="0.25">
      <c r="B171" s="163" t="s">
        <v>315</v>
      </c>
      <c r="C171" s="164">
        <v>0.1</v>
      </c>
      <c r="D171" s="165">
        <f t="shared" si="237"/>
        <v>0.10232799429349589</v>
      </c>
      <c r="E171" s="166">
        <v>7.5</v>
      </c>
      <c r="F171" s="166">
        <v>10</v>
      </c>
      <c r="G171" s="167">
        <f t="shared" si="244"/>
        <v>2.0903614457831323</v>
      </c>
      <c r="H171" s="168">
        <v>1</v>
      </c>
      <c r="I171" s="163">
        <v>5128999</v>
      </c>
      <c r="J171" s="163">
        <v>1317098</v>
      </c>
      <c r="K171" s="169">
        <v>3355015</v>
      </c>
      <c r="L171" s="163">
        <f t="shared" si="242"/>
        <v>0.36066767433567448</v>
      </c>
      <c r="M171" s="169">
        <f t="shared" si="243"/>
        <v>0.57327660738479369</v>
      </c>
      <c r="N171" s="170">
        <f t="shared" si="239"/>
        <v>63.093600278730676</v>
      </c>
      <c r="O171" s="170">
        <f t="shared" si="240"/>
        <v>58.662245409065847</v>
      </c>
      <c r="P171" s="171">
        <f t="shared" si="241"/>
        <v>0.83822482465014192</v>
      </c>
      <c r="Q171" s="276"/>
      <c r="R171" s="277"/>
      <c r="S171" s="277"/>
    </row>
    <row r="172" spans="1:19" x14ac:dyDescent="0.25">
      <c r="B172" s="163" t="s">
        <v>316</v>
      </c>
      <c r="C172" s="164">
        <v>0.1</v>
      </c>
      <c r="D172" s="165">
        <f t="shared" si="237"/>
        <v>0.10232799429349589</v>
      </c>
      <c r="E172" s="166">
        <v>7.5</v>
      </c>
      <c r="F172" s="166">
        <v>10</v>
      </c>
      <c r="G172" s="167">
        <f t="shared" si="244"/>
        <v>2.0903614457831323</v>
      </c>
      <c r="H172" s="168">
        <v>1</v>
      </c>
      <c r="I172" s="163">
        <v>3733528</v>
      </c>
      <c r="J172" s="163">
        <v>799424</v>
      </c>
      <c r="K172" s="169">
        <v>2683033</v>
      </c>
      <c r="L172" s="163">
        <f t="shared" si="242"/>
        <v>0.30073191040752878</v>
      </c>
      <c r="M172" s="169">
        <f t="shared" si="243"/>
        <v>0.62980915670111481</v>
      </c>
      <c r="N172" s="170">
        <f t="shared" ref="N172:N180" si="245">100*(1-L172/(C172/D172))</f>
        <v>69.226706787946284</v>
      </c>
      <c r="O172" s="170">
        <f t="shared" ref="O172:O174" si="246">100*M172/(C172/D172)</f>
        <v>64.447107792903125</v>
      </c>
      <c r="P172" s="171">
        <f t="shared" ref="P172:P180" si="247">(238.15*C172*(O172/100)*7.5/1000)*(60/E172)</f>
        <v>0.9208847232527928</v>
      </c>
      <c r="Q172" s="276"/>
      <c r="R172" s="277"/>
      <c r="S172" s="277"/>
    </row>
    <row r="173" spans="1:19" x14ac:dyDescent="0.25">
      <c r="B173" s="90" t="s">
        <v>317</v>
      </c>
      <c r="C173" s="142">
        <f>0.1525/154.17/0.005</f>
        <v>0.1978335603554518</v>
      </c>
      <c r="D173" s="172">
        <f>0.0789/154.21/0.005</f>
        <v>0.10232799429349589</v>
      </c>
      <c r="E173" s="106">
        <v>7.5</v>
      </c>
      <c r="F173" s="106">
        <v>10</v>
      </c>
      <c r="G173" s="106">
        <v>2</v>
      </c>
      <c r="H173" s="105">
        <v>1</v>
      </c>
      <c r="I173" s="90">
        <v>2031547</v>
      </c>
      <c r="J173" s="90">
        <v>29550</v>
      </c>
      <c r="K173" s="107">
        <v>4281091</v>
      </c>
      <c r="L173" s="90">
        <f t="shared" si="242"/>
        <v>2.0429246775979095E-2</v>
      </c>
      <c r="M173" s="107">
        <f t="shared" si="243"/>
        <v>1.8468428997212467</v>
      </c>
      <c r="N173" s="102">
        <f t="shared" si="245"/>
        <v>98.943311820422792</v>
      </c>
      <c r="O173" s="102">
        <f t="shared" si="246"/>
        <v>95.526628224305327</v>
      </c>
      <c r="P173" s="108">
        <f t="shared" si="247"/>
        <v>2.7003885137355854</v>
      </c>
      <c r="Q173" s="140"/>
      <c r="R173" s="140"/>
      <c r="S173" s="140"/>
    </row>
    <row r="174" spans="1:19" x14ac:dyDescent="0.25">
      <c r="B174" s="90" t="s">
        <v>318</v>
      </c>
      <c r="C174" s="142">
        <f t="shared" ref="C174:C176" si="248">0.1525/154.17/0.005</f>
        <v>0.1978335603554518</v>
      </c>
      <c r="D174" s="172">
        <f t="shared" ref="D174:D176" si="249">0.0789/154.21/0.005</f>
        <v>0.10232799429349589</v>
      </c>
      <c r="E174" s="106">
        <v>7.5</v>
      </c>
      <c r="F174" s="106">
        <v>10</v>
      </c>
      <c r="G174" s="106">
        <v>2</v>
      </c>
      <c r="H174" s="105">
        <v>1</v>
      </c>
      <c r="I174" s="90">
        <v>3294795</v>
      </c>
      <c r="J174" s="90">
        <v>51569</v>
      </c>
      <c r="K174" s="107">
        <v>6794354</v>
      </c>
      <c r="L174" s="90">
        <f t="shared" si="242"/>
        <v>2.198275173417466E-2</v>
      </c>
      <c r="M174" s="107">
        <f t="shared" si="243"/>
        <v>1.8072662625747582</v>
      </c>
      <c r="N174" s="102">
        <f t="shared" si="245"/>
        <v>98.86295788744421</v>
      </c>
      <c r="O174" s="102">
        <f t="shared" si="246"/>
        <v>93.479554971008326</v>
      </c>
      <c r="P174" s="108">
        <f t="shared" si="247"/>
        <v>2.6425209515413188</v>
      </c>
      <c r="Q174" s="276">
        <f>AVERAGE(N173:N175)</f>
        <v>99.145600129202151</v>
      </c>
      <c r="R174" s="276">
        <f>AVERAGE(O173:O175)</f>
        <v>94.332033830921389</v>
      </c>
      <c r="S174" s="276">
        <f t="shared" ref="S174" si="250">AVERAGE(P174:P176)</f>
        <v>2.7146611395183204</v>
      </c>
    </row>
    <row r="175" spans="1:19" x14ac:dyDescent="0.25">
      <c r="B175" s="90" t="s">
        <v>319</v>
      </c>
      <c r="C175" s="142">
        <f t="shared" si="248"/>
        <v>0.1978335603554518</v>
      </c>
      <c r="D175" s="172">
        <f t="shared" si="249"/>
        <v>0.10232799429349589</v>
      </c>
      <c r="E175" s="106">
        <v>7.5</v>
      </c>
      <c r="F175" s="106">
        <v>10</v>
      </c>
      <c r="G175" s="106">
        <v>2</v>
      </c>
      <c r="H175" s="105">
        <v>1</v>
      </c>
      <c r="I175" s="90">
        <v>3273603</v>
      </c>
      <c r="J175" s="90">
        <v>16649</v>
      </c>
      <c r="K175" s="107">
        <v>6787509</v>
      </c>
      <c r="L175" s="90">
        <f t="shared" si="242"/>
        <v>7.1430532352273627E-3</v>
      </c>
      <c r="M175" s="107">
        <f t="shared" si="243"/>
        <v>1.8171332588588172</v>
      </c>
      <c r="N175" s="102">
        <f t="shared" si="245"/>
        <v>99.630530679739465</v>
      </c>
      <c r="O175" s="102">
        <f>100*M175/(C175/D175)</f>
        <v>93.989918297450529</v>
      </c>
      <c r="P175" s="108">
        <f t="shared" si="247"/>
        <v>2.6569481253061071</v>
      </c>
      <c r="Q175" s="276"/>
      <c r="R175" s="276"/>
      <c r="S175" s="276"/>
    </row>
    <row r="176" spans="1:19" x14ac:dyDescent="0.25">
      <c r="B176" s="90" t="s">
        <v>320</v>
      </c>
      <c r="C176" s="142">
        <f t="shared" si="248"/>
        <v>0.1978335603554518</v>
      </c>
      <c r="D176" s="172">
        <f t="shared" si="249"/>
        <v>0.10232799429349589</v>
      </c>
      <c r="E176" s="106">
        <v>7.5</v>
      </c>
      <c r="F176" s="106">
        <v>10</v>
      </c>
      <c r="G176" s="106">
        <v>2</v>
      </c>
      <c r="H176" s="105">
        <v>1</v>
      </c>
      <c r="I176" s="90">
        <v>2120057</v>
      </c>
      <c r="J176" s="90">
        <v>5010</v>
      </c>
      <c r="K176" s="107">
        <v>4706055</v>
      </c>
      <c r="L176" s="90">
        <f t="shared" si="242"/>
        <v>3.3190357617743299E-3</v>
      </c>
      <c r="M176" s="107">
        <f t="shared" si="243"/>
        <v>1.9454130723843743</v>
      </c>
      <c r="N176" s="102">
        <f t="shared" si="245"/>
        <v>99.828325248820008</v>
      </c>
      <c r="O176" s="102">
        <f t="shared" ref="O176:O180" si="251">100*M176/(C176/D176)</f>
        <v>100.62509991316279</v>
      </c>
      <c r="P176" s="108">
        <f t="shared" si="247"/>
        <v>2.8445143417075358</v>
      </c>
      <c r="Q176" s="276"/>
      <c r="R176" s="276"/>
      <c r="S176" s="276"/>
    </row>
    <row r="177" spans="1:20" x14ac:dyDescent="0.25">
      <c r="B177" s="92" t="s">
        <v>321</v>
      </c>
      <c r="C177" s="143">
        <f>0.157/154.17/0.005</f>
        <v>0.20367127197249793</v>
      </c>
      <c r="D177" s="148">
        <f>0.0757/154.21/0.005</f>
        <v>9.8177809480578429E-2</v>
      </c>
      <c r="E177" s="144">
        <v>7.5</v>
      </c>
      <c r="F177" s="144">
        <v>10</v>
      </c>
      <c r="G177" s="149">
        <f>(0.135/3320/0.005/C177)*100</f>
        <v>3.9929686900468102</v>
      </c>
      <c r="H177" s="145">
        <v>1</v>
      </c>
      <c r="I177" s="92">
        <v>1983773</v>
      </c>
      <c r="J177" s="92">
        <v>4305</v>
      </c>
      <c r="K177" s="146">
        <v>4057422</v>
      </c>
      <c r="L177" s="92">
        <f t="shared" si="242"/>
        <v>3.0479155125107561E-3</v>
      </c>
      <c r="M177" s="146">
        <f t="shared" si="243"/>
        <v>1.7925058163408816</v>
      </c>
      <c r="N177" s="93">
        <f t="shared" si="245"/>
        <v>99.853078116711231</v>
      </c>
      <c r="O177" s="93">
        <f t="shared" si="251"/>
        <v>86.406046775859096</v>
      </c>
      <c r="P177" s="147">
        <f t="shared" si="247"/>
        <v>2.5146395845326506</v>
      </c>
      <c r="Q177" s="140"/>
      <c r="R177" s="140"/>
      <c r="S177" s="140"/>
    </row>
    <row r="178" spans="1:20" x14ac:dyDescent="0.25">
      <c r="B178" s="92" t="s">
        <v>322</v>
      </c>
      <c r="C178" s="143">
        <f t="shared" ref="C178:C181" si="252">0.157/154.17/0.005</f>
        <v>0.20367127197249793</v>
      </c>
      <c r="D178" s="148">
        <f t="shared" ref="D178:D181" si="253">0.0757/154.21/0.005</f>
        <v>9.8177809480578429E-2</v>
      </c>
      <c r="E178" s="144">
        <v>7.5</v>
      </c>
      <c r="F178" s="144">
        <v>10</v>
      </c>
      <c r="G178" s="149">
        <f t="shared" ref="G178:G180" si="254">(0.135/3320/0.005/C178)*100</f>
        <v>3.9929686900468102</v>
      </c>
      <c r="H178" s="145">
        <v>1</v>
      </c>
      <c r="I178" s="92">
        <v>2629599</v>
      </c>
      <c r="J178" s="92">
        <v>3614</v>
      </c>
      <c r="K178" s="146">
        <v>5666731</v>
      </c>
      <c r="L178" s="92">
        <f t="shared" si="242"/>
        <v>1.9302802442501691E-3</v>
      </c>
      <c r="M178" s="146">
        <f t="shared" si="243"/>
        <v>1.8886237211072865</v>
      </c>
      <c r="N178" s="93">
        <f t="shared" si="245"/>
        <v>99.906952667291378</v>
      </c>
      <c r="O178" s="93">
        <f t="shared" si="251"/>
        <v>91.039319426654316</v>
      </c>
      <c r="P178" s="147">
        <f t="shared" si="247"/>
        <v>2.6494798098220382</v>
      </c>
      <c r="Q178" s="276">
        <f>AVERAGE(N178:N180)</f>
        <v>99.936593386962286</v>
      </c>
      <c r="R178" s="276">
        <f>AVERAGE(O178:O180)</f>
        <v>94.804891465044349</v>
      </c>
      <c r="S178" s="276">
        <f>AVERAGE(P178:P180)</f>
        <v>2.759067701635999</v>
      </c>
    </row>
    <row r="179" spans="1:20" x14ac:dyDescent="0.25">
      <c r="B179" s="92" t="s">
        <v>323</v>
      </c>
      <c r="C179" s="143">
        <f t="shared" si="252"/>
        <v>0.20367127197249793</v>
      </c>
      <c r="D179" s="148">
        <f t="shared" si="253"/>
        <v>9.8177809480578429E-2</v>
      </c>
      <c r="E179" s="144">
        <v>7.5</v>
      </c>
      <c r="F179" s="144">
        <v>10</v>
      </c>
      <c r="G179" s="149">
        <f t="shared" si="254"/>
        <v>3.9929686900468102</v>
      </c>
      <c r="H179" s="145">
        <v>1</v>
      </c>
      <c r="I179" s="92">
        <v>1470410</v>
      </c>
      <c r="J179" s="92">
        <v>1116</v>
      </c>
      <c r="K179" s="146">
        <v>3322516</v>
      </c>
      <c r="L179" s="92">
        <f t="shared" si="242"/>
        <v>1.0659761563101449E-3</v>
      </c>
      <c r="M179" s="146">
        <f t="shared" si="243"/>
        <v>1.9803000676001929</v>
      </c>
      <c r="N179" s="93">
        <f t="shared" si="245"/>
        <v>99.948615628030652</v>
      </c>
      <c r="O179" s="93">
        <f t="shared" si="251"/>
        <v>95.458490963556883</v>
      </c>
      <c r="P179" s="147">
        <f t="shared" si="247"/>
        <v>2.7780891385923008</v>
      </c>
      <c r="Q179" s="276"/>
      <c r="R179" s="276"/>
      <c r="S179" s="276"/>
    </row>
    <row r="180" spans="1:20" x14ac:dyDescent="0.25">
      <c r="B180" s="92" t="s">
        <v>324</v>
      </c>
      <c r="C180" s="143">
        <f t="shared" si="252"/>
        <v>0.20367127197249793</v>
      </c>
      <c r="D180" s="148">
        <f t="shared" si="253"/>
        <v>9.8177809480578429E-2</v>
      </c>
      <c r="E180" s="144">
        <v>7.5</v>
      </c>
      <c r="F180" s="144">
        <v>10</v>
      </c>
      <c r="G180" s="149">
        <f t="shared" si="254"/>
        <v>3.9929686900468102</v>
      </c>
      <c r="H180" s="145">
        <v>1</v>
      </c>
      <c r="I180" s="92">
        <v>1049810</v>
      </c>
      <c r="J180" s="92">
        <v>710</v>
      </c>
      <c r="K180" s="146">
        <v>2433225</v>
      </c>
      <c r="L180" s="92">
        <f t="shared" si="242"/>
        <v>9.4988140711176311E-4</v>
      </c>
      <c r="M180" s="146">
        <f t="shared" si="243"/>
        <v>2.0312993684571494</v>
      </c>
      <c r="N180" s="93">
        <f t="shared" si="245"/>
        <v>99.954211865564844</v>
      </c>
      <c r="O180" s="93">
        <f t="shared" si="251"/>
        <v>97.916864004921848</v>
      </c>
      <c r="P180" s="147">
        <f t="shared" si="247"/>
        <v>2.8496341564936576</v>
      </c>
      <c r="Q180" s="276"/>
      <c r="R180" s="276"/>
      <c r="S180" s="276"/>
    </row>
    <row r="181" spans="1:20" x14ac:dyDescent="0.25">
      <c r="B181" s="92" t="s">
        <v>325</v>
      </c>
      <c r="C181" s="143">
        <f t="shared" si="252"/>
        <v>0.20367127197249793</v>
      </c>
      <c r="D181" s="148">
        <f t="shared" si="253"/>
        <v>9.8177809480578429E-2</v>
      </c>
      <c r="E181" s="144">
        <v>7.5</v>
      </c>
      <c r="F181" s="144">
        <v>10</v>
      </c>
      <c r="G181" s="149">
        <f t="shared" ref="G181" si="255">(0.135/3320/0.005/C181)*100</f>
        <v>3.9929686900468102</v>
      </c>
      <c r="H181" s="145">
        <v>1</v>
      </c>
      <c r="I181" s="92">
        <v>713026</v>
      </c>
      <c r="J181" s="92">
        <v>513</v>
      </c>
      <c r="K181" s="146">
        <v>1718409</v>
      </c>
      <c r="L181" s="92">
        <f t="shared" ref="L181:L201" si="256">1.4045*(J181/I181)</f>
        <v>1.010494007231153E-3</v>
      </c>
      <c r="M181" s="146">
        <f t="shared" ref="M181:M201" si="257">0.8764*(K181/I181)</f>
        <v>2.1121440839464478</v>
      </c>
      <c r="N181" s="93">
        <f t="shared" ref="N181:N201" si="258">100*(1-L181/(C181/D181))</f>
        <v>99.951290092528808</v>
      </c>
      <c r="O181" s="93">
        <f t="shared" ref="O181:O187" si="259">100*M181/(C181/D181)</f>
        <v>101.81390701837721</v>
      </c>
      <c r="P181" s="147">
        <f t="shared" ref="P181:P201" si="260">(238.15*C181*(O181/100)*7.5/1000)*(60/E181)</f>
        <v>2.9630481939357587</v>
      </c>
    </row>
    <row r="182" spans="1:20" x14ac:dyDescent="0.25">
      <c r="A182" s="22">
        <v>43848</v>
      </c>
      <c r="B182" s="17" t="s">
        <v>326</v>
      </c>
      <c r="C182" s="173">
        <f>0.0781/154.17/0.005</f>
        <v>0.10131672828695597</v>
      </c>
      <c r="D182" s="174">
        <f>0.078/154.21/0.005</f>
        <v>0.10116075481486284</v>
      </c>
      <c r="E182" s="56">
        <v>7.5</v>
      </c>
      <c r="F182" s="56">
        <v>10</v>
      </c>
      <c r="G182" s="175">
        <f>(0.0339/3320/0.005/C182)*100</f>
        <v>2.0156283263656416</v>
      </c>
      <c r="H182" s="55">
        <v>1</v>
      </c>
      <c r="I182" s="17">
        <v>400656</v>
      </c>
      <c r="J182" s="17">
        <v>95758</v>
      </c>
      <c r="K182" s="23">
        <v>294113</v>
      </c>
      <c r="L182" s="17">
        <f t="shared" si="256"/>
        <v>0.33567976268918975</v>
      </c>
      <c r="M182" s="23">
        <f t="shared" si="257"/>
        <v>0.64334649474861227</v>
      </c>
      <c r="N182" s="99">
        <f t="shared" si="258"/>
        <v>66.483700427499542</v>
      </c>
      <c r="O182" s="99">
        <f t="shared" si="259"/>
        <v>64.235608587693321</v>
      </c>
      <c r="P182" s="35">
        <f t="shared" si="260"/>
        <v>0.92994836774542189</v>
      </c>
    </row>
    <row r="183" spans="1:20" x14ac:dyDescent="0.25">
      <c r="B183" s="17" t="s">
        <v>327</v>
      </c>
      <c r="C183" s="173">
        <f t="shared" ref="C183:C185" si="261">0.0781/154.17/0.005</f>
        <v>0.10131672828695597</v>
      </c>
      <c r="D183" s="174">
        <f t="shared" ref="D183:D185" si="262">0.078/154.21/0.005</f>
        <v>0.10116075481486284</v>
      </c>
      <c r="E183" s="56">
        <v>7.5</v>
      </c>
      <c r="F183" s="56">
        <v>10</v>
      </c>
      <c r="G183" s="175">
        <f t="shared" ref="G183:G185" si="263">(0.0339/3320/0.005/C183)*100</f>
        <v>2.0156283263656416</v>
      </c>
      <c r="H183" s="55">
        <v>1</v>
      </c>
      <c r="I183" s="17">
        <v>3144779</v>
      </c>
      <c r="J183" s="17">
        <v>521243</v>
      </c>
      <c r="K183" s="23">
        <v>2428851</v>
      </c>
      <c r="L183" s="17">
        <f t="shared" si="256"/>
        <v>0.23279403528833031</v>
      </c>
      <c r="M183" s="23">
        <f t="shared" si="257"/>
        <v>0.6768822280993354</v>
      </c>
      <c r="N183" s="99">
        <f t="shared" si="258"/>
        <v>76.756434278585743</v>
      </c>
      <c r="O183" s="99">
        <f t="shared" si="259"/>
        <v>67.584019216805487</v>
      </c>
      <c r="P183" s="35">
        <f t="shared" si="260"/>
        <v>0.97842380166044918</v>
      </c>
      <c r="Q183" s="272">
        <f>AVERAGE(N183:N185)</f>
        <v>78.613941510502585</v>
      </c>
      <c r="R183" s="272">
        <f>AVERAGE(O183:O185)</f>
        <v>69.923411425274523</v>
      </c>
      <c r="S183" s="272">
        <f>AVERAGE(P183:P185)</f>
        <v>1.012291527266445</v>
      </c>
    </row>
    <row r="184" spans="1:20" x14ac:dyDescent="0.25">
      <c r="B184" s="17" t="s">
        <v>328</v>
      </c>
      <c r="C184" s="173">
        <f t="shared" si="261"/>
        <v>0.10131672828695597</v>
      </c>
      <c r="D184" s="174">
        <f t="shared" si="262"/>
        <v>0.10116075481486284</v>
      </c>
      <c r="E184" s="56">
        <v>7.5</v>
      </c>
      <c r="F184" s="56">
        <v>10</v>
      </c>
      <c r="G184" s="175">
        <f t="shared" si="263"/>
        <v>2.0156283263656416</v>
      </c>
      <c r="H184" s="55">
        <v>1</v>
      </c>
      <c r="I184" s="17">
        <v>3253751</v>
      </c>
      <c r="J184" s="17">
        <v>502848</v>
      </c>
      <c r="K184" s="23">
        <v>2574166</v>
      </c>
      <c r="L184" s="17">
        <f t="shared" si="256"/>
        <v>0.21705717985180795</v>
      </c>
      <c r="M184" s="23">
        <f t="shared" si="257"/>
        <v>0.69335332740581557</v>
      </c>
      <c r="N184" s="99">
        <f t="shared" si="258"/>
        <v>78.327697189743077</v>
      </c>
      <c r="O184" s="99">
        <f t="shared" si="259"/>
        <v>69.228593480746284</v>
      </c>
      <c r="P184" s="35">
        <f t="shared" si="260"/>
        <v>1.0022325455334058</v>
      </c>
      <c r="Q184" s="272"/>
      <c r="R184" s="272"/>
      <c r="S184" s="272"/>
    </row>
    <row r="185" spans="1:20" x14ac:dyDescent="0.25">
      <c r="B185" s="17" t="s">
        <v>329</v>
      </c>
      <c r="C185" s="173">
        <f t="shared" si="261"/>
        <v>0.10131672828695597</v>
      </c>
      <c r="D185" s="174">
        <f t="shared" si="262"/>
        <v>0.10116075481486284</v>
      </c>
      <c r="E185" s="56">
        <v>7.5</v>
      </c>
      <c r="F185" s="56">
        <v>10</v>
      </c>
      <c r="G185" s="175">
        <f t="shared" si="263"/>
        <v>2.0156283263656416</v>
      </c>
      <c r="H185" s="55">
        <v>1</v>
      </c>
      <c r="I185" s="17">
        <v>2384993</v>
      </c>
      <c r="J185" s="17">
        <v>327259</v>
      </c>
      <c r="K185" s="23">
        <v>1988495</v>
      </c>
      <c r="L185" s="17">
        <f t="shared" si="256"/>
        <v>0.19271975452338855</v>
      </c>
      <c r="M185" s="23">
        <f t="shared" si="257"/>
        <v>0.7307011039445398</v>
      </c>
      <c r="N185" s="99">
        <f t="shared" si="258"/>
        <v>80.757693063178948</v>
      </c>
      <c r="O185" s="99">
        <f t="shared" si="259"/>
        <v>72.957621578271798</v>
      </c>
      <c r="P185" s="35">
        <f t="shared" si="260"/>
        <v>1.0562182346054798</v>
      </c>
      <c r="Q185" s="272"/>
      <c r="R185" s="272"/>
      <c r="S185" s="272"/>
    </row>
    <row r="186" spans="1:20" x14ac:dyDescent="0.25">
      <c r="B186" s="90" t="s">
        <v>330</v>
      </c>
      <c r="C186" s="142">
        <f>0.1549/154.17/0.005</f>
        <v>0.20094700655120973</v>
      </c>
      <c r="D186" s="172">
        <f>0.0783/154.21/0.005</f>
        <v>0.10154983464107385</v>
      </c>
      <c r="E186" s="106">
        <v>7.5</v>
      </c>
      <c r="F186" s="106">
        <v>10</v>
      </c>
      <c r="G186" s="176">
        <f>(0.0663/3320/0.005/C186)*100</f>
        <v>1.9875767109756002</v>
      </c>
      <c r="H186" s="105">
        <v>1</v>
      </c>
      <c r="I186" s="90">
        <v>3167987</v>
      </c>
      <c r="J186" s="90">
        <v>1262511</v>
      </c>
      <c r="K186" s="107">
        <v>4163851</v>
      </c>
      <c r="L186" s="90">
        <f t="shared" si="256"/>
        <v>0.55972347724280436</v>
      </c>
      <c r="M186" s="107">
        <f t="shared" si="257"/>
        <v>1.151898355769768</v>
      </c>
      <c r="N186" s="102">
        <f t="shared" si="258"/>
        <v>71.714021754164094</v>
      </c>
      <c r="O186" s="102">
        <f t="shared" si="259"/>
        <v>58.21190848241605</v>
      </c>
      <c r="P186" s="108">
        <f t="shared" si="260"/>
        <v>1.6714570260268815</v>
      </c>
      <c r="Q186" s="161"/>
      <c r="R186" s="161"/>
      <c r="S186" s="161"/>
    </row>
    <row r="187" spans="1:20" x14ac:dyDescent="0.25">
      <c r="B187" s="90" t="s">
        <v>331</v>
      </c>
      <c r="C187" s="142">
        <f t="shared" ref="C187:C189" si="264">0.1549/154.17/0.005</f>
        <v>0.20094700655120973</v>
      </c>
      <c r="D187" s="172">
        <f t="shared" ref="D187:D189" si="265">0.0783/154.21/0.005</f>
        <v>0.10154983464107385</v>
      </c>
      <c r="E187" s="106">
        <v>7.5</v>
      </c>
      <c r="F187" s="106">
        <v>10</v>
      </c>
      <c r="G187" s="176">
        <f t="shared" ref="G187:G189" si="266">(0.0663/3320/0.005/C187)*100</f>
        <v>1.9875767109756002</v>
      </c>
      <c r="H187" s="105">
        <v>1</v>
      </c>
      <c r="I187" s="90">
        <v>4165301</v>
      </c>
      <c r="J187" s="90">
        <v>1263090</v>
      </c>
      <c r="K187" s="107">
        <v>6239939</v>
      </c>
      <c r="L187" s="90">
        <f t="shared" si="256"/>
        <v>0.42590197082995923</v>
      </c>
      <c r="M187" s="107">
        <f t="shared" si="257"/>
        <v>1.3129141302393272</v>
      </c>
      <c r="N187" s="102">
        <f t="shared" si="258"/>
        <v>78.476775815982194</v>
      </c>
      <c r="O187" s="102">
        <f t="shared" si="259"/>
        <v>66.34894199817596</v>
      </c>
      <c r="P187" s="108">
        <f t="shared" si="260"/>
        <v>1.9050982550383209</v>
      </c>
      <c r="Q187" s="276">
        <f>AVERAGE(N187:N189)</f>
        <v>90.485497443124174</v>
      </c>
      <c r="R187" s="276">
        <f>AVERAGE(O187:O189)</f>
        <v>80.212333508354007</v>
      </c>
      <c r="S187" s="276">
        <f>AVERAGE(P187:P189)</f>
        <v>2.3031622207859486</v>
      </c>
    </row>
    <row r="188" spans="1:20" x14ac:dyDescent="0.25">
      <c r="B188" s="90" t="s">
        <v>332</v>
      </c>
      <c r="C188" s="142">
        <f t="shared" si="264"/>
        <v>0.20094700655120973</v>
      </c>
      <c r="D188" s="172">
        <f t="shared" si="265"/>
        <v>0.10154983464107385</v>
      </c>
      <c r="E188" s="106">
        <v>7.5</v>
      </c>
      <c r="F188" s="106">
        <v>10</v>
      </c>
      <c r="G188" s="176">
        <f t="shared" si="266"/>
        <v>1.9875767109756002</v>
      </c>
      <c r="H188" s="105">
        <v>1</v>
      </c>
      <c r="I188" s="90">
        <v>3507287</v>
      </c>
      <c r="J188" s="90">
        <v>324039</v>
      </c>
      <c r="K188" s="107">
        <v>6475073</v>
      </c>
      <c r="L188" s="90">
        <f t="shared" si="256"/>
        <v>0.12976205696881948</v>
      </c>
      <c r="M188" s="107">
        <f t="shared" si="257"/>
        <v>1.6179896248011638</v>
      </c>
      <c r="N188" s="102">
        <f t="shared" si="258"/>
        <v>93.442392771095555</v>
      </c>
      <c r="O188" s="102">
        <f>100*M188/(C188/D188)</f>
        <v>81.766124148586954</v>
      </c>
      <c r="P188" s="108">
        <f t="shared" si="260"/>
        <v>2.3477767051809528</v>
      </c>
      <c r="Q188" s="276"/>
      <c r="R188" s="276"/>
      <c r="S188" s="276"/>
    </row>
    <row r="189" spans="1:20" x14ac:dyDescent="0.25">
      <c r="B189" s="90" t="s">
        <v>333</v>
      </c>
      <c r="C189" s="142">
        <f t="shared" si="264"/>
        <v>0.20094700655120973</v>
      </c>
      <c r="D189" s="172">
        <f t="shared" si="265"/>
        <v>0.10154983464107385</v>
      </c>
      <c r="E189" s="106">
        <v>7.5</v>
      </c>
      <c r="F189" s="106">
        <v>10</v>
      </c>
      <c r="G189" s="176">
        <f t="shared" si="266"/>
        <v>1.9875767109756002</v>
      </c>
      <c r="H189" s="105">
        <v>1</v>
      </c>
      <c r="I189" s="90">
        <v>2216716</v>
      </c>
      <c r="J189" s="90">
        <v>14450</v>
      </c>
      <c r="K189" s="107">
        <v>4630786</v>
      </c>
      <c r="L189" s="90">
        <f t="shared" si="256"/>
        <v>9.1554466156241951E-3</v>
      </c>
      <c r="M189" s="107">
        <f t="shared" si="257"/>
        <v>1.8308258028543123</v>
      </c>
      <c r="N189" s="102">
        <f t="shared" si="258"/>
        <v>99.537323742294774</v>
      </c>
      <c r="O189" s="102">
        <f t="shared" ref="O189:O202" si="267">100*M189/(C189/D189)</f>
        <v>92.521934378299107</v>
      </c>
      <c r="P189" s="108">
        <f t="shared" si="260"/>
        <v>2.656611702138572</v>
      </c>
      <c r="Q189" s="276"/>
      <c r="R189" s="276"/>
      <c r="S189" s="276"/>
    </row>
    <row r="190" spans="1:20" x14ac:dyDescent="0.25">
      <c r="B190" s="92" t="s">
        <v>334</v>
      </c>
      <c r="C190" s="143">
        <f>0.1566/154.17/0.005</f>
        <v>0.20315236427320488</v>
      </c>
      <c r="D190" s="148">
        <f>0.0776/154.21/0.005</f>
        <v>0.10064198171324816</v>
      </c>
      <c r="E190" s="144">
        <v>7.5</v>
      </c>
      <c r="F190" s="144">
        <v>10</v>
      </c>
      <c r="G190" s="149">
        <f>(0.1317/3320/0.005/C190)*100</f>
        <v>3.9053126298296643</v>
      </c>
      <c r="H190" s="145">
        <v>1</v>
      </c>
      <c r="I190" s="92">
        <v>2354734</v>
      </c>
      <c r="J190" s="92">
        <v>8576</v>
      </c>
      <c r="K190" s="146">
        <v>4873012</v>
      </c>
      <c r="L190" s="92">
        <f t="shared" si="256"/>
        <v>5.1152240550312693E-3</v>
      </c>
      <c r="M190" s="146">
        <f t="shared" si="257"/>
        <v>1.8136688546561948</v>
      </c>
      <c r="N190" s="93">
        <f t="shared" si="258"/>
        <v>99.746591043797409</v>
      </c>
      <c r="O190" s="93">
        <f t="shared" si="267"/>
        <v>89.849423292324317</v>
      </c>
      <c r="P190" s="147">
        <f t="shared" si="260"/>
        <v>2.6081887126652634</v>
      </c>
      <c r="Q190" s="272">
        <f>AVERAGE(N190:N193)</f>
        <v>99.839002100038911</v>
      </c>
      <c r="R190" s="272">
        <f t="shared" ref="R190:S190" si="268">AVERAGE(O190:O193)</f>
        <v>90.716230733027899</v>
      </c>
      <c r="S190" s="272">
        <f t="shared" si="268"/>
        <v>2.6333507816030002</v>
      </c>
      <c r="T190" s="177"/>
    </row>
    <row r="191" spans="1:20" x14ac:dyDescent="0.25">
      <c r="B191" s="92" t="s">
        <v>335</v>
      </c>
      <c r="C191" s="143">
        <f t="shared" ref="C191:C193" si="269">0.1566/154.17/0.005</f>
        <v>0.20315236427320488</v>
      </c>
      <c r="D191" s="148">
        <f t="shared" ref="D191:D193" si="270">0.0776/154.21/0.005</f>
        <v>0.10064198171324816</v>
      </c>
      <c r="E191" s="144">
        <v>7.5</v>
      </c>
      <c r="F191" s="144">
        <v>10</v>
      </c>
      <c r="G191" s="149">
        <f t="shared" ref="G191:G193" si="271">(0.1317/3320/0.005/C191)*100</f>
        <v>3.9053126298296643</v>
      </c>
      <c r="H191" s="145">
        <v>1</v>
      </c>
      <c r="I191" s="92">
        <v>3802718</v>
      </c>
      <c r="J191" s="92">
        <v>11962</v>
      </c>
      <c r="K191" s="146">
        <v>7608137</v>
      </c>
      <c r="L191" s="92">
        <f t="shared" si="256"/>
        <v>4.4180580837180142E-3</v>
      </c>
      <c r="M191" s="146">
        <f t="shared" si="257"/>
        <v>1.7534224906501088</v>
      </c>
      <c r="N191" s="93">
        <f t="shared" si="258"/>
        <v>99.781128749123667</v>
      </c>
      <c r="O191" s="93">
        <f t="shared" si="267"/>
        <v>86.864809509323464</v>
      </c>
      <c r="P191" s="147">
        <f t="shared" si="260"/>
        <v>2.5215500265697344</v>
      </c>
      <c r="Q191" s="272"/>
      <c r="R191" s="272"/>
      <c r="S191" s="272"/>
      <c r="T191" s="177"/>
    </row>
    <row r="192" spans="1:20" x14ac:dyDescent="0.25">
      <c r="B192" s="92" t="s">
        <v>336</v>
      </c>
      <c r="C192" s="143">
        <f t="shared" si="269"/>
        <v>0.20315236427320488</v>
      </c>
      <c r="D192" s="148">
        <f t="shared" si="270"/>
        <v>0.10064198171324816</v>
      </c>
      <c r="E192" s="144">
        <v>7.5</v>
      </c>
      <c r="F192" s="144">
        <v>10</v>
      </c>
      <c r="G192" s="149">
        <f t="shared" si="271"/>
        <v>3.9053126298296643</v>
      </c>
      <c r="H192" s="145">
        <v>1</v>
      </c>
      <c r="I192" s="92">
        <v>3165726</v>
      </c>
      <c r="J192" s="92">
        <v>5123</v>
      </c>
      <c r="K192" s="146">
        <v>6500796</v>
      </c>
      <c r="L192" s="92">
        <f t="shared" si="256"/>
        <v>2.2728604749747768E-3</v>
      </c>
      <c r="M192" s="146">
        <f t="shared" si="257"/>
        <v>1.7996812151146371</v>
      </c>
      <c r="N192" s="93">
        <f t="shared" si="258"/>
        <v>99.887402155924917</v>
      </c>
      <c r="O192" s="93">
        <f t="shared" si="267"/>
        <v>89.15647356073282</v>
      </c>
      <c r="P192" s="147">
        <f t="shared" si="260"/>
        <v>2.5880734620364287</v>
      </c>
      <c r="Q192" s="272"/>
      <c r="R192" s="272"/>
      <c r="S192" s="272"/>
      <c r="T192" s="177"/>
    </row>
    <row r="193" spans="1:20" x14ac:dyDescent="0.25">
      <c r="B193" s="92" t="s">
        <v>337</v>
      </c>
      <c r="C193" s="143">
        <f t="shared" si="269"/>
        <v>0.20315236427320488</v>
      </c>
      <c r="D193" s="148">
        <f t="shared" si="270"/>
        <v>0.10064198171324816</v>
      </c>
      <c r="E193" s="144">
        <v>7.5</v>
      </c>
      <c r="F193" s="144">
        <v>10</v>
      </c>
      <c r="G193" s="149">
        <f t="shared" si="271"/>
        <v>3.9053126298296643</v>
      </c>
      <c r="H193" s="145">
        <v>1</v>
      </c>
      <c r="I193" s="92">
        <v>1145262</v>
      </c>
      <c r="J193" s="92">
        <v>973</v>
      </c>
      <c r="K193" s="146">
        <v>2558533</v>
      </c>
      <c r="L193" s="92">
        <f t="shared" si="256"/>
        <v>1.1932453010752126E-3</v>
      </c>
      <c r="M193" s="146">
        <f t="shared" si="257"/>
        <v>1.9578911386215554</v>
      </c>
      <c r="N193" s="93">
        <f t="shared" si="258"/>
        <v>99.940886451309652</v>
      </c>
      <c r="O193" s="93">
        <f t="shared" si="267"/>
        <v>96.994216569731023</v>
      </c>
      <c r="P193" s="147">
        <f t="shared" si="260"/>
        <v>2.8155909251405746</v>
      </c>
      <c r="Q193" s="272"/>
      <c r="R193" s="272"/>
      <c r="S193" s="272"/>
      <c r="T193" s="177"/>
    </row>
    <row r="194" spans="1:20" x14ac:dyDescent="0.25">
      <c r="B194" s="150" t="s">
        <v>338</v>
      </c>
      <c r="C194" s="151">
        <f>0.2342/154.17/0.005</f>
        <v>0.30382045793604462</v>
      </c>
      <c r="D194" s="152">
        <f>0.0777/154.21/0.005</f>
        <v>0.10077167498865183</v>
      </c>
      <c r="E194" s="153">
        <v>7.5</v>
      </c>
      <c r="F194" s="153">
        <v>10</v>
      </c>
      <c r="G194" s="154">
        <f>(0.2/3320/0.005/C194)*100</f>
        <v>3.965563363616722</v>
      </c>
      <c r="H194" s="155">
        <v>1</v>
      </c>
      <c r="I194" s="150">
        <v>2324387</v>
      </c>
      <c r="J194" s="150">
        <v>434415</v>
      </c>
      <c r="K194" s="156">
        <v>6762944</v>
      </c>
      <c r="L194" s="150">
        <f t="shared" si="256"/>
        <v>0.26249323692655313</v>
      </c>
      <c r="M194" s="156">
        <f t="shared" si="257"/>
        <v>2.5499385952511351</v>
      </c>
      <c r="N194" s="157">
        <f t="shared" si="258"/>
        <v>91.293580643654352</v>
      </c>
      <c r="O194" s="157">
        <f t="shared" si="267"/>
        <v>84.576787589385518</v>
      </c>
      <c r="P194" s="158">
        <f t="shared" si="260"/>
        <v>3.6717240646548572</v>
      </c>
    </row>
    <row r="195" spans="1:20" x14ac:dyDescent="0.25">
      <c r="B195" s="150" t="s">
        <v>339</v>
      </c>
      <c r="C195" s="151">
        <f t="shared" ref="C195:C197" si="272">0.2342/154.17/0.005</f>
        <v>0.30382045793604462</v>
      </c>
      <c r="D195" s="152">
        <f t="shared" ref="D195:D197" si="273">0.0777/154.21/0.005</f>
        <v>0.10077167498865183</v>
      </c>
      <c r="E195" s="153">
        <v>7.5</v>
      </c>
      <c r="F195" s="153">
        <v>10</v>
      </c>
      <c r="G195" s="154">
        <f t="shared" ref="G195:G197" si="274">(0.2/3320/0.005/C195)*100</f>
        <v>3.965563363616722</v>
      </c>
      <c r="H195" s="155">
        <v>1</v>
      </c>
      <c r="I195" s="150">
        <v>3580961</v>
      </c>
      <c r="J195" s="150">
        <v>244680</v>
      </c>
      <c r="K195" s="156">
        <v>10371296</v>
      </c>
      <c r="L195" s="150">
        <f t="shared" si="256"/>
        <v>9.596671396309539E-2</v>
      </c>
      <c r="M195" s="156">
        <f t="shared" si="257"/>
        <v>2.5382582536922351</v>
      </c>
      <c r="N195" s="157">
        <f t="shared" si="258"/>
        <v>96.816960064205531</v>
      </c>
      <c r="O195" s="157">
        <f t="shared" si="267"/>
        <v>84.189372077169509</v>
      </c>
      <c r="P195" s="158">
        <f t="shared" si="260"/>
        <v>3.6549052317366559</v>
      </c>
      <c r="Q195" s="276">
        <f>AVERAGE(N194:N196)</f>
        <v>95.748663173594437</v>
      </c>
      <c r="R195" s="276">
        <f>AVERAGE(O194:O196)</f>
        <v>83.971686270491105</v>
      </c>
      <c r="S195" s="276">
        <f t="shared" ref="S195" si="275">AVERAGE(P195:P197)</f>
        <v>3.7417142034425694</v>
      </c>
    </row>
    <row r="196" spans="1:20" x14ac:dyDescent="0.25">
      <c r="B196" s="150" t="s">
        <v>340</v>
      </c>
      <c r="C196" s="151">
        <f t="shared" si="272"/>
        <v>0.30382045793604462</v>
      </c>
      <c r="D196" s="152">
        <f t="shared" si="273"/>
        <v>0.10077167498865183</v>
      </c>
      <c r="E196" s="153">
        <v>7.5</v>
      </c>
      <c r="F196" s="153">
        <v>10</v>
      </c>
      <c r="G196" s="154">
        <f t="shared" si="274"/>
        <v>3.965563363616722</v>
      </c>
      <c r="H196" s="155">
        <v>1</v>
      </c>
      <c r="I196" s="150">
        <v>3395874</v>
      </c>
      <c r="J196" s="150">
        <v>63023</v>
      </c>
      <c r="K196" s="156">
        <v>9713690</v>
      </c>
      <c r="L196" s="150">
        <f t="shared" si="256"/>
        <v>2.6065691336015412E-2</v>
      </c>
      <c r="M196" s="156">
        <f t="shared" si="257"/>
        <v>2.5068886289656209</v>
      </c>
      <c r="N196" s="157">
        <f t="shared" si="258"/>
        <v>99.135448812923457</v>
      </c>
      <c r="O196" s="157">
        <f t="shared" si="267"/>
        <v>83.148899144918261</v>
      </c>
      <c r="P196" s="158">
        <f t="shared" si="260"/>
        <v>3.6097352789297892</v>
      </c>
      <c r="Q196" s="276"/>
      <c r="R196" s="276"/>
      <c r="S196" s="276"/>
    </row>
    <row r="197" spans="1:20" x14ac:dyDescent="0.25">
      <c r="B197" s="150" t="s">
        <v>341</v>
      </c>
      <c r="C197" s="151">
        <f t="shared" si="272"/>
        <v>0.30382045793604462</v>
      </c>
      <c r="D197" s="152">
        <f t="shared" si="273"/>
        <v>0.10077167498865183</v>
      </c>
      <c r="E197" s="153">
        <v>7.5</v>
      </c>
      <c r="F197" s="153">
        <v>10</v>
      </c>
      <c r="G197" s="154">
        <f t="shared" si="274"/>
        <v>3.965563363616722</v>
      </c>
      <c r="H197" s="155">
        <v>1</v>
      </c>
      <c r="I197" s="150">
        <v>2368320</v>
      </c>
      <c r="J197" s="150">
        <v>14948</v>
      </c>
      <c r="K197" s="156">
        <v>7432723</v>
      </c>
      <c r="L197" s="150">
        <f t="shared" si="256"/>
        <v>8.8647083164437243E-3</v>
      </c>
      <c r="M197" s="156">
        <f t="shared" si="257"/>
        <v>2.7504891387988111</v>
      </c>
      <c r="N197" s="157">
        <f t="shared" si="258"/>
        <v>99.705973879638506</v>
      </c>
      <c r="O197" s="157">
        <f t="shared" si="267"/>
        <v>91.228681385634786</v>
      </c>
      <c r="P197" s="158">
        <f t="shared" si="260"/>
        <v>3.9605020996612623</v>
      </c>
      <c r="Q197" s="276"/>
      <c r="R197" s="276"/>
      <c r="S197" s="276"/>
    </row>
    <row r="198" spans="1:20" x14ac:dyDescent="0.25">
      <c r="B198" s="92" t="s">
        <v>342</v>
      </c>
      <c r="C198" s="143">
        <f>0.3058/154.17/0.005</f>
        <v>0.39670493610948954</v>
      </c>
      <c r="D198" s="148">
        <f>0.077/154.21/0.005</f>
        <v>9.9863822060826127E-2</v>
      </c>
      <c r="E198" s="144">
        <v>7.5</v>
      </c>
      <c r="F198" s="144">
        <v>10</v>
      </c>
      <c r="G198" s="149">
        <f>(0.332/3320/0.005/C198)*100</f>
        <v>5.0415304120340094</v>
      </c>
      <c r="H198" s="145">
        <v>1</v>
      </c>
      <c r="I198" s="92">
        <v>2568238</v>
      </c>
      <c r="J198" s="92">
        <v>1825760</v>
      </c>
      <c r="K198" s="146">
        <v>8295661</v>
      </c>
      <c r="L198" s="92">
        <f t="shared" si="256"/>
        <v>0.99845883442266659</v>
      </c>
      <c r="M198" s="146">
        <f t="shared" si="257"/>
        <v>2.8308580826231835</v>
      </c>
      <c r="N198" s="93">
        <f t="shared" si="258"/>
        <v>74.865471462566987</v>
      </c>
      <c r="O198" s="93">
        <f t="shared" si="267"/>
        <v>71.262109973975328</v>
      </c>
      <c r="P198" s="147">
        <f t="shared" si="260"/>
        <v>4.0395046987619541</v>
      </c>
      <c r="Q198" s="161"/>
      <c r="R198" s="161"/>
      <c r="S198" s="161"/>
    </row>
    <row r="199" spans="1:20" x14ac:dyDescent="0.25">
      <c r="B199" s="92" t="s">
        <v>343</v>
      </c>
      <c r="C199" s="143">
        <f t="shared" ref="C199:C202" si="276">0.3058/154.17/0.005</f>
        <v>0.39670493610948954</v>
      </c>
      <c r="D199" s="148">
        <f t="shared" ref="D199:D202" si="277">0.077/154.21/0.005</f>
        <v>9.9863822060826127E-2</v>
      </c>
      <c r="E199" s="144">
        <v>7.5</v>
      </c>
      <c r="F199" s="144">
        <v>10</v>
      </c>
      <c r="G199" s="149">
        <f t="shared" ref="G199:G202" si="278">(0.332/3320/0.005/C199)*100</f>
        <v>5.0415304120340094</v>
      </c>
      <c r="H199" s="145">
        <v>1</v>
      </c>
      <c r="I199" s="92">
        <v>3412319</v>
      </c>
      <c r="J199" s="92">
        <v>826538</v>
      </c>
      <c r="K199" s="146">
        <v>11819866</v>
      </c>
      <c r="L199" s="92">
        <f t="shared" si="256"/>
        <v>0.34020049737436625</v>
      </c>
      <c r="M199" s="146">
        <f t="shared" si="257"/>
        <v>3.0357450643975548</v>
      </c>
      <c r="N199" s="93">
        <f t="shared" si="258"/>
        <v>91.43602238278639</v>
      </c>
      <c r="O199" s="93">
        <f t="shared" si="267"/>
        <v>76.419796513284837</v>
      </c>
      <c r="P199" s="147">
        <f t="shared" si="260"/>
        <v>4.3318690283880441</v>
      </c>
      <c r="Q199" s="276">
        <f>AVERAGE(N199:N201)</f>
        <v>96.401787344276272</v>
      </c>
      <c r="R199" s="276">
        <f>AVERAGE(O199:O201)</f>
        <v>85.296663119012806</v>
      </c>
      <c r="S199" s="276">
        <f>AVERAGE(P199:P201)</f>
        <v>4.8350557060940025</v>
      </c>
    </row>
    <row r="200" spans="1:20" x14ac:dyDescent="0.25">
      <c r="B200" s="92" t="s">
        <v>344</v>
      </c>
      <c r="C200" s="143">
        <f t="shared" si="276"/>
        <v>0.39670493610948954</v>
      </c>
      <c r="D200" s="148">
        <f t="shared" si="277"/>
        <v>9.9863822060826127E-2</v>
      </c>
      <c r="E200" s="144">
        <v>7.5</v>
      </c>
      <c r="F200" s="144">
        <v>10</v>
      </c>
      <c r="G200" s="149">
        <f t="shared" si="278"/>
        <v>5.0415304120340094</v>
      </c>
      <c r="H200" s="145">
        <v>1</v>
      </c>
      <c r="I200" s="92">
        <v>2943958</v>
      </c>
      <c r="J200" s="92">
        <v>161845</v>
      </c>
      <c r="K200" s="146">
        <v>10882448</v>
      </c>
      <c r="L200" s="92">
        <f t="shared" si="256"/>
        <v>7.7212821140790741E-2</v>
      </c>
      <c r="M200" s="146">
        <f t="shared" si="257"/>
        <v>3.2396445286243893</v>
      </c>
      <c r="N200" s="93">
        <f t="shared" si="258"/>
        <v>98.056296574769576</v>
      </c>
      <c r="O200" s="93">
        <f t="shared" si="267"/>
        <v>81.552623952625424</v>
      </c>
      <c r="P200" s="147">
        <f t="shared" si="260"/>
        <v>4.6228242157480963</v>
      </c>
      <c r="Q200" s="276"/>
      <c r="R200" s="276"/>
      <c r="S200" s="276"/>
    </row>
    <row r="201" spans="1:20" x14ac:dyDescent="0.25">
      <c r="B201" s="92" t="s">
        <v>345</v>
      </c>
      <c r="C201" s="143">
        <f t="shared" si="276"/>
        <v>0.39670493610948954</v>
      </c>
      <c r="D201" s="148">
        <f t="shared" si="277"/>
        <v>9.9863822060826127E-2</v>
      </c>
      <c r="E201" s="144">
        <v>7.5</v>
      </c>
      <c r="F201" s="144">
        <v>10</v>
      </c>
      <c r="G201" s="149">
        <f t="shared" si="278"/>
        <v>5.0415304120340094</v>
      </c>
      <c r="H201" s="145">
        <v>1</v>
      </c>
      <c r="I201" s="92">
        <v>1413464</v>
      </c>
      <c r="J201" s="92">
        <v>11472</v>
      </c>
      <c r="K201" s="146">
        <v>6273392</v>
      </c>
      <c r="L201" s="92">
        <f t="shared" si="256"/>
        <v>1.1399246107435351E-2</v>
      </c>
      <c r="M201" s="146">
        <f t="shared" si="257"/>
        <v>3.8897352524011932</v>
      </c>
      <c r="N201" s="93">
        <f t="shared" si="258"/>
        <v>99.713043075272878</v>
      </c>
      <c r="O201" s="93">
        <f t="shared" si="267"/>
        <v>97.917568891128155</v>
      </c>
      <c r="P201" s="147">
        <f t="shared" si="260"/>
        <v>5.5504738741458652</v>
      </c>
      <c r="Q201" s="276"/>
      <c r="R201" s="276"/>
      <c r="S201" s="276"/>
    </row>
    <row r="202" spans="1:20" x14ac:dyDescent="0.25">
      <c r="B202" s="92" t="s">
        <v>346</v>
      </c>
      <c r="C202" s="143">
        <f t="shared" si="276"/>
        <v>0.39670493610948954</v>
      </c>
      <c r="D202" s="148">
        <f t="shared" si="277"/>
        <v>9.9863822060826127E-2</v>
      </c>
      <c r="E202" s="144">
        <v>7.5</v>
      </c>
      <c r="F202" s="144">
        <v>10</v>
      </c>
      <c r="G202" s="149">
        <f t="shared" si="278"/>
        <v>5.0415304120340094</v>
      </c>
      <c r="H202" s="145">
        <v>1</v>
      </c>
      <c r="I202" s="92">
        <v>859428</v>
      </c>
      <c r="J202" s="92">
        <v>3294</v>
      </c>
      <c r="K202" s="146">
        <v>4273423</v>
      </c>
      <c r="L202" s="92">
        <f t="shared" ref="L202:L206" si="279">1.4045*(J202/I202)</f>
        <v>5.3831420433125294E-3</v>
      </c>
      <c r="M202" s="146">
        <f t="shared" ref="M202:M206" si="280">0.8764*(K202/I202)</f>
        <v>4.3578146362464336</v>
      </c>
      <c r="N202" s="93">
        <f t="shared" ref="N202:N206" si="281">100*(1-L202/(C202/D202))</f>
        <v>99.864488416904109</v>
      </c>
      <c r="O202" s="93">
        <f t="shared" si="267"/>
        <v>109.70068325241782</v>
      </c>
      <c r="P202" s="147">
        <f t="shared" ref="P202:P206" si="282">(238.15*C202*(O202/100)*7.5/1000)*(60/E202)</f>
        <v>6.2184016950574499</v>
      </c>
      <c r="Q202" s="161"/>
      <c r="R202" s="161"/>
      <c r="S202" s="161"/>
    </row>
    <row r="203" spans="1:20" x14ac:dyDescent="0.25">
      <c r="A203" s="22">
        <v>43849</v>
      </c>
      <c r="B203" s="11" t="s">
        <v>356</v>
      </c>
      <c r="C203" s="192">
        <f>0.1242/154.17/0.002</f>
        <v>0.40280210157618218</v>
      </c>
      <c r="D203" s="193">
        <f>0.0308/154.21/0.002</f>
        <v>9.9863822060826141E-2</v>
      </c>
      <c r="E203" s="59">
        <v>7.5</v>
      </c>
      <c r="F203" s="59">
        <v>10</v>
      </c>
      <c r="G203" s="194">
        <f>(0.1596/3320/0.002/C203)*100</f>
        <v>5.9672341540073326</v>
      </c>
      <c r="H203" s="58">
        <v>1</v>
      </c>
      <c r="I203" s="11">
        <v>936877</v>
      </c>
      <c r="J203" s="11">
        <v>1573</v>
      </c>
      <c r="K203" s="24">
        <v>3492093</v>
      </c>
      <c r="L203" s="11">
        <f t="shared" si="279"/>
        <v>2.3581307898475471E-3</v>
      </c>
      <c r="M203" s="24">
        <f t="shared" si="280"/>
        <v>3.2666724716264781</v>
      </c>
      <c r="N203" s="96">
        <f t="shared" si="281"/>
        <v>99.941536562825277</v>
      </c>
      <c r="O203" s="96">
        <f t="shared" ref="O203:O215" si="283">100*M203/(C203/D203)</f>
        <v>80.988256307745985</v>
      </c>
      <c r="P203" s="38">
        <f t="shared" si="282"/>
        <v>4.6613918512735202</v>
      </c>
    </row>
    <row r="204" spans="1:20" x14ac:dyDescent="0.25">
      <c r="B204" s="11" t="s">
        <v>357</v>
      </c>
      <c r="C204" s="192">
        <f t="shared" ref="C204:C207" si="284">0.1242/154.17/0.002</f>
        <v>0.40280210157618218</v>
      </c>
      <c r="D204" s="193">
        <f t="shared" ref="D204:D207" si="285">0.0308/154.21/0.002</f>
        <v>9.9863822060826141E-2</v>
      </c>
      <c r="E204" s="59">
        <v>7.5</v>
      </c>
      <c r="F204" s="59">
        <v>10</v>
      </c>
      <c r="G204" s="194">
        <f t="shared" ref="G204:G207" si="286">(0.1596/3320/0.002/C204)*100</f>
        <v>5.9672341540073326</v>
      </c>
      <c r="H204" s="58">
        <v>1</v>
      </c>
      <c r="I204" s="11">
        <v>1105888</v>
      </c>
      <c r="J204" s="11">
        <v>1366</v>
      </c>
      <c r="K204" s="24">
        <v>4526798</v>
      </c>
      <c r="L204" s="11">
        <f t="shared" si="279"/>
        <v>1.7348474709916375E-3</v>
      </c>
      <c r="M204" s="24">
        <f t="shared" si="280"/>
        <v>3.5874209388292484</v>
      </c>
      <c r="N204" s="96">
        <f t="shared" si="281"/>
        <v>99.956989176951197</v>
      </c>
      <c r="O204" s="96">
        <f t="shared" si="283"/>
        <v>88.94034189262274</v>
      </c>
      <c r="P204" s="38">
        <f t="shared" si="282"/>
        <v>5.119085208753904</v>
      </c>
      <c r="Q204" s="276">
        <f>AVERAGE(N203:N205)</f>
        <v>99.952442262874726</v>
      </c>
      <c r="R204" s="276">
        <f>AVERAGE(O203:O205)</f>
        <v>89.722925658880627</v>
      </c>
      <c r="S204" s="276">
        <f>AVERAGE(P204:P206)</f>
        <v>5.5402264095600868</v>
      </c>
    </row>
    <row r="205" spans="1:20" x14ac:dyDescent="0.25">
      <c r="B205" s="11" t="s">
        <v>358</v>
      </c>
      <c r="C205" s="192">
        <f t="shared" si="284"/>
        <v>0.40280210157618218</v>
      </c>
      <c r="D205" s="193">
        <f t="shared" si="285"/>
        <v>9.9863822060826141E-2</v>
      </c>
      <c r="E205" s="59">
        <v>7.5</v>
      </c>
      <c r="F205" s="59">
        <v>10</v>
      </c>
      <c r="G205" s="194">
        <f t="shared" si="286"/>
        <v>5.9672341540073326</v>
      </c>
      <c r="H205" s="58">
        <v>1</v>
      </c>
      <c r="I205" s="11">
        <v>687981</v>
      </c>
      <c r="J205" s="11">
        <v>814</v>
      </c>
      <c r="K205" s="24">
        <v>3142282</v>
      </c>
      <c r="L205" s="11">
        <f t="shared" si="279"/>
        <v>1.6617653685203515E-3</v>
      </c>
      <c r="M205" s="24">
        <f t="shared" si="280"/>
        <v>4.0028662779931423</v>
      </c>
      <c r="N205" s="96">
        <f t="shared" si="281"/>
        <v>99.958801048847718</v>
      </c>
      <c r="O205" s="96">
        <f t="shared" si="283"/>
        <v>99.240178776273169</v>
      </c>
      <c r="P205" s="38">
        <f t="shared" si="282"/>
        <v>5.7119066609957709</v>
      </c>
      <c r="Q205" s="276"/>
      <c r="R205" s="276"/>
      <c r="S205" s="276"/>
    </row>
    <row r="206" spans="1:20" x14ac:dyDescent="0.25">
      <c r="B206" s="11" t="s">
        <v>359</v>
      </c>
      <c r="C206" s="192">
        <f t="shared" si="284"/>
        <v>0.40280210157618218</v>
      </c>
      <c r="D206" s="193">
        <f t="shared" si="285"/>
        <v>9.9863822060826141E-2</v>
      </c>
      <c r="E206" s="59">
        <v>7.5</v>
      </c>
      <c r="F206" s="59">
        <v>10</v>
      </c>
      <c r="G206" s="194">
        <f t="shared" si="286"/>
        <v>5.9672341540073326</v>
      </c>
      <c r="H206" s="58">
        <v>1</v>
      </c>
      <c r="I206" s="11">
        <v>278933</v>
      </c>
      <c r="J206" s="11">
        <v>296</v>
      </c>
      <c r="K206" s="24">
        <v>1291346</v>
      </c>
      <c r="L206" s="11">
        <f t="shared" si="279"/>
        <v>1.4904367715544594E-3</v>
      </c>
      <c r="M206" s="24">
        <f t="shared" si="280"/>
        <v>4.0573744748738942</v>
      </c>
      <c r="N206" s="96">
        <f t="shared" si="281"/>
        <v>99.963048675276269</v>
      </c>
      <c r="O206" s="96">
        <f t="shared" si="283"/>
        <v>100.59156121763969</v>
      </c>
      <c r="P206" s="38">
        <f t="shared" si="282"/>
        <v>5.7896873589305855</v>
      </c>
      <c r="Q206" s="276"/>
      <c r="R206" s="276"/>
      <c r="S206" s="276"/>
    </row>
    <row r="207" spans="1:20" x14ac:dyDescent="0.25">
      <c r="B207" s="11" t="s">
        <v>360</v>
      </c>
      <c r="C207" s="192">
        <f t="shared" si="284"/>
        <v>0.40280210157618218</v>
      </c>
      <c r="D207" s="193">
        <f t="shared" si="285"/>
        <v>9.9863822060826141E-2</v>
      </c>
      <c r="E207" s="59">
        <v>7.5</v>
      </c>
      <c r="F207" s="59">
        <v>10</v>
      </c>
      <c r="G207" s="194">
        <f t="shared" si="286"/>
        <v>5.9672341540073326</v>
      </c>
      <c r="H207" s="58">
        <v>1</v>
      </c>
      <c r="I207" s="11">
        <v>347681</v>
      </c>
      <c r="J207" s="11">
        <v>2336</v>
      </c>
      <c r="K207" s="24">
        <v>1589019</v>
      </c>
      <c r="L207" s="11">
        <f t="shared" ref="L207:L215" si="287">1.4045*(J207/I207)</f>
        <v>9.4365582243493319E-3</v>
      </c>
      <c r="M207" s="24">
        <f t="shared" ref="M207:M215" si="288">0.8764*(K207/I207)</f>
        <v>4.0054424935501221</v>
      </c>
      <c r="N207" s="96">
        <f t="shared" ref="N207:N215" si="289">100*(1-L207/(C207/D207))</f>
        <v>99.766046212843591</v>
      </c>
      <c r="O207" s="96">
        <f t="shared" si="283"/>
        <v>99.304049031906345</v>
      </c>
      <c r="P207" s="38">
        <f t="shared" ref="P207:P215" si="290">(238.15*C207*(O207/100)*7.5/1000)*(60/E207)</f>
        <v>5.715582802484926</v>
      </c>
    </row>
    <row r="208" spans="1:20" x14ac:dyDescent="0.25">
      <c r="B208" s="150" t="s">
        <v>361</v>
      </c>
      <c r="C208" s="151">
        <f>0.1542/154.17/0.002</f>
        <v>0.50009729519361745</v>
      </c>
      <c r="D208" s="152">
        <f>0.0314/154.21/0.002</f>
        <v>0.10180922119188118</v>
      </c>
      <c r="E208" s="153">
        <v>7.5</v>
      </c>
      <c r="F208" s="153">
        <v>10</v>
      </c>
      <c r="G208" s="154">
        <f>(0.2323/3320/0.002/C208)*100</f>
        <v>6.9956266701045422</v>
      </c>
      <c r="H208" s="155">
        <v>1</v>
      </c>
      <c r="I208" s="150">
        <v>1007936</v>
      </c>
      <c r="J208" s="150">
        <v>5563</v>
      </c>
      <c r="K208" s="156">
        <v>5142466</v>
      </c>
      <c r="L208" s="150">
        <f t="shared" si="287"/>
        <v>7.7517158827544608E-3</v>
      </c>
      <c r="M208" s="156">
        <f t="shared" si="288"/>
        <v>4.4713723911041967</v>
      </c>
      <c r="N208" s="157">
        <f t="shared" si="289"/>
        <v>99.84219147663687</v>
      </c>
      <c r="O208" s="157">
        <f t="shared" si="283"/>
        <v>91.027675048902694</v>
      </c>
      <c r="P208" s="158">
        <f t="shared" si="290"/>
        <v>6.5047377570511591</v>
      </c>
      <c r="Q208" s="272">
        <f>AVERAGE(N208:N211)</f>
        <v>99.831678221614112</v>
      </c>
      <c r="R208" s="272">
        <f t="shared" ref="R208" si="291">AVERAGE(O208:O211)</f>
        <v>90.6739377499797</v>
      </c>
      <c r="S208" s="272">
        <f t="shared" ref="S208" si="292">AVERAGE(P208:P211)</f>
        <v>6.4794600778931928</v>
      </c>
    </row>
    <row r="209" spans="1:20" x14ac:dyDescent="0.25">
      <c r="B209" s="150" t="s">
        <v>362</v>
      </c>
      <c r="C209" s="151">
        <f t="shared" ref="C209:C211" si="293">0.1542/154.17/0.002</f>
        <v>0.50009729519361745</v>
      </c>
      <c r="D209" s="152">
        <f t="shared" ref="D209:D211" si="294">0.0314/154.21/0.002</f>
        <v>0.10180922119188118</v>
      </c>
      <c r="E209" s="153">
        <v>7.5</v>
      </c>
      <c r="F209" s="153">
        <v>10</v>
      </c>
      <c r="G209" s="154">
        <f t="shared" ref="G209:G211" si="295">(0.2323/3320/0.002/C209)*100</f>
        <v>6.9956266701045422</v>
      </c>
      <c r="H209" s="155">
        <v>1</v>
      </c>
      <c r="I209" s="150">
        <v>603424</v>
      </c>
      <c r="J209" s="150">
        <v>3592</v>
      </c>
      <c r="K209" s="156">
        <v>2909669</v>
      </c>
      <c r="L209" s="150">
        <f t="shared" si="287"/>
        <v>8.3605623906241721E-3</v>
      </c>
      <c r="M209" s="156">
        <f t="shared" si="288"/>
        <v>4.2259404856286791</v>
      </c>
      <c r="N209" s="157">
        <f t="shared" si="289"/>
        <v>99.829796650792517</v>
      </c>
      <c r="O209" s="157">
        <f t="shared" si="283"/>
        <v>86.031201084285911</v>
      </c>
      <c r="P209" s="158">
        <f t="shared" si="290"/>
        <v>6.1476952111187764</v>
      </c>
      <c r="Q209" s="272"/>
      <c r="R209" s="272"/>
      <c r="S209" s="272"/>
    </row>
    <row r="210" spans="1:20" x14ac:dyDescent="0.25">
      <c r="B210" s="150" t="s">
        <v>363</v>
      </c>
      <c r="C210" s="151">
        <f t="shared" si="293"/>
        <v>0.50009729519361745</v>
      </c>
      <c r="D210" s="152">
        <f t="shared" si="294"/>
        <v>0.10180922119188118</v>
      </c>
      <c r="E210" s="153">
        <v>7.5</v>
      </c>
      <c r="F210" s="153">
        <v>10</v>
      </c>
      <c r="G210" s="154">
        <f t="shared" si="295"/>
        <v>6.9956266701045422</v>
      </c>
      <c r="H210" s="155">
        <v>1</v>
      </c>
      <c r="I210" s="150">
        <v>736238</v>
      </c>
      <c r="J210" s="150">
        <v>1661</v>
      </c>
      <c r="K210" s="156">
        <v>3749792</v>
      </c>
      <c r="L210" s="150">
        <f t="shared" si="287"/>
        <v>3.168641797896876E-3</v>
      </c>
      <c r="M210" s="156">
        <f t="shared" si="288"/>
        <v>4.4636621701134684</v>
      </c>
      <c r="N210" s="157">
        <f t="shared" si="289"/>
        <v>99.935493161674657</v>
      </c>
      <c r="O210" s="157">
        <f t="shared" si="283"/>
        <v>90.870711273687832</v>
      </c>
      <c r="P210" s="158">
        <f t="shared" si="290"/>
        <v>6.4935212979404451</v>
      </c>
      <c r="Q210" s="272"/>
      <c r="R210" s="272"/>
      <c r="S210" s="272"/>
    </row>
    <row r="211" spans="1:20" x14ac:dyDescent="0.25">
      <c r="B211" s="150" t="s">
        <v>364</v>
      </c>
      <c r="C211" s="151">
        <f t="shared" si="293"/>
        <v>0.50009729519361745</v>
      </c>
      <c r="D211" s="152">
        <f t="shared" si="294"/>
        <v>0.10180922119188118</v>
      </c>
      <c r="E211" s="153">
        <v>7.5</v>
      </c>
      <c r="F211" s="153">
        <v>10</v>
      </c>
      <c r="G211" s="154">
        <f t="shared" si="295"/>
        <v>6.9956266701045422</v>
      </c>
      <c r="H211" s="155">
        <v>1</v>
      </c>
      <c r="I211" s="150">
        <v>412033</v>
      </c>
      <c r="J211" s="150">
        <v>4046</v>
      </c>
      <c r="K211" s="156">
        <v>2188519</v>
      </c>
      <c r="L211" s="150">
        <f t="shared" si="287"/>
        <v>1.379163076743853E-2</v>
      </c>
      <c r="M211" s="156">
        <f t="shared" si="288"/>
        <v>4.6550107675841499</v>
      </c>
      <c r="N211" s="157">
        <f t="shared" si="289"/>
        <v>99.719231597352405</v>
      </c>
      <c r="O211" s="157">
        <f t="shared" si="283"/>
        <v>94.766163593042322</v>
      </c>
      <c r="P211" s="158">
        <f t="shared" si="290"/>
        <v>6.7718860454623915</v>
      </c>
      <c r="Q211" s="272"/>
      <c r="R211" s="272"/>
      <c r="S211" s="272"/>
    </row>
    <row r="212" spans="1:20" x14ac:dyDescent="0.25">
      <c r="A212" s="22">
        <v>43850</v>
      </c>
      <c r="B212" s="92" t="s">
        <v>367</v>
      </c>
      <c r="C212" s="143">
        <f>0.185/154.17/0.002</f>
        <v>0.59998702730751774</v>
      </c>
      <c r="D212" s="148">
        <f>0.0304/154.21/0.002</f>
        <v>9.8566889306789446E-2</v>
      </c>
      <c r="E212" s="144">
        <v>7.5</v>
      </c>
      <c r="F212" s="144">
        <v>10</v>
      </c>
      <c r="G212" s="149">
        <f>(0.2765/3320/0.002/C212)*100</f>
        <v>6.9404111038749594</v>
      </c>
      <c r="H212" s="145">
        <v>1</v>
      </c>
      <c r="I212" s="92">
        <v>879151</v>
      </c>
      <c r="J212" s="92">
        <v>28895</v>
      </c>
      <c r="K212" s="146">
        <v>5607702</v>
      </c>
      <c r="L212" s="92">
        <f t="shared" si="287"/>
        <v>4.6161612169013058E-2</v>
      </c>
      <c r="M212" s="146">
        <f t="shared" si="288"/>
        <v>5.5901546296370022</v>
      </c>
      <c r="N212" s="93">
        <f t="shared" si="289"/>
        <v>99.241649184099117</v>
      </c>
      <c r="O212" s="93">
        <f t="shared" si="283"/>
        <v>91.836011031761018</v>
      </c>
      <c r="P212" s="147">
        <f t="shared" si="290"/>
        <v>7.8732983363194595</v>
      </c>
      <c r="Q212" s="272">
        <f>AVERAGE(N212:N215)</f>
        <v>99.498913246369426</v>
      </c>
      <c r="R212" s="272">
        <f t="shared" ref="R212:S212" si="296">AVERAGE(O212:O215)</f>
        <v>91.816846828671913</v>
      </c>
      <c r="S212" s="272">
        <f t="shared" si="296"/>
        <v>7.8716553480558886</v>
      </c>
    </row>
    <row r="213" spans="1:20" x14ac:dyDescent="0.25">
      <c r="B213" s="92" t="s">
        <v>368</v>
      </c>
      <c r="C213" s="143">
        <f t="shared" ref="C213:C215" si="297">0.185/154.17/0.002</f>
        <v>0.59998702730751774</v>
      </c>
      <c r="D213" s="148">
        <f t="shared" ref="D213:D215" si="298">0.0304/154.21/0.002</f>
        <v>9.8566889306789446E-2</v>
      </c>
      <c r="E213" s="144">
        <v>7.5</v>
      </c>
      <c r="F213" s="144">
        <v>10</v>
      </c>
      <c r="G213" s="149">
        <f t="shared" ref="G213:G215" si="299">(0.2765/3320/0.002/C213)*100</f>
        <v>6.9404111038749594</v>
      </c>
      <c r="H213" s="145">
        <v>1</v>
      </c>
      <c r="I213" s="92">
        <v>966821</v>
      </c>
      <c r="J213" s="92">
        <v>29053</v>
      </c>
      <c r="K213" s="146">
        <v>6000695</v>
      </c>
      <c r="L213" s="92">
        <f t="shared" si="287"/>
        <v>4.2205267055639054E-2</v>
      </c>
      <c r="M213" s="146">
        <f t="shared" si="288"/>
        <v>5.4394857972675394</v>
      </c>
      <c r="N213" s="93">
        <f t="shared" si="289"/>
        <v>99.306644694518624</v>
      </c>
      <c r="O213" s="93">
        <f t="shared" si="283"/>
        <v>89.360797827770796</v>
      </c>
      <c r="P213" s="147">
        <f t="shared" si="290"/>
        <v>7.6610929957121412</v>
      </c>
      <c r="Q213" s="272"/>
      <c r="R213" s="272"/>
      <c r="S213" s="272"/>
    </row>
    <row r="214" spans="1:20" x14ac:dyDescent="0.25">
      <c r="B214" s="92" t="s">
        <v>369</v>
      </c>
      <c r="C214" s="143">
        <f t="shared" si="297"/>
        <v>0.59998702730751774</v>
      </c>
      <c r="D214" s="148">
        <f t="shared" si="298"/>
        <v>9.8566889306789446E-2</v>
      </c>
      <c r="E214" s="144">
        <v>7.5</v>
      </c>
      <c r="F214" s="144">
        <v>10</v>
      </c>
      <c r="G214" s="149">
        <f t="shared" si="299"/>
        <v>6.9404111038749594</v>
      </c>
      <c r="H214" s="145">
        <v>1</v>
      </c>
      <c r="I214" s="92">
        <v>1043634</v>
      </c>
      <c r="J214" s="92">
        <v>17881</v>
      </c>
      <c r="K214" s="146">
        <v>6704016</v>
      </c>
      <c r="L214" s="92">
        <f t="shared" si="287"/>
        <v>2.4063861947770965E-2</v>
      </c>
      <c r="M214" s="146">
        <f t="shared" si="288"/>
        <v>5.6297510644536306</v>
      </c>
      <c r="N214" s="93">
        <f t="shared" si="289"/>
        <v>99.604674783129255</v>
      </c>
      <c r="O214" s="93">
        <f t="shared" si="283"/>
        <v>92.486507997508525</v>
      </c>
      <c r="P214" s="147">
        <f t="shared" si="290"/>
        <v>7.9290668373754274</v>
      </c>
      <c r="Q214" s="272"/>
      <c r="R214" s="272"/>
      <c r="S214" s="272"/>
    </row>
    <row r="215" spans="1:20" x14ac:dyDescent="0.25">
      <c r="B215" s="92" t="s">
        <v>370</v>
      </c>
      <c r="C215" s="143">
        <f t="shared" si="297"/>
        <v>0.59998702730751774</v>
      </c>
      <c r="D215" s="148">
        <f t="shared" si="298"/>
        <v>9.8566889306789446E-2</v>
      </c>
      <c r="E215" s="144">
        <v>7.5</v>
      </c>
      <c r="F215" s="144">
        <v>10</v>
      </c>
      <c r="G215" s="149">
        <f t="shared" si="299"/>
        <v>6.9404111038749594</v>
      </c>
      <c r="H215" s="145">
        <v>1</v>
      </c>
      <c r="I215" s="92">
        <v>693892</v>
      </c>
      <c r="J215" s="92">
        <v>4731</v>
      </c>
      <c r="K215" s="146">
        <v>4510267</v>
      </c>
      <c r="L215" s="92">
        <f t="shared" si="287"/>
        <v>9.5759707562560175E-3</v>
      </c>
      <c r="M215" s="146">
        <f t="shared" si="288"/>
        <v>5.6965608463564932</v>
      </c>
      <c r="N215" s="93">
        <f t="shared" si="289"/>
        <v>99.842684323730694</v>
      </c>
      <c r="O215" s="93">
        <f t="shared" si="283"/>
        <v>93.584070457647357</v>
      </c>
      <c r="P215" s="147">
        <f t="shared" si="290"/>
        <v>8.0231632228165282</v>
      </c>
      <c r="Q215" s="272"/>
      <c r="R215" s="272"/>
      <c r="S215" s="272"/>
    </row>
    <row r="216" spans="1:20" x14ac:dyDescent="0.25">
      <c r="B216" s="150" t="s">
        <v>380</v>
      </c>
      <c r="C216" s="151">
        <f>0.2168/154.17/0.002</f>
        <v>0.70311993254199912</v>
      </c>
      <c r="D216" s="152">
        <f>0.0308/154.21/0.002</f>
        <v>9.9863822060826141E-2</v>
      </c>
      <c r="E216" s="153">
        <v>7.5</v>
      </c>
      <c r="F216" s="153">
        <v>10</v>
      </c>
      <c r="G216" s="154">
        <f>(0.3263/3320/0.002/C216)*100</f>
        <v>6.9890731283065834</v>
      </c>
      <c r="H216" s="155">
        <v>1</v>
      </c>
      <c r="I216" s="150">
        <v>1013201</v>
      </c>
      <c r="J216" s="150">
        <v>69396</v>
      </c>
      <c r="K216" s="156">
        <v>6660119</v>
      </c>
      <c r="L216" s="150">
        <f t="shared" ref="L216:L223" si="300">1.4045*(J216/I216)</f>
        <v>9.6196788198985209E-2</v>
      </c>
      <c r="M216" s="156">
        <f t="shared" ref="M216:M223" si="301">0.8764*(K216/I216)</f>
        <v>5.7608789288601168</v>
      </c>
      <c r="N216" s="157">
        <f t="shared" ref="N216:N223" si="302">100*(1-L216/(C216/D216))</f>
        <v>98.633721148425465</v>
      </c>
      <c r="O216" s="157">
        <f t="shared" ref="O216:O223" si="303">100*M216/(C216/D216)</f>
        <v>81.821516022984468</v>
      </c>
      <c r="P216" s="158">
        <f>(238.15*C216*(O216/100)*7.5/1000)*(60/E216)</f>
        <v>8.2205101149278637</v>
      </c>
      <c r="Q216" s="272">
        <f>AVERAGE(N216:N218)</f>
        <v>99.329358519866105</v>
      </c>
      <c r="R216" s="272">
        <f>AVERAGE(O216:O218)</f>
        <v>82.316267881148292</v>
      </c>
      <c r="S216" s="272">
        <f>AVERAGE(P216:P218)</f>
        <v>8.2702172439582355</v>
      </c>
    </row>
    <row r="217" spans="1:20" x14ac:dyDescent="0.25">
      <c r="B217" s="150" t="s">
        <v>381</v>
      </c>
      <c r="C217" s="151">
        <f t="shared" ref="C217:C219" si="304">0.2168/154.17/0.002</f>
        <v>0.70311993254199912</v>
      </c>
      <c r="D217" s="152">
        <f t="shared" ref="D217:D219" si="305">0.0308/154.21/0.002</f>
        <v>9.9863822060826141E-2</v>
      </c>
      <c r="E217" s="153">
        <v>7.5</v>
      </c>
      <c r="F217" s="153">
        <v>10</v>
      </c>
      <c r="G217" s="154">
        <f t="shared" ref="G217:G219" si="306">(0.3263/3320/0.002/C217)*100</f>
        <v>6.9890731283065834</v>
      </c>
      <c r="H217" s="155">
        <v>1</v>
      </c>
      <c r="I217" s="150">
        <v>1473910</v>
      </c>
      <c r="J217" s="150">
        <v>31899</v>
      </c>
      <c r="K217" s="156">
        <v>9377716</v>
      </c>
      <c r="L217" s="150">
        <f t="shared" si="300"/>
        <v>3.0396798651206657E-2</v>
      </c>
      <c r="M217" s="156">
        <f t="shared" si="301"/>
        <v>5.5760733711013559</v>
      </c>
      <c r="N217" s="157">
        <f t="shared" si="302"/>
        <v>99.568275574161518</v>
      </c>
      <c r="O217" s="157">
        <f t="shared" si="303"/>
        <v>79.196730622697132</v>
      </c>
      <c r="P217" s="158">
        <f t="shared" ref="P217:P223" si="307">(238.15*C217*(O217/100)*7.5/1000)*(60/E217)</f>
        <v>7.9568010567075804</v>
      </c>
      <c r="Q217" s="272"/>
      <c r="R217" s="272"/>
      <c r="S217" s="272"/>
    </row>
    <row r="218" spans="1:20" x14ac:dyDescent="0.25">
      <c r="B218" s="150" t="s">
        <v>382</v>
      </c>
      <c r="C218" s="151">
        <f t="shared" si="304"/>
        <v>0.70311993254199912</v>
      </c>
      <c r="D218" s="152">
        <f t="shared" si="305"/>
        <v>9.9863822060826141E-2</v>
      </c>
      <c r="E218" s="153">
        <v>7.5</v>
      </c>
      <c r="F218" s="153">
        <v>10</v>
      </c>
      <c r="G218" s="154">
        <f t="shared" si="306"/>
        <v>6.9890731283065834</v>
      </c>
      <c r="H218" s="155">
        <v>1</v>
      </c>
      <c r="I218" s="150">
        <v>1099319</v>
      </c>
      <c r="J218" s="150">
        <v>11789</v>
      </c>
      <c r="K218" s="156">
        <v>7589099</v>
      </c>
      <c r="L218" s="150">
        <f t="shared" si="300"/>
        <v>1.5061734128128416E-2</v>
      </c>
      <c r="M218" s="156">
        <f t="shared" si="301"/>
        <v>6.0501877649708593</v>
      </c>
      <c r="N218" s="157">
        <f t="shared" si="302"/>
        <v>99.786078837011345</v>
      </c>
      <c r="O218" s="157">
        <f t="shared" si="303"/>
        <v>85.93055699776329</v>
      </c>
      <c r="P218" s="158">
        <f t="shared" si="307"/>
        <v>8.6333405602392617</v>
      </c>
      <c r="Q218" s="272"/>
      <c r="R218" s="272"/>
      <c r="S218" s="272"/>
    </row>
    <row r="219" spans="1:20" x14ac:dyDescent="0.25">
      <c r="B219" s="150" t="s">
        <v>383</v>
      </c>
      <c r="C219" s="151">
        <f t="shared" si="304"/>
        <v>0.70311993254199912</v>
      </c>
      <c r="D219" s="152">
        <f t="shared" si="305"/>
        <v>9.9863822060826141E-2</v>
      </c>
      <c r="E219" s="153">
        <v>7.5</v>
      </c>
      <c r="F219" s="153">
        <v>10</v>
      </c>
      <c r="G219" s="154">
        <f t="shared" si="306"/>
        <v>6.9890731283065834</v>
      </c>
      <c r="H219" s="155">
        <v>1</v>
      </c>
      <c r="I219" s="150">
        <v>363127</v>
      </c>
      <c r="J219" s="150">
        <v>8953</v>
      </c>
      <c r="K219" s="156">
        <v>2635591</v>
      </c>
      <c r="L219" s="150">
        <f t="shared" si="300"/>
        <v>3.4628349034910653E-2</v>
      </c>
      <c r="M219" s="156">
        <f t="shared" si="301"/>
        <v>6.3609479669647255</v>
      </c>
      <c r="N219" s="157">
        <f t="shared" si="302"/>
        <v>99.508175045787667</v>
      </c>
      <c r="O219" s="157">
        <f t="shared" si="303"/>
        <v>90.34427080094126</v>
      </c>
      <c r="P219" s="158">
        <f t="shared" si="307"/>
        <v>9.0767811211942675</v>
      </c>
      <c r="Q219" s="272"/>
      <c r="R219" s="272"/>
      <c r="S219" s="272"/>
    </row>
    <row r="220" spans="1:20" x14ac:dyDescent="0.25">
      <c r="B220" s="196" t="s">
        <v>384</v>
      </c>
      <c r="C220" s="197">
        <f>0.0321/154.17/0.002</f>
        <v>0.10410585717065576</v>
      </c>
      <c r="D220" s="198">
        <f>0.0318/154.21/0.002</f>
        <v>0.10310615394591791</v>
      </c>
      <c r="E220" s="199">
        <v>7.5</v>
      </c>
      <c r="F220" s="199">
        <v>10</v>
      </c>
      <c r="G220" s="200">
        <f>(0.0132/3320/0.002/C220)*100</f>
        <v>1.9095484742709155</v>
      </c>
      <c r="H220" s="201">
        <v>1</v>
      </c>
      <c r="I220" s="196">
        <v>1037529</v>
      </c>
      <c r="J220" s="196">
        <v>51974</v>
      </c>
      <c r="K220" s="202">
        <v>1211642</v>
      </c>
      <c r="L220" s="196">
        <f t="shared" si="300"/>
        <v>7.0357053152249244E-2</v>
      </c>
      <c r="M220" s="202">
        <f t="shared" si="301"/>
        <v>1.0234731258596144</v>
      </c>
      <c r="N220" s="203">
        <f t="shared" si="302"/>
        <v>93.03185685162228</v>
      </c>
      <c r="O220" s="203">
        <f t="shared" si="303"/>
        <v>101.36449623713952</v>
      </c>
      <c r="P220" s="204">
        <f t="shared" si="307"/>
        <v>1.5078664105893758</v>
      </c>
    </row>
    <row r="221" spans="1:20" x14ac:dyDescent="0.25">
      <c r="B221" s="196" t="s">
        <v>385</v>
      </c>
      <c r="C221" s="197">
        <f t="shared" ref="C221:C223" si="308">0.0321/154.17/0.002</f>
        <v>0.10410585717065576</v>
      </c>
      <c r="D221" s="198">
        <f t="shared" ref="D221:D223" si="309">0.0318/154.21/0.002</f>
        <v>0.10310615394591791</v>
      </c>
      <c r="E221" s="199">
        <v>7.5</v>
      </c>
      <c r="F221" s="199">
        <v>10</v>
      </c>
      <c r="G221" s="200">
        <f t="shared" ref="G221:G223" si="310">(0.0132/3320/0.002/C221)*100</f>
        <v>1.9095484742709155</v>
      </c>
      <c r="H221" s="201">
        <v>1</v>
      </c>
      <c r="I221" s="196">
        <v>1051237</v>
      </c>
      <c r="J221" s="196">
        <v>46626</v>
      </c>
      <c r="K221" s="202">
        <v>1233970</v>
      </c>
      <c r="L221" s="196">
        <f t="shared" si="300"/>
        <v>6.2294436934773038E-2</v>
      </c>
      <c r="M221" s="202">
        <f t="shared" si="301"/>
        <v>1.0287416710028281</v>
      </c>
      <c r="N221" s="203">
        <f t="shared" si="302"/>
        <v>93.830376139123302</v>
      </c>
      <c r="O221" s="203">
        <f t="shared" si="303"/>
        <v>101.88629149570671</v>
      </c>
      <c r="P221" s="204">
        <f t="shared" si="307"/>
        <v>1.5156284729761664</v>
      </c>
    </row>
    <row r="222" spans="1:20" x14ac:dyDescent="0.25">
      <c r="B222" s="196" t="s">
        <v>386</v>
      </c>
      <c r="C222" s="197">
        <f t="shared" si="308"/>
        <v>0.10410585717065576</v>
      </c>
      <c r="D222" s="198">
        <f t="shared" si="309"/>
        <v>0.10310615394591791</v>
      </c>
      <c r="E222" s="199">
        <v>7.5</v>
      </c>
      <c r="F222" s="199">
        <v>10</v>
      </c>
      <c r="G222" s="200">
        <f t="shared" si="310"/>
        <v>1.9095484742709155</v>
      </c>
      <c r="H222" s="201">
        <v>1</v>
      </c>
      <c r="I222" s="196">
        <v>1362496</v>
      </c>
      <c r="J222" s="196">
        <v>77224</v>
      </c>
      <c r="K222" s="202">
        <v>1615755</v>
      </c>
      <c r="L222" s="196">
        <f t="shared" si="300"/>
        <v>7.9604716637700218E-2</v>
      </c>
      <c r="M222" s="202">
        <f t="shared" si="301"/>
        <v>1.0393041021771807</v>
      </c>
      <c r="N222" s="203">
        <f t="shared" si="302"/>
        <v>92.115970809391314</v>
      </c>
      <c r="O222" s="203">
        <f t="shared" si="303"/>
        <v>102.9323917673953</v>
      </c>
      <c r="P222" s="204">
        <f t="shared" si="307"/>
        <v>1.53118993207026</v>
      </c>
    </row>
    <row r="223" spans="1:20" x14ac:dyDescent="0.25">
      <c r="B223" s="196" t="s">
        <v>387</v>
      </c>
      <c r="C223" s="197">
        <f t="shared" si="308"/>
        <v>0.10410585717065576</v>
      </c>
      <c r="D223" s="198">
        <f t="shared" si="309"/>
        <v>0.10310615394591791</v>
      </c>
      <c r="E223" s="199">
        <v>7.5</v>
      </c>
      <c r="F223" s="199">
        <v>10</v>
      </c>
      <c r="G223" s="200">
        <f t="shared" si="310"/>
        <v>1.9095484742709155</v>
      </c>
      <c r="H223" s="201">
        <v>1</v>
      </c>
      <c r="I223" s="196">
        <v>803107</v>
      </c>
      <c r="J223" s="196">
        <v>97644</v>
      </c>
      <c r="K223" s="202">
        <v>898025</v>
      </c>
      <c r="L223" s="196">
        <f t="shared" si="300"/>
        <v>0.17076304651808541</v>
      </c>
      <c r="M223" s="202">
        <f t="shared" si="301"/>
        <v>0.97998038866552029</v>
      </c>
      <c r="N223" s="203">
        <f t="shared" si="302"/>
        <v>83.087674948292488</v>
      </c>
      <c r="O223" s="203">
        <f t="shared" si="303"/>
        <v>97.05698753538357</v>
      </c>
      <c r="P223" s="204">
        <f t="shared" si="307"/>
        <v>1.4437892639965093</v>
      </c>
    </row>
    <row r="224" spans="1:20" x14ac:dyDescent="0.25">
      <c r="A224" s="22">
        <v>43851</v>
      </c>
      <c r="B224" s="205" t="s">
        <v>389</v>
      </c>
      <c r="C224" s="206">
        <f>0.156/154.17/0.01</f>
        <v>0.10118700136213271</v>
      </c>
      <c r="D224" s="207">
        <f>0.1553/154.21/0.01</f>
        <v>0.10070682835095</v>
      </c>
      <c r="E224" s="208">
        <v>7.5</v>
      </c>
      <c r="F224" s="208">
        <v>10</v>
      </c>
      <c r="G224" s="209">
        <f>(0.0663/3320/0.01/C224)*100</f>
        <v>1.9735617469879518</v>
      </c>
      <c r="H224" s="210">
        <v>1</v>
      </c>
      <c r="I224" s="205">
        <v>1588785</v>
      </c>
      <c r="J224" s="205">
        <v>254348</v>
      </c>
      <c r="K224" s="211">
        <v>1257821</v>
      </c>
      <c r="L224" s="205">
        <f t="shared" ref="L224:L231" si="311">1.4045*(J224/I224)</f>
        <v>0.22484588286017304</v>
      </c>
      <c r="M224" s="211">
        <f t="shared" ref="M224:M231" si="312">0.8764*(K224/I224)</f>
        <v>0.69383480105867057</v>
      </c>
      <c r="N224" s="212">
        <f t="shared" ref="N224:N231" si="313">100*(1-L224/(C224/D224))</f>
        <v>77.622110126991899</v>
      </c>
      <c r="O224" s="212">
        <f t="shared" ref="O224:O231" si="314">100*M224/(C224/D224)</f>
        <v>69.05422759200377</v>
      </c>
      <c r="P224" s="213">
        <f t="shared" ref="P224:P227" si="315">(238.15*C224*(O224/100)*7.5/1000)*(60/E224)</f>
        <v>0.9984281887377191</v>
      </c>
      <c r="Q224" s="272">
        <f>AVERAGE(N224:N226)</f>
        <v>76.299150675009685</v>
      </c>
      <c r="R224" s="272">
        <f>AVERAGE(O224:O226)</f>
        <v>72.099028055544991</v>
      </c>
      <c r="S224" s="272">
        <f>AVERAGE(P224:P226)</f>
        <v>1.04245177306977</v>
      </c>
      <c r="T224" s="275" t="s">
        <v>348</v>
      </c>
    </row>
    <row r="225" spans="1:20" x14ac:dyDescent="0.25">
      <c r="B225" s="205" t="s">
        <v>390</v>
      </c>
      <c r="C225" s="206">
        <f t="shared" ref="C225:C227" si="316">0.156/154.17/0.01</f>
        <v>0.10118700136213271</v>
      </c>
      <c r="D225" s="207">
        <f t="shared" ref="D225:D227" si="317">0.1553/154.21/0.01</f>
        <v>0.10070682835095</v>
      </c>
      <c r="E225" s="208">
        <v>7.5</v>
      </c>
      <c r="F225" s="208">
        <v>10</v>
      </c>
      <c r="G225" s="209">
        <f t="shared" ref="G225:G227" si="318">(0.0663/3320/0.01/C225)*100</f>
        <v>1.9735617469879518</v>
      </c>
      <c r="H225" s="210">
        <v>1</v>
      </c>
      <c r="I225" s="205">
        <v>1167877</v>
      </c>
      <c r="J225" s="205">
        <v>191342</v>
      </c>
      <c r="K225" s="211">
        <v>988282</v>
      </c>
      <c r="L225" s="205">
        <f t="shared" si="311"/>
        <v>0.23010971103977559</v>
      </c>
      <c r="M225" s="211">
        <f t="shared" si="312"/>
        <v>0.74162805226920303</v>
      </c>
      <c r="N225" s="212">
        <f t="shared" si="313"/>
        <v>77.098225207174025</v>
      </c>
      <c r="O225" s="212">
        <f t="shared" si="314"/>
        <v>73.8108728934764</v>
      </c>
      <c r="P225" s="213">
        <f t="shared" si="315"/>
        <v>1.0672026710312121</v>
      </c>
      <c r="Q225" s="272"/>
      <c r="R225" s="272"/>
      <c r="S225" s="272"/>
      <c r="T225" s="275"/>
    </row>
    <row r="226" spans="1:20" x14ac:dyDescent="0.25">
      <c r="B226" s="205" t="s">
        <v>391</v>
      </c>
      <c r="C226" s="206">
        <f t="shared" si="316"/>
        <v>0.10118700136213271</v>
      </c>
      <c r="D226" s="207">
        <f t="shared" si="317"/>
        <v>0.10070682835095</v>
      </c>
      <c r="E226" s="208">
        <v>7.5</v>
      </c>
      <c r="F226" s="208">
        <v>10</v>
      </c>
      <c r="G226" s="209">
        <f t="shared" si="318"/>
        <v>1.9735617469879518</v>
      </c>
      <c r="H226" s="210">
        <v>1</v>
      </c>
      <c r="I226" s="205">
        <v>681198</v>
      </c>
      <c r="J226" s="205">
        <v>125841</v>
      </c>
      <c r="K226" s="211">
        <v>573485</v>
      </c>
      <c r="L226" s="205">
        <f t="shared" si="311"/>
        <v>0.25946007548466088</v>
      </c>
      <c r="M226" s="211">
        <f t="shared" si="312"/>
        <v>0.73782109460098233</v>
      </c>
      <c r="N226" s="212">
        <f t="shared" si="313"/>
        <v>74.177116690863116</v>
      </c>
      <c r="O226" s="212">
        <f t="shared" si="314"/>
        <v>73.43198368115479</v>
      </c>
      <c r="P226" s="213">
        <f t="shared" si="315"/>
        <v>1.0617244594403792</v>
      </c>
      <c r="Q226" s="272"/>
      <c r="R226" s="272"/>
      <c r="S226" s="272"/>
      <c r="T226" s="275"/>
    </row>
    <row r="227" spans="1:20" x14ac:dyDescent="0.25">
      <c r="B227" s="205" t="s">
        <v>392</v>
      </c>
      <c r="C227" s="206">
        <f t="shared" si="316"/>
        <v>0.10118700136213271</v>
      </c>
      <c r="D227" s="207">
        <f t="shared" si="317"/>
        <v>0.10070682835095</v>
      </c>
      <c r="E227" s="208">
        <v>7.5</v>
      </c>
      <c r="F227" s="208">
        <v>10</v>
      </c>
      <c r="G227" s="209">
        <f t="shared" si="318"/>
        <v>1.9735617469879518</v>
      </c>
      <c r="H227" s="210">
        <v>1</v>
      </c>
      <c r="I227" s="205">
        <v>386417</v>
      </c>
      <c r="J227" s="205">
        <v>94362</v>
      </c>
      <c r="K227" s="211">
        <v>286214</v>
      </c>
      <c r="L227" s="205">
        <f t="shared" si="311"/>
        <v>0.34297515119676414</v>
      </c>
      <c r="M227" s="211">
        <f t="shared" si="312"/>
        <v>0.64913797684884467</v>
      </c>
      <c r="N227" s="212">
        <f t="shared" si="313"/>
        <v>65.865240381419625</v>
      </c>
      <c r="O227" s="212">
        <f t="shared" si="314"/>
        <v>64.605755611475217</v>
      </c>
      <c r="P227" s="213">
        <f t="shared" si="315"/>
        <v>0.9341094644966571</v>
      </c>
      <c r="Q227" s="272"/>
      <c r="R227" s="272"/>
      <c r="S227" s="272"/>
      <c r="T227" s="275"/>
    </row>
    <row r="228" spans="1:20" x14ac:dyDescent="0.25">
      <c r="B228" s="150" t="s">
        <v>393</v>
      </c>
      <c r="C228" s="151">
        <f>0.156/154.17/0.01</f>
        <v>0.10118700136213271</v>
      </c>
      <c r="D228" s="152">
        <f>0.1553/154.21/0.01</f>
        <v>0.10070682835095</v>
      </c>
      <c r="E228" s="153">
        <v>7.5</v>
      </c>
      <c r="F228" s="153">
        <v>10</v>
      </c>
      <c r="G228" s="154">
        <f>(0.0663/3320/0.01/C228)*100</f>
        <v>1.9735617469879518</v>
      </c>
      <c r="H228" s="155">
        <v>1</v>
      </c>
      <c r="I228" s="150">
        <v>1425799</v>
      </c>
      <c r="J228" s="150">
        <v>151639</v>
      </c>
      <c r="K228" s="156">
        <v>1296752</v>
      </c>
      <c r="L228" s="150">
        <f t="shared" si="311"/>
        <v>0.14937377253034967</v>
      </c>
      <c r="M228" s="156">
        <f t="shared" si="312"/>
        <v>0.79707830683006509</v>
      </c>
      <c r="N228" s="157">
        <f t="shared" si="313"/>
        <v>85.133506608708231</v>
      </c>
      <c r="O228" s="157">
        <f t="shared" si="314"/>
        <v>79.329584973985789</v>
      </c>
      <c r="P228" s="158">
        <f>(238.15*C228*(O228/100)*7.5/1000)*(60/E228)</f>
        <v>1.1469955801527676</v>
      </c>
      <c r="Q228" s="272">
        <f>AVERAGE(N228:N229)</f>
        <v>85.4881418755879</v>
      </c>
      <c r="R228" s="272">
        <f t="shared" ref="R228:S228" si="319">AVERAGE(O228:O229)</f>
        <v>81.415110494486768</v>
      </c>
      <c r="S228" s="272">
        <f t="shared" si="319"/>
        <v>1.1771493816014307</v>
      </c>
      <c r="T228" s="275" t="s">
        <v>292</v>
      </c>
    </row>
    <row r="229" spans="1:20" x14ac:dyDescent="0.25">
      <c r="B229" s="150" t="s">
        <v>394</v>
      </c>
      <c r="C229" s="151">
        <f t="shared" ref="C229:C231" si="320">0.156/154.17/0.01</f>
        <v>0.10118700136213271</v>
      </c>
      <c r="D229" s="152">
        <f t="shared" ref="D229:D231" si="321">0.1553/154.21/0.01</f>
        <v>0.10070682835095</v>
      </c>
      <c r="E229" s="153">
        <v>7.5</v>
      </c>
      <c r="F229" s="153">
        <v>10</v>
      </c>
      <c r="G229" s="154">
        <f t="shared" ref="G229:G231" si="322">(0.0663/3320/0.01/C229)*100</f>
        <v>1.9735617469879518</v>
      </c>
      <c r="H229" s="155">
        <v>1</v>
      </c>
      <c r="I229" s="150">
        <v>1496441</v>
      </c>
      <c r="J229" s="150">
        <v>151559</v>
      </c>
      <c r="K229" s="156">
        <v>1432560</v>
      </c>
      <c r="L229" s="150">
        <f t="shared" si="311"/>
        <v>0.14224724897272931</v>
      </c>
      <c r="M229" s="156">
        <f t="shared" si="312"/>
        <v>0.83898769413561913</v>
      </c>
      <c r="N229" s="157">
        <f t="shared" si="313"/>
        <v>85.842777142467568</v>
      </c>
      <c r="O229" s="157">
        <f t="shared" si="314"/>
        <v>83.500636014987748</v>
      </c>
      <c r="P229" s="158">
        <f t="shared" ref="P229:P235" si="323">(238.15*C229*(O229/100)*7.5/1000)*(60/E229)</f>
        <v>1.2073031830500938</v>
      </c>
      <c r="Q229" s="272"/>
      <c r="R229" s="272"/>
      <c r="S229" s="272"/>
      <c r="T229" s="275"/>
    </row>
    <row r="230" spans="1:20" x14ac:dyDescent="0.25">
      <c r="B230" s="150" t="s">
        <v>395</v>
      </c>
      <c r="C230" s="151">
        <f t="shared" si="320"/>
        <v>0.10118700136213271</v>
      </c>
      <c r="D230" s="152">
        <f t="shared" si="321"/>
        <v>0.10070682835095</v>
      </c>
      <c r="E230" s="153">
        <v>7.5</v>
      </c>
      <c r="F230" s="153">
        <v>10</v>
      </c>
      <c r="G230" s="154">
        <f t="shared" si="322"/>
        <v>1.9735617469879518</v>
      </c>
      <c r="H230" s="155">
        <v>1</v>
      </c>
      <c r="I230" s="150">
        <v>1342381</v>
      </c>
      <c r="J230" s="150"/>
      <c r="K230" s="156"/>
      <c r="L230" s="150">
        <f t="shared" si="311"/>
        <v>0</v>
      </c>
      <c r="M230" s="156">
        <f t="shared" si="312"/>
        <v>0</v>
      </c>
      <c r="N230" s="157">
        <f t="shared" si="313"/>
        <v>100</v>
      </c>
      <c r="O230" s="157">
        <f t="shared" si="314"/>
        <v>0</v>
      </c>
      <c r="P230" s="158">
        <f t="shared" si="323"/>
        <v>0</v>
      </c>
      <c r="Q230" s="272"/>
      <c r="R230" s="272"/>
      <c r="S230" s="272"/>
      <c r="T230" s="275"/>
    </row>
    <row r="231" spans="1:20" x14ac:dyDescent="0.25">
      <c r="B231" s="150" t="s">
        <v>396</v>
      </c>
      <c r="C231" s="151">
        <f t="shared" si="320"/>
        <v>0.10118700136213271</v>
      </c>
      <c r="D231" s="152">
        <f t="shared" si="321"/>
        <v>0.10070682835095</v>
      </c>
      <c r="E231" s="153">
        <v>7.5</v>
      </c>
      <c r="F231" s="153">
        <v>10</v>
      </c>
      <c r="G231" s="154">
        <f t="shared" si="322"/>
        <v>1.9735617469879518</v>
      </c>
      <c r="H231" s="155">
        <v>1</v>
      </c>
      <c r="I231" s="150">
        <v>702197</v>
      </c>
      <c r="J231" s="150">
        <v>92097</v>
      </c>
      <c r="K231" s="156">
        <v>801008</v>
      </c>
      <c r="L231" s="150">
        <f t="shared" si="311"/>
        <v>0.18420790248320629</v>
      </c>
      <c r="M231" s="156">
        <f t="shared" si="312"/>
        <v>0.99972430984467309</v>
      </c>
      <c r="N231" s="157">
        <f t="shared" si="313"/>
        <v>81.666623808849081</v>
      </c>
      <c r="O231" s="157">
        <f t="shared" si="314"/>
        <v>99.4980215981345</v>
      </c>
      <c r="P231" s="158">
        <f t="shared" si="323"/>
        <v>1.4386031522089644</v>
      </c>
      <c r="Q231" s="272"/>
      <c r="R231" s="272"/>
      <c r="S231" s="272"/>
      <c r="T231" s="275"/>
    </row>
    <row r="232" spans="1:20" x14ac:dyDescent="0.25">
      <c r="B232" s="129" t="s">
        <v>397</v>
      </c>
      <c r="C232" s="216">
        <f>0.156/154.17/0.01</f>
        <v>0.10118700136213271</v>
      </c>
      <c r="D232" s="217">
        <f>0.1553/154.21/0.01</f>
        <v>0.10070682835095</v>
      </c>
      <c r="E232" s="218">
        <v>7.5</v>
      </c>
      <c r="F232" s="218">
        <v>10</v>
      </c>
      <c r="G232" s="219">
        <f>(0.0663/3320/0.01/C232)*100</f>
        <v>1.9735617469879518</v>
      </c>
      <c r="H232" s="220">
        <v>1</v>
      </c>
      <c r="I232" s="129">
        <v>1443771</v>
      </c>
      <c r="J232" s="129">
        <v>1136</v>
      </c>
      <c r="K232" s="221">
        <v>1622448</v>
      </c>
      <c r="L232" s="129">
        <f t="shared" ref="L232:L243" si="324">1.4045*(J232/I232)</f>
        <v>1.1051004626079898E-3</v>
      </c>
      <c r="M232" s="221">
        <f t="shared" ref="M232:M243" si="325">0.8764*(K232/I232)</f>
        <v>0.98486077584326048</v>
      </c>
      <c r="N232" s="130">
        <f t="shared" ref="N232:N243" si="326">100*(1-L232/(C232/D232))</f>
        <v>99.890014368347451</v>
      </c>
      <c r="O232" s="130">
        <f t="shared" ref="O232:O243" si="327">100*M232/(C232/D232)</f>
        <v>98.01872154257525</v>
      </c>
      <c r="P232" s="222">
        <f t="shared" si="323"/>
        <v>1.4172145287086322</v>
      </c>
      <c r="Q232" s="214"/>
      <c r="R232" s="214"/>
      <c r="S232" s="214"/>
      <c r="T232" s="274" t="s">
        <v>272</v>
      </c>
    </row>
    <row r="233" spans="1:20" x14ac:dyDescent="0.25">
      <c r="B233" s="129" t="s">
        <v>398</v>
      </c>
      <c r="C233" s="216">
        <f t="shared" ref="C233:C235" si="328">0.156/154.17/0.01</f>
        <v>0.10118700136213271</v>
      </c>
      <c r="D233" s="217">
        <f t="shared" ref="D233:D235" si="329">0.1553/154.21/0.01</f>
        <v>0.10070682835095</v>
      </c>
      <c r="E233" s="218">
        <v>7.5</v>
      </c>
      <c r="F233" s="218">
        <v>10</v>
      </c>
      <c r="G233" s="219">
        <f t="shared" ref="G233:G235" si="330">(0.0663/3320/0.01/C233)*100</f>
        <v>1.9735617469879518</v>
      </c>
      <c r="H233" s="220">
        <v>1</v>
      </c>
      <c r="I233" s="129">
        <v>1294643</v>
      </c>
      <c r="J233" s="129">
        <v>1083</v>
      </c>
      <c r="K233" s="221">
        <v>1507490</v>
      </c>
      <c r="L233" s="129">
        <f t="shared" si="324"/>
        <v>1.1748980220802183E-3</v>
      </c>
      <c r="M233" s="221">
        <f t="shared" si="325"/>
        <v>1.0204853662360975</v>
      </c>
      <c r="N233" s="130">
        <f t="shared" si="326"/>
        <v>99.883067734148923</v>
      </c>
      <c r="O233" s="130">
        <f t="shared" si="327"/>
        <v>101.56427528116735</v>
      </c>
      <c r="P233" s="222">
        <f t="shared" si="323"/>
        <v>1.4684783096636549</v>
      </c>
      <c r="Q233" s="214"/>
      <c r="R233" s="214"/>
      <c r="S233" s="214"/>
      <c r="T233" s="274"/>
    </row>
    <row r="234" spans="1:20" x14ac:dyDescent="0.25">
      <c r="B234" s="129" t="s">
        <v>399</v>
      </c>
      <c r="C234" s="216">
        <f t="shared" si="328"/>
        <v>0.10118700136213271</v>
      </c>
      <c r="D234" s="217">
        <f t="shared" si="329"/>
        <v>0.10070682835095</v>
      </c>
      <c r="E234" s="218">
        <v>7.5</v>
      </c>
      <c r="F234" s="218">
        <v>10</v>
      </c>
      <c r="G234" s="219">
        <f t="shared" si="330"/>
        <v>1.9735617469879518</v>
      </c>
      <c r="H234" s="220">
        <v>1</v>
      </c>
      <c r="I234" s="129">
        <v>1067086</v>
      </c>
      <c r="J234" s="129">
        <v>1054</v>
      </c>
      <c r="K234" s="221">
        <v>1242754</v>
      </c>
      <c r="L234" s="129">
        <f t="shared" si="324"/>
        <v>1.3872761895479841E-3</v>
      </c>
      <c r="M234" s="221">
        <f t="shared" si="325"/>
        <v>1.0206765018002297</v>
      </c>
      <c r="N234" s="130">
        <f t="shared" si="326"/>
        <v>99.861930699382839</v>
      </c>
      <c r="O234" s="130">
        <f t="shared" si="327"/>
        <v>101.58329813606939</v>
      </c>
      <c r="P234" s="222">
        <f t="shared" si="323"/>
        <v>1.4687533537156523</v>
      </c>
      <c r="Q234" s="214"/>
      <c r="R234" s="214"/>
      <c r="S234" s="214"/>
      <c r="T234" s="274"/>
    </row>
    <row r="235" spans="1:20" x14ac:dyDescent="0.25">
      <c r="B235" s="129" t="s">
        <v>400</v>
      </c>
      <c r="C235" s="216">
        <f t="shared" si="328"/>
        <v>0.10118700136213271</v>
      </c>
      <c r="D235" s="217">
        <f t="shared" si="329"/>
        <v>0.10070682835095</v>
      </c>
      <c r="E235" s="218">
        <v>7.5</v>
      </c>
      <c r="F235" s="218">
        <v>10</v>
      </c>
      <c r="G235" s="219">
        <f t="shared" si="330"/>
        <v>1.9735617469879518</v>
      </c>
      <c r="H235" s="220">
        <v>1</v>
      </c>
      <c r="I235" s="129">
        <v>700725</v>
      </c>
      <c r="J235" s="129">
        <v>1975</v>
      </c>
      <c r="K235" s="221">
        <v>838016</v>
      </c>
      <c r="L235" s="129">
        <f t="shared" si="324"/>
        <v>3.9585964536729811E-3</v>
      </c>
      <c r="M235" s="221">
        <f t="shared" si="325"/>
        <v>1.0481104889935422</v>
      </c>
      <c r="N235" s="130">
        <f t="shared" si="326"/>
        <v>99.606018867834621</v>
      </c>
      <c r="O235" s="130">
        <f t="shared" si="327"/>
        <v>104.31367832529099</v>
      </c>
      <c r="P235" s="222">
        <f t="shared" si="323"/>
        <v>1.508230857728825</v>
      </c>
      <c r="Q235" s="214"/>
      <c r="R235" s="214"/>
      <c r="S235" s="214"/>
      <c r="T235" s="274"/>
    </row>
    <row r="236" spans="1:20" x14ac:dyDescent="0.25">
      <c r="B236" s="150" t="s">
        <v>401</v>
      </c>
      <c r="C236" s="151">
        <f>0.2143/154.17/0.002</f>
        <v>0.69501199974054617</v>
      </c>
      <c r="D236" s="152">
        <f>0.0336/154.21/0.002</f>
        <v>0.10894235133908306</v>
      </c>
      <c r="E236" s="153">
        <v>7.5</v>
      </c>
      <c r="F236" s="153">
        <v>10</v>
      </c>
      <c r="G236" s="154">
        <f>(0.3263/3320/0.002/C236)*100</f>
        <v>7.0706068792201</v>
      </c>
      <c r="H236" s="155">
        <v>1</v>
      </c>
      <c r="I236" s="150">
        <v>589777</v>
      </c>
      <c r="J236" s="150">
        <v>4510</v>
      </c>
      <c r="K236" s="156">
        <v>3759218</v>
      </c>
      <c r="L236" s="150">
        <f t="shared" si="324"/>
        <v>1.074015263396165E-2</v>
      </c>
      <c r="M236" s="156">
        <f t="shared" si="325"/>
        <v>5.5861429916731238</v>
      </c>
      <c r="N236" s="157">
        <f t="shared" si="326"/>
        <v>99.831649312224641</v>
      </c>
      <c r="O236" s="157">
        <f t="shared" si="327"/>
        <v>87.562164776492125</v>
      </c>
      <c r="P236" s="158">
        <f>(238.15*C236*(O236/100)*7.5/1000)*(60/E236)</f>
        <v>8.6958217566609832</v>
      </c>
      <c r="Q236" s="272">
        <f>AVERAGE(N236:N238)</f>
        <v>99.832181684840251</v>
      </c>
      <c r="R236" s="272">
        <f>AVERAGE(O236:O238)</f>
        <v>88.064911835467967</v>
      </c>
      <c r="S236" s="272">
        <f>AVERAGE(P236:P238)</f>
        <v>8.7457497001363276</v>
      </c>
    </row>
    <row r="237" spans="1:20" x14ac:dyDescent="0.25">
      <c r="B237" s="150" t="s">
        <v>402</v>
      </c>
      <c r="C237" s="151">
        <f t="shared" ref="C237:C239" si="331">0.2143/154.17/0.002</f>
        <v>0.69501199974054617</v>
      </c>
      <c r="D237" s="152">
        <f t="shared" ref="D237:D239" si="332">0.0336/154.21/0.002</f>
        <v>0.10894235133908306</v>
      </c>
      <c r="E237" s="153">
        <v>7.5</v>
      </c>
      <c r="F237" s="153">
        <v>10</v>
      </c>
      <c r="G237" s="154">
        <f t="shared" ref="G237:G239" si="333">(0.3263/3320/0.002/C237)*100</f>
        <v>7.0706068792201</v>
      </c>
      <c r="H237" s="155">
        <v>1</v>
      </c>
      <c r="I237" s="150">
        <v>1342381</v>
      </c>
      <c r="J237" s="150">
        <v>12800</v>
      </c>
      <c r="K237" s="156">
        <v>8417844</v>
      </c>
      <c r="L237" s="150">
        <f t="shared" si="324"/>
        <v>1.3392323043904825E-2</v>
      </c>
      <c r="M237" s="156">
        <f t="shared" si="325"/>
        <v>5.4957560346876182</v>
      </c>
      <c r="N237" s="157">
        <f t="shared" si="326"/>
        <v>99.790076838552395</v>
      </c>
      <c r="O237" s="157">
        <f t="shared" si="327"/>
        <v>86.145359364778159</v>
      </c>
      <c r="P237" s="158">
        <f t="shared" ref="P237:P243" si="334">(238.15*C237*(O237/100)*7.5/1000)*(60/E237)</f>
        <v>8.555118436276139</v>
      </c>
      <c r="Q237" s="272"/>
      <c r="R237" s="272"/>
      <c r="S237" s="272"/>
    </row>
    <row r="238" spans="1:20" x14ac:dyDescent="0.25">
      <c r="B238" s="150" t="s">
        <v>403</v>
      </c>
      <c r="C238" s="151">
        <f t="shared" si="331"/>
        <v>0.69501199974054617</v>
      </c>
      <c r="D238" s="152">
        <f t="shared" si="332"/>
        <v>0.10894235133908306</v>
      </c>
      <c r="E238" s="153">
        <v>7.5</v>
      </c>
      <c r="F238" s="153">
        <v>10</v>
      </c>
      <c r="G238" s="154">
        <f t="shared" si="333"/>
        <v>7.0706068792201</v>
      </c>
      <c r="H238" s="155">
        <v>1</v>
      </c>
      <c r="I238" s="150">
        <v>638050</v>
      </c>
      <c r="J238" s="150">
        <v>3628</v>
      </c>
      <c r="K238" s="156">
        <v>4202765</v>
      </c>
      <c r="L238" s="150">
        <f t="shared" si="324"/>
        <v>7.9860919990596343E-3</v>
      </c>
      <c r="M238" s="156">
        <f t="shared" si="325"/>
        <v>5.7727501700493686</v>
      </c>
      <c r="N238" s="157">
        <f t="shared" si="326"/>
        <v>99.87481890374373</v>
      </c>
      <c r="O238" s="157">
        <f t="shared" si="327"/>
        <v>90.487211365133604</v>
      </c>
      <c r="P238" s="158">
        <f t="shared" si="334"/>
        <v>8.9863089074718587</v>
      </c>
      <c r="Q238" s="272"/>
      <c r="R238" s="272"/>
      <c r="S238" s="272"/>
    </row>
    <row r="239" spans="1:20" x14ac:dyDescent="0.25">
      <c r="B239" s="150" t="s">
        <v>404</v>
      </c>
      <c r="C239" s="151">
        <f t="shared" si="331"/>
        <v>0.69501199974054617</v>
      </c>
      <c r="D239" s="152">
        <f t="shared" si="332"/>
        <v>0.10894235133908306</v>
      </c>
      <c r="E239" s="153">
        <v>7.5</v>
      </c>
      <c r="F239" s="153">
        <v>10</v>
      </c>
      <c r="G239" s="154">
        <f t="shared" si="333"/>
        <v>7.0706068792201</v>
      </c>
      <c r="H239" s="155">
        <v>1</v>
      </c>
      <c r="I239" s="150">
        <v>259517</v>
      </c>
      <c r="J239" s="150">
        <v>946</v>
      </c>
      <c r="K239" s="156">
        <v>1894821</v>
      </c>
      <c r="L239" s="150">
        <f t="shared" si="324"/>
        <v>5.1197301140195059E-3</v>
      </c>
      <c r="M239" s="156">
        <f t="shared" si="325"/>
        <v>6.3988914961254943</v>
      </c>
      <c r="N239" s="157">
        <f t="shared" si="326"/>
        <v>99.919748804761497</v>
      </c>
      <c r="O239" s="157">
        <f t="shared" si="327"/>
        <v>100.30190641482616</v>
      </c>
      <c r="P239" s="158">
        <f t="shared" si="334"/>
        <v>9.9610088702464488</v>
      </c>
      <c r="Q239" s="272"/>
      <c r="R239" s="272"/>
      <c r="S239" s="272"/>
    </row>
    <row r="240" spans="1:20" x14ac:dyDescent="0.25">
      <c r="A240" s="52">
        <v>43852</v>
      </c>
      <c r="B240" s="205" t="s">
        <v>405</v>
      </c>
      <c r="C240" s="206">
        <f>0.2178/154.17/0.002</f>
        <v>0.70636310566258032</v>
      </c>
      <c r="D240" s="207">
        <f>0.032/154.21/0.002</f>
        <v>0.10375462032293625</v>
      </c>
      <c r="E240" s="208">
        <v>7.5</v>
      </c>
      <c r="F240" s="208">
        <v>10</v>
      </c>
      <c r="G240" s="209">
        <f>(0.2331/3320/0.002/C240)*100</f>
        <v>4.969883252016329</v>
      </c>
      <c r="H240" s="210">
        <v>1</v>
      </c>
      <c r="I240" s="205">
        <v>167314</v>
      </c>
      <c r="J240" s="205">
        <v>4308</v>
      </c>
      <c r="K240" s="211">
        <v>798470</v>
      </c>
      <c r="L240" s="205">
        <f t="shared" si="324"/>
        <v>3.6163058680086548E-2</v>
      </c>
      <c r="M240" s="211">
        <f t="shared" si="325"/>
        <v>4.1824300895322573</v>
      </c>
      <c r="N240" s="212">
        <f t="shared" si="326"/>
        <v>99.468816477957333</v>
      </c>
      <c r="O240" s="212">
        <f t="shared" si="327"/>
        <v>61.433905945525659</v>
      </c>
      <c r="P240" s="213">
        <f t="shared" si="334"/>
        <v>6.2006607664173705</v>
      </c>
      <c r="Q240" s="272">
        <f>AVERAGE(N241:N243)</f>
        <v>99.926393964146129</v>
      </c>
      <c r="R240" s="272">
        <f t="shared" ref="R240:S240" si="335">AVERAGE(O241:O243)</f>
        <v>75.113681804443146</v>
      </c>
      <c r="S240" s="272">
        <f t="shared" si="335"/>
        <v>7.58139096997935</v>
      </c>
    </row>
    <row r="241" spans="1:19" x14ac:dyDescent="0.25">
      <c r="A241" s="215"/>
      <c r="B241" s="205" t="s">
        <v>406</v>
      </c>
      <c r="C241" s="206">
        <f t="shared" ref="C241:C243" si="336">0.2178/154.17/0.002</f>
        <v>0.70636310566258032</v>
      </c>
      <c r="D241" s="207">
        <f t="shared" ref="D241:D243" si="337">0.032/154.21/0.002</f>
        <v>0.10375462032293625</v>
      </c>
      <c r="E241" s="208">
        <v>7.5</v>
      </c>
      <c r="F241" s="208">
        <v>10</v>
      </c>
      <c r="G241" s="209">
        <f t="shared" ref="G241:G243" si="338">(0.2331/3320/0.002/C241)*100</f>
        <v>4.969883252016329</v>
      </c>
      <c r="H241" s="210">
        <v>1</v>
      </c>
      <c r="I241" s="205">
        <v>694565</v>
      </c>
      <c r="J241" s="205">
        <v>1640</v>
      </c>
      <c r="K241" s="211">
        <v>3326248</v>
      </c>
      <c r="L241" s="205">
        <f t="shared" si="324"/>
        <v>3.316291491797024E-3</v>
      </c>
      <c r="M241" s="211">
        <f t="shared" si="325"/>
        <v>4.1970495881594951</v>
      </c>
      <c r="N241" s="212">
        <f t="shared" si="326"/>
        <v>99.951288429158708</v>
      </c>
      <c r="O241" s="212">
        <f t="shared" si="327"/>
        <v>61.648645435346253</v>
      </c>
      <c r="P241" s="213">
        <f t="shared" si="334"/>
        <v>6.2223349007416919</v>
      </c>
      <c r="Q241" s="272"/>
      <c r="R241" s="272"/>
      <c r="S241" s="272"/>
    </row>
    <row r="242" spans="1:19" x14ac:dyDescent="0.25">
      <c r="A242" s="215"/>
      <c r="B242" s="205" t="s">
        <v>407</v>
      </c>
      <c r="C242" s="206">
        <f t="shared" si="336"/>
        <v>0.70636310566258032</v>
      </c>
      <c r="D242" s="207">
        <f t="shared" si="337"/>
        <v>0.10375462032293625</v>
      </c>
      <c r="E242" s="208">
        <v>7.5</v>
      </c>
      <c r="F242" s="208">
        <v>10</v>
      </c>
      <c r="G242" s="209">
        <f t="shared" si="338"/>
        <v>4.969883252016329</v>
      </c>
      <c r="H242" s="210">
        <v>1</v>
      </c>
      <c r="I242" s="205">
        <v>836807</v>
      </c>
      <c r="J242" s="205">
        <v>2715</v>
      </c>
      <c r="K242" s="211">
        <v>4818992</v>
      </c>
      <c r="L242" s="205">
        <f t="shared" si="324"/>
        <v>4.5568661591023976E-3</v>
      </c>
      <c r="M242" s="211">
        <f t="shared" si="325"/>
        <v>5.0469995934546441</v>
      </c>
      <c r="N242" s="212">
        <f t="shared" si="326"/>
        <v>99.933066164638291</v>
      </c>
      <c r="O242" s="212">
        <f t="shared" si="327"/>
        <v>74.133193309651745</v>
      </c>
      <c r="P242" s="213">
        <f t="shared" si="334"/>
        <v>7.4824280854287961</v>
      </c>
      <c r="Q242" s="272"/>
      <c r="R242" s="272"/>
      <c r="S242" s="272"/>
    </row>
    <row r="243" spans="1:19" x14ac:dyDescent="0.25">
      <c r="A243" s="215"/>
      <c r="B243" s="205" t="s">
        <v>408</v>
      </c>
      <c r="C243" s="206">
        <f t="shared" si="336"/>
        <v>0.70636310566258032</v>
      </c>
      <c r="D243" s="207">
        <f t="shared" si="337"/>
        <v>0.10375462032293625</v>
      </c>
      <c r="E243" s="208">
        <v>7.5</v>
      </c>
      <c r="F243" s="208">
        <v>10</v>
      </c>
      <c r="G243" s="209">
        <f t="shared" si="338"/>
        <v>4.969883252016329</v>
      </c>
      <c r="H243" s="210">
        <v>1</v>
      </c>
      <c r="I243" s="205">
        <v>706156</v>
      </c>
      <c r="J243" s="205">
        <v>3600</v>
      </c>
      <c r="K243" s="211">
        <v>4912800</v>
      </c>
      <c r="L243" s="205">
        <f t="shared" si="324"/>
        <v>7.1601742391199678E-3</v>
      </c>
      <c r="M243" s="211">
        <f t="shared" si="325"/>
        <v>6.0972050368473818</v>
      </c>
      <c r="N243" s="212">
        <f t="shared" si="326"/>
        <v>99.894827298641388</v>
      </c>
      <c r="O243" s="212">
        <f t="shared" si="327"/>
        <v>89.559206668331441</v>
      </c>
      <c r="P243" s="213">
        <f t="shared" si="334"/>
        <v>9.0394099237675629</v>
      </c>
      <c r="Q243" s="272"/>
      <c r="R243" s="272"/>
      <c r="S243" s="272"/>
    </row>
    <row r="244" spans="1:19" x14ac:dyDescent="0.25">
      <c r="B244" s="150" t="s">
        <v>409</v>
      </c>
      <c r="C244" s="151">
        <f>0.1832/154.17/0.002</f>
        <v>0.59414931569047158</v>
      </c>
      <c r="D244" s="152">
        <f>0.0302/154.21/0.002</f>
        <v>9.7918422929771085E-2</v>
      </c>
      <c r="E244" s="153">
        <v>7.5</v>
      </c>
      <c r="F244" s="153">
        <v>10</v>
      </c>
      <c r="G244" s="154">
        <f>(0.1991/3320/0.002/C244)*100</f>
        <v>5.046701050928605</v>
      </c>
      <c r="H244" s="155">
        <v>1</v>
      </c>
      <c r="I244" s="150">
        <v>500916</v>
      </c>
      <c r="J244" s="150">
        <v>2402</v>
      </c>
      <c r="K244" s="156">
        <v>2625089</v>
      </c>
      <c r="L244" s="150">
        <f t="shared" ref="L244:L253" si="339">1.4045*(J244/I244)</f>
        <v>6.7348797003888884E-3</v>
      </c>
      <c r="M244" s="156">
        <f t="shared" ref="M244:M253" si="340">0.8764*(K244/I244)</f>
        <v>4.5928419128157216</v>
      </c>
      <c r="N244" s="157">
        <f t="shared" ref="N244:N253" si="341">100*(1-L244/(C244/D244))</f>
        <v>99.889006217550318</v>
      </c>
      <c r="O244" s="157">
        <f t="shared" ref="O244:O253" si="342">100*M244/(C244/D244)</f>
        <v>75.692056692186284</v>
      </c>
      <c r="P244" s="158">
        <f>(238.15*C244*(O244/100)*7.5/1000)*(60/E244)</f>
        <v>6.4261039050164062</v>
      </c>
      <c r="Q244" s="272">
        <f>AVERAGE(N244:N246)</f>
        <v>99.919099697169216</v>
      </c>
      <c r="R244" s="272">
        <f>AVERAGE(O244:O246)</f>
        <v>81.619005799736613</v>
      </c>
      <c r="S244" s="272">
        <f>AVERAGE(P244:P246)</f>
        <v>6.9292900049760133</v>
      </c>
    </row>
    <row r="245" spans="1:19" x14ac:dyDescent="0.25">
      <c r="B245" s="150" t="s">
        <v>410</v>
      </c>
      <c r="C245" s="151">
        <f t="shared" ref="C245:C247" si="343">0.1832/154.17/0.002</f>
        <v>0.59414931569047158</v>
      </c>
      <c r="D245" s="152">
        <f t="shared" ref="D245:D247" si="344">0.0302/154.21/0.002</f>
        <v>9.7918422929771085E-2</v>
      </c>
      <c r="E245" s="153">
        <v>7.5</v>
      </c>
      <c r="F245" s="153">
        <v>10</v>
      </c>
      <c r="G245" s="154">
        <f t="shared" ref="G245:G247" si="345">(0.1991/3320/0.002/C245)*100</f>
        <v>5.046701050928605</v>
      </c>
      <c r="H245" s="155">
        <v>1</v>
      </c>
      <c r="I245" s="150">
        <v>919736</v>
      </c>
      <c r="J245" s="150">
        <v>2828</v>
      </c>
      <c r="K245" s="156">
        <v>4773584</v>
      </c>
      <c r="L245" s="150">
        <f t="shared" si="339"/>
        <v>4.3185501056825009E-3</v>
      </c>
      <c r="M245" s="156">
        <f t="shared" si="340"/>
        <v>4.5486628963093754</v>
      </c>
      <c r="N245" s="157">
        <f t="shared" si="341"/>
        <v>99.928828393044569</v>
      </c>
      <c r="O245" s="157">
        <f t="shared" si="342"/>
        <v>74.963967050635077</v>
      </c>
      <c r="P245" s="158">
        <f t="shared" ref="P245:P253" si="346">(238.15*C245*(O245/100)*7.5/1000)*(60/E245)</f>
        <v>6.3642905537449348</v>
      </c>
      <c r="Q245" s="272"/>
      <c r="R245" s="272"/>
      <c r="S245" s="272"/>
    </row>
    <row r="246" spans="1:19" x14ac:dyDescent="0.25">
      <c r="B246" s="150" t="s">
        <v>411</v>
      </c>
      <c r="C246" s="151">
        <f t="shared" si="343"/>
        <v>0.59414931569047158</v>
      </c>
      <c r="D246" s="152">
        <f t="shared" si="344"/>
        <v>9.7918422929771085E-2</v>
      </c>
      <c r="E246" s="153">
        <v>7.5</v>
      </c>
      <c r="F246" s="153">
        <v>10</v>
      </c>
      <c r="G246" s="154">
        <f t="shared" si="345"/>
        <v>5.046701050928605</v>
      </c>
      <c r="H246" s="155">
        <v>1</v>
      </c>
      <c r="I246" s="150">
        <v>789970</v>
      </c>
      <c r="J246" s="150">
        <v>2066</v>
      </c>
      <c r="K246" s="156">
        <v>5152226</v>
      </c>
      <c r="L246" s="150">
        <f t="shared" si="339"/>
        <v>3.6731736648227152E-3</v>
      </c>
      <c r="M246" s="156">
        <f t="shared" si="340"/>
        <v>5.715927017988025</v>
      </c>
      <c r="N246" s="157">
        <f t="shared" si="341"/>
        <v>99.939464480912747</v>
      </c>
      <c r="O246" s="157">
        <f t="shared" si="342"/>
        <v>94.200993656388476</v>
      </c>
      <c r="P246" s="158">
        <f t="shared" si="346"/>
        <v>7.9974755561666981</v>
      </c>
      <c r="Q246" s="272"/>
      <c r="R246" s="272"/>
      <c r="S246" s="272"/>
    </row>
    <row r="247" spans="1:19" x14ac:dyDescent="0.25">
      <c r="B247" s="186" t="s">
        <v>412</v>
      </c>
      <c r="C247" s="224">
        <f t="shared" si="343"/>
        <v>0.59414931569047158</v>
      </c>
      <c r="D247" s="225">
        <f t="shared" si="344"/>
        <v>9.7918422929771085E-2</v>
      </c>
      <c r="E247" s="226">
        <v>7.5</v>
      </c>
      <c r="F247" s="226">
        <v>10</v>
      </c>
      <c r="G247" s="227">
        <f t="shared" si="345"/>
        <v>5.046701050928605</v>
      </c>
      <c r="H247" s="228">
        <v>1</v>
      </c>
      <c r="I247" s="186">
        <v>96720</v>
      </c>
      <c r="J247" s="186">
        <v>248</v>
      </c>
      <c r="K247" s="229">
        <v>916241</v>
      </c>
      <c r="L247" s="186">
        <f t="shared" si="339"/>
        <v>3.6012820512820514E-3</v>
      </c>
      <c r="M247" s="229">
        <f t="shared" si="340"/>
        <v>8.3022499214226624</v>
      </c>
      <c r="N247" s="188">
        <f t="shared" si="341"/>
        <v>99.940649286353704</v>
      </c>
      <c r="O247" s="188">
        <f t="shared" si="342"/>
        <v>136.82473371694238</v>
      </c>
      <c r="P247" s="230">
        <f t="shared" si="346"/>
        <v>11.61614565735586</v>
      </c>
      <c r="Q247" s="272"/>
      <c r="R247" s="272"/>
      <c r="S247" s="272"/>
    </row>
    <row r="248" spans="1:19" x14ac:dyDescent="0.25">
      <c r="A248" s="22">
        <v>43853</v>
      </c>
      <c r="B248" s="205" t="s">
        <v>413</v>
      </c>
      <c r="C248" s="206">
        <f>0.2142/154.17/0.002</f>
        <v>0.69468768242848811</v>
      </c>
      <c r="D248" s="207">
        <f>0.0313/154.21/0.002</f>
        <v>0.10148498800337202</v>
      </c>
      <c r="E248" s="208">
        <v>7.5</v>
      </c>
      <c r="F248" s="208">
        <v>10</v>
      </c>
      <c r="G248" s="209">
        <f>(0.2329/3320/0.002/C248)*100</f>
        <v>5.0490748709122197</v>
      </c>
      <c r="H248" s="210">
        <v>1</v>
      </c>
      <c r="I248" s="205">
        <v>763260</v>
      </c>
      <c r="J248" s="205">
        <v>3010</v>
      </c>
      <c r="K248" s="211">
        <v>3815943</v>
      </c>
      <c r="L248" s="205">
        <f t="shared" si="339"/>
        <v>5.5388006708068024E-3</v>
      </c>
      <c r="M248" s="211">
        <f t="shared" si="340"/>
        <v>4.3815900809684774</v>
      </c>
      <c r="N248" s="212">
        <f t="shared" si="341"/>
        <v>99.919085204207903</v>
      </c>
      <c r="O248" s="212">
        <f t="shared" si="342"/>
        <v>64.009428704467368</v>
      </c>
      <c r="P248" s="213">
        <f t="shared" si="346"/>
        <v>6.3538269984949203</v>
      </c>
    </row>
    <row r="249" spans="1:19" x14ac:dyDescent="0.25">
      <c r="B249" s="205" t="s">
        <v>414</v>
      </c>
      <c r="C249" s="206">
        <f t="shared" ref="C249:C253" si="347">0.2142/154.17/0.002</f>
        <v>0.69468768242848811</v>
      </c>
      <c r="D249" s="207">
        <f t="shared" ref="D249:D253" si="348">0.0313/154.21/0.002</f>
        <v>0.10148498800337202</v>
      </c>
      <c r="E249" s="208">
        <v>7.5</v>
      </c>
      <c r="F249" s="208">
        <v>10</v>
      </c>
      <c r="G249" s="209">
        <f t="shared" ref="G249:G253" si="349">(0.2329/3320/0.002/C249)*100</f>
        <v>5.0490748709122197</v>
      </c>
      <c r="H249" s="210">
        <v>1</v>
      </c>
      <c r="I249" s="205">
        <v>759867</v>
      </c>
      <c r="J249" s="205">
        <v>3549</v>
      </c>
      <c r="K249" s="211">
        <v>4274621</v>
      </c>
      <c r="L249" s="205">
        <f t="shared" si="339"/>
        <v>6.5597933585745932E-3</v>
      </c>
      <c r="M249" s="211">
        <f t="shared" si="340"/>
        <v>4.9301757339113292</v>
      </c>
      <c r="N249" s="212">
        <f t="shared" si="341"/>
        <v>99.904169806498899</v>
      </c>
      <c r="O249" s="212">
        <f t="shared" si="342"/>
        <v>72.023563662655349</v>
      </c>
      <c r="P249" s="213">
        <f t="shared" si="346"/>
        <v>7.1493414734329361</v>
      </c>
      <c r="Q249" s="272">
        <f>AVERAGE(N250:N251,N253)</f>
        <v>99.888090745428187</v>
      </c>
      <c r="R249" s="272">
        <f t="shared" ref="R249:S249" si="350">AVERAGE(O250:O251,O253)</f>
        <v>82.171877042242897</v>
      </c>
      <c r="S249" s="272">
        <f t="shared" si="350"/>
        <v>8.1567028707376803</v>
      </c>
    </row>
    <row r="250" spans="1:19" s="223" customFormat="1" x14ac:dyDescent="0.25">
      <c r="B250" s="205" t="s">
        <v>417</v>
      </c>
      <c r="C250" s="206">
        <f t="shared" si="347"/>
        <v>0.69468768242848811</v>
      </c>
      <c r="D250" s="207">
        <f t="shared" si="348"/>
        <v>0.10148498800337202</v>
      </c>
      <c r="E250" s="208">
        <v>7.5</v>
      </c>
      <c r="F250" s="208">
        <v>10</v>
      </c>
      <c r="G250" s="209">
        <f t="shared" ref="G250" si="351">(0.2329/3320/0.002/C250)*100</f>
        <v>5.0490748709122197</v>
      </c>
      <c r="H250" s="210">
        <v>1</v>
      </c>
      <c r="I250" s="205">
        <v>184462</v>
      </c>
      <c r="J250" s="205">
        <v>791</v>
      </c>
      <c r="K250" s="211">
        <v>1193932</v>
      </c>
      <c r="L250" s="205">
        <f t="shared" ref="L250" si="352">1.4045*(J250/I250)</f>
        <v>6.0227011525409036E-3</v>
      </c>
      <c r="M250" s="211">
        <f t="shared" ref="M250" si="353">0.8764*(K250/I250)</f>
        <v>5.6725071006494563</v>
      </c>
      <c r="N250" s="212">
        <f t="shared" ref="N250" si="354">100*(1-L250/(C250/D250))</f>
        <v>99.912016036893476</v>
      </c>
      <c r="O250" s="212">
        <f t="shared" ref="O250" si="355">100*M250/(C250/D250)</f>
        <v>82.868075772699953</v>
      </c>
      <c r="P250" s="213">
        <f t="shared" ref="P250" si="356">(238.15*C250*(O250/100)*7.5/1000)*(60/E250)</f>
        <v>8.2258102878702317</v>
      </c>
      <c r="Q250" s="272"/>
      <c r="R250" s="272"/>
      <c r="S250" s="272"/>
    </row>
    <row r="251" spans="1:19" x14ac:dyDescent="0.25">
      <c r="B251" s="205" t="s">
        <v>415</v>
      </c>
      <c r="C251" s="206">
        <f t="shared" si="347"/>
        <v>0.69468768242848811</v>
      </c>
      <c r="D251" s="207">
        <f t="shared" si="348"/>
        <v>0.10148498800337202</v>
      </c>
      <c r="E251" s="208">
        <v>7.5</v>
      </c>
      <c r="F251" s="208">
        <v>10</v>
      </c>
      <c r="G251" s="209">
        <f t="shared" si="349"/>
        <v>5.0490748709122197</v>
      </c>
      <c r="H251" s="210">
        <v>1</v>
      </c>
      <c r="I251" s="205">
        <v>706698</v>
      </c>
      <c r="J251" s="205">
        <v>4347</v>
      </c>
      <c r="K251" s="211">
        <v>4457825</v>
      </c>
      <c r="L251" s="205">
        <f t="shared" si="339"/>
        <v>8.6392794376098422E-3</v>
      </c>
      <c r="M251" s="211">
        <f t="shared" si="340"/>
        <v>5.5282989763661421</v>
      </c>
      <c r="N251" s="212">
        <f t="shared" si="341"/>
        <v>99.873791173751826</v>
      </c>
      <c r="O251" s="212">
        <f t="shared" si="342"/>
        <v>80.761379463975985</v>
      </c>
      <c r="P251" s="213">
        <f t="shared" si="346"/>
        <v>8.0166913478184245</v>
      </c>
      <c r="Q251" s="272"/>
      <c r="R251" s="272"/>
      <c r="S251" s="272"/>
    </row>
    <row r="252" spans="1:19" s="223" customFormat="1" x14ac:dyDescent="0.25">
      <c r="B252" s="205" t="s">
        <v>418</v>
      </c>
      <c r="C252" s="206">
        <f t="shared" si="347"/>
        <v>0.69468768242848811</v>
      </c>
      <c r="D252" s="207">
        <f t="shared" si="348"/>
        <v>0.10148498800337202</v>
      </c>
      <c r="E252" s="208">
        <v>7.5</v>
      </c>
      <c r="F252" s="208">
        <v>10</v>
      </c>
      <c r="G252" s="209">
        <f t="shared" ref="G252" si="357">(0.2329/3320/0.002/C252)*100</f>
        <v>5.0490748709122197</v>
      </c>
      <c r="H252" s="210">
        <v>1</v>
      </c>
      <c r="I252" s="205">
        <v>196564</v>
      </c>
      <c r="J252" s="205">
        <v>810</v>
      </c>
      <c r="K252" s="211">
        <v>1131814</v>
      </c>
      <c r="L252" s="205">
        <f t="shared" ref="L252" si="358">1.4045*(J252/I252)</f>
        <v>5.787656946338089E-3</v>
      </c>
      <c r="M252" s="211">
        <f t="shared" ref="M252" si="359">0.8764*(K252/I252)</f>
        <v>5.0463044585987262</v>
      </c>
      <c r="N252" s="212">
        <f t="shared" ref="N252" si="360">100*(1-L252/(C252/D252))</f>
        <v>99.915449732214412</v>
      </c>
      <c r="O252" s="212">
        <f t="shared" ref="O252" si="361">100*M252/(C252/D252)</f>
        <v>73.720055846099314</v>
      </c>
      <c r="P252" s="213">
        <f t="shared" ref="P252" si="362">(238.15*C252*(O252/100)*7.5/1000)*(60/E252)</f>
        <v>7.3177419428023738</v>
      </c>
      <c r="Q252" s="272"/>
      <c r="R252" s="272"/>
      <c r="S252" s="272"/>
    </row>
    <row r="253" spans="1:19" x14ac:dyDescent="0.25">
      <c r="B253" s="205" t="s">
        <v>416</v>
      </c>
      <c r="C253" s="206">
        <f t="shared" si="347"/>
        <v>0.69468768242848811</v>
      </c>
      <c r="D253" s="207">
        <f t="shared" si="348"/>
        <v>0.10148498800337202</v>
      </c>
      <c r="E253" s="208">
        <v>7.5</v>
      </c>
      <c r="F253" s="208">
        <v>10</v>
      </c>
      <c r="G253" s="209">
        <f t="shared" si="349"/>
        <v>5.0490748709122197</v>
      </c>
      <c r="H253" s="210">
        <v>1</v>
      </c>
      <c r="I253" s="205">
        <v>853740</v>
      </c>
      <c r="J253" s="205">
        <v>5057</v>
      </c>
      <c r="K253" s="211">
        <v>5527047</v>
      </c>
      <c r="L253" s="205">
        <f t="shared" si="339"/>
        <v>8.3193437112001316E-3</v>
      </c>
      <c r="M253" s="211">
        <f t="shared" si="340"/>
        <v>5.6737460945955442</v>
      </c>
      <c r="N253" s="212">
        <f t="shared" si="341"/>
        <v>99.878465025639201</v>
      </c>
      <c r="O253" s="212">
        <f t="shared" si="342"/>
        <v>82.886175890052741</v>
      </c>
      <c r="P253" s="213">
        <f t="shared" si="346"/>
        <v>8.2276069765243829</v>
      </c>
    </row>
    <row r="254" spans="1:19" x14ac:dyDescent="0.25">
      <c r="B254" s="150" t="s">
        <v>419</v>
      </c>
      <c r="C254" s="151">
        <f>0.2487/154.17/0.002</f>
        <v>0.80657715508853878</v>
      </c>
      <c r="D254" s="152">
        <f>0.0307/154.21/0.002</f>
        <v>9.9539588872316967E-2</v>
      </c>
      <c r="E254" s="153">
        <v>7.5</v>
      </c>
      <c r="F254" s="153">
        <v>10</v>
      </c>
      <c r="G254" s="154">
        <f>(0.2654/3320/0.002/C254)*100</f>
        <v>4.9554936271018928</v>
      </c>
      <c r="H254" s="155">
        <v>1</v>
      </c>
      <c r="I254" s="150">
        <v>710558</v>
      </c>
      <c r="J254" s="150">
        <v>40047</v>
      </c>
      <c r="K254" s="156">
        <v>5327341</v>
      </c>
      <c r="L254" s="150">
        <f t="shared" ref="L254:L264" si="363">1.4045*(J254/I254)</f>
        <v>7.9157523383031378E-2</v>
      </c>
      <c r="M254" s="156">
        <f t="shared" ref="M254:M264" si="364">0.8764*(K254/I254)</f>
        <v>6.5707256162058547</v>
      </c>
      <c r="N254" s="157">
        <f t="shared" ref="N254:N264" si="365">100*(1-L254/(C254/D254))</f>
        <v>99.023117964104401</v>
      </c>
      <c r="O254" s="157">
        <f t="shared" ref="O254:O264" si="366">100*M254/(C254/D254)</f>
        <v>81.089245127223691</v>
      </c>
      <c r="P254" s="158">
        <f>(238.15*C254*(O254/100)*7.5/1000)*(60/E254)</f>
        <v>9.3456822473573045</v>
      </c>
    </row>
    <row r="255" spans="1:19" x14ac:dyDescent="0.25">
      <c r="B255" s="186" t="s">
        <v>420</v>
      </c>
      <c r="C255" s="224">
        <f t="shared" ref="C255:C259" si="367">0.2487/154.17/0.002</f>
        <v>0.80657715508853878</v>
      </c>
      <c r="D255" s="225">
        <f t="shared" ref="D255:D259" si="368">0.0307/154.21/0.002</f>
        <v>9.9539588872316967E-2</v>
      </c>
      <c r="E255" s="226">
        <v>7.5</v>
      </c>
      <c r="F255" s="226">
        <v>10</v>
      </c>
      <c r="G255" s="227">
        <f t="shared" ref="G255:G259" si="369">(0.2654/3320/0.002/C255)*100</f>
        <v>4.9554936271018928</v>
      </c>
      <c r="H255" s="228">
        <v>1</v>
      </c>
      <c r="I255" s="186">
        <v>1434451</v>
      </c>
      <c r="J255" s="186">
        <v>17534</v>
      </c>
      <c r="K255" s="229">
        <v>8576522</v>
      </c>
      <c r="L255" s="186">
        <f t="shared" si="363"/>
        <v>1.716789419784991E-2</v>
      </c>
      <c r="M255" s="229">
        <f t="shared" si="364"/>
        <v>5.2399586188723069</v>
      </c>
      <c r="N255" s="188">
        <f t="shared" si="365"/>
        <v>99.788131225949499</v>
      </c>
      <c r="O255" s="188">
        <f t="shared" si="366"/>
        <v>64.666265755226931</v>
      </c>
      <c r="P255" s="230">
        <f t="shared" ref="P255:P264" si="370">(238.15*C255*(O255/100)*7.5/1000)*(60/E255)</f>
        <v>7.4529041542232628</v>
      </c>
      <c r="Q255" s="272">
        <f>AVERAGE(N256,N258:N259)</f>
        <v>99.830584010058274</v>
      </c>
      <c r="R255" s="272">
        <f t="shared" ref="R255:S255" si="371">AVERAGE(O256,O258:O259)</f>
        <v>71.4044630805015</v>
      </c>
      <c r="S255" s="272">
        <f t="shared" si="371"/>
        <v>8.229493590013524</v>
      </c>
    </row>
    <row r="256" spans="1:19" s="223" customFormat="1" x14ac:dyDescent="0.25">
      <c r="B256" s="150" t="s">
        <v>423</v>
      </c>
      <c r="C256" s="151">
        <f t="shared" si="367"/>
        <v>0.80657715508853878</v>
      </c>
      <c r="D256" s="152">
        <f t="shared" si="368"/>
        <v>9.9539588872316967E-2</v>
      </c>
      <c r="E256" s="153">
        <v>7.5</v>
      </c>
      <c r="F256" s="153">
        <v>10</v>
      </c>
      <c r="G256" s="154">
        <f t="shared" ref="G256" si="372">(0.2654/3320/0.002/C256)*100</f>
        <v>4.9554936271018928</v>
      </c>
      <c r="H256" s="155">
        <v>1</v>
      </c>
      <c r="I256" s="150">
        <v>203876</v>
      </c>
      <c r="J256" s="150">
        <v>2229</v>
      </c>
      <c r="K256" s="156">
        <v>1329490</v>
      </c>
      <c r="L256" s="150">
        <f t="shared" ref="L256" si="373">1.4045*(J256/I256)</f>
        <v>1.5355561713983008E-2</v>
      </c>
      <c r="M256" s="156">
        <f t="shared" ref="M256" si="374">0.8764*(K256/I256)</f>
        <v>5.715067178088642</v>
      </c>
      <c r="N256" s="157">
        <f t="shared" ref="N256" si="375">100*(1-L256/(C256/D256))</f>
        <v>99.810497199149466</v>
      </c>
      <c r="O256" s="157">
        <f t="shared" ref="O256" si="376">100*M256/(C256/D256)</f>
        <v>70.529574721487137</v>
      </c>
      <c r="P256" s="158">
        <f t="shared" ref="P256" si="377">(238.15*C256*(O256/100)*7.5/1000)*(60/E256)</f>
        <v>8.1286611233598798</v>
      </c>
      <c r="Q256" s="272"/>
      <c r="R256" s="272"/>
      <c r="S256" s="272"/>
    </row>
    <row r="257" spans="1:19" x14ac:dyDescent="0.25">
      <c r="B257" s="186" t="s">
        <v>421</v>
      </c>
      <c r="C257" s="224">
        <f t="shared" si="367"/>
        <v>0.80657715508853878</v>
      </c>
      <c r="D257" s="225">
        <f t="shared" si="368"/>
        <v>9.9539588872316967E-2</v>
      </c>
      <c r="E257" s="226">
        <v>7.5</v>
      </c>
      <c r="F257" s="226">
        <v>10</v>
      </c>
      <c r="G257" s="227">
        <f t="shared" si="369"/>
        <v>4.9554936271018928</v>
      </c>
      <c r="H257" s="228">
        <v>1</v>
      </c>
      <c r="I257" s="186">
        <v>1358542</v>
      </c>
      <c r="J257" s="186">
        <v>11937</v>
      </c>
      <c r="K257" s="229">
        <v>8154152</v>
      </c>
      <c r="L257" s="186">
        <f t="shared" si="363"/>
        <v>1.2340815742170653E-2</v>
      </c>
      <c r="M257" s="229">
        <f t="shared" si="364"/>
        <v>5.2602707997249984</v>
      </c>
      <c r="N257" s="188">
        <f t="shared" si="365"/>
        <v>99.847702142618971</v>
      </c>
      <c r="O257" s="188">
        <f t="shared" si="366"/>
        <v>64.91693813274486</v>
      </c>
      <c r="P257" s="230">
        <f t="shared" si="370"/>
        <v>7.4817945993716499</v>
      </c>
      <c r="Q257" s="272"/>
      <c r="R257" s="272"/>
      <c r="S257" s="272"/>
    </row>
    <row r="258" spans="1:19" s="223" customFormat="1" x14ac:dyDescent="0.25">
      <c r="B258" s="150" t="s">
        <v>424</v>
      </c>
      <c r="C258" s="151">
        <f t="shared" si="367"/>
        <v>0.80657715508853878</v>
      </c>
      <c r="D258" s="152">
        <f t="shared" si="368"/>
        <v>9.9539588872316967E-2</v>
      </c>
      <c r="E258" s="153">
        <v>7.5</v>
      </c>
      <c r="F258" s="153">
        <v>10</v>
      </c>
      <c r="G258" s="154">
        <f t="shared" ref="G258" si="378">(0.2654/3320/0.002/C258)*100</f>
        <v>4.9554936271018928</v>
      </c>
      <c r="H258" s="155">
        <v>1</v>
      </c>
      <c r="I258" s="150">
        <v>213036</v>
      </c>
      <c r="J258" s="150">
        <v>2483</v>
      </c>
      <c r="K258" s="156">
        <v>1410912</v>
      </c>
      <c r="L258" s="150">
        <f t="shared" ref="L258" si="379">1.4045*(J258/I258)</f>
        <v>1.6369878799827261E-2</v>
      </c>
      <c r="M258" s="156">
        <f t="shared" ref="M258" si="380">0.8764*(K258/I258)</f>
        <v>5.8042925928012163</v>
      </c>
      <c r="N258" s="157">
        <f t="shared" ref="N258" si="381">100*(1-L258/(C258/D258))</f>
        <v>99.797979524296636</v>
      </c>
      <c r="O258" s="157">
        <f t="shared" ref="O258" si="382">100*M258/(C258/D258)</f>
        <v>71.630704482157924</v>
      </c>
      <c r="P258" s="158">
        <f t="shared" ref="P258" si="383">(238.15*C258*(O258/100)*7.5/1000)*(60/E258)</f>
        <v>8.2555683209813662</v>
      </c>
      <c r="Q258" s="272"/>
      <c r="R258" s="272"/>
      <c r="S258" s="272"/>
    </row>
    <row r="259" spans="1:19" x14ac:dyDescent="0.25">
      <c r="B259" s="150" t="s">
        <v>422</v>
      </c>
      <c r="C259" s="151">
        <f t="shared" si="367"/>
        <v>0.80657715508853878</v>
      </c>
      <c r="D259" s="152">
        <f t="shared" si="368"/>
        <v>9.9539588872316967E-2</v>
      </c>
      <c r="E259" s="153">
        <v>7.5</v>
      </c>
      <c r="F259" s="153">
        <v>10</v>
      </c>
      <c r="G259" s="154">
        <f t="shared" si="369"/>
        <v>4.9554936271018928</v>
      </c>
      <c r="H259" s="155">
        <v>1</v>
      </c>
      <c r="I259" s="231">
        <v>966399</v>
      </c>
      <c r="J259" s="231">
        <v>6508</v>
      </c>
      <c r="K259" s="232">
        <v>6438088</v>
      </c>
      <c r="L259" s="231">
        <f t="shared" si="363"/>
        <v>9.4582941414467527E-3</v>
      </c>
      <c r="M259" s="232">
        <f t="shared" si="364"/>
        <v>5.838520448800133</v>
      </c>
      <c r="N259" s="233">
        <f t="shared" si="365"/>
        <v>99.883275306728748</v>
      </c>
      <c r="O259" s="233">
        <f t="shared" si="366"/>
        <v>72.053110037859412</v>
      </c>
      <c r="P259" s="234">
        <f t="shared" si="370"/>
        <v>8.3042513256993296</v>
      </c>
    </row>
    <row r="260" spans="1:19" x14ac:dyDescent="0.25">
      <c r="A260" s="22">
        <v>43856</v>
      </c>
      <c r="B260" s="205" t="s">
        <v>427</v>
      </c>
      <c r="C260" s="206">
        <f>0.2474/154.17/0.002</f>
        <v>0.80236103003178316</v>
      </c>
      <c r="D260" s="207">
        <f>0.03/154.21/0.002</f>
        <v>9.7269956552752723E-2</v>
      </c>
      <c r="E260" s="208">
        <v>7.5</v>
      </c>
      <c r="F260" s="208">
        <v>10</v>
      </c>
      <c r="G260" s="209">
        <f>(0.3721/3320/0.002/C260)*100</f>
        <v>6.9842819540084342</v>
      </c>
      <c r="H260" s="210">
        <v>1</v>
      </c>
      <c r="I260" s="205">
        <v>233002</v>
      </c>
      <c r="J260" s="205">
        <v>1247</v>
      </c>
      <c r="K260" s="211">
        <v>1425732</v>
      </c>
      <c r="L260" s="205">
        <f t="shared" si="363"/>
        <v>7.5167230324203228E-3</v>
      </c>
      <c r="M260" s="211">
        <f t="shared" si="364"/>
        <v>5.362664375413086</v>
      </c>
      <c r="N260" s="212">
        <f t="shared" si="365"/>
        <v>99.908875020668233</v>
      </c>
      <c r="O260" s="212">
        <f t="shared" si="366"/>
        <v>65.011399018564376</v>
      </c>
      <c r="P260" s="213">
        <f t="shared" si="370"/>
        <v>7.4535157830501504</v>
      </c>
    </row>
    <row r="261" spans="1:19" x14ac:dyDescent="0.25">
      <c r="B261" s="205" t="s">
        <v>428</v>
      </c>
      <c r="C261" s="206">
        <f t="shared" ref="C261:C265" si="384">0.2474/154.17/0.002</f>
        <v>0.80236103003178316</v>
      </c>
      <c r="D261" s="207">
        <f t="shared" ref="D261:D265" si="385">0.03/154.21/0.002</f>
        <v>9.7269956552752723E-2</v>
      </c>
      <c r="E261" s="208">
        <v>7.5</v>
      </c>
      <c r="F261" s="208">
        <v>10</v>
      </c>
      <c r="G261" s="209">
        <f t="shared" ref="G261:G264" si="386">(0.3721/3320/0.002/C261)*100</f>
        <v>6.9842819540084342</v>
      </c>
      <c r="H261" s="210">
        <v>1</v>
      </c>
      <c r="I261" s="205">
        <v>274934</v>
      </c>
      <c r="J261" s="205">
        <v>1573</v>
      </c>
      <c r="K261" s="211">
        <v>1770417</v>
      </c>
      <c r="L261" s="205">
        <f t="shared" si="363"/>
        <v>8.0356685604545102E-3</v>
      </c>
      <c r="M261" s="211">
        <f t="shared" si="364"/>
        <v>5.6435124749939982</v>
      </c>
      <c r="N261" s="212">
        <f t="shared" si="365"/>
        <v>99.902583861567066</v>
      </c>
      <c r="O261" s="212">
        <f t="shared" si="366"/>
        <v>68.416111039919201</v>
      </c>
      <c r="P261" s="213">
        <f t="shared" si="370"/>
        <v>7.8438638630947315</v>
      </c>
    </row>
    <row r="262" spans="1:19" x14ac:dyDescent="0.25">
      <c r="B262" s="205" t="s">
        <v>429</v>
      </c>
      <c r="C262" s="206">
        <f t="shared" si="384"/>
        <v>0.80236103003178316</v>
      </c>
      <c r="D262" s="207">
        <f t="shared" si="385"/>
        <v>9.7269956552752723E-2</v>
      </c>
      <c r="E262" s="208">
        <v>7.5</v>
      </c>
      <c r="F262" s="208">
        <v>10</v>
      </c>
      <c r="G262" s="209">
        <f t="shared" si="386"/>
        <v>6.9842819540084342</v>
      </c>
      <c r="H262" s="210">
        <v>1</v>
      </c>
      <c r="I262" s="205">
        <v>250250</v>
      </c>
      <c r="J262" s="205">
        <v>1489</v>
      </c>
      <c r="K262" s="211">
        <v>1696135</v>
      </c>
      <c r="L262" s="205">
        <f t="shared" si="363"/>
        <v>8.3568451548451557E-3</v>
      </c>
      <c r="M262" s="211">
        <f t="shared" si="364"/>
        <v>5.9400308251748246</v>
      </c>
      <c r="N262" s="212">
        <f t="shared" si="365"/>
        <v>99.898690248565828</v>
      </c>
      <c r="O262" s="212">
        <f t="shared" si="366"/>
        <v>72.010792979798609</v>
      </c>
      <c r="P262" s="213">
        <f t="shared" si="370"/>
        <v>8.2559918741576173</v>
      </c>
      <c r="Q262" s="272">
        <f>AVERAGE(N263:N265)</f>
        <v>99.923949744105073</v>
      </c>
      <c r="R262" s="272">
        <f t="shared" ref="R262:S262" si="387">AVERAGE(O263:O265)</f>
        <v>77.282100688189871</v>
      </c>
      <c r="S262" s="272">
        <f t="shared" si="387"/>
        <v>8.8603439692507973</v>
      </c>
    </row>
    <row r="263" spans="1:19" x14ac:dyDescent="0.25">
      <c r="B263" s="205" t="s">
        <v>430</v>
      </c>
      <c r="C263" s="206">
        <f t="shared" si="384"/>
        <v>0.80236103003178316</v>
      </c>
      <c r="D263" s="207">
        <f t="shared" si="385"/>
        <v>9.7269956552752723E-2</v>
      </c>
      <c r="E263" s="208">
        <v>7.5</v>
      </c>
      <c r="F263" s="208">
        <v>10</v>
      </c>
      <c r="G263" s="209">
        <f t="shared" si="386"/>
        <v>6.9842819540084342</v>
      </c>
      <c r="H263" s="210">
        <v>1</v>
      </c>
      <c r="I263" s="205">
        <v>241600</v>
      </c>
      <c r="J263" s="205">
        <v>1039</v>
      </c>
      <c r="K263" s="211">
        <v>1729094</v>
      </c>
      <c r="L263" s="205">
        <f t="shared" si="363"/>
        <v>6.0400475993377485E-3</v>
      </c>
      <c r="M263" s="211">
        <f t="shared" si="364"/>
        <v>6.2722598576158939</v>
      </c>
      <c r="N263" s="212">
        <f t="shared" si="365"/>
        <v>99.926776707046599</v>
      </c>
      <c r="O263" s="212">
        <f t="shared" si="366"/>
        <v>76.038394314054059</v>
      </c>
      <c r="P263" s="213">
        <f t="shared" si="370"/>
        <v>8.7177538199993663</v>
      </c>
      <c r="Q263" s="272"/>
      <c r="R263" s="272"/>
      <c r="S263" s="272"/>
    </row>
    <row r="264" spans="1:19" x14ac:dyDescent="0.25">
      <c r="B264" s="205" t="s">
        <v>431</v>
      </c>
      <c r="C264" s="206">
        <f t="shared" si="384"/>
        <v>0.80236103003178316</v>
      </c>
      <c r="D264" s="207">
        <f t="shared" si="385"/>
        <v>9.7269956552752723E-2</v>
      </c>
      <c r="E264" s="208">
        <v>7.5</v>
      </c>
      <c r="F264" s="208">
        <v>10</v>
      </c>
      <c r="G264" s="209">
        <f t="shared" si="386"/>
        <v>6.9842819540084342</v>
      </c>
      <c r="H264" s="210">
        <v>1</v>
      </c>
      <c r="I264" s="205">
        <v>155778</v>
      </c>
      <c r="J264" s="205">
        <v>423</v>
      </c>
      <c r="K264" s="211">
        <v>1182994</v>
      </c>
      <c r="L264" s="205">
        <f t="shared" si="363"/>
        <v>3.8137830759157262E-3</v>
      </c>
      <c r="M264" s="211">
        <f t="shared" si="364"/>
        <v>6.6554708726521072</v>
      </c>
      <c r="N264" s="212">
        <f t="shared" si="365"/>
        <v>99.953765636638508</v>
      </c>
      <c r="O264" s="212">
        <f t="shared" si="366"/>
        <v>80.684048500627924</v>
      </c>
      <c r="P264" s="213">
        <f t="shared" si="370"/>
        <v>9.2503751344912093</v>
      </c>
      <c r="Q264" s="272"/>
      <c r="R264" s="272"/>
      <c r="S264" s="272"/>
    </row>
    <row r="265" spans="1:19" x14ac:dyDescent="0.25">
      <c r="B265" s="205" t="s">
        <v>432</v>
      </c>
      <c r="C265" s="206">
        <f t="shared" si="384"/>
        <v>0.80236103003178316</v>
      </c>
      <c r="D265" s="207">
        <f t="shared" si="385"/>
        <v>9.7269956552752723E-2</v>
      </c>
      <c r="E265" s="208">
        <v>7.5</v>
      </c>
      <c r="F265" s="208">
        <v>10</v>
      </c>
      <c r="G265" s="209">
        <f t="shared" ref="G265" si="388">(0.3721/3320/0.002/C265)*100</f>
        <v>6.9842819540084342</v>
      </c>
      <c r="H265" s="210">
        <v>1</v>
      </c>
      <c r="I265" s="205">
        <v>304683</v>
      </c>
      <c r="J265" s="205">
        <v>1945</v>
      </c>
      <c r="K265" s="211">
        <v>2154343</v>
      </c>
      <c r="L265" s="205">
        <f t="shared" ref="L265:L269" si="389">1.4045*(J265/I265)</f>
        <v>8.9658842140848041E-3</v>
      </c>
      <c r="M265" s="211">
        <f t="shared" ref="M265:M269" si="390">0.8764*(K265/I265)</f>
        <v>6.196821631663072</v>
      </c>
      <c r="N265" s="212">
        <f t="shared" ref="N265:N269" si="391">100*(1-L265/(C265/D265))</f>
        <v>99.891306888630112</v>
      </c>
      <c r="O265" s="212">
        <f t="shared" ref="O265:O269" si="392">100*M265/(C265/D265)</f>
        <v>75.123859249887616</v>
      </c>
      <c r="P265" s="213">
        <f t="shared" ref="P265" si="393">(238.15*C265*(O265/100)*7.5/1000)*(60/E265)</f>
        <v>8.6129029532618144</v>
      </c>
      <c r="Q265" s="272"/>
      <c r="R265" s="272"/>
      <c r="S265" s="272"/>
    </row>
    <row r="266" spans="1:19" x14ac:dyDescent="0.25">
      <c r="B266" s="150" t="s">
        <v>433</v>
      </c>
      <c r="C266" s="151">
        <f>0.2163/154.17/0.002</f>
        <v>0.70149834598170846</v>
      </c>
      <c r="D266" s="152">
        <f>0.0613/154.21/0.002</f>
        <v>0.19875494455612475</v>
      </c>
      <c r="E266" s="153">
        <v>7.5</v>
      </c>
      <c r="F266" s="153">
        <v>10</v>
      </c>
      <c r="G266" s="154">
        <f>(0.327/3320/0.002/C266)*100</f>
        <v>7.0202571729358496</v>
      </c>
      <c r="H266" s="155">
        <v>1</v>
      </c>
      <c r="I266" s="150">
        <v>753846</v>
      </c>
      <c r="J266" s="150">
        <v>1234</v>
      </c>
      <c r="K266" s="156">
        <v>1999973</v>
      </c>
      <c r="L266" s="150">
        <f t="shared" si="389"/>
        <v>2.2990809794042814E-3</v>
      </c>
      <c r="M266" s="156">
        <f t="shared" si="390"/>
        <v>2.3251119422269269</v>
      </c>
      <c r="N266" s="157">
        <f t="shared" si="391"/>
        <v>99.934860329292434</v>
      </c>
      <c r="O266" s="157">
        <f t="shared" si="392"/>
        <v>65.877203818260512</v>
      </c>
      <c r="P266" s="158">
        <f>(238.15*C266*(O266/100)*7.5/1000)*(60/E266)</f>
        <v>6.6033397783997732</v>
      </c>
    </row>
    <row r="267" spans="1:19" x14ac:dyDescent="0.25">
      <c r="B267" s="150" t="s">
        <v>434</v>
      </c>
      <c r="C267" s="151">
        <f t="shared" ref="C267:C270" si="394">0.2163/154.17/0.002</f>
        <v>0.70149834598170846</v>
      </c>
      <c r="D267" s="152">
        <f t="shared" ref="D267:D270" si="395">0.0613/154.21/0.002</f>
        <v>0.19875494455612475</v>
      </c>
      <c r="E267" s="153">
        <v>7.5</v>
      </c>
      <c r="F267" s="153">
        <v>10</v>
      </c>
      <c r="G267" s="154">
        <f t="shared" ref="G267:G269" si="396">(0.327/3320/0.002/C267)*100</f>
        <v>7.0202571729358496</v>
      </c>
      <c r="H267" s="155">
        <v>1</v>
      </c>
      <c r="I267" s="150">
        <v>596529</v>
      </c>
      <c r="J267" s="150">
        <v>723</v>
      </c>
      <c r="K267" s="156">
        <v>1635444</v>
      </c>
      <c r="L267" s="150">
        <f t="shared" si="389"/>
        <v>1.7022701327177724E-3</v>
      </c>
      <c r="M267" s="156">
        <f t="shared" si="390"/>
        <v>2.4027383775139182</v>
      </c>
      <c r="N267" s="157">
        <f t="shared" si="391"/>
        <v>99.951769721513116</v>
      </c>
      <c r="O267" s="157">
        <f t="shared" si="392"/>
        <v>68.076587171041481</v>
      </c>
      <c r="P267" s="158">
        <f t="shared" ref="P267:P269" si="397">(238.15*C267*(O267/100)*7.5/1000)*(60/E267)</f>
        <v>6.8237995845177606</v>
      </c>
      <c r="Q267" s="272">
        <f>AVERAGE(N268:N269)</f>
        <v>99.955777346428846</v>
      </c>
      <c r="R267" s="272">
        <f t="shared" ref="R267:S267" si="398">AVERAGE(O268:O269)</f>
        <v>73.585729736356342</v>
      </c>
      <c r="S267" s="272">
        <f t="shared" si="398"/>
        <v>7.3760200513545016</v>
      </c>
    </row>
    <row r="268" spans="1:19" x14ac:dyDescent="0.25">
      <c r="B268" s="150" t="s">
        <v>435</v>
      </c>
      <c r="C268" s="151">
        <f t="shared" si="394"/>
        <v>0.70149834598170846</v>
      </c>
      <c r="D268" s="152">
        <f t="shared" si="395"/>
        <v>0.19875494455612475</v>
      </c>
      <c r="E268" s="153">
        <v>7.5</v>
      </c>
      <c r="F268" s="153">
        <v>10</v>
      </c>
      <c r="G268" s="154">
        <f t="shared" si="396"/>
        <v>7.0202571729358496</v>
      </c>
      <c r="H268" s="155">
        <v>1</v>
      </c>
      <c r="I268" s="150">
        <v>427221</v>
      </c>
      <c r="J268" s="150">
        <v>493</v>
      </c>
      <c r="K268" s="156">
        <v>1238699</v>
      </c>
      <c r="L268" s="150">
        <f t="shared" si="389"/>
        <v>1.6207501503905472E-3</v>
      </c>
      <c r="M268" s="156">
        <f t="shared" si="390"/>
        <v>2.5410637669964724</v>
      </c>
      <c r="N268" s="157">
        <f t="shared" si="391"/>
        <v>99.954079420411261</v>
      </c>
      <c r="O268" s="157">
        <f t="shared" si="392"/>
        <v>71.995748958776659</v>
      </c>
      <c r="P268" s="158">
        <f t="shared" si="397"/>
        <v>7.2166449912889954</v>
      </c>
      <c r="Q268" s="272"/>
      <c r="R268" s="272"/>
      <c r="S268" s="272"/>
    </row>
    <row r="269" spans="1:19" x14ac:dyDescent="0.25">
      <c r="B269" s="150" t="s">
        <v>436</v>
      </c>
      <c r="C269" s="151">
        <f t="shared" si="394"/>
        <v>0.70149834598170846</v>
      </c>
      <c r="D269" s="152">
        <f t="shared" si="395"/>
        <v>0.19875494455612475</v>
      </c>
      <c r="E269" s="235">
        <v>7.5</v>
      </c>
      <c r="F269" s="235">
        <v>10</v>
      </c>
      <c r="G269" s="236">
        <f t="shared" si="396"/>
        <v>7.0202571729358496</v>
      </c>
      <c r="H269" s="237">
        <v>1</v>
      </c>
      <c r="I269" s="231">
        <v>391154</v>
      </c>
      <c r="J269" s="231">
        <v>418</v>
      </c>
      <c r="K269" s="232">
        <v>1184218</v>
      </c>
      <c r="L269" s="231">
        <f t="shared" si="389"/>
        <v>1.5008947882419711E-3</v>
      </c>
      <c r="M269" s="232">
        <f t="shared" si="390"/>
        <v>2.6532993531959281</v>
      </c>
      <c r="N269" s="233">
        <f t="shared" si="391"/>
        <v>99.957475272446416</v>
      </c>
      <c r="O269" s="233">
        <f t="shared" si="392"/>
        <v>75.175710513936011</v>
      </c>
      <c r="P269" s="234">
        <f t="shared" si="397"/>
        <v>7.5353951114200077</v>
      </c>
      <c r="Q269" s="272"/>
      <c r="R269" s="272"/>
      <c r="S269" s="272"/>
    </row>
    <row r="270" spans="1:19" x14ac:dyDescent="0.25">
      <c r="B270" s="150" t="s">
        <v>437</v>
      </c>
      <c r="C270" s="151">
        <f t="shared" si="394"/>
        <v>0.70149834598170846</v>
      </c>
      <c r="D270" s="152">
        <f t="shared" si="395"/>
        <v>0.19875494455612475</v>
      </c>
      <c r="E270" s="235">
        <v>7.5</v>
      </c>
      <c r="F270" s="235">
        <v>10</v>
      </c>
      <c r="G270" s="236">
        <f t="shared" ref="G270" si="399">(0.327/3320/0.002/C270)*100</f>
        <v>7.0202571729358496</v>
      </c>
      <c r="H270" s="237">
        <v>1</v>
      </c>
      <c r="I270" s="231">
        <v>199452</v>
      </c>
      <c r="J270" s="231">
        <v>130</v>
      </c>
      <c r="K270" s="232">
        <v>331933</v>
      </c>
      <c r="L270" s="231">
        <f t="shared" ref="L270:L279" si="400">1.4045*(J270/I270)</f>
        <v>9.1543328720694714E-4</v>
      </c>
      <c r="M270" s="232">
        <f t="shared" ref="M270:M279" si="401">0.8764*(K270/I270)</f>
        <v>1.4585267693480135</v>
      </c>
      <c r="N270" s="233">
        <f t="shared" ref="N270:N279" si="402">100*(1-L270/(C270/D270))</f>
        <v>99.974063104598059</v>
      </c>
      <c r="O270" s="233">
        <f t="shared" ref="O270:O279" si="403">100*M270/(C270/D270)</f>
        <v>41.32431798819195</v>
      </c>
      <c r="P270" s="234">
        <f t="shared" ref="P270:P275" si="404">(238.15*C270*(O270/100)*7.5/1000)*(60/E270)</f>
        <v>4.142229739129121</v>
      </c>
      <c r="Q270" s="272"/>
      <c r="R270" s="272"/>
      <c r="S270" s="272"/>
    </row>
    <row r="271" spans="1:19" x14ac:dyDescent="0.25">
      <c r="B271" s="205" t="s">
        <v>438</v>
      </c>
      <c r="C271" s="206">
        <f>0.2462/154.17/0.002</f>
        <v>0.79846922228708572</v>
      </c>
      <c r="D271" s="207">
        <f>0.0618/154.21/0.002</f>
        <v>0.20037611049867063</v>
      </c>
      <c r="E271" s="208">
        <v>7.5</v>
      </c>
      <c r="F271" s="208">
        <v>10</v>
      </c>
      <c r="G271" s="209">
        <f>(0.3712/3320/0.002/C271)*100</f>
        <v>7.0013486929032114</v>
      </c>
      <c r="H271" s="210">
        <v>1</v>
      </c>
      <c r="I271" s="205">
        <v>180928</v>
      </c>
      <c r="J271" s="205">
        <v>6193</v>
      </c>
      <c r="K271" s="211">
        <v>540047</v>
      </c>
      <c r="L271" s="205">
        <f t="shared" si="400"/>
        <v>4.8074750729571993E-2</v>
      </c>
      <c r="M271" s="211">
        <f t="shared" si="401"/>
        <v>2.6159422024230632</v>
      </c>
      <c r="N271" s="212">
        <f t="shared" si="402"/>
        <v>98.79356257003964</v>
      </c>
      <c r="O271" s="212">
        <f t="shared" si="403"/>
        <v>65.64715447759562</v>
      </c>
      <c r="P271" s="213">
        <f t="shared" si="404"/>
        <v>7.489898334933371</v>
      </c>
    </row>
    <row r="272" spans="1:19" x14ac:dyDescent="0.25">
      <c r="B272" s="205" t="s">
        <v>439</v>
      </c>
      <c r="C272" s="206">
        <f t="shared" ref="C272:C275" si="405">0.2462/154.17/0.002</f>
        <v>0.79846922228708572</v>
      </c>
      <c r="D272" s="207">
        <f t="shared" ref="D272:D275" si="406">0.0618/154.21/0.002</f>
        <v>0.20037611049867063</v>
      </c>
      <c r="E272" s="208">
        <v>7.5</v>
      </c>
      <c r="F272" s="208">
        <v>10</v>
      </c>
      <c r="G272" s="209">
        <f t="shared" ref="G272:G275" si="407">(0.3712/3320/0.002/C272)*100</f>
        <v>7.0013486929032114</v>
      </c>
      <c r="H272" s="210">
        <v>1</v>
      </c>
      <c r="I272" s="205">
        <v>397373</v>
      </c>
      <c r="J272" s="205">
        <v>6415</v>
      </c>
      <c r="K272" s="211">
        <v>1233249</v>
      </c>
      <c r="L272" s="205">
        <f t="shared" si="400"/>
        <v>2.2673577470034453E-2</v>
      </c>
      <c r="M272" s="211">
        <f t="shared" si="401"/>
        <v>2.7199115782904224</v>
      </c>
      <c r="N272" s="212">
        <f t="shared" si="402"/>
        <v>99.431005837454521</v>
      </c>
      <c r="O272" s="212">
        <f t="shared" si="403"/>
        <v>68.256269339606604</v>
      </c>
      <c r="P272" s="213">
        <f t="shared" si="404"/>
        <v>7.7875807739687968</v>
      </c>
      <c r="Q272" s="272">
        <f>AVERAGE(N273:N275)</f>
        <v>99.62906976741435</v>
      </c>
      <c r="R272" s="272">
        <f t="shared" ref="R272" si="408">AVERAGE(O273:O275)</f>
        <v>80.076708401215271</v>
      </c>
      <c r="S272" s="272">
        <f t="shared" ref="S272" si="409">AVERAGE(P273:P275)</f>
        <v>9.1362132859223717</v>
      </c>
    </row>
    <row r="273" spans="1:23" x14ac:dyDescent="0.25">
      <c r="B273" s="205" t="s">
        <v>440</v>
      </c>
      <c r="C273" s="206">
        <f t="shared" si="405"/>
        <v>0.79846922228708572</v>
      </c>
      <c r="D273" s="207">
        <f t="shared" si="406"/>
        <v>0.20037611049867063</v>
      </c>
      <c r="E273" s="208">
        <v>7.5</v>
      </c>
      <c r="F273" s="208">
        <v>10</v>
      </c>
      <c r="G273" s="209">
        <f t="shared" si="407"/>
        <v>7.0013486929032114</v>
      </c>
      <c r="H273" s="210">
        <v>1</v>
      </c>
      <c r="I273" s="205">
        <v>28019</v>
      </c>
      <c r="J273" s="205">
        <v>383</v>
      </c>
      <c r="K273" s="211">
        <v>99333</v>
      </c>
      <c r="L273" s="205">
        <f t="shared" si="400"/>
        <v>1.9198526000214142E-2</v>
      </c>
      <c r="M273" s="211">
        <f t="shared" si="401"/>
        <v>3.1070145686855346</v>
      </c>
      <c r="N273" s="212">
        <f t="shared" si="402"/>
        <v>99.518212366882267</v>
      </c>
      <c r="O273" s="212">
        <f t="shared" si="403"/>
        <v>77.970631448092263</v>
      </c>
      <c r="P273" s="213">
        <f t="shared" si="404"/>
        <v>8.8959240854236512</v>
      </c>
      <c r="Q273" s="272"/>
      <c r="R273" s="272"/>
      <c r="S273" s="272"/>
    </row>
    <row r="274" spans="1:23" s="238" customFormat="1" x14ac:dyDescent="0.25">
      <c r="B274" s="205" t="s">
        <v>441</v>
      </c>
      <c r="C274" s="206">
        <f t="shared" si="405"/>
        <v>0.79846922228708572</v>
      </c>
      <c r="D274" s="207">
        <f t="shared" si="406"/>
        <v>0.20037611049867063</v>
      </c>
      <c r="E274" s="208">
        <v>7.5</v>
      </c>
      <c r="F274" s="208">
        <v>10</v>
      </c>
      <c r="G274" s="209">
        <f t="shared" ref="G274" si="410">(0.3712/3320/0.002/C274)*100</f>
        <v>7.0013486929032114</v>
      </c>
      <c r="H274" s="210">
        <v>1</v>
      </c>
      <c r="I274" s="205">
        <v>236545</v>
      </c>
      <c r="J274" s="205">
        <v>4008</v>
      </c>
      <c r="K274" s="211">
        <v>840177</v>
      </c>
      <c r="L274" s="205">
        <f t="shared" ref="L274" si="411">1.4045*(J274/I274)</f>
        <v>2.3797738273901373E-2</v>
      </c>
      <c r="M274" s="211">
        <f t="shared" ref="M274" si="412">0.8764*(K274/I274)</f>
        <v>3.1128585376989575</v>
      </c>
      <c r="N274" s="212">
        <f t="shared" ref="N274" si="413">100*(1-L274/(C274/D274))</f>
        <v>99.402794985593673</v>
      </c>
      <c r="O274" s="212">
        <f t="shared" ref="O274" si="414">100*M274/(C274/D274)</f>
        <v>78.117286040166618</v>
      </c>
      <c r="P274" s="213">
        <f t="shared" ref="P274" si="415">(238.15*C274*(O274/100)*7.5/1000)*(60/E274)</f>
        <v>8.912656386979279</v>
      </c>
      <c r="Q274" s="272"/>
      <c r="R274" s="272"/>
      <c r="S274" s="272"/>
    </row>
    <row r="275" spans="1:23" x14ac:dyDescent="0.25">
      <c r="B275" s="205" t="s">
        <v>442</v>
      </c>
      <c r="C275" s="206">
        <f t="shared" si="405"/>
        <v>0.79846922228708572</v>
      </c>
      <c r="D275" s="207">
        <f t="shared" si="406"/>
        <v>0.20037611049867063</v>
      </c>
      <c r="E275" s="208">
        <v>7.5</v>
      </c>
      <c r="F275" s="208">
        <v>10</v>
      </c>
      <c r="G275" s="209">
        <f t="shared" si="407"/>
        <v>7.0013486929032114</v>
      </c>
      <c r="H275" s="210">
        <v>1</v>
      </c>
      <c r="I275" s="205">
        <v>98027</v>
      </c>
      <c r="J275" s="205">
        <v>94</v>
      </c>
      <c r="K275" s="211">
        <v>375033</v>
      </c>
      <c r="L275" s="205">
        <f t="shared" si="400"/>
        <v>1.346802411580483E-3</v>
      </c>
      <c r="M275" s="211">
        <f t="shared" si="401"/>
        <v>3.3529427729095045</v>
      </c>
      <c r="N275" s="212">
        <f t="shared" si="402"/>
        <v>99.966201949767111</v>
      </c>
      <c r="O275" s="212">
        <f t="shared" si="403"/>
        <v>84.142207715386903</v>
      </c>
      <c r="P275" s="213">
        <f t="shared" si="404"/>
        <v>9.6000593853641831</v>
      </c>
      <c r="Q275" s="272"/>
      <c r="R275" s="272"/>
      <c r="S275" s="272"/>
    </row>
    <row r="276" spans="1:23" x14ac:dyDescent="0.25">
      <c r="B276" s="150" t="s">
        <v>443</v>
      </c>
      <c r="C276" s="151">
        <f>0.1541/154.17/0.01</f>
        <v>9.9954595576311867E-2</v>
      </c>
      <c r="D276" s="152">
        <f>0.1534/154.21/0.01</f>
        <v>9.9474742234615138E-2</v>
      </c>
      <c r="E276" s="153">
        <v>7.5</v>
      </c>
      <c r="F276" s="153">
        <v>5</v>
      </c>
      <c r="G276" s="154">
        <f>(0.0667/3320/0.01/C276)*100</f>
        <v>2.0099487502247793</v>
      </c>
      <c r="H276" s="155">
        <v>1</v>
      </c>
      <c r="I276" s="150">
        <v>191409</v>
      </c>
      <c r="J276" s="150">
        <v>15790</v>
      </c>
      <c r="K276" s="156">
        <v>170605</v>
      </c>
      <c r="L276" s="150">
        <f t="shared" si="400"/>
        <v>0.11586213291955968</v>
      </c>
      <c r="M276" s="156">
        <f t="shared" si="401"/>
        <v>0.78114520215872818</v>
      </c>
      <c r="N276" s="157">
        <f t="shared" si="402"/>
        <v>88.469408794589427</v>
      </c>
      <c r="O276" s="157">
        <f t="shared" si="403"/>
        <v>77.739514811223813</v>
      </c>
      <c r="P276" s="158">
        <f>(238.15*C276*(O276/100)*7.5/1000)*(60/E276)</f>
        <v>1.1103155657514472</v>
      </c>
      <c r="Q276" s="272">
        <f>AVERAGE(N277:N279)</f>
        <v>88.865015647085329</v>
      </c>
      <c r="R276" s="272">
        <f t="shared" ref="R276:S276" si="416">AVERAGE(O277:O279)</f>
        <v>68.201071496923646</v>
      </c>
      <c r="S276" s="272">
        <f t="shared" si="416"/>
        <v>0.97408263310936893</v>
      </c>
      <c r="T276" s="246">
        <f>AVERAGE(N276:N279)-MAX(N276:N279)</f>
        <v>-0.92628419367564163</v>
      </c>
      <c r="U276" s="246">
        <f>AVERAGE(N276:N279)-MIN(N276:N279)</f>
        <v>1.0755214174492664</v>
      </c>
      <c r="V276" s="246">
        <f>AVERAGE(O277:O279)-MAX(O277:O279)</f>
        <v>-1.6546904934264717</v>
      </c>
      <c r="W276" s="246">
        <f>AVERAGE(O277:O279)-MIN(O277:O279)</f>
        <v>1.1912285251509189</v>
      </c>
    </row>
    <row r="277" spans="1:23" x14ac:dyDescent="0.25">
      <c r="B277" s="150" t="s">
        <v>444</v>
      </c>
      <c r="C277" s="151">
        <f t="shared" ref="C277:C293" si="417">0.1541/154.17/0.01</f>
        <v>9.9954595576311867E-2</v>
      </c>
      <c r="D277" s="152">
        <f t="shared" ref="D277:D293" si="418">0.1534/154.21/0.01</f>
        <v>9.9474742234615138E-2</v>
      </c>
      <c r="E277" s="153">
        <v>7.5</v>
      </c>
      <c r="F277" s="153">
        <v>5</v>
      </c>
      <c r="G277" s="154">
        <f t="shared" ref="G277:G279" si="419">(0.0667/3320/0.01/C277)*100</f>
        <v>2.0099487502247793</v>
      </c>
      <c r="H277" s="155">
        <v>1</v>
      </c>
      <c r="I277" s="150">
        <v>445271</v>
      </c>
      <c r="J277" s="150">
        <v>32836</v>
      </c>
      <c r="K277" s="156">
        <v>356627</v>
      </c>
      <c r="L277" s="150">
        <f t="shared" si="400"/>
        <v>0.10357324415917497</v>
      </c>
      <c r="M277" s="156">
        <f t="shared" si="401"/>
        <v>0.70192737187016441</v>
      </c>
      <c r="N277" s="157">
        <f t="shared" si="402"/>
        <v>89.692398127636991</v>
      </c>
      <c r="O277" s="157">
        <f t="shared" si="403"/>
        <v>69.855761990350118</v>
      </c>
      <c r="P277" s="158">
        <f t="shared" ref="P277:P279" si="420">(238.15*C277*(O277/100)*7.5/1000)*(60/E277)</f>
        <v>0.99771577020591151</v>
      </c>
      <c r="Q277" s="272"/>
      <c r="R277" s="272"/>
      <c r="S277" s="272"/>
      <c r="T277" s="252"/>
    </row>
    <row r="278" spans="1:23" x14ac:dyDescent="0.25">
      <c r="B278" s="150" t="s">
        <v>445</v>
      </c>
      <c r="C278" s="151">
        <f t="shared" si="417"/>
        <v>9.9954595576311867E-2</v>
      </c>
      <c r="D278" s="152">
        <f t="shared" si="418"/>
        <v>9.9474742234615138E-2</v>
      </c>
      <c r="E278" s="153">
        <v>7.5</v>
      </c>
      <c r="F278" s="153">
        <v>5</v>
      </c>
      <c r="G278" s="154">
        <f t="shared" si="419"/>
        <v>2.0099487502247793</v>
      </c>
      <c r="H278" s="155">
        <v>1</v>
      </c>
      <c r="I278" s="150">
        <v>642780</v>
      </c>
      <c r="J278" s="150">
        <v>49610</v>
      </c>
      <c r="K278" s="156">
        <v>499206</v>
      </c>
      <c r="L278" s="150">
        <f t="shared" si="400"/>
        <v>0.10839983353557983</v>
      </c>
      <c r="M278" s="156">
        <f t="shared" si="401"/>
        <v>0.68064367030710349</v>
      </c>
      <c r="N278" s="157">
        <f t="shared" si="402"/>
        <v>89.212056297106912</v>
      </c>
      <c r="O278" s="157">
        <f t="shared" si="403"/>
        <v>67.737609528648093</v>
      </c>
      <c r="P278" s="158">
        <f t="shared" si="420"/>
        <v>0.96746323191089556</v>
      </c>
      <c r="Q278" s="272"/>
      <c r="R278" s="272"/>
      <c r="S278" s="272"/>
      <c r="T278" s="252"/>
    </row>
    <row r="279" spans="1:23" x14ac:dyDescent="0.25">
      <c r="B279" s="150" t="s">
        <v>446</v>
      </c>
      <c r="C279" s="151">
        <f t="shared" si="417"/>
        <v>9.9954595576311867E-2</v>
      </c>
      <c r="D279" s="152">
        <f t="shared" si="418"/>
        <v>9.9474742234615138E-2</v>
      </c>
      <c r="E279" s="235">
        <v>7.5</v>
      </c>
      <c r="F279" s="153">
        <v>5</v>
      </c>
      <c r="G279" s="154">
        <f t="shared" si="419"/>
        <v>2.0099487502247793</v>
      </c>
      <c r="H279" s="237">
        <v>1</v>
      </c>
      <c r="I279" s="231">
        <v>264190</v>
      </c>
      <c r="J279" s="231">
        <v>23266</v>
      </c>
      <c r="K279" s="232">
        <v>202975</v>
      </c>
      <c r="L279" s="231">
        <f t="shared" si="400"/>
        <v>0.12368786479427686</v>
      </c>
      <c r="M279" s="232">
        <f t="shared" si="401"/>
        <v>0.67333089821719216</v>
      </c>
      <c r="N279" s="233">
        <f t="shared" si="402"/>
        <v>87.690592516512083</v>
      </c>
      <c r="O279" s="233">
        <f t="shared" si="403"/>
        <v>67.009842971772727</v>
      </c>
      <c r="P279" s="234">
        <f t="shared" si="420"/>
        <v>0.95706889721129973</v>
      </c>
      <c r="Q279" s="272"/>
      <c r="R279" s="272"/>
      <c r="S279" s="272"/>
      <c r="T279" s="252"/>
    </row>
    <row r="280" spans="1:23" x14ac:dyDescent="0.25">
      <c r="A280" s="22">
        <v>43857</v>
      </c>
      <c r="B280" s="121" t="s">
        <v>447</v>
      </c>
      <c r="C280" s="239">
        <f>0.1541/154.17/0.01</f>
        <v>9.9954595576311867E-2</v>
      </c>
      <c r="D280" s="240">
        <f>0.1534/154.21/0.01</f>
        <v>9.9474742234615138E-2</v>
      </c>
      <c r="E280" s="241">
        <v>7.5</v>
      </c>
      <c r="F280" s="241">
        <v>7.5</v>
      </c>
      <c r="G280" s="242">
        <f>(0.0667/3320/0.01/C280)*100</f>
        <v>2.0099487502247793</v>
      </c>
      <c r="H280" s="243">
        <v>1</v>
      </c>
      <c r="I280" s="121"/>
      <c r="J280" s="121"/>
      <c r="K280" s="122"/>
      <c r="L280" s="121" t="e">
        <f t="shared" ref="L280:L283" si="421">1.4045*(J280/I280)</f>
        <v>#DIV/0!</v>
      </c>
      <c r="M280" s="122" t="e">
        <f t="shared" ref="M280:M283" si="422">0.8764*(K280/I280)</f>
        <v>#DIV/0!</v>
      </c>
      <c r="N280" s="123" t="e">
        <f t="shared" ref="N280:N283" si="423">100*(1-L280/(C280/D280))</f>
        <v>#DIV/0!</v>
      </c>
      <c r="O280" s="123" t="e">
        <f t="shared" ref="O280:O283" si="424">100*M280/(C280/D280)</f>
        <v>#DIV/0!</v>
      </c>
      <c r="P280" s="124" t="e">
        <f>(238.15*C280*(O280/100)*7.5/1000)*(60/E280)</f>
        <v>#DIV/0!</v>
      </c>
      <c r="Q280" s="272">
        <f>AVERAGE(N281,N283)</f>
        <v>84.04128593614341</v>
      </c>
      <c r="R280" s="272">
        <f t="shared" ref="R280:S280" si="425">AVERAGE(O281,O283)</f>
        <v>64.439575737532479</v>
      </c>
      <c r="S280" s="272">
        <f t="shared" si="425"/>
        <v>0.92035902417893234</v>
      </c>
    </row>
    <row r="281" spans="1:23" x14ac:dyDescent="0.25">
      <c r="B281" s="121" t="s">
        <v>448</v>
      </c>
      <c r="C281" s="239">
        <f t="shared" si="417"/>
        <v>9.9954595576311867E-2</v>
      </c>
      <c r="D281" s="240">
        <f t="shared" si="418"/>
        <v>9.9474742234615138E-2</v>
      </c>
      <c r="E281" s="241">
        <v>7.5</v>
      </c>
      <c r="F281" s="241">
        <v>7.5</v>
      </c>
      <c r="G281" s="242">
        <f t="shared" ref="G281:G283" si="426">(0.0667/3320/0.01/C281)*100</f>
        <v>2.0099487502247793</v>
      </c>
      <c r="H281" s="243">
        <v>1</v>
      </c>
      <c r="I281" s="121">
        <v>685407</v>
      </c>
      <c r="J281" s="121">
        <v>60751</v>
      </c>
      <c r="K281" s="122">
        <v>548710</v>
      </c>
      <c r="L281" s="121">
        <f t="shared" si="421"/>
        <v>0.12448775617990479</v>
      </c>
      <c r="M281" s="122">
        <f t="shared" si="422"/>
        <v>0.70161151549371392</v>
      </c>
      <c r="N281" s="123">
        <f t="shared" si="423"/>
        <v>87.61098738285888</v>
      </c>
      <c r="O281" s="123">
        <f t="shared" si="424"/>
        <v>69.824327986291181</v>
      </c>
      <c r="P281" s="124">
        <f t="shared" ref="P281:P283" si="427">(238.15*C281*(O281/100)*7.5/1000)*(60/E281)</f>
        <v>0.99726681366064263</v>
      </c>
      <c r="Q281" s="272"/>
      <c r="R281" s="272"/>
      <c r="S281" s="272"/>
    </row>
    <row r="282" spans="1:23" x14ac:dyDescent="0.25">
      <c r="B282" s="121" t="s">
        <v>449</v>
      </c>
      <c r="C282" s="239">
        <f t="shared" si="417"/>
        <v>9.9954595576311867E-2</v>
      </c>
      <c r="D282" s="240">
        <f t="shared" si="418"/>
        <v>9.9474742234615138E-2</v>
      </c>
      <c r="E282" s="241">
        <v>7.5</v>
      </c>
      <c r="F282" s="241">
        <v>7.5</v>
      </c>
      <c r="G282" s="242">
        <f t="shared" si="426"/>
        <v>2.0099487502247793</v>
      </c>
      <c r="H282" s="243">
        <v>1</v>
      </c>
      <c r="I282" s="121"/>
      <c r="J282" s="121"/>
      <c r="K282" s="122"/>
      <c r="L282" s="121" t="e">
        <f t="shared" si="421"/>
        <v>#DIV/0!</v>
      </c>
      <c r="M282" s="122" t="e">
        <f t="shared" si="422"/>
        <v>#DIV/0!</v>
      </c>
      <c r="N282" s="123" t="e">
        <f t="shared" si="423"/>
        <v>#DIV/0!</v>
      </c>
      <c r="O282" s="123" t="e">
        <f t="shared" si="424"/>
        <v>#DIV/0!</v>
      </c>
      <c r="P282" s="124" t="e">
        <f t="shared" si="427"/>
        <v>#DIV/0!</v>
      </c>
      <c r="Q282" s="272"/>
      <c r="R282" s="272"/>
      <c r="S282" s="272"/>
    </row>
    <row r="283" spans="1:23" x14ac:dyDescent="0.25">
      <c r="B283" s="121" t="s">
        <v>450</v>
      </c>
      <c r="C283" s="239">
        <f t="shared" si="417"/>
        <v>9.9954595576311867E-2</v>
      </c>
      <c r="D283" s="240">
        <f t="shared" si="418"/>
        <v>9.9474742234615138E-2</v>
      </c>
      <c r="E283" s="208">
        <v>7.5</v>
      </c>
      <c r="F283" s="241">
        <v>7.5</v>
      </c>
      <c r="G283" s="242">
        <f t="shared" si="426"/>
        <v>2.0099487502247793</v>
      </c>
      <c r="H283" s="210">
        <v>1</v>
      </c>
      <c r="I283" s="205">
        <v>1033952</v>
      </c>
      <c r="J283" s="205">
        <v>144456</v>
      </c>
      <c r="K283" s="211">
        <v>700073</v>
      </c>
      <c r="L283" s="205">
        <f t="shared" si="421"/>
        <v>0.19622618071245088</v>
      </c>
      <c r="M283" s="211">
        <f t="shared" si="422"/>
        <v>0.59339696349540405</v>
      </c>
      <c r="N283" s="212">
        <f t="shared" si="423"/>
        <v>80.47158448942794</v>
      </c>
      <c r="O283" s="212">
        <f t="shared" si="424"/>
        <v>59.054823488773771</v>
      </c>
      <c r="P283" s="213">
        <f t="shared" si="427"/>
        <v>0.84345123469722194</v>
      </c>
      <c r="Q283" s="272"/>
      <c r="R283" s="272"/>
      <c r="S283" s="272"/>
    </row>
    <row r="284" spans="1:23" x14ac:dyDescent="0.25">
      <c r="B284" s="150" t="s">
        <v>451</v>
      </c>
      <c r="C284" s="151">
        <f>0.1541/154.17/0.01</f>
        <v>9.9954595576311867E-2</v>
      </c>
      <c r="D284" s="152">
        <f>0.1534/154.21/0.01</f>
        <v>9.9474742234615138E-2</v>
      </c>
      <c r="E284" s="153">
        <v>7.5</v>
      </c>
      <c r="F284" s="153">
        <v>12.5</v>
      </c>
      <c r="G284" s="154">
        <f>(0.0667/3320/0.01/C284)*100</f>
        <v>2.0099487502247793</v>
      </c>
      <c r="H284" s="155">
        <v>1</v>
      </c>
      <c r="I284" s="150">
        <v>413133</v>
      </c>
      <c r="J284" s="150">
        <v>666</v>
      </c>
      <c r="K284" s="156">
        <v>396852</v>
      </c>
      <c r="L284" s="150">
        <f t="shared" ref="L284:L287" si="428">1.4045*(J284/I284)</f>
        <v>2.2641546426937571E-3</v>
      </c>
      <c r="M284" s="156">
        <f t="shared" ref="M284:M287" si="429">0.8764*(K284/I284)</f>
        <v>0.84186228841559485</v>
      </c>
      <c r="N284" s="157">
        <f t="shared" ref="N284:N287" si="430">100*(1-L284/(C284/D284))</f>
        <v>99.774671491428009</v>
      </c>
      <c r="O284" s="157">
        <f t="shared" ref="O284:O287" si="431">100*M284/(C284/D284)</f>
        <v>83.782074905449306</v>
      </c>
      <c r="P284" s="158">
        <f>(238.15*C284*(O284/100)*7.5/1000)*(60/E284)</f>
        <v>1.1966185037862296</v>
      </c>
      <c r="Q284" s="272">
        <f>AVERAGE(N284:N287)</f>
        <v>99.88574003157548</v>
      </c>
      <c r="R284" s="272">
        <f t="shared" ref="R284:S284" si="432">AVERAGE(O284:O287)</f>
        <v>84.202409232760431</v>
      </c>
      <c r="S284" s="272">
        <f t="shared" si="432"/>
        <v>1.2026219339281143</v>
      </c>
      <c r="T284" s="246">
        <f>AVERAGE(N284:N287)-MAX(N284:N287)</f>
        <v>-4.9101558706837523E-2</v>
      </c>
      <c r="U284" s="246">
        <f>AVERAGE(N284:N287)-MIN(N284:N287)</f>
        <v>0.11106854014747114</v>
      </c>
      <c r="V284" s="246">
        <f>AVERAGE(O284:O287)-MAX(O284:O287)</f>
        <v>-1.2192124432449987</v>
      </c>
      <c r="W284" s="246">
        <f>AVERAGE(O284:O287)-MIN(O284:O287)</f>
        <v>0.621564880503513</v>
      </c>
    </row>
    <row r="285" spans="1:23" x14ac:dyDescent="0.25">
      <c r="B285" s="150" t="s">
        <v>452</v>
      </c>
      <c r="C285" s="151">
        <f t="shared" si="417"/>
        <v>9.9954595576311867E-2</v>
      </c>
      <c r="D285" s="152">
        <f t="shared" si="418"/>
        <v>9.9474742234615138E-2</v>
      </c>
      <c r="E285" s="153">
        <v>7.5</v>
      </c>
      <c r="F285" s="153">
        <v>12.5</v>
      </c>
      <c r="G285" s="154">
        <f t="shared" ref="G285:G287" si="433">(0.0667/3320/0.01/C285)*100</f>
        <v>2.0099487502247793</v>
      </c>
      <c r="H285" s="155">
        <v>1</v>
      </c>
      <c r="I285" s="150">
        <v>510550</v>
      </c>
      <c r="J285" s="150">
        <v>238</v>
      </c>
      <c r="K285" s="156">
        <v>489252</v>
      </c>
      <c r="L285" s="150">
        <f t="shared" si="428"/>
        <v>6.5472725492116352E-4</v>
      </c>
      <c r="M285" s="156">
        <f t="shared" si="429"/>
        <v>0.8398402757810205</v>
      </c>
      <c r="N285" s="157">
        <f t="shared" si="430"/>
        <v>99.934841590282318</v>
      </c>
      <c r="O285" s="157">
        <f t="shared" si="431"/>
        <v>83.580844352256918</v>
      </c>
      <c r="P285" s="158">
        <f t="shared" ref="P285:P287" si="434">(238.15*C285*(O285/100)*7.5/1000)*(60/E285)</f>
        <v>1.1937444259629137</v>
      </c>
      <c r="Q285" s="272"/>
      <c r="R285" s="272"/>
      <c r="S285" s="272"/>
      <c r="T285" s="252"/>
    </row>
    <row r="286" spans="1:23" x14ac:dyDescent="0.25">
      <c r="B286" s="150" t="s">
        <v>453</v>
      </c>
      <c r="C286" s="151">
        <f t="shared" si="417"/>
        <v>9.9954595576311867E-2</v>
      </c>
      <c r="D286" s="152">
        <f t="shared" si="418"/>
        <v>9.9474742234615138E-2</v>
      </c>
      <c r="E286" s="153">
        <v>7.5</v>
      </c>
      <c r="F286" s="153">
        <v>12.5</v>
      </c>
      <c r="G286" s="154">
        <f t="shared" si="433"/>
        <v>2.0099487502247793</v>
      </c>
      <c r="H286" s="155">
        <v>1</v>
      </c>
      <c r="I286" s="150">
        <v>444183</v>
      </c>
      <c r="J286" s="150">
        <v>234</v>
      </c>
      <c r="K286" s="156">
        <v>427916</v>
      </c>
      <c r="L286" s="150">
        <f t="shared" si="428"/>
        <v>7.3990449882143175E-4</v>
      </c>
      <c r="M286" s="156">
        <f t="shared" si="429"/>
        <v>0.84430422235880254</v>
      </c>
      <c r="N286" s="157">
        <f t="shared" si="430"/>
        <v>99.9263647570438</v>
      </c>
      <c r="O286" s="157">
        <f t="shared" si="431"/>
        <v>84.02509599733007</v>
      </c>
      <c r="P286" s="158">
        <f t="shared" si="434"/>
        <v>1.2000894554866144</v>
      </c>
      <c r="Q286" s="272"/>
      <c r="R286" s="272"/>
      <c r="S286" s="272"/>
      <c r="T286" s="252"/>
    </row>
    <row r="287" spans="1:23" x14ac:dyDescent="0.25">
      <c r="B287" s="150" t="s">
        <v>454</v>
      </c>
      <c r="C287" s="151">
        <f t="shared" si="417"/>
        <v>9.9954595576311867E-2</v>
      </c>
      <c r="D287" s="152">
        <f t="shared" si="418"/>
        <v>9.9474742234615138E-2</v>
      </c>
      <c r="E287" s="235">
        <v>7.5</v>
      </c>
      <c r="F287" s="153">
        <v>12.5</v>
      </c>
      <c r="G287" s="154">
        <f t="shared" si="433"/>
        <v>2.0099487502247793</v>
      </c>
      <c r="H287" s="237">
        <v>1</v>
      </c>
      <c r="I287" s="231">
        <v>335458</v>
      </c>
      <c r="J287" s="231">
        <v>223</v>
      </c>
      <c r="K287" s="232">
        <v>328544</v>
      </c>
      <c r="L287" s="231">
        <f t="shared" si="428"/>
        <v>9.3365935526951215E-4</v>
      </c>
      <c r="M287" s="232">
        <f t="shared" si="429"/>
        <v>0.85833684574521996</v>
      </c>
      <c r="N287" s="233">
        <f t="shared" si="430"/>
        <v>99.907082287547794</v>
      </c>
      <c r="O287" s="233">
        <f t="shared" si="431"/>
        <v>85.421621676005429</v>
      </c>
      <c r="P287" s="234">
        <f t="shared" si="434"/>
        <v>1.2200353504767001</v>
      </c>
      <c r="Q287" s="272"/>
      <c r="R287" s="272"/>
      <c r="S287" s="272"/>
      <c r="T287" s="252"/>
    </row>
    <row r="288" spans="1:23" x14ac:dyDescent="0.25">
      <c r="B288" s="150" t="s">
        <v>455</v>
      </c>
      <c r="C288" s="151">
        <f t="shared" si="417"/>
        <v>9.9954595576311867E-2</v>
      </c>
      <c r="D288" s="152">
        <f t="shared" si="418"/>
        <v>9.9474742234615138E-2</v>
      </c>
      <c r="E288" s="235">
        <v>7.5</v>
      </c>
      <c r="F288" s="153">
        <v>12.5</v>
      </c>
      <c r="G288" s="154">
        <f t="shared" ref="G288" si="435">(0.0667/3320/0.01/C288)*100</f>
        <v>2.0099487502247793</v>
      </c>
      <c r="H288" s="237">
        <v>1</v>
      </c>
      <c r="I288" s="231">
        <v>337765</v>
      </c>
      <c r="J288" s="231">
        <v>29108</v>
      </c>
      <c r="K288" s="232">
        <v>272094</v>
      </c>
      <c r="L288" s="231">
        <f t="shared" ref="L288" si="436">1.4045*(J288/I288)</f>
        <v>0.1210373662161562</v>
      </c>
      <c r="M288" s="232">
        <f t="shared" ref="M288" si="437">0.8764*(K288/I288)</f>
        <v>0.70600323183278313</v>
      </c>
      <c r="N288" s="233">
        <f t="shared" ref="N288" si="438">100*(1-L288/(C288/D288))</f>
        <v>87.954369945985505</v>
      </c>
      <c r="O288" s="233">
        <f t="shared" ref="O288" si="439">100*M288/(C288/D288)</f>
        <v>70.261391283158716</v>
      </c>
      <c r="P288" s="234">
        <f t="shared" ref="P288" si="440">(238.15*C288*(O288/100)*7.5/1000)*(60/E288)</f>
        <v>1.0035091755136729</v>
      </c>
    </row>
    <row r="289" spans="1:23" x14ac:dyDescent="0.25">
      <c r="B289" s="121" t="s">
        <v>456</v>
      </c>
      <c r="C289" s="239">
        <f>0.1541/154.17/0.01</f>
        <v>9.9954595576311867E-2</v>
      </c>
      <c r="D289" s="240">
        <f>0.1534/154.21/0.01</f>
        <v>9.9474742234615138E-2</v>
      </c>
      <c r="E289" s="241">
        <v>7.5</v>
      </c>
      <c r="F289" s="241">
        <v>15</v>
      </c>
      <c r="G289" s="242">
        <f>(0.0667/3320/0.01/C289)*100</f>
        <v>2.0099487502247793</v>
      </c>
      <c r="H289" s="243">
        <v>1</v>
      </c>
      <c r="I289" s="121">
        <v>375652</v>
      </c>
      <c r="J289" s="121">
        <v>147</v>
      </c>
      <c r="K289" s="122">
        <v>350108</v>
      </c>
      <c r="L289" s="121">
        <f t="shared" ref="L289:L292" si="441">1.4045*(J289/I289)</f>
        <v>5.4960841417056215E-4</v>
      </c>
      <c r="M289" s="122">
        <f t="shared" ref="M289:M292" si="442">0.8764*(K289/I289)</f>
        <v>0.81680558389147395</v>
      </c>
      <c r="N289" s="123">
        <f t="shared" ref="N289:N292" si="443">100*(1-L289/(C289/D289))</f>
        <v>99.945303009817238</v>
      </c>
      <c r="O289" s="123">
        <f t="shared" ref="O289:O292" si="444">100*M289/(C289/D289)</f>
        <v>81.288433458135458</v>
      </c>
      <c r="P289" s="124">
        <f>(238.15*C289*(O289/100)*7.5/1000)*(60/E289)</f>
        <v>1.1610030394875537</v>
      </c>
      <c r="Q289" s="272">
        <f>AVERAGE(N289:N292)</f>
        <v>99.957536856007152</v>
      </c>
      <c r="R289" s="272">
        <f t="shared" ref="R289" si="445">AVERAGE(O289:O292)</f>
        <v>81.653263803608453</v>
      </c>
      <c r="S289" s="272">
        <f t="shared" ref="S289" si="446">AVERAGE(P289:P292)</f>
        <v>1.1662137333338016</v>
      </c>
      <c r="T289" s="246">
        <f>AVERAGE(N289:N292)-MAX(N289:N292)</f>
        <v>-7.7270309154471306E-3</v>
      </c>
      <c r="U289" s="246">
        <f>AVERAGE(N289:N292)-MIN(N289:N292)</f>
        <v>1.2233846189914743E-2</v>
      </c>
      <c r="V289" s="246">
        <f>AVERAGE(O289:O292)-MAX(O289:O292)</f>
        <v>-0.43879264622887604</v>
      </c>
      <c r="W289" s="246">
        <f>AVERAGE(O289:O292)-MIN(O289:O292)</f>
        <v>0.36483034547299553</v>
      </c>
    </row>
    <row r="290" spans="1:23" x14ac:dyDescent="0.25">
      <c r="B290" s="121" t="s">
        <v>457</v>
      </c>
      <c r="C290" s="239">
        <f t="shared" si="417"/>
        <v>9.9954595576311867E-2</v>
      </c>
      <c r="D290" s="240">
        <f t="shared" si="418"/>
        <v>9.9474742234615138E-2</v>
      </c>
      <c r="E290" s="241">
        <v>7.5</v>
      </c>
      <c r="F290" s="241">
        <v>15</v>
      </c>
      <c r="G290" s="242">
        <f t="shared" ref="G290:G292" si="447">(0.0667/3320/0.01/C290)*100</f>
        <v>2.0099487502247793</v>
      </c>
      <c r="H290" s="243">
        <v>1</v>
      </c>
      <c r="I290" s="121">
        <v>577857</v>
      </c>
      <c r="J290" s="121">
        <v>166</v>
      </c>
      <c r="K290" s="122">
        <v>539663</v>
      </c>
      <c r="L290" s="121">
        <f t="shared" si="441"/>
        <v>4.0346833213061368E-4</v>
      </c>
      <c r="M290" s="122">
        <f t="shared" si="442"/>
        <v>0.81847352061150069</v>
      </c>
      <c r="N290" s="123">
        <f t="shared" si="443"/>
        <v>99.959846860359832</v>
      </c>
      <c r="O290" s="123">
        <f t="shared" si="444"/>
        <v>81.454426401563111</v>
      </c>
      <c r="P290" s="124">
        <f t="shared" ref="P290:P292" si="448">(238.15*C290*(O290/100)*7.5/1000)*(60/E290)</f>
        <v>1.1633738357208485</v>
      </c>
      <c r="Q290" s="272"/>
      <c r="R290" s="272"/>
      <c r="S290" s="272"/>
    </row>
    <row r="291" spans="1:23" x14ac:dyDescent="0.25">
      <c r="B291" s="121" t="s">
        <v>458</v>
      </c>
      <c r="C291" s="239">
        <f t="shared" si="417"/>
        <v>9.9954595576311867E-2</v>
      </c>
      <c r="D291" s="240">
        <f t="shared" si="418"/>
        <v>9.9474742234615138E-2</v>
      </c>
      <c r="E291" s="241">
        <v>7.5</v>
      </c>
      <c r="F291" s="241">
        <v>15</v>
      </c>
      <c r="G291" s="242">
        <f t="shared" si="447"/>
        <v>2.0099487502247793</v>
      </c>
      <c r="H291" s="243">
        <v>1</v>
      </c>
      <c r="I291" s="121">
        <v>482508</v>
      </c>
      <c r="J291" s="121">
        <v>139</v>
      </c>
      <c r="K291" s="122">
        <v>452407</v>
      </c>
      <c r="L291" s="121">
        <f t="shared" si="441"/>
        <v>4.04605726744427E-4</v>
      </c>
      <c r="M291" s="122">
        <f t="shared" si="442"/>
        <v>0.82172626111898661</v>
      </c>
      <c r="N291" s="123">
        <f t="shared" si="443"/>
        <v>99.959733666928969</v>
      </c>
      <c r="O291" s="123">
        <f t="shared" si="444"/>
        <v>81.778138904897901</v>
      </c>
      <c r="P291" s="124">
        <f t="shared" si="448"/>
        <v>1.1679972634866864</v>
      </c>
      <c r="Q291" s="272"/>
      <c r="R291" s="272"/>
      <c r="S291" s="272"/>
    </row>
    <row r="292" spans="1:23" x14ac:dyDescent="0.25">
      <c r="B292" s="121" t="s">
        <v>459</v>
      </c>
      <c r="C292" s="239">
        <f t="shared" si="417"/>
        <v>9.9954595576311867E-2</v>
      </c>
      <c r="D292" s="240">
        <f t="shared" si="418"/>
        <v>9.9474742234615138E-2</v>
      </c>
      <c r="E292" s="208">
        <v>7.5</v>
      </c>
      <c r="F292" s="241">
        <v>15</v>
      </c>
      <c r="G292" s="242">
        <f t="shared" si="447"/>
        <v>2.0099487502247793</v>
      </c>
      <c r="H292" s="210">
        <v>1</v>
      </c>
      <c r="I292" s="205">
        <v>293747</v>
      </c>
      <c r="J292" s="205">
        <v>73</v>
      </c>
      <c r="K292" s="211">
        <v>276479</v>
      </c>
      <c r="L292" s="205">
        <f t="shared" si="441"/>
        <v>3.490367561200625E-4</v>
      </c>
      <c r="M292" s="211">
        <f t="shared" si="442"/>
        <v>0.82488057954634419</v>
      </c>
      <c r="N292" s="212">
        <f t="shared" si="443"/>
        <v>99.9652638869226</v>
      </c>
      <c r="O292" s="212">
        <f t="shared" si="444"/>
        <v>82.09205644983733</v>
      </c>
      <c r="P292" s="213">
        <f t="shared" si="448"/>
        <v>1.1724807946401175</v>
      </c>
      <c r="Q292" s="272"/>
      <c r="R292" s="272"/>
      <c r="S292" s="272"/>
    </row>
    <row r="293" spans="1:23" x14ac:dyDescent="0.25">
      <c r="B293" s="121" t="s">
        <v>460</v>
      </c>
      <c r="C293" s="239">
        <f t="shared" si="417"/>
        <v>9.9954595576311867E-2</v>
      </c>
      <c r="D293" s="240">
        <f t="shared" si="418"/>
        <v>9.9474742234615138E-2</v>
      </c>
      <c r="E293" s="208">
        <v>7.5</v>
      </c>
      <c r="F293" s="241">
        <v>15</v>
      </c>
      <c r="G293" s="242">
        <f t="shared" ref="G293" si="449">(0.0667/3320/0.01/C293)*100</f>
        <v>2.0099487502247793</v>
      </c>
      <c r="H293" s="210">
        <v>1</v>
      </c>
      <c r="I293" s="205">
        <v>412785</v>
      </c>
      <c r="J293" s="205">
        <v>940</v>
      </c>
      <c r="K293" s="211">
        <v>354997</v>
      </c>
      <c r="L293" s="205">
        <f t="shared" ref="L293:L298" si="450">1.4045*(J293/I293)</f>
        <v>3.1983478081810146E-3</v>
      </c>
      <c r="M293" s="211">
        <f t="shared" ref="M293:M298" si="451">0.8764*(K293/I293)</f>
        <v>0.75370803396441244</v>
      </c>
      <c r="N293" s="212">
        <f t="shared" ref="N293:N298" si="452">100*(1-L293/(C293/D293))</f>
        <v>99.68170065422099</v>
      </c>
      <c r="O293" s="212">
        <f t="shared" ref="O293:O298" si="453">100*M293/(C293/D293)</f>
        <v>75.008969789215683</v>
      </c>
      <c r="P293" s="213">
        <f t="shared" ref="P293" si="454">(238.15*C293*(O293/100)*7.5/1000)*(60/E293)</f>
        <v>1.0713165232660029</v>
      </c>
    </row>
    <row r="294" spans="1:23" x14ac:dyDescent="0.25">
      <c r="B294" s="150" t="s">
        <v>468</v>
      </c>
      <c r="C294" s="151">
        <f>0.2502/154.17/0.002</f>
        <v>0.81144191476941041</v>
      </c>
      <c r="D294" s="152">
        <f>0.0655/154.21/0.002</f>
        <v>0.21237273847351015</v>
      </c>
      <c r="E294" s="153">
        <v>7.5</v>
      </c>
      <c r="F294" s="153">
        <v>10</v>
      </c>
      <c r="G294" s="154">
        <f>(0.3738/3320/0.002/C294)*100</f>
        <v>6.9376722718210981</v>
      </c>
      <c r="H294" s="155">
        <v>1</v>
      </c>
      <c r="I294" s="150">
        <v>133188</v>
      </c>
      <c r="J294" s="150">
        <v>315</v>
      </c>
      <c r="K294" s="156">
        <v>379166</v>
      </c>
      <c r="L294" s="150">
        <f t="shared" si="450"/>
        <v>3.3217519596360034E-3</v>
      </c>
      <c r="M294" s="156">
        <f t="shared" si="451"/>
        <v>2.4949776436315583</v>
      </c>
      <c r="N294" s="157">
        <f t="shared" si="452"/>
        <v>99.913062223264845</v>
      </c>
      <c r="O294" s="157">
        <f t="shared" si="453"/>
        <v>65.29921920027914</v>
      </c>
      <c r="P294" s="158">
        <f>(238.15*C294*(O294/100)*7.5/1000)*(60/E294)</f>
        <v>7.5712443373168492</v>
      </c>
      <c r="Q294" s="272">
        <f>AVERAGE(N296:N298)</f>
        <v>99.968319394563991</v>
      </c>
      <c r="R294" s="272">
        <f t="shared" ref="R294:S294" si="455">AVERAGE(O296:O298)</f>
        <v>76.406895312576424</v>
      </c>
      <c r="S294" s="272">
        <f t="shared" si="455"/>
        <v>8.859145339747533</v>
      </c>
    </row>
    <row r="295" spans="1:23" x14ac:dyDescent="0.25">
      <c r="B295" s="150" t="s">
        <v>469</v>
      </c>
      <c r="C295" s="151">
        <f t="shared" ref="C295:C299" si="456">0.2502/154.17/0.002</f>
        <v>0.81144191476941041</v>
      </c>
      <c r="D295" s="152">
        <f t="shared" ref="D295:D299" si="457">0.0655/154.21/0.002</f>
        <v>0.21237273847351015</v>
      </c>
      <c r="E295" s="153">
        <v>7.5</v>
      </c>
      <c r="F295" s="153">
        <v>10</v>
      </c>
      <c r="G295" s="154">
        <f t="shared" ref="G295:G299" si="458">(0.3738/3320/0.002/C295)*100</f>
        <v>6.9376722718210981</v>
      </c>
      <c r="H295" s="155">
        <v>1</v>
      </c>
      <c r="I295" s="150">
        <v>326169</v>
      </c>
      <c r="J295" s="150">
        <v>549</v>
      </c>
      <c r="K295" s="156">
        <v>966064</v>
      </c>
      <c r="L295" s="150">
        <f t="shared" si="450"/>
        <v>2.3640214122126872E-3</v>
      </c>
      <c r="M295" s="156">
        <f t="shared" si="451"/>
        <v>2.595766273312301</v>
      </c>
      <c r="N295" s="157">
        <f t="shared" si="452"/>
        <v>99.938128202156733</v>
      </c>
      <c r="O295" s="157">
        <f t="shared" si="453"/>
        <v>67.937086052199703</v>
      </c>
      <c r="P295" s="158">
        <f t="shared" ref="P295:P298" si="459">(238.15*C295*(O295/100)*7.5/1000)*(60/E295)</f>
        <v>7.8770969142664073</v>
      </c>
      <c r="Q295" s="272"/>
      <c r="R295" s="272"/>
      <c r="S295" s="272"/>
    </row>
    <row r="296" spans="1:23" x14ac:dyDescent="0.25">
      <c r="B296" s="150" t="s">
        <v>470</v>
      </c>
      <c r="C296" s="151">
        <f t="shared" si="456"/>
        <v>0.81144191476941041</v>
      </c>
      <c r="D296" s="152">
        <f t="shared" si="457"/>
        <v>0.21237273847351015</v>
      </c>
      <c r="E296" s="153">
        <v>7.5</v>
      </c>
      <c r="F296" s="153">
        <v>10</v>
      </c>
      <c r="G296" s="154">
        <f t="shared" si="458"/>
        <v>6.9376722718210981</v>
      </c>
      <c r="H296" s="155">
        <v>1</v>
      </c>
      <c r="I296" s="150">
        <v>326193</v>
      </c>
      <c r="J296" s="150">
        <v>342</v>
      </c>
      <c r="K296" s="156">
        <v>1017432</v>
      </c>
      <c r="L296" s="150">
        <f t="shared" si="450"/>
        <v>1.4725607232527983E-3</v>
      </c>
      <c r="M296" s="156">
        <f t="shared" si="451"/>
        <v>2.7335884117684928</v>
      </c>
      <c r="N296" s="157">
        <f t="shared" si="452"/>
        <v>99.961459748667949</v>
      </c>
      <c r="O296" s="157">
        <f t="shared" si="453"/>
        <v>71.544203756309727</v>
      </c>
      <c r="P296" s="158">
        <f t="shared" si="459"/>
        <v>8.295331156968679</v>
      </c>
      <c r="Q296" s="272"/>
      <c r="R296" s="272"/>
      <c r="S296" s="272"/>
    </row>
    <row r="297" spans="1:23" x14ac:dyDescent="0.25">
      <c r="B297" s="150" t="s">
        <v>471</v>
      </c>
      <c r="C297" s="151">
        <f t="shared" si="456"/>
        <v>0.81144191476941041</v>
      </c>
      <c r="D297" s="152">
        <f t="shared" si="457"/>
        <v>0.21237273847351015</v>
      </c>
      <c r="E297" s="235">
        <v>7.5</v>
      </c>
      <c r="F297" s="153">
        <v>10</v>
      </c>
      <c r="G297" s="154">
        <f t="shared" si="458"/>
        <v>6.9376722718210981</v>
      </c>
      <c r="H297" s="237">
        <v>1</v>
      </c>
      <c r="I297" s="231">
        <v>217137</v>
      </c>
      <c r="J297" s="231">
        <v>201</v>
      </c>
      <c r="K297" s="232">
        <v>713971</v>
      </c>
      <c r="L297" s="231">
        <f t="shared" si="450"/>
        <v>1.3001215822268891E-3</v>
      </c>
      <c r="M297" s="232">
        <f t="shared" si="451"/>
        <v>2.8817022635478984</v>
      </c>
      <c r="N297" s="233">
        <f t="shared" si="452"/>
        <v>99.965972871780423</v>
      </c>
      <c r="O297" s="233">
        <f t="shared" si="453"/>
        <v>75.420678921779924</v>
      </c>
      <c r="P297" s="234">
        <f t="shared" si="459"/>
        <v>8.7447965717892906</v>
      </c>
      <c r="Q297" s="272"/>
      <c r="R297" s="272"/>
      <c r="S297" s="272"/>
    </row>
    <row r="298" spans="1:23" x14ac:dyDescent="0.25">
      <c r="B298" s="150" t="s">
        <v>472</v>
      </c>
      <c r="C298" s="151">
        <f t="shared" si="456"/>
        <v>0.81144191476941041</v>
      </c>
      <c r="D298" s="152">
        <f t="shared" si="457"/>
        <v>0.21237273847351015</v>
      </c>
      <c r="E298" s="235">
        <v>7.5</v>
      </c>
      <c r="F298" s="153">
        <v>10</v>
      </c>
      <c r="G298" s="154">
        <f t="shared" si="458"/>
        <v>6.9376722718210981</v>
      </c>
      <c r="H298" s="237">
        <v>1</v>
      </c>
      <c r="I298" s="231">
        <v>91593</v>
      </c>
      <c r="J298" s="231">
        <v>56</v>
      </c>
      <c r="K298" s="232">
        <v>328462</v>
      </c>
      <c r="L298" s="231">
        <f t="shared" si="450"/>
        <v>8.5871191029882206E-4</v>
      </c>
      <c r="M298" s="232">
        <f t="shared" si="451"/>
        <v>3.1428613190964372</v>
      </c>
      <c r="N298" s="233">
        <f t="shared" si="452"/>
        <v>99.977525563243574</v>
      </c>
      <c r="O298" s="233">
        <f t="shared" si="453"/>
        <v>82.255803259639606</v>
      </c>
      <c r="P298" s="234">
        <f t="shared" si="459"/>
        <v>9.5373082904846278</v>
      </c>
      <c r="Q298" s="244"/>
      <c r="R298" s="244"/>
      <c r="S298" s="244"/>
    </row>
    <row r="299" spans="1:23" x14ac:dyDescent="0.25">
      <c r="B299" s="150" t="s">
        <v>473</v>
      </c>
      <c r="C299" s="151">
        <f t="shared" si="456"/>
        <v>0.81144191476941041</v>
      </c>
      <c r="D299" s="152">
        <f t="shared" si="457"/>
        <v>0.21237273847351015</v>
      </c>
      <c r="E299" s="235">
        <v>7.5</v>
      </c>
      <c r="F299" s="153">
        <v>10</v>
      </c>
      <c r="G299" s="154">
        <f t="shared" si="458"/>
        <v>6.9376722718210981</v>
      </c>
      <c r="H299" s="237">
        <v>1</v>
      </c>
      <c r="I299" s="231">
        <v>373812</v>
      </c>
      <c r="J299" s="231">
        <v>691</v>
      </c>
      <c r="K299" s="232">
        <v>1222503</v>
      </c>
      <c r="L299" s="231">
        <f t="shared" ref="L299:L304" si="460">1.4045*(J299/I299)</f>
        <v>2.5962502541384438E-3</v>
      </c>
      <c r="M299" s="232">
        <f t="shared" ref="M299:M304" si="461">0.8764*(K299/I299)</f>
        <v>2.8661509774967096</v>
      </c>
      <c r="N299" s="233">
        <f t="shared" ref="N299:N304" si="462">100*(1-L299/(C299/D299))</f>
        <v>99.932050247072752</v>
      </c>
      <c r="O299" s="233">
        <f t="shared" ref="O299:O304" si="463">100*M299/(C299/D299)</f>
        <v>75.013666522572706</v>
      </c>
      <c r="P299" s="234">
        <f t="shared" ref="P299" si="464">(238.15*C299*(O299/100)*7.5/1000)*(60/E299)</f>
        <v>8.6976047315122447</v>
      </c>
    </row>
    <row r="300" spans="1:23" x14ac:dyDescent="0.25">
      <c r="A300" s="22">
        <v>43858</v>
      </c>
      <c r="B300" s="121" t="s">
        <v>474</v>
      </c>
      <c r="C300" s="239">
        <f>0.2504/154.17/0.002</f>
        <v>0.81209054939352676</v>
      </c>
      <c r="D300" s="240">
        <f>0.0617/154.21/0.002</f>
        <v>0.20005187731016144</v>
      </c>
      <c r="E300" s="241">
        <v>7.5</v>
      </c>
      <c r="F300" s="241">
        <v>10</v>
      </c>
      <c r="G300" s="242">
        <f>(0.425/3320/0.002/C300)*100</f>
        <v>7.8816363697601908</v>
      </c>
      <c r="H300" s="243">
        <v>1</v>
      </c>
      <c r="I300" s="121">
        <v>183551</v>
      </c>
      <c r="J300" s="121">
        <v>0</v>
      </c>
      <c r="K300" s="122">
        <v>601231</v>
      </c>
      <c r="L300" s="121">
        <f t="shared" si="460"/>
        <v>0</v>
      </c>
      <c r="M300" s="122">
        <f t="shared" si="461"/>
        <v>2.8706945121519358</v>
      </c>
      <c r="N300" s="123">
        <f t="shared" si="462"/>
        <v>100</v>
      </c>
      <c r="O300" s="123">
        <f t="shared" si="463"/>
        <v>70.717215804180185</v>
      </c>
      <c r="P300" s="124">
        <f>(238.15*C300*(O300/100)*7.5/1000)*(60/E300)</f>
        <v>8.2059987505718723</v>
      </c>
    </row>
    <row r="301" spans="1:23" x14ac:dyDescent="0.25">
      <c r="B301" s="121" t="s">
        <v>475</v>
      </c>
      <c r="C301" s="239">
        <f t="shared" ref="C301:C305" si="465">0.2504/154.17/0.002</f>
        <v>0.81209054939352676</v>
      </c>
      <c r="D301" s="240">
        <f t="shared" ref="D301:D305" si="466">0.0617/154.21/0.002</f>
        <v>0.20005187731016144</v>
      </c>
      <c r="E301" s="241">
        <v>7.5</v>
      </c>
      <c r="F301" s="241">
        <v>10</v>
      </c>
      <c r="G301" s="242">
        <f t="shared" ref="G301:G305" si="467">(0.425/3320/0.002/C301)*100</f>
        <v>7.8816363697601908</v>
      </c>
      <c r="H301" s="243">
        <v>1</v>
      </c>
      <c r="I301" s="121">
        <v>451473</v>
      </c>
      <c r="J301" s="121">
        <v>1212</v>
      </c>
      <c r="K301" s="122">
        <v>1486063</v>
      </c>
      <c r="L301" s="121">
        <f t="shared" si="460"/>
        <v>3.7704447442039723E-3</v>
      </c>
      <c r="M301" s="122">
        <f t="shared" si="461"/>
        <v>2.8847475113683427</v>
      </c>
      <c r="N301" s="123">
        <f t="shared" si="462"/>
        <v>99.907118171743832</v>
      </c>
      <c r="O301" s="123">
        <f t="shared" si="463"/>
        <v>71.063399967655556</v>
      </c>
      <c r="P301" s="124">
        <f t="shared" ref="P301:P304" si="468">(238.15*C301*(O301/100)*7.5/1000)*(60/E301)</f>
        <v>8.2461698288678988</v>
      </c>
      <c r="Q301" s="272">
        <f>AVERAGE(N302:N304)</f>
        <v>100</v>
      </c>
      <c r="R301" s="272">
        <f t="shared" ref="R301:S301" si="469">AVERAGE(O302:O304)</f>
        <v>87.43454299037613</v>
      </c>
      <c r="S301" s="272">
        <f t="shared" si="469"/>
        <v>10.145871021316955</v>
      </c>
    </row>
    <row r="302" spans="1:23" x14ac:dyDescent="0.25">
      <c r="B302" s="121" t="s">
        <v>476</v>
      </c>
      <c r="C302" s="239">
        <f t="shared" si="465"/>
        <v>0.81209054939352676</v>
      </c>
      <c r="D302" s="240">
        <f t="shared" si="466"/>
        <v>0.20005187731016144</v>
      </c>
      <c r="E302" s="241">
        <v>7.5</v>
      </c>
      <c r="F302" s="241">
        <v>10</v>
      </c>
      <c r="G302" s="242">
        <f t="shared" si="467"/>
        <v>7.8816363697601908</v>
      </c>
      <c r="H302" s="243">
        <v>1</v>
      </c>
      <c r="I302" s="121">
        <v>206367</v>
      </c>
      <c r="J302" s="121">
        <v>0</v>
      </c>
      <c r="K302" s="122">
        <v>766204</v>
      </c>
      <c r="L302" s="121">
        <f t="shared" si="460"/>
        <v>0</v>
      </c>
      <c r="M302" s="122">
        <f t="shared" si="461"/>
        <v>3.2539174654862455</v>
      </c>
      <c r="N302" s="123">
        <f t="shared" si="462"/>
        <v>100</v>
      </c>
      <c r="O302" s="123">
        <f t="shared" si="463"/>
        <v>80.157600414015434</v>
      </c>
      <c r="P302" s="124">
        <f t="shared" si="468"/>
        <v>9.3014573801612848</v>
      </c>
      <c r="Q302" s="272"/>
      <c r="R302" s="272"/>
      <c r="S302" s="272"/>
    </row>
    <row r="303" spans="1:23" x14ac:dyDescent="0.25">
      <c r="B303" s="121" t="s">
        <v>477</v>
      </c>
      <c r="C303" s="239">
        <f t="shared" si="465"/>
        <v>0.81209054939352676</v>
      </c>
      <c r="D303" s="240">
        <f t="shared" si="466"/>
        <v>0.20005187731016144</v>
      </c>
      <c r="E303" s="208">
        <v>7.5</v>
      </c>
      <c r="F303" s="241">
        <v>10</v>
      </c>
      <c r="G303" s="242">
        <f t="shared" si="467"/>
        <v>7.8816363697601908</v>
      </c>
      <c r="H303" s="210">
        <v>1</v>
      </c>
      <c r="I303" s="205">
        <v>131746</v>
      </c>
      <c r="J303" s="205">
        <v>0</v>
      </c>
      <c r="K303" s="211">
        <v>529679</v>
      </c>
      <c r="L303" s="205">
        <f t="shared" si="460"/>
        <v>0</v>
      </c>
      <c r="M303" s="211">
        <f t="shared" si="461"/>
        <v>3.5235276638379913</v>
      </c>
      <c r="N303" s="212">
        <f t="shared" si="462"/>
        <v>100</v>
      </c>
      <c r="O303" s="212">
        <f t="shared" si="463"/>
        <v>86.799227553071717</v>
      </c>
      <c r="P303" s="213">
        <f t="shared" si="468"/>
        <v>10.072149260279653</v>
      </c>
      <c r="Q303" s="272"/>
      <c r="R303" s="272"/>
      <c r="S303" s="272"/>
    </row>
    <row r="304" spans="1:23" x14ac:dyDescent="0.25">
      <c r="B304" s="121" t="s">
        <v>478</v>
      </c>
      <c r="C304" s="239">
        <f t="shared" si="465"/>
        <v>0.81209054939352676</v>
      </c>
      <c r="D304" s="240">
        <f t="shared" si="466"/>
        <v>0.20005187731016144</v>
      </c>
      <c r="E304" s="208">
        <v>7.5</v>
      </c>
      <c r="F304" s="241">
        <v>10</v>
      </c>
      <c r="G304" s="242">
        <f t="shared" si="467"/>
        <v>7.8816363697601908</v>
      </c>
      <c r="H304" s="210">
        <v>1</v>
      </c>
      <c r="I304" s="205">
        <v>77880</v>
      </c>
      <c r="J304" s="205">
        <v>0</v>
      </c>
      <c r="K304" s="211">
        <v>343947</v>
      </c>
      <c r="L304" s="205">
        <f t="shared" si="460"/>
        <v>0</v>
      </c>
      <c r="M304" s="211">
        <f t="shared" si="461"/>
        <v>3.8705078428351305</v>
      </c>
      <c r="N304" s="212">
        <f t="shared" si="462"/>
        <v>100</v>
      </c>
      <c r="O304" s="212">
        <f t="shared" si="463"/>
        <v>95.346801004041239</v>
      </c>
      <c r="P304" s="213">
        <f t="shared" si="468"/>
        <v>11.064006423509927</v>
      </c>
      <c r="Q304" s="272"/>
      <c r="R304" s="272"/>
      <c r="S304" s="272"/>
    </row>
    <row r="305" spans="1:23" x14ac:dyDescent="0.25">
      <c r="B305" s="121" t="s">
        <v>479</v>
      </c>
      <c r="C305" s="239">
        <f t="shared" si="465"/>
        <v>0.81209054939352676</v>
      </c>
      <c r="D305" s="240">
        <f t="shared" si="466"/>
        <v>0.20005187731016144</v>
      </c>
      <c r="E305" s="208">
        <v>7.5</v>
      </c>
      <c r="F305" s="241">
        <v>10</v>
      </c>
      <c r="G305" s="242">
        <f t="shared" si="467"/>
        <v>7.8816363697601908</v>
      </c>
      <c r="H305" s="210">
        <v>1</v>
      </c>
      <c r="I305" s="205">
        <v>418765</v>
      </c>
      <c r="J305" s="205">
        <v>1306</v>
      </c>
      <c r="K305" s="211">
        <v>1486065</v>
      </c>
      <c r="L305" s="205">
        <f t="shared" ref="L305:L317" si="470">1.4045*(J305/I305)</f>
        <v>4.380206082170191E-3</v>
      </c>
      <c r="M305" s="211">
        <f t="shared" ref="M305:M317" si="471">0.8764*(K305/I305)</f>
        <v>3.1100673790789584</v>
      </c>
      <c r="N305" s="212">
        <f t="shared" ref="N305:N317" si="472">100*(1-L305/(C305/D305))</f>
        <v>99.892097198964095</v>
      </c>
      <c r="O305" s="212">
        <f t="shared" ref="O305:O317" si="473">100*M305/(C305/D305)</f>
        <v>76.613970967952085</v>
      </c>
      <c r="P305" s="213">
        <f t="shared" ref="P305" si="474">(238.15*C305*(O305/100)*7.5/1000)*(60/E305)</f>
        <v>8.8902559707702959</v>
      </c>
    </row>
    <row r="306" spans="1:23" x14ac:dyDescent="0.25">
      <c r="B306" s="150" t="s">
        <v>480</v>
      </c>
      <c r="C306" s="151">
        <f>0.1516/154.17/0.01</f>
        <v>9.8333009016021294E-2</v>
      </c>
      <c r="D306" s="152">
        <f>0.154/154.21/0.01</f>
        <v>9.9863822060826127E-2</v>
      </c>
      <c r="E306" s="153">
        <v>7.5</v>
      </c>
      <c r="F306" s="153">
        <v>7.5</v>
      </c>
      <c r="G306" s="154">
        <f>(0.0663/3320/0.01/C306)*100</f>
        <v>2.0308419032329845</v>
      </c>
      <c r="H306" s="155">
        <v>1</v>
      </c>
      <c r="I306" s="150">
        <v>230534</v>
      </c>
      <c r="J306" s="150">
        <v>20917</v>
      </c>
      <c r="K306" s="156">
        <v>179354</v>
      </c>
      <c r="L306" s="150">
        <f t="shared" si="470"/>
        <v>0.12743424614156698</v>
      </c>
      <c r="M306" s="156">
        <f t="shared" si="471"/>
        <v>0.68183368006454581</v>
      </c>
      <c r="N306" s="157">
        <f t="shared" si="472"/>
        <v>87.058190318305506</v>
      </c>
      <c r="O306" s="157">
        <f t="shared" si="473"/>
        <v>69.244822244735886</v>
      </c>
      <c r="P306" s="158">
        <f>(238.15*C306*(O306/100)*7.5/1000)*(60/E306)</f>
        <v>0.97294540171461852</v>
      </c>
      <c r="Q306" s="272">
        <f>AVERAGE(N306:N307)</f>
        <v>83.168235202916748</v>
      </c>
      <c r="R306" s="273">
        <f t="shared" ref="R306" si="475">AVERAGE(O306:O309)</f>
        <v>60.294023118076225</v>
      </c>
      <c r="S306" s="272">
        <f t="shared" ref="S306" si="476">AVERAGE(P306:P309)</f>
        <v>0.84717948060104697</v>
      </c>
      <c r="T306" s="246">
        <f>AVERAGE(N306:N309)-MAX(N306:N309)</f>
        <v>-9.2402161361889767</v>
      </c>
      <c r="U306" s="246">
        <f>AVERAGE(N306:N309)-MIN(N306:N309)</f>
        <v>6.7462142715660605</v>
      </c>
      <c r="V306" s="246">
        <f>AVERAGE(O306:O309)-MAX(O306:O309)</f>
        <v>-8.9507991266596605</v>
      </c>
      <c r="W306" s="246">
        <f>AVERAGE(O306:O309)-MIN(O306:O309)</f>
        <v>6.7298932794599082</v>
      </c>
    </row>
    <row r="307" spans="1:23" x14ac:dyDescent="0.25">
      <c r="B307" s="150" t="s">
        <v>481</v>
      </c>
      <c r="C307" s="151">
        <f t="shared" ref="C307:C309" si="477">0.1516/154.17/0.01</f>
        <v>9.8333009016021294E-2</v>
      </c>
      <c r="D307" s="152">
        <f t="shared" ref="D307:D309" si="478">0.154/154.21/0.01</f>
        <v>9.9863822060826127E-2</v>
      </c>
      <c r="E307" s="153">
        <v>7.5</v>
      </c>
      <c r="F307" s="153">
        <v>7.5</v>
      </c>
      <c r="G307" s="154">
        <f t="shared" ref="G307:G309" si="479">(0.0663/3320/0.01/C307)*100</f>
        <v>2.0308419032329845</v>
      </c>
      <c r="H307" s="155">
        <v>1</v>
      </c>
      <c r="I307" s="150">
        <v>763916</v>
      </c>
      <c r="J307" s="150">
        <v>110979</v>
      </c>
      <c r="K307" s="156">
        <v>538356</v>
      </c>
      <c r="L307" s="150">
        <f t="shared" si="470"/>
        <v>0.20404076560773701</v>
      </c>
      <c r="M307" s="156">
        <f t="shared" si="471"/>
        <v>0.6176270668502819</v>
      </c>
      <c r="N307" s="157">
        <f t="shared" si="472"/>
        <v>79.278280087528003</v>
      </c>
      <c r="O307" s="157">
        <f t="shared" si="473"/>
        <v>62.724206368827062</v>
      </c>
      <c r="P307" s="158">
        <f t="shared" ref="P307:P309" si="480">(238.15*C307*(O307/100)*7.5/1000)*(60/E307)</f>
        <v>0.88132550831103451</v>
      </c>
      <c r="Q307" s="272"/>
      <c r="R307" s="273"/>
      <c r="S307" s="272"/>
    </row>
    <row r="308" spans="1:23" x14ac:dyDescent="0.25">
      <c r="B308" s="150" t="s">
        <v>482</v>
      </c>
      <c r="C308" s="151">
        <f t="shared" si="477"/>
        <v>9.8333009016021294E-2</v>
      </c>
      <c r="D308" s="152">
        <f t="shared" si="478"/>
        <v>9.9863822060826127E-2</v>
      </c>
      <c r="E308" s="153">
        <v>7.5</v>
      </c>
      <c r="F308" s="153">
        <v>7.5</v>
      </c>
      <c r="G308" s="154">
        <f t="shared" si="479"/>
        <v>2.0308419032329845</v>
      </c>
      <c r="H308" s="155">
        <v>1</v>
      </c>
      <c r="I308" s="150">
        <v>178206</v>
      </c>
      <c r="J308" s="150">
        <v>32654</v>
      </c>
      <c r="K308" s="156">
        <v>107247</v>
      </c>
      <c r="L308" s="150">
        <f t="shared" si="470"/>
        <v>0.25735689595187594</v>
      </c>
      <c r="M308" s="156">
        <f t="shared" si="471"/>
        <v>0.52743045015319345</v>
      </c>
      <c r="N308" s="157">
        <f t="shared" si="472"/>
        <v>73.863666412082125</v>
      </c>
      <c r="O308" s="157">
        <f t="shared" si="473"/>
        <v>53.564129838616317</v>
      </c>
      <c r="P308" s="158">
        <f t="shared" si="480"/>
        <v>0.75261907149004792</v>
      </c>
      <c r="Q308" s="272"/>
      <c r="R308" s="273"/>
      <c r="S308" s="272"/>
    </row>
    <row r="309" spans="1:23" x14ac:dyDescent="0.25">
      <c r="B309" s="150" t="s">
        <v>483</v>
      </c>
      <c r="C309" s="151">
        <f t="shared" si="477"/>
        <v>9.8333009016021294E-2</v>
      </c>
      <c r="D309" s="152">
        <f t="shared" si="478"/>
        <v>9.9863822060826127E-2</v>
      </c>
      <c r="E309" s="235">
        <v>7.5</v>
      </c>
      <c r="F309" s="153">
        <v>7.5</v>
      </c>
      <c r="G309" s="154">
        <f t="shared" si="479"/>
        <v>2.0308419032329845</v>
      </c>
      <c r="H309" s="237">
        <v>1</v>
      </c>
      <c r="I309" s="231">
        <v>76771</v>
      </c>
      <c r="J309" s="231">
        <v>15570</v>
      </c>
      <c r="K309" s="232">
        <v>47995</v>
      </c>
      <c r="L309" s="231">
        <f t="shared" si="470"/>
        <v>0.28484798947519246</v>
      </c>
      <c r="M309" s="232">
        <f t="shared" si="471"/>
        <v>0.54789983196780023</v>
      </c>
      <c r="N309" s="233">
        <f t="shared" si="472"/>
        <v>71.071759910550469</v>
      </c>
      <c r="O309" s="233">
        <f t="shared" si="473"/>
        <v>55.642934020125651</v>
      </c>
      <c r="P309" s="234">
        <f t="shared" si="480"/>
        <v>0.78182794088848706</v>
      </c>
      <c r="Q309" s="272"/>
      <c r="R309" s="273"/>
      <c r="S309" s="272"/>
    </row>
    <row r="310" spans="1:23" x14ac:dyDescent="0.25">
      <c r="B310" s="121" t="s">
        <v>484</v>
      </c>
      <c r="C310" s="239">
        <f>0.1516/154.17/0.01</f>
        <v>9.8333009016021294E-2</v>
      </c>
      <c r="D310" s="240">
        <f>0.154/154.21/0.01</f>
        <v>9.9863822060826127E-2</v>
      </c>
      <c r="E310" s="241">
        <v>7.5</v>
      </c>
      <c r="F310" s="241">
        <v>10</v>
      </c>
      <c r="G310" s="242">
        <f>(0.0663/3320/0.01/C310)*100</f>
        <v>2.0308419032329845</v>
      </c>
      <c r="H310" s="243">
        <v>1</v>
      </c>
      <c r="I310" s="121">
        <v>161873</v>
      </c>
      <c r="J310" s="121">
        <v>35786</v>
      </c>
      <c r="K310" s="122">
        <v>96528</v>
      </c>
      <c r="L310" s="121">
        <f t="shared" si="470"/>
        <v>0.31049919999011572</v>
      </c>
      <c r="M310" s="122">
        <f t="shared" si="471"/>
        <v>0.52261426673997513</v>
      </c>
      <c r="N310" s="123">
        <f t="shared" si="472"/>
        <v>68.4667059737898</v>
      </c>
      <c r="O310" s="123">
        <f t="shared" si="473"/>
        <v>53.075013835554138</v>
      </c>
      <c r="P310" s="124">
        <f>(238.15*C310*(O310/100)*7.5/1000)*(60/E310)</f>
        <v>0.74574659856488912</v>
      </c>
      <c r="Q310" s="272">
        <f>AVERAGE(N311:N312)</f>
        <v>72.208044687700109</v>
      </c>
      <c r="R310" s="272">
        <f t="shared" ref="R310:S310" si="481">AVERAGE(O311:O312)</f>
        <v>58.647333542854547</v>
      </c>
      <c r="S310" s="272">
        <f t="shared" si="481"/>
        <v>0.82404216869343894</v>
      </c>
      <c r="T310" s="275" t="s">
        <v>348</v>
      </c>
    </row>
    <row r="311" spans="1:23" x14ac:dyDescent="0.25">
      <c r="B311" s="121" t="s">
        <v>485</v>
      </c>
      <c r="C311" s="239">
        <f t="shared" ref="C311:C313" si="482">0.1516/154.17/0.01</f>
        <v>9.8333009016021294E-2</v>
      </c>
      <c r="D311" s="240">
        <f t="shared" ref="D311:D313" si="483">0.154/154.21/0.01</f>
        <v>9.9863822060826127E-2</v>
      </c>
      <c r="E311" s="241">
        <v>7.5</v>
      </c>
      <c r="F311" s="241">
        <v>10</v>
      </c>
      <c r="G311" s="242">
        <f t="shared" ref="G311:G313" si="484">(0.0663/3320/0.01/C311)*100</f>
        <v>2.0308419032329845</v>
      </c>
      <c r="H311" s="243">
        <v>1</v>
      </c>
      <c r="I311" s="121">
        <v>419916</v>
      </c>
      <c r="J311" s="121">
        <v>69210</v>
      </c>
      <c r="K311" s="122">
        <v>295138</v>
      </c>
      <c r="L311" s="121">
        <f t="shared" si="470"/>
        <v>0.23148783328094191</v>
      </c>
      <c r="M311" s="122">
        <f t="shared" si="471"/>
        <v>0.61597782223111286</v>
      </c>
      <c r="N311" s="123">
        <f t="shared" si="472"/>
        <v>76.490844708873198</v>
      </c>
      <c r="O311" s="123">
        <f t="shared" si="473"/>
        <v>62.556714421990939</v>
      </c>
      <c r="P311" s="124">
        <f t="shared" ref="P311:P313" si="485">(238.15*C311*(O311/100)*7.5/1000)*(60/E311)</f>
        <v>0.87897211185169388</v>
      </c>
      <c r="Q311" s="272"/>
      <c r="R311" s="272"/>
      <c r="S311" s="272"/>
      <c r="T311" s="275"/>
      <c r="V311" s="269">
        <f>AVERAGE(O311:O312)-MAX(O311:O312)</f>
        <v>-3.9093808791363927</v>
      </c>
      <c r="W311" s="269">
        <f>AVERAGE(O311:O312)-MIN(O311:O312)</f>
        <v>3.9093808791363927</v>
      </c>
    </row>
    <row r="312" spans="1:23" x14ac:dyDescent="0.25">
      <c r="B312" s="121" t="s">
        <v>486</v>
      </c>
      <c r="C312" s="239">
        <f t="shared" si="482"/>
        <v>9.8333009016021294E-2</v>
      </c>
      <c r="D312" s="240">
        <f t="shared" si="483"/>
        <v>9.9863822060826127E-2</v>
      </c>
      <c r="E312" s="241">
        <v>7.5</v>
      </c>
      <c r="F312" s="241">
        <v>10</v>
      </c>
      <c r="G312" s="242">
        <f t="shared" si="484"/>
        <v>2.0308419032329845</v>
      </c>
      <c r="H312" s="243">
        <v>1</v>
      </c>
      <c r="I312" s="121">
        <v>618231</v>
      </c>
      <c r="J312" s="121">
        <v>139022</v>
      </c>
      <c r="K312" s="122">
        <v>380214</v>
      </c>
      <c r="L312" s="121">
        <f t="shared" si="470"/>
        <v>0.31583081243095218</v>
      </c>
      <c r="M312" s="122">
        <f t="shared" si="471"/>
        <v>0.5389887430426491</v>
      </c>
      <c r="N312" s="123">
        <f t="shared" si="472"/>
        <v>67.925244666527021</v>
      </c>
      <c r="O312" s="123">
        <f t="shared" si="473"/>
        <v>54.737952663718154</v>
      </c>
      <c r="P312" s="124">
        <f t="shared" si="485"/>
        <v>0.7691122255351841</v>
      </c>
      <c r="Q312" s="272"/>
      <c r="R312" s="272"/>
      <c r="S312" s="272"/>
      <c r="T312" s="275"/>
    </row>
    <row r="313" spans="1:23" x14ac:dyDescent="0.25">
      <c r="B313" s="121" t="s">
        <v>487</v>
      </c>
      <c r="C313" s="239">
        <f t="shared" si="482"/>
        <v>9.8333009016021294E-2</v>
      </c>
      <c r="D313" s="240">
        <f t="shared" si="483"/>
        <v>9.9863822060826127E-2</v>
      </c>
      <c r="E313" s="208">
        <v>7.5</v>
      </c>
      <c r="F313" s="241">
        <v>10</v>
      </c>
      <c r="G313" s="242">
        <f t="shared" si="484"/>
        <v>2.0308419032329845</v>
      </c>
      <c r="H313" s="210">
        <v>1</v>
      </c>
      <c r="I313" s="205">
        <v>330370</v>
      </c>
      <c r="J313" s="205">
        <v>108676</v>
      </c>
      <c r="K313" s="211">
        <v>152210</v>
      </c>
      <c r="L313" s="205">
        <f t="shared" si="470"/>
        <v>0.4620136271453219</v>
      </c>
      <c r="M313" s="211">
        <f t="shared" si="471"/>
        <v>0.40378013742167868</v>
      </c>
      <c r="N313" s="212">
        <f t="shared" si="472"/>
        <v>53.07939102788972</v>
      </c>
      <c r="O313" s="212">
        <f t="shared" si="473"/>
        <v>41.00660418985516</v>
      </c>
      <c r="P313" s="213">
        <f t="shared" si="485"/>
        <v>0.57617574416524753</v>
      </c>
      <c r="Q313" s="272"/>
      <c r="R313" s="272"/>
      <c r="S313" s="272"/>
      <c r="T313" s="275"/>
    </row>
    <row r="314" spans="1:23" x14ac:dyDescent="0.25">
      <c r="A314" s="22">
        <v>43861</v>
      </c>
      <c r="B314" s="150" t="s">
        <v>493</v>
      </c>
      <c r="C314" s="151">
        <f>1.2331/154.17/0.01</f>
        <v>0.79983135499772995</v>
      </c>
      <c r="D314" s="152">
        <f>0.3097/154.21/0.01</f>
        <v>0.20083003696258345</v>
      </c>
      <c r="E314" s="153">
        <v>7.5</v>
      </c>
      <c r="F314" s="153">
        <v>10</v>
      </c>
      <c r="G314" s="154">
        <f>(2.124/3320/0.01/C314)*100</f>
        <v>7.9986741223266256</v>
      </c>
      <c r="H314" s="155">
        <v>1</v>
      </c>
      <c r="I314" s="150">
        <v>691150</v>
      </c>
      <c r="J314" s="150">
        <v>1091642</v>
      </c>
      <c r="K314" s="156">
        <v>1876148</v>
      </c>
      <c r="L314" s="150">
        <f t="shared" si="470"/>
        <v>2.2183479548578457</v>
      </c>
      <c r="M314" s="156">
        <f t="shared" si="471"/>
        <v>2.3790148407726255</v>
      </c>
      <c r="N314" s="157">
        <f t="shared" si="472"/>
        <v>44.29939524298382</v>
      </c>
      <c r="O314" s="157">
        <f t="shared" si="473"/>
        <v>59.734797269639046</v>
      </c>
      <c r="P314" s="158">
        <f>(238.15*C314*(O314/100)*7.5/1000)*(60/E314)</f>
        <v>6.8269646751962094</v>
      </c>
      <c r="Q314" s="272">
        <f>AVERAGE(N315:N317)</f>
        <v>99.799413415151989</v>
      </c>
      <c r="R314" s="272">
        <f t="shared" ref="R314:S314" si="486">AVERAGE(O315:O317)</f>
        <v>56.685144854085905</v>
      </c>
      <c r="S314" s="272">
        <f t="shared" si="486"/>
        <v>6.4784262978308602</v>
      </c>
    </row>
    <row r="315" spans="1:23" x14ac:dyDescent="0.25">
      <c r="B315" s="150" t="s">
        <v>494</v>
      </c>
      <c r="C315" s="151">
        <f t="shared" ref="C315:C317" si="487">1.2331/154.17/0.01</f>
        <v>0.79983135499772995</v>
      </c>
      <c r="D315" s="152">
        <f t="shared" ref="D315:D317" si="488">0.3097/154.21/0.01</f>
        <v>0.20083003696258345</v>
      </c>
      <c r="E315" s="153">
        <v>7.5</v>
      </c>
      <c r="F315" s="153">
        <v>10</v>
      </c>
      <c r="G315" s="154">
        <f t="shared" ref="G315:G317" si="489">(2.124/3320/0.01/C315)*100</f>
        <v>7.9986741223266256</v>
      </c>
      <c r="H315" s="155">
        <v>1</v>
      </c>
      <c r="I315" s="150">
        <v>1183931</v>
      </c>
      <c r="J315" s="150">
        <v>13876</v>
      </c>
      <c r="K315" s="156">
        <v>3088993</v>
      </c>
      <c r="L315" s="150">
        <f t="shared" si="470"/>
        <v>1.6461129913820993E-2</v>
      </c>
      <c r="M315" s="156">
        <f t="shared" si="471"/>
        <v>2.2866142243086798</v>
      </c>
      <c r="N315" s="157">
        <f t="shared" si="472"/>
        <v>99.586676702734678</v>
      </c>
      <c r="O315" s="157">
        <f t="shared" si="473"/>
        <v>57.414705777367857</v>
      </c>
      <c r="P315" s="158">
        <f t="shared" ref="P315:P317" si="490">(238.15*C315*(O315/100)*7.5/1000)*(60/E315)</f>
        <v>6.561806285364205</v>
      </c>
      <c r="Q315" s="272"/>
      <c r="R315" s="272"/>
      <c r="S315" s="272"/>
    </row>
    <row r="316" spans="1:23" x14ac:dyDescent="0.25">
      <c r="B316" s="150" t="s">
        <v>495</v>
      </c>
      <c r="C316" s="151">
        <f t="shared" si="487"/>
        <v>0.79983135499772995</v>
      </c>
      <c r="D316" s="152">
        <f t="shared" si="488"/>
        <v>0.20083003696258345</v>
      </c>
      <c r="E316" s="235">
        <v>7.5</v>
      </c>
      <c r="F316" s="153">
        <v>10</v>
      </c>
      <c r="G316" s="154">
        <f t="shared" si="489"/>
        <v>7.9986741223266256</v>
      </c>
      <c r="H316" s="237">
        <v>1</v>
      </c>
      <c r="I316" s="231">
        <v>705118</v>
      </c>
      <c r="J316" s="231">
        <v>2572</v>
      </c>
      <c r="K316" s="232">
        <v>1818768</v>
      </c>
      <c r="L316" s="231">
        <f t="shared" si="470"/>
        <v>5.1230772721728851E-3</v>
      </c>
      <c r="M316" s="232">
        <f t="shared" si="471"/>
        <v>2.2605695432537534</v>
      </c>
      <c r="N316" s="233">
        <f t="shared" si="472"/>
        <v>99.871364408071301</v>
      </c>
      <c r="O316" s="233">
        <f t="shared" si="473"/>
        <v>56.760748636746079</v>
      </c>
      <c r="P316" s="234">
        <f t="shared" si="490"/>
        <v>6.4870668955582174</v>
      </c>
      <c r="Q316" s="272"/>
      <c r="R316" s="272"/>
      <c r="S316" s="272"/>
    </row>
    <row r="317" spans="1:23" x14ac:dyDescent="0.25">
      <c r="B317" s="150" t="s">
        <v>496</v>
      </c>
      <c r="C317" s="151">
        <f t="shared" si="487"/>
        <v>0.79983135499772995</v>
      </c>
      <c r="D317" s="152">
        <f t="shared" si="488"/>
        <v>0.20083003696258345</v>
      </c>
      <c r="E317" s="235">
        <v>7.5</v>
      </c>
      <c r="F317" s="153">
        <v>10</v>
      </c>
      <c r="G317" s="154">
        <f t="shared" si="489"/>
        <v>7.9986741223266256</v>
      </c>
      <c r="H317" s="237">
        <v>1</v>
      </c>
      <c r="I317" s="231">
        <v>129738</v>
      </c>
      <c r="J317" s="231">
        <v>220</v>
      </c>
      <c r="K317" s="232">
        <v>329451</v>
      </c>
      <c r="L317" s="231">
        <f t="shared" si="470"/>
        <v>2.381646086728638E-3</v>
      </c>
      <c r="M317" s="232">
        <f t="shared" si="471"/>
        <v>2.225491809647135</v>
      </c>
      <c r="N317" s="233">
        <f t="shared" si="472"/>
        <v>99.940199134649973</v>
      </c>
      <c r="O317" s="233">
        <f t="shared" si="473"/>
        <v>55.87998014814378</v>
      </c>
      <c r="P317" s="234">
        <f t="shared" si="490"/>
        <v>6.3864057125701565</v>
      </c>
      <c r="Q317" s="251"/>
      <c r="R317" s="251"/>
      <c r="S317" s="251"/>
    </row>
    <row r="318" spans="1:23" x14ac:dyDescent="0.25">
      <c r="A318" s="22">
        <v>43862</v>
      </c>
      <c r="B318" s="121" t="s">
        <v>497</v>
      </c>
      <c r="C318" s="239">
        <f>1.2301/154.17/0.01</f>
        <v>0.79788545112538101</v>
      </c>
      <c r="D318" s="240">
        <f>0.3091/154.21/0.01</f>
        <v>0.20044095713637244</v>
      </c>
      <c r="E318" s="241">
        <v>7.5</v>
      </c>
      <c r="F318" s="241">
        <v>10</v>
      </c>
      <c r="G318" s="242">
        <f>(2.1302/3320/0.01/C318)*100</f>
        <v>8.0415867355284085</v>
      </c>
      <c r="H318" s="243">
        <v>1</v>
      </c>
      <c r="I318" s="121">
        <v>20013</v>
      </c>
      <c r="J318" s="121">
        <v>29355</v>
      </c>
      <c r="K318" s="122">
        <v>60315</v>
      </c>
      <c r="L318" s="205">
        <f t="shared" ref="L318:L324" si="491">1.4045*(J318/I318)</f>
        <v>2.0601157997301756</v>
      </c>
      <c r="M318" s="211">
        <f t="shared" ref="M318:M324" si="492">0.8764*(K318/I318)</f>
        <v>2.6412864637985307</v>
      </c>
      <c r="N318" s="212">
        <f t="shared" ref="N318:N324" si="493">100*(1-L318/(C318/D318))</f>
        <v>48.246758713640084</v>
      </c>
      <c r="O318" s="212">
        <f t="shared" ref="O318:O324" si="494">100*M318/(C318/D318)</f>
        <v>66.353132035230942</v>
      </c>
      <c r="P318" s="213">
        <f t="shared" ref="P318:P324" si="495">(238.15*C318*(O318/100)*7.5/1000)*(60/E318)</f>
        <v>7.5649107704586207</v>
      </c>
    </row>
    <row r="319" spans="1:23" x14ac:dyDescent="0.25">
      <c r="B319" s="121" t="s">
        <v>498</v>
      </c>
      <c r="C319" s="239">
        <f t="shared" ref="C319:C324" si="496">1.2301/154.17/0.01</f>
        <v>0.79788545112538101</v>
      </c>
      <c r="D319" s="240">
        <f t="shared" ref="D319:D324" si="497">0.3091/154.21/0.01</f>
        <v>0.20044095713637244</v>
      </c>
      <c r="E319" s="241">
        <v>7.5</v>
      </c>
      <c r="F319" s="241">
        <v>10</v>
      </c>
      <c r="G319" s="242">
        <f t="shared" ref="G319:G324" si="498">(2.1302/3320/0.01/C319)*100</f>
        <v>8.0415867355284085</v>
      </c>
      <c r="H319" s="243">
        <v>1</v>
      </c>
      <c r="I319" s="121">
        <v>829605</v>
      </c>
      <c r="J319" s="121">
        <v>587763</v>
      </c>
      <c r="K319" s="122">
        <v>2739640</v>
      </c>
      <c r="L319" s="205">
        <f t="shared" si="491"/>
        <v>0.99506769305874487</v>
      </c>
      <c r="M319" s="211">
        <f t="shared" si="492"/>
        <v>2.894173125764671</v>
      </c>
      <c r="N319" s="212">
        <f t="shared" si="493"/>
        <v>75.00238655425305</v>
      </c>
      <c r="O319" s="212">
        <f t="shared" si="494"/>
        <v>72.706029496893024</v>
      </c>
      <c r="P319" s="213">
        <f t="shared" si="495"/>
        <v>8.2892036705410028</v>
      </c>
    </row>
    <row r="320" spans="1:23" x14ac:dyDescent="0.25">
      <c r="B320" s="121" t="s">
        <v>499</v>
      </c>
      <c r="C320" s="239">
        <f t="shared" si="496"/>
        <v>0.79788545112538101</v>
      </c>
      <c r="D320" s="240">
        <f t="shared" si="497"/>
        <v>0.20044095713637244</v>
      </c>
      <c r="E320" s="208">
        <v>7.5</v>
      </c>
      <c r="F320" s="241">
        <v>10</v>
      </c>
      <c r="G320" s="242">
        <f t="shared" si="498"/>
        <v>8.0415867355284085</v>
      </c>
      <c r="H320" s="210">
        <v>1</v>
      </c>
      <c r="I320" s="205">
        <v>690943</v>
      </c>
      <c r="J320" s="205">
        <v>3537</v>
      </c>
      <c r="K320" s="211">
        <v>2473936</v>
      </c>
      <c r="L320" s="205">
        <f t="shared" si="491"/>
        <v>7.1897631208363072E-3</v>
      </c>
      <c r="M320" s="211">
        <f t="shared" si="492"/>
        <v>3.1379687042201745</v>
      </c>
      <c r="N320" s="212">
        <f t="shared" si="493"/>
        <v>99.81938221840096</v>
      </c>
      <c r="O320" s="212">
        <f t="shared" si="494"/>
        <v>78.830545117814864</v>
      </c>
      <c r="P320" s="213">
        <f t="shared" si="495"/>
        <v>8.9874587907356833</v>
      </c>
    </row>
    <row r="321" spans="1:17" x14ac:dyDescent="0.25">
      <c r="B321" s="121" t="s">
        <v>500</v>
      </c>
      <c r="C321" s="239">
        <f t="shared" si="496"/>
        <v>0.79788545112538101</v>
      </c>
      <c r="D321" s="240">
        <f t="shared" si="497"/>
        <v>0.20044095713637244</v>
      </c>
      <c r="E321" s="208">
        <v>7.5</v>
      </c>
      <c r="F321" s="241">
        <v>10</v>
      </c>
      <c r="G321" s="242">
        <f t="shared" si="498"/>
        <v>8.0415867355284085</v>
      </c>
      <c r="H321" s="210">
        <v>1</v>
      </c>
      <c r="I321" s="205">
        <v>679769</v>
      </c>
      <c r="J321" s="205">
        <v>39482</v>
      </c>
      <c r="K321" s="211">
        <v>2012461</v>
      </c>
      <c r="L321" s="205">
        <f t="shared" si="491"/>
        <v>8.1575460193095015E-2</v>
      </c>
      <c r="M321" s="211">
        <f t="shared" si="492"/>
        <v>2.5945884857944388</v>
      </c>
      <c r="N321" s="212">
        <f t="shared" si="493"/>
        <v>97.950700404816061</v>
      </c>
      <c r="O321" s="212">
        <f t="shared" si="494"/>
        <v>65.180007823695149</v>
      </c>
      <c r="P321" s="213">
        <f t="shared" si="495"/>
        <v>7.4311630525932335</v>
      </c>
    </row>
    <row r="322" spans="1:17" x14ac:dyDescent="0.25">
      <c r="B322" s="121" t="s">
        <v>501</v>
      </c>
      <c r="C322" s="239">
        <f t="shared" si="496"/>
        <v>0.79788545112538101</v>
      </c>
      <c r="D322" s="240">
        <f t="shared" si="497"/>
        <v>0.20044095713637244</v>
      </c>
      <c r="E322" s="241">
        <v>7.5</v>
      </c>
      <c r="F322" s="241">
        <v>10</v>
      </c>
      <c r="G322" s="242">
        <f t="shared" si="498"/>
        <v>8.0415867355284085</v>
      </c>
      <c r="H322" s="243">
        <v>1</v>
      </c>
      <c r="I322" s="121">
        <v>727600</v>
      </c>
      <c r="J322" s="121">
        <v>10265</v>
      </c>
      <c r="K322" s="122">
        <v>2499872</v>
      </c>
      <c r="L322" s="205">
        <f t="shared" si="491"/>
        <v>1.9814723062122046E-2</v>
      </c>
      <c r="M322" s="211">
        <f t="shared" si="492"/>
        <v>3.0111157515118192</v>
      </c>
      <c r="N322" s="212">
        <f t="shared" si="493"/>
        <v>99.50222402847902</v>
      </c>
      <c r="O322" s="212">
        <f t="shared" si="494"/>
        <v>75.643806066416602</v>
      </c>
      <c r="P322" s="213">
        <f t="shared" si="495"/>
        <v>8.6241391427684455</v>
      </c>
    </row>
    <row r="323" spans="1:17" x14ac:dyDescent="0.25">
      <c r="B323" s="121" t="s">
        <v>502</v>
      </c>
      <c r="C323" s="239">
        <f t="shared" si="496"/>
        <v>0.79788545112538101</v>
      </c>
      <c r="D323" s="240">
        <f t="shared" si="497"/>
        <v>0.20044095713637244</v>
      </c>
      <c r="E323" s="208">
        <v>7.5</v>
      </c>
      <c r="F323" s="241">
        <v>10</v>
      </c>
      <c r="G323" s="242">
        <f t="shared" si="498"/>
        <v>8.0415867355284085</v>
      </c>
      <c r="H323" s="210">
        <v>1</v>
      </c>
      <c r="I323" s="205">
        <v>118807</v>
      </c>
      <c r="J323" s="205">
        <v>0</v>
      </c>
      <c r="K323" s="211">
        <v>325341</v>
      </c>
      <c r="L323" s="205">
        <f t="shared" si="491"/>
        <v>0</v>
      </c>
      <c r="M323" s="211">
        <f t="shared" si="492"/>
        <v>2.3999331049517281</v>
      </c>
      <c r="N323" s="212">
        <f t="shared" si="493"/>
        <v>100</v>
      </c>
      <c r="O323" s="212">
        <f t="shared" si="494"/>
        <v>60.289968684263975</v>
      </c>
      <c r="P323" s="213">
        <f t="shared" si="495"/>
        <v>6.8736504134881882</v>
      </c>
    </row>
    <row r="324" spans="1:17" x14ac:dyDescent="0.25">
      <c r="B324" s="121" t="s">
        <v>503</v>
      </c>
      <c r="C324" s="239">
        <f t="shared" si="496"/>
        <v>0.79788545112538101</v>
      </c>
      <c r="D324" s="240">
        <f t="shared" si="497"/>
        <v>0.20044095713637244</v>
      </c>
      <c r="E324" s="208">
        <v>7.5</v>
      </c>
      <c r="F324" s="241">
        <v>10</v>
      </c>
      <c r="G324" s="242">
        <f t="shared" si="498"/>
        <v>8.0415867355284085</v>
      </c>
      <c r="H324" s="210">
        <v>1</v>
      </c>
      <c r="I324" s="205">
        <v>3282517</v>
      </c>
      <c r="J324" s="205">
        <v>510312</v>
      </c>
      <c r="K324" s="211">
        <v>9593112</v>
      </c>
      <c r="L324" s="205">
        <f t="shared" si="491"/>
        <v>0.21834866475939044</v>
      </c>
      <c r="M324" s="211">
        <f t="shared" si="492"/>
        <v>2.5612672704513031</v>
      </c>
      <c r="N324" s="212">
        <f t="shared" si="493"/>
        <v>94.51474954304642</v>
      </c>
      <c r="O324" s="212">
        <f t="shared" si="494"/>
        <v>64.342928229512182</v>
      </c>
      <c r="P324" s="213">
        <f t="shared" si="495"/>
        <v>7.3357277318550418</v>
      </c>
    </row>
    <row r="325" spans="1:17" x14ac:dyDescent="0.25">
      <c r="A325" s="22">
        <v>43863</v>
      </c>
      <c r="B325" s="150" t="s">
        <v>504</v>
      </c>
      <c r="C325" s="151">
        <f>0.617/154.17/0.005</f>
        <v>0.80041512615943444</v>
      </c>
      <c r="D325" s="152">
        <f>0.1549/154.21/0.005</f>
        <v>0.20089488360028532</v>
      </c>
      <c r="E325" s="235">
        <v>7.5</v>
      </c>
      <c r="F325" s="153">
        <v>10</v>
      </c>
      <c r="G325" s="154">
        <f>(1.0635/3320/0.005/C325)*100</f>
        <v>8.0041297279881274</v>
      </c>
      <c r="H325" s="237">
        <v>1</v>
      </c>
      <c r="I325" s="231">
        <v>353811</v>
      </c>
      <c r="J325" s="231">
        <v>621258</v>
      </c>
      <c r="K325" s="232">
        <v>900188</v>
      </c>
      <c r="L325" s="231">
        <f t="shared" ref="L325:L328" si="499">1.4045*(J325/I325)</f>
        <v>2.4661665719833472</v>
      </c>
      <c r="M325" s="232">
        <f t="shared" ref="M325:M328" si="500">0.8764*(K325/I325)</f>
        <v>2.2297915078954582</v>
      </c>
      <c r="N325" s="233">
        <f t="shared" ref="N325:N328" si="501">100*(1-L325/(C325/D325))</f>
        <v>38.102088500658517</v>
      </c>
      <c r="O325" s="233">
        <f t="shared" ref="O325:O328" si="502">100*M325/(C325/D325)</f>
        <v>55.965172420084301</v>
      </c>
      <c r="P325" s="234">
        <f t="shared" ref="P325:P328" si="503">(238.15*C325*(O325/100)*7.5/1000)*(60/E325)</f>
        <v>6.4008104969116006</v>
      </c>
    </row>
    <row r="326" spans="1:17" x14ac:dyDescent="0.25">
      <c r="B326" s="150" t="s">
        <v>505</v>
      </c>
      <c r="C326" s="151">
        <f t="shared" ref="C326:C329" si="504">0.617/154.17/0.005</f>
        <v>0.80041512615943444</v>
      </c>
      <c r="D326" s="152">
        <f t="shared" ref="D326:D329" si="505">0.1549/154.21/0.005</f>
        <v>0.20089488360028532</v>
      </c>
      <c r="E326" s="153">
        <v>7.5</v>
      </c>
      <c r="F326" s="153">
        <v>10</v>
      </c>
      <c r="G326" s="154">
        <f t="shared" ref="G326:G329" si="506">(1.0635/3320/0.005/C326)*100</f>
        <v>8.0041297279881274</v>
      </c>
      <c r="H326" s="155">
        <v>1</v>
      </c>
      <c r="I326" s="150">
        <v>641037</v>
      </c>
      <c r="J326" s="150">
        <v>48831</v>
      </c>
      <c r="K326" s="156">
        <v>2575311</v>
      </c>
      <c r="L326" s="231">
        <f t="shared" si="499"/>
        <v>0.10698780179615218</v>
      </c>
      <c r="M326" s="232">
        <f t="shared" si="500"/>
        <v>3.5208616045563672</v>
      </c>
      <c r="N326" s="233">
        <f t="shared" si="501"/>
        <v>97.314730658374998</v>
      </c>
      <c r="O326" s="233">
        <f t="shared" si="502"/>
        <v>88.369529648190806</v>
      </c>
      <c r="P326" s="234">
        <f t="shared" si="503"/>
        <v>10.106939521842513</v>
      </c>
    </row>
    <row r="327" spans="1:17" x14ac:dyDescent="0.25">
      <c r="B327" s="150" t="s">
        <v>506</v>
      </c>
      <c r="C327" s="151">
        <f t="shared" si="504"/>
        <v>0.80041512615943444</v>
      </c>
      <c r="D327" s="152">
        <f t="shared" si="505"/>
        <v>0.20089488360028532</v>
      </c>
      <c r="E327" s="235">
        <v>7.5</v>
      </c>
      <c r="F327" s="153">
        <v>10</v>
      </c>
      <c r="G327" s="154">
        <f t="shared" si="506"/>
        <v>8.0041297279881274</v>
      </c>
      <c r="H327" s="237">
        <v>1</v>
      </c>
      <c r="I327" s="231">
        <v>495714</v>
      </c>
      <c r="J327" s="231">
        <v>7133</v>
      </c>
      <c r="K327" s="232">
        <v>1636128</v>
      </c>
      <c r="L327" s="231">
        <f t="shared" si="499"/>
        <v>2.0209835711720872E-2</v>
      </c>
      <c r="M327" s="232">
        <f t="shared" si="500"/>
        <v>2.8926005301443976</v>
      </c>
      <c r="N327" s="233">
        <f t="shared" si="501"/>
        <v>99.492756638374885</v>
      </c>
      <c r="O327" s="233">
        <f t="shared" si="502"/>
        <v>72.600907680714101</v>
      </c>
      <c r="P327" s="234">
        <f t="shared" si="503"/>
        <v>8.3034614542035374</v>
      </c>
    </row>
    <row r="328" spans="1:17" x14ac:dyDescent="0.25">
      <c r="B328" s="150" t="s">
        <v>507</v>
      </c>
      <c r="C328" s="151">
        <f t="shared" si="504"/>
        <v>0.80041512615943444</v>
      </c>
      <c r="D328" s="152">
        <f t="shared" si="505"/>
        <v>0.20089488360028532</v>
      </c>
      <c r="E328" s="235">
        <v>7.5</v>
      </c>
      <c r="F328" s="153">
        <v>10</v>
      </c>
      <c r="G328" s="154">
        <f t="shared" si="506"/>
        <v>8.0041297279881274</v>
      </c>
      <c r="H328" s="237">
        <v>1</v>
      </c>
      <c r="I328" s="231">
        <v>342690</v>
      </c>
      <c r="J328" s="231">
        <v>514</v>
      </c>
      <c r="K328" s="232">
        <v>1031197</v>
      </c>
      <c r="L328" s="231">
        <f t="shared" si="499"/>
        <v>2.1066065540284225E-3</v>
      </c>
      <c r="M328" s="232">
        <f t="shared" si="500"/>
        <v>2.63719703171963</v>
      </c>
      <c r="N328" s="233">
        <f t="shared" si="501"/>
        <v>99.947126626592649</v>
      </c>
      <c r="O328" s="233">
        <f t="shared" si="502"/>
        <v>66.190577039745065</v>
      </c>
      <c r="P328" s="234">
        <f t="shared" si="503"/>
        <v>7.5703034939742633</v>
      </c>
    </row>
    <row r="329" spans="1:17" x14ac:dyDescent="0.25">
      <c r="B329" s="150" t="s">
        <v>508</v>
      </c>
      <c r="C329" s="151">
        <f t="shared" si="504"/>
        <v>0.80041512615943444</v>
      </c>
      <c r="D329" s="152">
        <f t="shared" si="505"/>
        <v>0.20089488360028532</v>
      </c>
      <c r="E329" s="235">
        <v>7.5</v>
      </c>
      <c r="F329" s="153">
        <v>10</v>
      </c>
      <c r="G329" s="154">
        <f t="shared" si="506"/>
        <v>8.0041297279881274</v>
      </c>
      <c r="H329" s="237">
        <v>1</v>
      </c>
      <c r="I329" s="231">
        <v>58074</v>
      </c>
      <c r="J329" s="231">
        <v>0</v>
      </c>
      <c r="K329" s="232">
        <v>153520</v>
      </c>
      <c r="L329" s="231">
        <f t="shared" ref="L329:L330" si="507">1.4045*(J329/I329)</f>
        <v>0</v>
      </c>
      <c r="M329" s="232">
        <f t="shared" ref="M329:M330" si="508">0.8764*(K329/I329)</f>
        <v>2.3167842407962254</v>
      </c>
      <c r="N329" s="233">
        <f t="shared" ref="N329:N330" si="509">100*(1-L329/(C329/D329))</f>
        <v>100</v>
      </c>
      <c r="O329" s="233">
        <f t="shared" ref="O329:O330" si="510">100*M329/(C329/D329)</f>
        <v>58.148588797286699</v>
      </c>
      <c r="P329" s="234">
        <f t="shared" ref="P329:P330" si="511">(238.15*C329*(O329/100)*7.5/1000)*(60/E329)</f>
        <v>6.6505307043545852</v>
      </c>
    </row>
    <row r="330" spans="1:17" x14ac:dyDescent="0.25">
      <c r="A330" s="22">
        <v>43865</v>
      </c>
      <c r="B330" s="163" t="s">
        <v>520</v>
      </c>
      <c r="C330" s="164">
        <f>1.0832/154.17/0.01</f>
        <v>0.70260102484270615</v>
      </c>
      <c r="D330" s="165">
        <f>0.1574/154.21/0.01</f>
        <v>0.10206860774268854</v>
      </c>
      <c r="E330" s="256">
        <v>7.5</v>
      </c>
      <c r="F330" s="256">
        <v>10</v>
      </c>
      <c r="G330" s="257">
        <f>(1.6274/3320/0.01/C330)*100</f>
        <v>6.9766582393087866</v>
      </c>
      <c r="H330" s="258">
        <v>1</v>
      </c>
      <c r="I330" s="259">
        <v>1081897</v>
      </c>
      <c r="J330" s="259">
        <v>507092</v>
      </c>
      <c r="K330" s="260">
        <v>5096849</v>
      </c>
      <c r="L330" s="259">
        <f t="shared" si="507"/>
        <v>0.65829807643426319</v>
      </c>
      <c r="M330" s="260">
        <f t="shared" si="508"/>
        <v>4.1287465106197718</v>
      </c>
      <c r="N330" s="261">
        <f t="shared" si="509"/>
        <v>90.436739235275425</v>
      </c>
      <c r="O330" s="261">
        <f t="shared" si="510"/>
        <v>59.9793329586713</v>
      </c>
      <c r="P330" s="262">
        <f t="shared" si="511"/>
        <v>6.0216047657899692</v>
      </c>
    </row>
    <row r="331" spans="1:17" x14ac:dyDescent="0.25">
      <c r="A331" s="22">
        <v>43865</v>
      </c>
      <c r="B331" s="163" t="s">
        <v>521</v>
      </c>
      <c r="C331" s="164">
        <f>1.0832/154.17/0.01</f>
        <v>0.70260102484270615</v>
      </c>
      <c r="D331" s="165">
        <f>0.1574/154.21/0.01</f>
        <v>0.10206860774268854</v>
      </c>
      <c r="E331" s="256">
        <v>7.5</v>
      </c>
      <c r="F331" s="256">
        <v>10</v>
      </c>
      <c r="G331" s="257">
        <f>(1.6274/3320/0.01/C331)*100</f>
        <v>6.9766582393087866</v>
      </c>
      <c r="H331" s="258">
        <v>1</v>
      </c>
      <c r="I331" s="259">
        <v>1371579</v>
      </c>
      <c r="J331" s="259">
        <v>676187</v>
      </c>
      <c r="K331" s="260">
        <v>6577063</v>
      </c>
      <c r="L331" s="259">
        <f t="shared" ref="L331" si="512">1.4045*(J331/I331)</f>
        <v>0.69241701826872537</v>
      </c>
      <c r="M331" s="260">
        <f t="shared" ref="M331" si="513">0.8764*(K331/I331)</f>
        <v>4.2025563333938472</v>
      </c>
      <c r="N331" s="261">
        <f t="shared" ref="N331" si="514">100*(1-L331/(C331/D331))</f>
        <v>89.941084835756598</v>
      </c>
      <c r="O331" s="261">
        <f t="shared" ref="O331" si="515">100*M331/(C331/D331)</f>
        <v>61.051586710360745</v>
      </c>
      <c r="P331" s="262">
        <f t="shared" ref="P331" si="516">(238.15*C331*(O331/100)*7.5/1000)*(60/E331)</f>
        <v>6.1292533170961034</v>
      </c>
      <c r="Q331" s="88" t="s">
        <v>524</v>
      </c>
    </row>
    <row r="332" spans="1:17" x14ac:dyDescent="0.25">
      <c r="A332" s="22">
        <v>43865</v>
      </c>
      <c r="B332" s="163" t="s">
        <v>522</v>
      </c>
      <c r="C332" s="164">
        <f>1.081/154.17/0.01</f>
        <v>0.7011740286696504</v>
      </c>
      <c r="D332" s="263">
        <f>0.1542/154.21/0.01</f>
        <v>9.9993515336229813E-2</v>
      </c>
      <c r="E332" s="266">
        <v>7.5</v>
      </c>
      <c r="F332" s="267">
        <v>10</v>
      </c>
      <c r="G332" s="265">
        <f>(1.6265/3320/0.01/C332)*100</f>
        <v>6.9869906545701772</v>
      </c>
      <c r="H332" s="268">
        <v>1</v>
      </c>
      <c r="I332" s="259">
        <v>1422367</v>
      </c>
      <c r="J332" s="259">
        <v>1627760</v>
      </c>
      <c r="K332" s="260">
        <v>5558313</v>
      </c>
      <c r="L332" s="259">
        <f t="shared" ref="L332" si="517">1.4045*(J332/I332)</f>
        <v>1.6073129649380222</v>
      </c>
      <c r="M332" s="260">
        <f t="shared" ref="M332" si="518">0.8764*(K332/I332)</f>
        <v>3.4247880562470869</v>
      </c>
      <c r="N332" s="261">
        <f t="shared" ref="N332" si="519">100*(1-L332/(C332/D332))</f>
        <v>77.078319070860388</v>
      </c>
      <c r="O332" s="261">
        <f t="shared" ref="O332" si="520">100*M332/(C332/D332)</f>
        <v>48.840456580433901</v>
      </c>
      <c r="P332" s="262">
        <f t="shared" ref="P332" si="521">(238.15*C332*(O332/100)*7.5/1000)*(60/E332)</f>
        <v>4.8933623148999379</v>
      </c>
      <c r="Q332" s="88" t="s">
        <v>523</v>
      </c>
    </row>
    <row r="333" spans="1:17" x14ac:dyDescent="0.25">
      <c r="A333" s="22">
        <v>43865</v>
      </c>
      <c r="B333" s="163" t="s">
        <v>525</v>
      </c>
      <c r="C333" s="164">
        <f>0.927/154.17/0.01</f>
        <v>0.60128429655575022</v>
      </c>
      <c r="D333" s="264">
        <f>0.1686/154.21/0.01</f>
        <v>0.10933143116529408</v>
      </c>
      <c r="E333" s="266">
        <v>7.5</v>
      </c>
      <c r="F333" s="267">
        <v>10</v>
      </c>
      <c r="G333" s="265">
        <f>(1.3961/3320/0.01/C333)*100</f>
        <v>6.9935644519826869</v>
      </c>
      <c r="H333" s="268">
        <v>1</v>
      </c>
      <c r="I333" s="259">
        <v>1415056</v>
      </c>
      <c r="J333" s="259">
        <v>1594874</v>
      </c>
      <c r="K333" s="260">
        <v>4114336</v>
      </c>
      <c r="L333" s="259">
        <f t="shared" ref="L333" si="522">1.4045*(J333/I333)</f>
        <v>1.5829765980992978</v>
      </c>
      <c r="M333" s="260">
        <f t="shared" ref="M333" si="523">0.8764*(K333/I333)</f>
        <v>2.5481705815176214</v>
      </c>
      <c r="N333" s="261">
        <f t="shared" ref="N333" si="524">100*(1-L333/(C333/D333))</f>
        <v>71.216760862917681</v>
      </c>
      <c r="O333" s="261">
        <f t="shared" ref="O333" si="525">100*M333/(C333/D333)</f>
        <v>46.333346492908163</v>
      </c>
      <c r="P333" s="262">
        <f t="shared" ref="P333" si="526">(238.15*C333*(O333/100)*7.5/1000)*(60/E333)</f>
        <v>3.9808459058860461</v>
      </c>
      <c r="Q333" s="88" t="s">
        <v>526</v>
      </c>
    </row>
    <row r="334" spans="1:17" x14ac:dyDescent="0.25">
      <c r="A334" s="22">
        <v>43865</v>
      </c>
      <c r="B334" s="163" t="s">
        <v>527</v>
      </c>
      <c r="C334" s="164">
        <f>0.1882/154.17/0.002</f>
        <v>0.61036518129337747</v>
      </c>
      <c r="D334" s="264">
        <f>0.0307/154.21/0.002</f>
        <v>9.9539588872316967E-2</v>
      </c>
      <c r="E334" s="266">
        <v>7.5</v>
      </c>
      <c r="F334" s="267">
        <v>10</v>
      </c>
      <c r="G334" s="265">
        <f>(0.2782/3320/0.002/C334)*100</f>
        <v>6.8643480404081787</v>
      </c>
      <c r="H334" s="268">
        <v>1</v>
      </c>
      <c r="I334" s="259">
        <v>204417</v>
      </c>
      <c r="J334" s="259">
        <v>6475</v>
      </c>
      <c r="K334" s="260">
        <v>1115074</v>
      </c>
      <c r="L334" s="259">
        <f t="shared" ref="L334" si="527">1.4045*(J334/I334)</f>
        <v>4.4488166346243224E-2</v>
      </c>
      <c r="M334" s="260">
        <f t="shared" ref="M334" si="528">0.8764*(K334/I334)</f>
        <v>4.7806731025306117</v>
      </c>
      <c r="N334" s="261">
        <f t="shared" ref="N334" si="529">100*(1-L334/(C334/D334))</f>
        <v>99.274477980804122</v>
      </c>
      <c r="O334" s="261">
        <f t="shared" ref="O334" si="530">100*M334/(C334/D334)</f>
        <v>77.964184351156788</v>
      </c>
      <c r="P334" s="262">
        <f t="shared" ref="P334" si="531">(238.15*C334*(O334/100)*7.5/1000)*(60/E334)</f>
        <v>6.7996526341846799</v>
      </c>
    </row>
    <row r="335" spans="1:17" x14ac:dyDescent="0.25">
      <c r="A335" s="22">
        <v>43867</v>
      </c>
      <c r="B335" s="163" t="s">
        <v>528</v>
      </c>
      <c r="C335" s="164">
        <f>0.1868/154.17/0.002</f>
        <v>0.60582473892456379</v>
      </c>
      <c r="D335" s="264">
        <f>0.032/154.21/0.002</f>
        <v>0.10375462032293625</v>
      </c>
      <c r="E335" s="266">
        <v>7.5</v>
      </c>
      <c r="F335" s="267">
        <v>10</v>
      </c>
      <c r="G335" s="265">
        <f>(0.2786/3320/0.002/C335)*100</f>
        <v>6.9257375325713992</v>
      </c>
      <c r="H335" s="268">
        <v>1</v>
      </c>
      <c r="I335" s="163">
        <v>225641</v>
      </c>
      <c r="J335" s="163">
        <v>16878</v>
      </c>
      <c r="K335" s="163">
        <v>1201654</v>
      </c>
      <c r="L335" s="259">
        <f t="shared" ref="L335" si="532">1.4045*(J335/I335)</f>
        <v>0.10505693114283308</v>
      </c>
      <c r="M335" s="260">
        <f t="shared" ref="M335" si="533">0.8764*(K335/I335)</f>
        <v>4.6672792870090101</v>
      </c>
      <c r="N335" s="261">
        <f t="shared" ref="N335" si="534">100*(1-L335/(C335/D335))</f>
        <v>98.200776346247096</v>
      </c>
      <c r="O335" s="261">
        <f t="shared" ref="O335" si="535">100*M335/(C335/D335)</f>
        <v>79.932653662237229</v>
      </c>
      <c r="P335" s="262">
        <f t="shared" ref="P335" si="536">(238.15*C335*(O335/100)*7.5/1000)*(60/E335)</f>
        <v>6.9194738325215477</v>
      </c>
    </row>
  </sheetData>
  <mergeCells count="246">
    <mergeCell ref="T310:T313"/>
    <mergeCell ref="S183:S185"/>
    <mergeCell ref="Q187:Q189"/>
    <mergeCell ref="R187:R189"/>
    <mergeCell ref="S187:S189"/>
    <mergeCell ref="Q199:Q201"/>
    <mergeCell ref="R199:R201"/>
    <mergeCell ref="S199:S201"/>
    <mergeCell ref="Q190:Q193"/>
    <mergeCell ref="R190:R193"/>
    <mergeCell ref="S190:S193"/>
    <mergeCell ref="Q195:Q197"/>
    <mergeCell ref="R195:R197"/>
    <mergeCell ref="S195:S197"/>
    <mergeCell ref="S208:S211"/>
    <mergeCell ref="Q183:Q185"/>
    <mergeCell ref="R183:R185"/>
    <mergeCell ref="Q276:Q279"/>
    <mergeCell ref="R208:R211"/>
    <mergeCell ref="S262:S265"/>
    <mergeCell ref="Q272:Q275"/>
    <mergeCell ref="R272:R275"/>
    <mergeCell ref="S272:S275"/>
    <mergeCell ref="Q262:Q265"/>
    <mergeCell ref="Q117:Q120"/>
    <mergeCell ref="R117:R120"/>
    <mergeCell ref="S117:S120"/>
    <mergeCell ref="Q121:Q124"/>
    <mergeCell ref="R121:R124"/>
    <mergeCell ref="S121:S124"/>
    <mergeCell ref="Q125:Q128"/>
    <mergeCell ref="R125:R128"/>
    <mergeCell ref="S125:S128"/>
    <mergeCell ref="Q113:Q116"/>
    <mergeCell ref="R113:R116"/>
    <mergeCell ref="S113:S116"/>
    <mergeCell ref="Q105:Q108"/>
    <mergeCell ref="R105:R108"/>
    <mergeCell ref="S105:S108"/>
    <mergeCell ref="Q109:Q112"/>
    <mergeCell ref="R109:R112"/>
    <mergeCell ref="S109:S112"/>
    <mergeCell ref="Q97:Q100"/>
    <mergeCell ref="R97:R100"/>
    <mergeCell ref="S97:S100"/>
    <mergeCell ref="Q102:Q104"/>
    <mergeCell ref="R102:R104"/>
    <mergeCell ref="S102:S104"/>
    <mergeCell ref="Q93:Q96"/>
    <mergeCell ref="R93:R96"/>
    <mergeCell ref="S93:S96"/>
    <mergeCell ref="Q86:Q88"/>
    <mergeCell ref="R86:R88"/>
    <mergeCell ref="S86:S88"/>
    <mergeCell ref="Q89:Q92"/>
    <mergeCell ref="R89:R92"/>
    <mergeCell ref="S89:S92"/>
    <mergeCell ref="Q79:Q80"/>
    <mergeCell ref="R79:R80"/>
    <mergeCell ref="S79:S80"/>
    <mergeCell ref="Q83:Q84"/>
    <mergeCell ref="R83:R84"/>
    <mergeCell ref="S83:S84"/>
    <mergeCell ref="Q30:Q32"/>
    <mergeCell ref="R30:R32"/>
    <mergeCell ref="S30:S32"/>
    <mergeCell ref="A1:A2"/>
    <mergeCell ref="Q15:Q17"/>
    <mergeCell ref="Q18:Q20"/>
    <mergeCell ref="R15:R17"/>
    <mergeCell ref="S15:S17"/>
    <mergeCell ref="R18:R20"/>
    <mergeCell ref="S18:S20"/>
    <mergeCell ref="P1:P2"/>
    <mergeCell ref="H1:H2"/>
    <mergeCell ref="B1:B2"/>
    <mergeCell ref="C1:C2"/>
    <mergeCell ref="D1:D2"/>
    <mergeCell ref="I1:K1"/>
    <mergeCell ref="L1:L2"/>
    <mergeCell ref="M1:M2"/>
    <mergeCell ref="N1:N2"/>
    <mergeCell ref="O1:O2"/>
    <mergeCell ref="E1:E2"/>
    <mergeCell ref="F1:F2"/>
    <mergeCell ref="G1:G2"/>
    <mergeCell ref="Q1:Q2"/>
    <mergeCell ref="R1:R2"/>
    <mergeCell ref="S1:S2"/>
    <mergeCell ref="Q3:Q5"/>
    <mergeCell ref="R3:R5"/>
    <mergeCell ref="S3:S5"/>
    <mergeCell ref="Q6:Q8"/>
    <mergeCell ref="R6:R8"/>
    <mergeCell ref="S6:S8"/>
    <mergeCell ref="Q9:Q11"/>
    <mergeCell ref="R9:R11"/>
    <mergeCell ref="S9:S11"/>
    <mergeCell ref="Q27:Q29"/>
    <mergeCell ref="R27:R29"/>
    <mergeCell ref="S27:S29"/>
    <mergeCell ref="Q12:Q14"/>
    <mergeCell ref="R12:R14"/>
    <mergeCell ref="S12:S14"/>
    <mergeCell ref="Q21:Q23"/>
    <mergeCell ref="R21:R23"/>
    <mergeCell ref="S21:S23"/>
    <mergeCell ref="Q24:Q26"/>
    <mergeCell ref="R24:R26"/>
    <mergeCell ref="S24:S26"/>
    <mergeCell ref="Q40:Q43"/>
    <mergeCell ref="R40:R43"/>
    <mergeCell ref="S40:S43"/>
    <mergeCell ref="Q33:Q35"/>
    <mergeCell ref="R33:R35"/>
    <mergeCell ref="S33:S35"/>
    <mergeCell ref="Q36:Q39"/>
    <mergeCell ref="R36:R39"/>
    <mergeCell ref="S36:S39"/>
    <mergeCell ref="Q53:Q55"/>
    <mergeCell ref="R53:R55"/>
    <mergeCell ref="S53:S55"/>
    <mergeCell ref="Q44:Q47"/>
    <mergeCell ref="R44:R47"/>
    <mergeCell ref="S44:S47"/>
    <mergeCell ref="Q49:Q51"/>
    <mergeCell ref="R49:R51"/>
    <mergeCell ref="S49:S51"/>
    <mergeCell ref="Q73:Q76"/>
    <mergeCell ref="R73:R76"/>
    <mergeCell ref="S73:S76"/>
    <mergeCell ref="Q56:Q59"/>
    <mergeCell ref="R56:R59"/>
    <mergeCell ref="S56:S59"/>
    <mergeCell ref="Q68:Q72"/>
    <mergeCell ref="R68:R72"/>
    <mergeCell ref="S68:S72"/>
    <mergeCell ref="Q60:Q63"/>
    <mergeCell ref="R60:R63"/>
    <mergeCell ref="S60:S63"/>
    <mergeCell ref="Q64:Q67"/>
    <mergeCell ref="R64:R67"/>
    <mergeCell ref="S64:S67"/>
    <mergeCell ref="Q129:Q132"/>
    <mergeCell ref="R129:R132"/>
    <mergeCell ref="S129:S132"/>
    <mergeCell ref="Q134:Q136"/>
    <mergeCell ref="R134:R136"/>
    <mergeCell ref="S134:S136"/>
    <mergeCell ref="Q138:Q140"/>
    <mergeCell ref="R138:R140"/>
    <mergeCell ref="S138:S140"/>
    <mergeCell ref="Q150:Q152"/>
    <mergeCell ref="R150:R152"/>
    <mergeCell ref="S150:S152"/>
    <mergeCell ref="Q142:Q144"/>
    <mergeCell ref="R142:R144"/>
    <mergeCell ref="S142:S144"/>
    <mergeCell ref="Q146:Q148"/>
    <mergeCell ref="R146:R148"/>
    <mergeCell ref="S146:S148"/>
    <mergeCell ref="Q165:Q168"/>
    <mergeCell ref="R165:R168"/>
    <mergeCell ref="S165:S168"/>
    <mergeCell ref="Q154:Q156"/>
    <mergeCell ref="R154:R156"/>
    <mergeCell ref="S154:S156"/>
    <mergeCell ref="Q158:Q160"/>
    <mergeCell ref="R158:R160"/>
    <mergeCell ref="S158:S160"/>
    <mergeCell ref="Q162:Q164"/>
    <mergeCell ref="R162:R164"/>
    <mergeCell ref="S162:S164"/>
    <mergeCell ref="Q169:Q172"/>
    <mergeCell ref="R169:R172"/>
    <mergeCell ref="S169:S172"/>
    <mergeCell ref="Q174:Q176"/>
    <mergeCell ref="R174:R176"/>
    <mergeCell ref="S174:S176"/>
    <mergeCell ref="Q178:Q180"/>
    <mergeCell ref="R178:R180"/>
    <mergeCell ref="S178:S180"/>
    <mergeCell ref="T232:T235"/>
    <mergeCell ref="T224:T227"/>
    <mergeCell ref="T228:T231"/>
    <mergeCell ref="Q204:Q206"/>
    <mergeCell ref="R204:R206"/>
    <mergeCell ref="S204:S206"/>
    <mergeCell ref="Q224:Q227"/>
    <mergeCell ref="R224:R227"/>
    <mergeCell ref="S224:S227"/>
    <mergeCell ref="Q228:Q231"/>
    <mergeCell ref="R228:R231"/>
    <mergeCell ref="S228:S231"/>
    <mergeCell ref="Q216:Q219"/>
    <mergeCell ref="R216:R219"/>
    <mergeCell ref="S216:S219"/>
    <mergeCell ref="Q212:Q215"/>
    <mergeCell ref="R212:R215"/>
    <mergeCell ref="S212:S215"/>
    <mergeCell ref="Q208:Q211"/>
    <mergeCell ref="Q267:Q270"/>
    <mergeCell ref="R267:R270"/>
    <mergeCell ref="S267:S270"/>
    <mergeCell ref="Q284:Q287"/>
    <mergeCell ref="R284:R287"/>
    <mergeCell ref="S284:S287"/>
    <mergeCell ref="Q236:Q239"/>
    <mergeCell ref="R236:R239"/>
    <mergeCell ref="S236:S239"/>
    <mergeCell ref="Q249:Q252"/>
    <mergeCell ref="R249:R252"/>
    <mergeCell ref="S249:S252"/>
    <mergeCell ref="Q255:Q258"/>
    <mergeCell ref="R255:R258"/>
    <mergeCell ref="S255:S258"/>
    <mergeCell ref="Q244:Q247"/>
    <mergeCell ref="R244:R247"/>
    <mergeCell ref="S244:S247"/>
    <mergeCell ref="Q240:Q243"/>
    <mergeCell ref="R240:R243"/>
    <mergeCell ref="S240:S243"/>
    <mergeCell ref="R276:R279"/>
    <mergeCell ref="S276:S279"/>
    <mergeCell ref="R262:R265"/>
    <mergeCell ref="Q314:Q316"/>
    <mergeCell ref="R314:R316"/>
    <mergeCell ref="S314:S316"/>
    <mergeCell ref="Q301:Q304"/>
    <mergeCell ref="R301:R304"/>
    <mergeCell ref="S301:S304"/>
    <mergeCell ref="Q280:Q283"/>
    <mergeCell ref="R280:R283"/>
    <mergeCell ref="S280:S283"/>
    <mergeCell ref="Q289:Q292"/>
    <mergeCell ref="R289:R292"/>
    <mergeCell ref="S289:S292"/>
    <mergeCell ref="Q294:Q297"/>
    <mergeCell ref="R294:R297"/>
    <mergeCell ref="S294:S297"/>
    <mergeCell ref="Q306:Q309"/>
    <mergeCell ref="R306:R309"/>
    <mergeCell ref="S306:S309"/>
    <mergeCell ref="Q310:Q313"/>
    <mergeCell ref="R310:R313"/>
    <mergeCell ref="S310:S313"/>
  </mergeCells>
  <phoneticPr fontId="6" type="noConversion"/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89"/>
  <sheetViews>
    <sheetView tabSelected="1" zoomScaleNormal="100" workbookViewId="0">
      <pane xSplit="14" ySplit="1" topLeftCell="S14" activePane="bottomRight" state="frozen"/>
      <selection pane="topRight" activeCell="O1" sqref="O1"/>
      <selection pane="bottomLeft" activeCell="A2" sqref="A2"/>
      <selection pane="bottomRight" activeCell="X14" sqref="X14"/>
    </sheetView>
  </sheetViews>
  <sheetFormatPr defaultColWidth="8.7109375" defaultRowHeight="15" x14ac:dyDescent="0.25"/>
  <cols>
    <col min="1" max="1" width="11.42578125" style="10" customWidth="1"/>
    <col min="2" max="2" width="8.7109375" style="9"/>
    <col min="3" max="4" width="8.7109375" style="184"/>
    <col min="5" max="6" width="11.140625" style="9" customWidth="1"/>
    <col min="7" max="7" width="13.42578125" style="184" customWidth="1"/>
    <col min="8" max="8" width="8.140625" style="9" customWidth="1"/>
    <col min="9" max="10" width="9.7109375" style="136" bestFit="1" customWidth="1"/>
    <col min="11" max="11" width="9" style="136" bestFit="1" customWidth="1"/>
    <col min="12" max="12" width="18" style="9" bestFit="1" customWidth="1"/>
    <col min="13" max="14" width="10.7109375" style="9" customWidth="1"/>
    <col min="15" max="16" width="8.7109375" style="9"/>
    <col min="17" max="17" width="13" style="9" customWidth="1"/>
    <col min="18" max="18" width="8.7109375" style="9"/>
    <col min="19" max="19" width="11.7109375" style="9" bestFit="1" customWidth="1"/>
    <col min="20" max="21" width="8.7109375" style="9"/>
    <col min="22" max="22" width="15.140625" style="9" customWidth="1"/>
    <col min="23" max="23" width="14.140625" style="9" customWidth="1"/>
    <col min="24" max="24" width="11.7109375" style="9" customWidth="1"/>
    <col min="25" max="16384" width="8.7109375" style="9"/>
  </cols>
  <sheetData>
    <row r="1" spans="1:23" ht="14.65" customHeight="1" x14ac:dyDescent="0.25">
      <c r="A1" s="275" t="s">
        <v>73</v>
      </c>
      <c r="B1" s="275" t="s">
        <v>38</v>
      </c>
      <c r="C1" s="298" t="s">
        <v>44</v>
      </c>
      <c r="D1" s="298" t="s">
        <v>39</v>
      </c>
      <c r="E1" s="283" t="s">
        <v>49</v>
      </c>
      <c r="F1" s="283" t="s">
        <v>50</v>
      </c>
      <c r="G1" s="298" t="s">
        <v>53</v>
      </c>
      <c r="H1" s="283" t="s">
        <v>52</v>
      </c>
      <c r="I1" s="278" t="s">
        <v>41</v>
      </c>
      <c r="J1" s="278" t="s">
        <v>42</v>
      </c>
      <c r="K1" s="279" t="s">
        <v>51</v>
      </c>
      <c r="L1" s="283"/>
      <c r="M1" s="283"/>
      <c r="N1" s="283"/>
    </row>
    <row r="2" spans="1:23" x14ac:dyDescent="0.25">
      <c r="A2" s="275"/>
      <c r="B2" s="275"/>
      <c r="C2" s="298"/>
      <c r="D2" s="298"/>
      <c r="E2" s="283"/>
      <c r="F2" s="283"/>
      <c r="G2" s="298"/>
      <c r="H2" s="283"/>
      <c r="I2" s="278"/>
      <c r="J2" s="278"/>
      <c r="K2" s="279"/>
      <c r="L2" s="283"/>
      <c r="M2" s="283"/>
      <c r="N2" s="283"/>
    </row>
    <row r="3" spans="1:23" s="19" customFormat="1" x14ac:dyDescent="0.25">
      <c r="A3" s="22">
        <v>43816</v>
      </c>
      <c r="B3" s="19" t="s">
        <v>66</v>
      </c>
      <c r="C3" s="178">
        <v>0.1</v>
      </c>
      <c r="D3" s="178">
        <v>0.1</v>
      </c>
      <c r="E3" s="19">
        <v>15</v>
      </c>
      <c r="F3" s="19">
        <v>10</v>
      </c>
      <c r="G3" s="178">
        <v>2</v>
      </c>
      <c r="H3" s="19">
        <v>1</v>
      </c>
      <c r="I3" s="21">
        <v>99.747503515636666</v>
      </c>
      <c r="J3" s="20">
        <v>87.749367708105396</v>
      </c>
      <c r="K3" s="20">
        <v>0.62692535759055901</v>
      </c>
      <c r="L3" s="21"/>
      <c r="M3" s="21"/>
      <c r="N3" s="21"/>
    </row>
    <row r="4" spans="1:23" s="19" customFormat="1" x14ac:dyDescent="0.25">
      <c r="A4" s="22">
        <v>43816</v>
      </c>
      <c r="B4" s="19" t="s">
        <v>67</v>
      </c>
      <c r="C4" s="178">
        <v>0.1</v>
      </c>
      <c r="D4" s="178">
        <v>0.1</v>
      </c>
      <c r="E4" s="19">
        <v>15</v>
      </c>
      <c r="F4" s="19">
        <v>10</v>
      </c>
      <c r="G4" s="178">
        <v>2</v>
      </c>
      <c r="H4" s="19">
        <v>2.8</v>
      </c>
      <c r="I4" s="136">
        <v>99.931427826295575</v>
      </c>
      <c r="J4" s="136">
        <v>85.95558662807376</v>
      </c>
      <c r="K4" s="136">
        <v>0.61410968866427285</v>
      </c>
      <c r="L4" s="21"/>
      <c r="M4" s="21"/>
      <c r="N4" s="21"/>
      <c r="W4" s="9"/>
    </row>
    <row r="5" spans="1:23" s="19" customFormat="1" ht="15.75" thickBot="1" x14ac:dyDescent="0.3">
      <c r="A5" s="22">
        <v>43816</v>
      </c>
      <c r="B5" s="19" t="s">
        <v>68</v>
      </c>
      <c r="C5" s="178">
        <v>0.1</v>
      </c>
      <c r="D5" s="178">
        <v>0.1</v>
      </c>
      <c r="E5" s="19">
        <v>10</v>
      </c>
      <c r="F5" s="19">
        <v>10</v>
      </c>
      <c r="G5" s="178">
        <v>2</v>
      </c>
      <c r="H5" s="19">
        <v>2.8</v>
      </c>
      <c r="I5" s="136">
        <v>99.767443684723006</v>
      </c>
      <c r="J5" s="136">
        <v>84.497432795439877</v>
      </c>
      <c r="K5" s="136">
        <v>0.9055378629105304</v>
      </c>
      <c r="L5" s="21"/>
      <c r="M5" s="21"/>
      <c r="N5" s="21"/>
      <c r="O5" s="19" t="s">
        <v>149</v>
      </c>
      <c r="P5" s="19" t="s">
        <v>150</v>
      </c>
      <c r="Q5" s="19" t="s">
        <v>151</v>
      </c>
      <c r="R5" s="19" t="s">
        <v>152</v>
      </c>
      <c r="S5" s="19" t="s">
        <v>153</v>
      </c>
      <c r="T5" s="19" t="s">
        <v>154</v>
      </c>
      <c r="U5" s="19" t="s">
        <v>247</v>
      </c>
      <c r="W5" s="9"/>
    </row>
    <row r="6" spans="1:23" s="19" customFormat="1" x14ac:dyDescent="0.25">
      <c r="A6" s="22">
        <v>43816</v>
      </c>
      <c r="B6" s="19" t="s">
        <v>69</v>
      </c>
      <c r="C6" s="178">
        <v>0.1</v>
      </c>
      <c r="D6" s="178">
        <v>0.1</v>
      </c>
      <c r="E6" s="19">
        <v>10</v>
      </c>
      <c r="F6" s="19">
        <v>10</v>
      </c>
      <c r="G6" s="178">
        <v>2</v>
      </c>
      <c r="H6" s="19">
        <v>1</v>
      </c>
      <c r="I6" s="136">
        <v>99.766637854780996</v>
      </c>
      <c r="J6" s="136">
        <v>86.124361094685497</v>
      </c>
      <c r="K6" s="136">
        <v>0.9229732467614703</v>
      </c>
      <c r="L6" s="21"/>
      <c r="M6" s="21"/>
      <c r="N6" s="21"/>
      <c r="O6" s="66">
        <v>2</v>
      </c>
      <c r="P6" s="67">
        <v>63.5270081307944</v>
      </c>
      <c r="Q6" s="67">
        <v>47.221228852628748</v>
      </c>
      <c r="R6" s="68">
        <v>2.5302905215320459</v>
      </c>
      <c r="S6" s="19">
        <v>0</v>
      </c>
      <c r="U6" s="299">
        <f>Q7/Q6</f>
        <v>1.1960315677605466</v>
      </c>
      <c r="W6" s="9"/>
    </row>
    <row r="7" spans="1:23" ht="15.75" thickBot="1" x14ac:dyDescent="0.3">
      <c r="A7" s="52">
        <v>43817</v>
      </c>
      <c r="B7" s="53" t="s">
        <v>74</v>
      </c>
      <c r="C7" s="179">
        <v>0.1</v>
      </c>
      <c r="D7" s="179">
        <v>0.1</v>
      </c>
      <c r="E7" s="53">
        <v>5</v>
      </c>
      <c r="F7" s="53">
        <v>10</v>
      </c>
      <c r="G7" s="179">
        <v>2</v>
      </c>
      <c r="H7" s="53">
        <v>1</v>
      </c>
      <c r="I7" s="138">
        <v>89.317651900459893</v>
      </c>
      <c r="J7" s="138">
        <v>71.911200110410135</v>
      </c>
      <c r="K7" s="138">
        <v>1.54</v>
      </c>
      <c r="O7" s="69">
        <v>2</v>
      </c>
      <c r="P7" s="70">
        <v>65.447051455369859</v>
      </c>
      <c r="Q7" s="70">
        <v>56.478080376189119</v>
      </c>
      <c r="R7" s="71">
        <v>3.0263073393576239</v>
      </c>
      <c r="S7" s="9">
        <v>1</v>
      </c>
      <c r="U7" s="299"/>
    </row>
    <row r="8" spans="1:23" x14ac:dyDescent="0.25">
      <c r="A8" s="52">
        <v>43817</v>
      </c>
      <c r="B8" s="53" t="s">
        <v>75</v>
      </c>
      <c r="C8" s="179">
        <v>0.1</v>
      </c>
      <c r="D8" s="179">
        <v>0.1</v>
      </c>
      <c r="E8" s="53">
        <v>5</v>
      </c>
      <c r="F8" s="53">
        <v>10</v>
      </c>
      <c r="G8" s="179">
        <v>2</v>
      </c>
      <c r="H8" s="53">
        <v>1</v>
      </c>
      <c r="I8" s="138">
        <v>90.589751074438411</v>
      </c>
      <c r="J8" s="138">
        <v>69.399416784088601</v>
      </c>
      <c r="K8" s="138">
        <v>1.46</v>
      </c>
      <c r="O8" s="72">
        <v>5</v>
      </c>
      <c r="P8" s="73">
        <v>90.589751074438411</v>
      </c>
      <c r="Q8" s="73">
        <v>69.399416784088601</v>
      </c>
      <c r="R8" s="74">
        <v>0.49582413321392105</v>
      </c>
      <c r="S8" s="19">
        <v>0</v>
      </c>
      <c r="U8" s="299">
        <f>Q9/Q8</f>
        <v>1.2004549104338023</v>
      </c>
    </row>
    <row r="9" spans="1:23" ht="15.75" thickBot="1" x14ac:dyDescent="0.3">
      <c r="A9" s="22">
        <v>43818</v>
      </c>
      <c r="B9" s="19" t="s">
        <v>88</v>
      </c>
      <c r="C9" s="178">
        <v>0.1</v>
      </c>
      <c r="D9" s="178">
        <v>0.1</v>
      </c>
      <c r="E9" s="19">
        <v>2</v>
      </c>
      <c r="F9" s="19">
        <v>10</v>
      </c>
      <c r="G9" s="178">
        <v>2</v>
      </c>
      <c r="H9" s="19">
        <v>1</v>
      </c>
      <c r="I9" s="136">
        <v>63.5270081307944</v>
      </c>
      <c r="J9" s="136">
        <v>47.221228852628748</v>
      </c>
      <c r="K9" s="136">
        <v>2.5302905215320459</v>
      </c>
      <c r="O9" s="69">
        <v>5</v>
      </c>
      <c r="P9" s="75">
        <v>95.410064929105886</v>
      </c>
      <c r="Q9" s="75">
        <v>83.310870659701195</v>
      </c>
      <c r="R9" s="76">
        <v>1.7856435462847056</v>
      </c>
      <c r="S9" s="65">
        <v>1</v>
      </c>
      <c r="U9" s="299"/>
    </row>
    <row r="10" spans="1:23" x14ac:dyDescent="0.25">
      <c r="A10" s="22">
        <v>43818</v>
      </c>
      <c r="B10" s="19" t="s">
        <v>89</v>
      </c>
      <c r="C10" s="178">
        <v>0.1</v>
      </c>
      <c r="D10" s="178">
        <v>0.1</v>
      </c>
      <c r="E10" s="19">
        <v>2</v>
      </c>
      <c r="F10" s="19">
        <v>10</v>
      </c>
      <c r="G10" s="178">
        <v>2</v>
      </c>
      <c r="H10" s="19">
        <v>1</v>
      </c>
      <c r="I10" s="136">
        <v>62.189759801721699</v>
      </c>
      <c r="J10" s="136">
        <v>45.636685630828758</v>
      </c>
      <c r="K10" s="136">
        <v>2.4453847536709206</v>
      </c>
      <c r="O10" s="72">
        <v>7.5</v>
      </c>
      <c r="P10" s="67">
        <v>99.543941390729472</v>
      </c>
      <c r="Q10" s="67">
        <v>83.917343462963757</v>
      </c>
      <c r="R10" s="68">
        <v>1.1990949207422894</v>
      </c>
      <c r="S10" s="19">
        <v>0</v>
      </c>
      <c r="U10" s="299">
        <f>Q11/Q10</f>
        <v>1.0248678027835665</v>
      </c>
    </row>
    <row r="11" spans="1:23" ht="15.75" thickBot="1" x14ac:dyDescent="0.3">
      <c r="A11" s="22">
        <v>43818</v>
      </c>
      <c r="B11" s="19" t="s">
        <v>90</v>
      </c>
      <c r="C11" s="178">
        <v>0.1</v>
      </c>
      <c r="D11" s="178">
        <v>0.1</v>
      </c>
      <c r="E11" s="19">
        <v>30</v>
      </c>
      <c r="F11" s="19">
        <v>10</v>
      </c>
      <c r="G11" s="178">
        <v>2</v>
      </c>
      <c r="H11" s="19">
        <v>1</v>
      </c>
      <c r="I11" s="136">
        <v>99.708167681640006</v>
      </c>
      <c r="J11" s="136">
        <v>78.09073486046006</v>
      </c>
      <c r="K11" s="136">
        <v>0.27895962760527848</v>
      </c>
      <c r="O11" s="69">
        <v>7.5</v>
      </c>
      <c r="P11" s="70">
        <v>99.857976756216047</v>
      </c>
      <c r="Q11" s="70">
        <v>86.004183410321545</v>
      </c>
      <c r="R11" s="71">
        <v>1.2289137767500844</v>
      </c>
      <c r="S11" s="65">
        <v>1</v>
      </c>
      <c r="U11" s="299"/>
    </row>
    <row r="12" spans="1:23" x14ac:dyDescent="0.25">
      <c r="A12" s="22">
        <v>43819</v>
      </c>
      <c r="B12" s="19" t="s">
        <v>100</v>
      </c>
      <c r="C12" s="178">
        <v>0.1</v>
      </c>
      <c r="D12" s="178">
        <v>0.1</v>
      </c>
      <c r="E12" s="19">
        <v>10</v>
      </c>
      <c r="F12" s="19">
        <v>10</v>
      </c>
      <c r="G12" s="178">
        <v>2</v>
      </c>
      <c r="H12" s="19">
        <v>1</v>
      </c>
      <c r="I12" s="136">
        <v>99.878521550011143</v>
      </c>
      <c r="J12" s="136">
        <v>81.024499302328223</v>
      </c>
      <c r="K12" s="136">
        <v>0.86831930289822601</v>
      </c>
      <c r="O12" s="72">
        <v>10</v>
      </c>
      <c r="P12" s="67">
        <v>99.766637854780996</v>
      </c>
      <c r="Q12" s="67">
        <v>86.124361094685455</v>
      </c>
      <c r="R12" s="68">
        <v>0.9229732467614703</v>
      </c>
      <c r="S12" s="19">
        <v>0</v>
      </c>
      <c r="U12" s="299">
        <f>Q13/Q12</f>
        <v>1.0309594263240411</v>
      </c>
    </row>
    <row r="13" spans="1:23" ht="15.75" thickBot="1" x14ac:dyDescent="0.3">
      <c r="A13" s="22">
        <v>43819</v>
      </c>
      <c r="B13" s="19" t="s">
        <v>101</v>
      </c>
      <c r="C13" s="178">
        <v>0.1</v>
      </c>
      <c r="D13" s="178">
        <v>0.1</v>
      </c>
      <c r="E13" s="19">
        <v>30</v>
      </c>
      <c r="F13" s="19">
        <v>10</v>
      </c>
      <c r="G13" s="178">
        <v>2</v>
      </c>
      <c r="H13" s="19">
        <v>1</v>
      </c>
      <c r="I13" s="136">
        <v>99.749210488086149</v>
      </c>
      <c r="J13" s="136">
        <v>76.606554601440394</v>
      </c>
      <c r="K13" s="136">
        <v>0.27365776467499547</v>
      </c>
      <c r="O13" s="69">
        <v>10</v>
      </c>
      <c r="P13" s="70">
        <v>99.775413844270076</v>
      </c>
      <c r="Q13" s="70">
        <v>88.790721906701492</v>
      </c>
      <c r="R13" s="71">
        <v>0.95154796899364325</v>
      </c>
      <c r="S13" s="65">
        <v>1</v>
      </c>
      <c r="U13" s="299"/>
    </row>
    <row r="14" spans="1:23" x14ac:dyDescent="0.25">
      <c r="A14" s="22">
        <v>43822</v>
      </c>
      <c r="B14" s="19" t="s">
        <v>102</v>
      </c>
      <c r="C14" s="178">
        <v>0.1</v>
      </c>
      <c r="D14" s="178">
        <v>0.1</v>
      </c>
      <c r="E14" s="19">
        <v>10</v>
      </c>
      <c r="F14" s="19">
        <v>10</v>
      </c>
      <c r="G14" s="178">
        <v>2</v>
      </c>
      <c r="H14" s="19">
        <v>1</v>
      </c>
      <c r="I14" s="136">
        <v>99.775413844270076</v>
      </c>
      <c r="J14" s="136">
        <v>88.790721906701492</v>
      </c>
      <c r="K14" s="136">
        <v>0.95154796899364325</v>
      </c>
      <c r="L14" s="9" t="s">
        <v>127</v>
      </c>
      <c r="O14" s="9">
        <v>15</v>
      </c>
      <c r="P14" s="21">
        <v>99.747503515636666</v>
      </c>
      <c r="Q14" s="20">
        <v>87.749367708105396</v>
      </c>
      <c r="R14" s="20">
        <v>0.62692535759055901</v>
      </c>
      <c r="S14" s="19">
        <v>0</v>
      </c>
    </row>
    <row r="15" spans="1:23" x14ac:dyDescent="0.25">
      <c r="A15" s="52">
        <v>43822</v>
      </c>
      <c r="B15" s="53" t="s">
        <v>103</v>
      </c>
      <c r="C15" s="179">
        <v>0.1</v>
      </c>
      <c r="D15" s="179">
        <v>0.1</v>
      </c>
      <c r="E15" s="53">
        <v>5</v>
      </c>
      <c r="F15" s="53">
        <v>10</v>
      </c>
      <c r="G15" s="179">
        <v>2</v>
      </c>
      <c r="H15" s="53">
        <v>1</v>
      </c>
      <c r="I15" s="138">
        <v>95.398548423863758</v>
      </c>
      <c r="J15" s="138">
        <v>82.310769455491965</v>
      </c>
      <c r="K15" s="138">
        <v>1.7642078771242868</v>
      </c>
      <c r="L15" s="54" t="s">
        <v>127</v>
      </c>
      <c r="O15" s="9">
        <v>15</v>
      </c>
      <c r="S15" s="65">
        <v>1</v>
      </c>
    </row>
    <row r="16" spans="1:23" x14ac:dyDescent="0.25">
      <c r="A16" s="22">
        <v>43822</v>
      </c>
      <c r="B16" s="19" t="s">
        <v>116</v>
      </c>
      <c r="C16" s="178">
        <v>0.1</v>
      </c>
      <c r="D16" s="178">
        <v>0.1</v>
      </c>
      <c r="E16" s="19">
        <v>10</v>
      </c>
      <c r="F16" s="19">
        <v>10</v>
      </c>
      <c r="G16" s="178">
        <v>2</v>
      </c>
      <c r="H16" s="19">
        <v>1</v>
      </c>
      <c r="I16" s="136">
        <v>99.652386183505001</v>
      </c>
      <c r="J16" s="136">
        <v>87.21792826043162</v>
      </c>
      <c r="K16" s="136">
        <v>0.93469273268498065</v>
      </c>
      <c r="L16" s="46" t="s">
        <v>127</v>
      </c>
    </row>
    <row r="17" spans="1:18" x14ac:dyDescent="0.25">
      <c r="A17" s="52">
        <v>43822</v>
      </c>
      <c r="B17" s="53" t="s">
        <v>117</v>
      </c>
      <c r="C17" s="179">
        <v>0.1</v>
      </c>
      <c r="D17" s="179">
        <v>0.1</v>
      </c>
      <c r="E17" s="53">
        <v>5</v>
      </c>
      <c r="F17" s="53">
        <v>10</v>
      </c>
      <c r="G17" s="179">
        <v>2</v>
      </c>
      <c r="H17" s="53">
        <v>1</v>
      </c>
      <c r="I17" s="138">
        <v>95.410064929105886</v>
      </c>
      <c r="J17" s="138">
        <v>83.310870659701195</v>
      </c>
      <c r="K17" s="138">
        <v>1.7856435462847056</v>
      </c>
      <c r="L17" s="54" t="s">
        <v>127</v>
      </c>
    </row>
    <row r="18" spans="1:18" x14ac:dyDescent="0.25">
      <c r="A18" s="22">
        <v>43822</v>
      </c>
      <c r="B18" s="9" t="s">
        <v>118</v>
      </c>
      <c r="C18" s="178">
        <v>0.1</v>
      </c>
      <c r="D18" s="178">
        <v>0.1</v>
      </c>
      <c r="E18" s="19">
        <v>2</v>
      </c>
      <c r="F18" s="19">
        <v>10</v>
      </c>
      <c r="G18" s="178">
        <v>2</v>
      </c>
      <c r="H18" s="19">
        <v>1</v>
      </c>
      <c r="I18" s="136">
        <v>65.447051455369859</v>
      </c>
      <c r="J18" s="136">
        <v>56.478080376189119</v>
      </c>
      <c r="K18" s="136">
        <v>3.0263073393576239</v>
      </c>
      <c r="L18" s="46" t="s">
        <v>127</v>
      </c>
    </row>
    <row r="19" spans="1:18" x14ac:dyDescent="0.25">
      <c r="A19" s="22">
        <v>43838</v>
      </c>
      <c r="B19" s="51" t="s">
        <v>143</v>
      </c>
      <c r="C19" s="178">
        <v>0.1</v>
      </c>
      <c r="D19" s="178">
        <v>0.1</v>
      </c>
      <c r="E19" s="19">
        <v>7.5</v>
      </c>
      <c r="F19" s="19">
        <v>10</v>
      </c>
      <c r="G19" s="178">
        <v>2</v>
      </c>
      <c r="H19" s="19">
        <v>1</v>
      </c>
      <c r="I19" s="136">
        <v>99.543941390729472</v>
      </c>
      <c r="J19" s="136">
        <v>83.917343462963757</v>
      </c>
      <c r="K19" s="136">
        <v>1.1990949207422894</v>
      </c>
    </row>
    <row r="20" spans="1:18" x14ac:dyDescent="0.25">
      <c r="A20" s="22">
        <v>43838</v>
      </c>
      <c r="B20" s="51" t="s">
        <v>144</v>
      </c>
      <c r="C20" s="178">
        <v>0.1</v>
      </c>
      <c r="D20" s="178">
        <v>0.1</v>
      </c>
      <c r="E20" s="19">
        <v>7.5</v>
      </c>
      <c r="F20" s="19">
        <v>10</v>
      </c>
      <c r="G20" s="178">
        <v>2</v>
      </c>
      <c r="H20" s="19">
        <v>1</v>
      </c>
      <c r="I20" s="136">
        <v>99.748366606681529</v>
      </c>
      <c r="J20" s="136">
        <v>82.909684211569257</v>
      </c>
      <c r="K20" s="136">
        <v>1.1846964776991136</v>
      </c>
      <c r="N20" s="9">
        <v>59.760103535100498</v>
      </c>
      <c r="O20" s="9">
        <v>52.588913355311512</v>
      </c>
      <c r="P20" s="9">
        <v>0.75144298293404632</v>
      </c>
    </row>
    <row r="21" spans="1:18" x14ac:dyDescent="0.25">
      <c r="A21" s="91">
        <v>43838</v>
      </c>
      <c r="B21" s="92" t="s">
        <v>145</v>
      </c>
      <c r="C21" s="180">
        <v>0.1</v>
      </c>
      <c r="D21" s="180">
        <v>0.1</v>
      </c>
      <c r="E21" s="92">
        <v>7.5</v>
      </c>
      <c r="F21" s="92">
        <v>10</v>
      </c>
      <c r="G21" s="180">
        <v>2</v>
      </c>
      <c r="H21" s="92">
        <v>1</v>
      </c>
      <c r="I21" s="93">
        <v>99.865489207615667</v>
      </c>
      <c r="J21" s="93">
        <v>83.522836890313556</v>
      </c>
      <c r="K21" s="93">
        <v>1.1934578163256904</v>
      </c>
      <c r="L21" s="92" t="s">
        <v>127</v>
      </c>
    </row>
    <row r="22" spans="1:18" x14ac:dyDescent="0.25">
      <c r="A22" s="91">
        <v>43838</v>
      </c>
      <c r="B22" s="92" t="s">
        <v>146</v>
      </c>
      <c r="C22" s="180">
        <v>0.1</v>
      </c>
      <c r="D22" s="180">
        <v>0.1</v>
      </c>
      <c r="E22" s="92">
        <v>7.5</v>
      </c>
      <c r="F22" s="92">
        <v>10</v>
      </c>
      <c r="G22" s="180">
        <v>2</v>
      </c>
      <c r="H22" s="92">
        <v>1</v>
      </c>
      <c r="I22" s="93">
        <v>99.857976756216047</v>
      </c>
      <c r="J22" s="93">
        <v>86.004183410321545</v>
      </c>
      <c r="K22" s="93">
        <v>1.2289137767500844</v>
      </c>
      <c r="L22" s="92" t="s">
        <v>127</v>
      </c>
    </row>
    <row r="23" spans="1:18" x14ac:dyDescent="0.25">
      <c r="A23" s="91">
        <v>43839</v>
      </c>
      <c r="B23" s="92" t="s">
        <v>160</v>
      </c>
      <c r="C23" s="180">
        <v>0.1</v>
      </c>
      <c r="D23" s="180">
        <v>0.1</v>
      </c>
      <c r="E23" s="92">
        <v>7.5</v>
      </c>
      <c r="F23" s="92">
        <v>10</v>
      </c>
      <c r="G23" s="180">
        <v>2</v>
      </c>
      <c r="H23" s="92">
        <v>1</v>
      </c>
      <c r="I23" s="93">
        <v>99.832101647727725</v>
      </c>
      <c r="J23" s="93">
        <v>84.698439415481801</v>
      </c>
      <c r="K23" s="93">
        <v>1.2102560008078194</v>
      </c>
      <c r="L23" s="92" t="s">
        <v>155</v>
      </c>
    </row>
    <row r="24" spans="1:18" x14ac:dyDescent="0.25">
      <c r="A24" s="91">
        <v>43839</v>
      </c>
      <c r="B24" s="92" t="s">
        <v>161</v>
      </c>
      <c r="C24" s="180">
        <v>0.1</v>
      </c>
      <c r="D24" s="180">
        <v>0.1</v>
      </c>
      <c r="E24" s="92">
        <v>7.5</v>
      </c>
      <c r="F24" s="92">
        <v>10</v>
      </c>
      <c r="G24" s="180">
        <v>2</v>
      </c>
      <c r="H24" s="92">
        <v>1</v>
      </c>
      <c r="I24" s="93">
        <v>99.842397282266703</v>
      </c>
      <c r="J24" s="93">
        <v>80.88502765021974</v>
      </c>
      <c r="K24" s="93">
        <v>1.1557661600939899</v>
      </c>
      <c r="L24" s="94" t="s">
        <v>156</v>
      </c>
    </row>
    <row r="25" spans="1:18" x14ac:dyDescent="0.25">
      <c r="A25" s="91">
        <v>43839</v>
      </c>
      <c r="B25" s="92" t="s">
        <v>162</v>
      </c>
      <c r="C25" s="180">
        <v>0.1</v>
      </c>
      <c r="D25" s="180">
        <v>0.1</v>
      </c>
      <c r="E25" s="92">
        <v>7.5</v>
      </c>
      <c r="F25" s="92">
        <v>10</v>
      </c>
      <c r="G25" s="180">
        <v>2</v>
      </c>
      <c r="H25" s="92">
        <v>1</v>
      </c>
      <c r="I25" s="93">
        <v>99.840320749285837</v>
      </c>
      <c r="J25" s="93">
        <v>79.337800342369718</v>
      </c>
      <c r="K25" s="93">
        <v>1.1336578290921211</v>
      </c>
      <c r="L25" s="94" t="s">
        <v>157</v>
      </c>
    </row>
    <row r="26" spans="1:18" x14ac:dyDescent="0.25">
      <c r="A26" s="91">
        <v>43839</v>
      </c>
      <c r="B26" s="92" t="s">
        <v>163</v>
      </c>
      <c r="C26" s="180">
        <v>0.1</v>
      </c>
      <c r="D26" s="180">
        <v>0.1</v>
      </c>
      <c r="E26" s="92">
        <v>7.5</v>
      </c>
      <c r="F26" s="92">
        <v>10</v>
      </c>
      <c r="G26" s="180">
        <v>2</v>
      </c>
      <c r="H26" s="92">
        <v>1</v>
      </c>
      <c r="I26" s="93">
        <v>99.708555243095418</v>
      </c>
      <c r="J26" s="93">
        <v>84.723703484210702</v>
      </c>
      <c r="K26" s="93">
        <v>1.2106169990858866</v>
      </c>
      <c r="L26" s="94" t="s">
        <v>158</v>
      </c>
    </row>
    <row r="27" spans="1:18" x14ac:dyDescent="0.25">
      <c r="A27" s="91">
        <v>43839</v>
      </c>
      <c r="B27" s="92" t="s">
        <v>164</v>
      </c>
      <c r="C27" s="180">
        <v>0.1</v>
      </c>
      <c r="D27" s="180">
        <v>0.1</v>
      </c>
      <c r="E27" s="92">
        <v>7.5</v>
      </c>
      <c r="F27" s="92">
        <v>10</v>
      </c>
      <c r="G27" s="180">
        <v>2</v>
      </c>
      <c r="H27" s="92">
        <v>1</v>
      </c>
      <c r="I27" s="93">
        <v>99.858031745739311</v>
      </c>
      <c r="J27" s="93">
        <v>84.418910307492226</v>
      </c>
      <c r="K27" s="93">
        <v>1.2162458291022262</v>
      </c>
      <c r="L27" s="94" t="s">
        <v>159</v>
      </c>
    </row>
    <row r="28" spans="1:18" x14ac:dyDescent="0.25">
      <c r="A28" s="91">
        <v>43840</v>
      </c>
      <c r="B28" s="92" t="s">
        <v>186</v>
      </c>
      <c r="C28" s="180">
        <v>0.1</v>
      </c>
      <c r="D28" s="180">
        <v>0.1</v>
      </c>
      <c r="E28" s="92">
        <v>7.5</v>
      </c>
      <c r="F28" s="92">
        <v>10</v>
      </c>
      <c r="G28" s="180">
        <v>2</v>
      </c>
      <c r="H28" s="92">
        <v>1</v>
      </c>
      <c r="I28" s="93">
        <v>99.820813160644988</v>
      </c>
      <c r="J28" s="93">
        <v>83.503648838097206</v>
      </c>
      <c r="K28" s="93">
        <v>1.1704966088656474</v>
      </c>
      <c r="L28" s="94" t="s">
        <v>159</v>
      </c>
    </row>
    <row r="29" spans="1:18" x14ac:dyDescent="0.25">
      <c r="A29" s="91">
        <v>43840</v>
      </c>
      <c r="B29" s="92" t="s">
        <v>187</v>
      </c>
      <c r="C29" s="180">
        <v>0.1</v>
      </c>
      <c r="D29" s="180">
        <v>0.1</v>
      </c>
      <c r="E29" s="92">
        <v>7.5</v>
      </c>
      <c r="F29" s="92">
        <v>10</v>
      </c>
      <c r="G29" s="180">
        <v>2</v>
      </c>
      <c r="H29" s="92">
        <v>1</v>
      </c>
      <c r="I29" s="93">
        <v>99.156152017812829</v>
      </c>
      <c r="J29" s="93">
        <v>84.034105386525141</v>
      </c>
      <c r="K29" s="93">
        <v>1.2007633318680577</v>
      </c>
      <c r="L29" s="94" t="s">
        <v>158</v>
      </c>
      <c r="P29" s="9" t="s">
        <v>278</v>
      </c>
      <c r="Q29" s="9" t="s">
        <v>279</v>
      </c>
      <c r="R29" s="9" t="s">
        <v>529</v>
      </c>
    </row>
    <row r="30" spans="1:18" x14ac:dyDescent="0.25">
      <c r="A30" s="89">
        <v>43841</v>
      </c>
      <c r="B30" s="90" t="s">
        <v>206</v>
      </c>
      <c r="C30" s="181">
        <v>0.1</v>
      </c>
      <c r="D30" s="181">
        <v>0.1</v>
      </c>
      <c r="E30" s="90">
        <v>7.5</v>
      </c>
      <c r="F30" s="90">
        <v>10</v>
      </c>
      <c r="G30" s="181">
        <v>2</v>
      </c>
      <c r="H30" s="90">
        <v>1</v>
      </c>
      <c r="I30" s="102">
        <v>35.863416503992987</v>
      </c>
      <c r="J30" s="102">
        <v>29.123685206746632</v>
      </c>
      <c r="K30" s="102">
        <v>0.41614833791920275</v>
      </c>
      <c r="L30" s="90" t="s">
        <v>211</v>
      </c>
      <c r="N30" s="9">
        <f>240*O30</f>
        <v>24</v>
      </c>
      <c r="O30" s="85">
        <v>0.1</v>
      </c>
      <c r="P30" s="120">
        <v>36.442429755642237</v>
      </c>
      <c r="Q30" s="102">
        <v>29.123685206746632</v>
      </c>
      <c r="R30" s="270">
        <f>P30-Q30</f>
        <v>7.3187445488956051</v>
      </c>
    </row>
    <row r="31" spans="1:18" x14ac:dyDescent="0.25">
      <c r="A31" s="89">
        <v>43841</v>
      </c>
      <c r="B31" s="90" t="s">
        <v>207</v>
      </c>
      <c r="C31" s="181">
        <v>0.1</v>
      </c>
      <c r="D31" s="181">
        <v>0.1</v>
      </c>
      <c r="E31" s="90">
        <v>7.5</v>
      </c>
      <c r="F31" s="90">
        <v>10</v>
      </c>
      <c r="G31" s="181">
        <v>2</v>
      </c>
      <c r="H31" s="90">
        <v>1</v>
      </c>
      <c r="I31" s="102">
        <v>59.760103535100498</v>
      </c>
      <c r="J31" s="102">
        <v>52.588913355311512</v>
      </c>
      <c r="K31" s="102">
        <v>0.75144298293404632</v>
      </c>
      <c r="L31" s="90" t="s">
        <v>212</v>
      </c>
      <c r="N31" s="195">
        <f t="shared" ref="N31:N35" si="0">240*O31</f>
        <v>48</v>
      </c>
      <c r="O31" s="85">
        <v>0.2</v>
      </c>
      <c r="P31" s="120">
        <v>58.647333542854547</v>
      </c>
      <c r="Q31" s="102">
        <v>52.588913355311512</v>
      </c>
      <c r="R31" s="270">
        <f t="shared" ref="R31:R35" si="1">P31-Q31</f>
        <v>6.0584201875430352</v>
      </c>
    </row>
    <row r="32" spans="1:18" x14ac:dyDescent="0.25">
      <c r="A32" s="89">
        <v>43841</v>
      </c>
      <c r="B32" s="90" t="s">
        <v>208</v>
      </c>
      <c r="C32" s="181">
        <v>0.1</v>
      </c>
      <c r="D32" s="181">
        <v>0.1</v>
      </c>
      <c r="E32" s="90">
        <v>7.5</v>
      </c>
      <c r="F32" s="90">
        <v>10</v>
      </c>
      <c r="G32" s="181">
        <v>2</v>
      </c>
      <c r="H32" s="90">
        <v>1</v>
      </c>
      <c r="I32" s="102">
        <v>79.524576213741099</v>
      </c>
      <c r="J32" s="102">
        <v>72.859913646608305</v>
      </c>
      <c r="K32" s="102">
        <v>1.0410953060963859</v>
      </c>
      <c r="L32" s="90" t="s">
        <v>213</v>
      </c>
      <c r="N32" s="195">
        <f t="shared" si="0"/>
        <v>72</v>
      </c>
      <c r="O32" s="85">
        <v>0.3</v>
      </c>
      <c r="P32" s="120">
        <v>66.101376637978888</v>
      </c>
      <c r="Q32" s="102">
        <v>60.32</v>
      </c>
      <c r="R32" s="270">
        <f t="shared" si="1"/>
        <v>5.7813766379788873</v>
      </c>
    </row>
    <row r="33" spans="1:21" x14ac:dyDescent="0.25">
      <c r="A33" s="125">
        <v>43841</v>
      </c>
      <c r="B33" s="126" t="s">
        <v>209</v>
      </c>
      <c r="C33" s="182">
        <v>0.1</v>
      </c>
      <c r="D33" s="182">
        <v>0.1</v>
      </c>
      <c r="E33" s="126">
        <v>7.5</v>
      </c>
      <c r="F33" s="126">
        <v>10</v>
      </c>
      <c r="G33" s="182">
        <v>2</v>
      </c>
      <c r="H33" s="126">
        <v>1</v>
      </c>
      <c r="I33" s="127">
        <v>94.900037158900176</v>
      </c>
      <c r="J33" s="127">
        <v>87.290204866556849</v>
      </c>
      <c r="K33" s="127">
        <v>1.2472897373382312</v>
      </c>
      <c r="L33" s="126" t="s">
        <v>214</v>
      </c>
      <c r="N33" s="195">
        <f t="shared" si="0"/>
        <v>120</v>
      </c>
      <c r="O33" s="85">
        <v>0.5</v>
      </c>
      <c r="P33" s="120">
        <v>79.255353015763305</v>
      </c>
      <c r="Q33" s="141">
        <v>75.680000000000007</v>
      </c>
      <c r="R33" s="270">
        <f t="shared" si="1"/>
        <v>3.575353015763298</v>
      </c>
    </row>
    <row r="34" spans="1:21" x14ac:dyDescent="0.25">
      <c r="A34" s="125">
        <v>43841</v>
      </c>
      <c r="B34" s="126" t="s">
        <v>210</v>
      </c>
      <c r="C34" s="182">
        <v>0.1</v>
      </c>
      <c r="D34" s="182">
        <v>0.1</v>
      </c>
      <c r="E34" s="126">
        <v>7.5</v>
      </c>
      <c r="F34" s="126">
        <v>10</v>
      </c>
      <c r="G34" s="182">
        <v>2</v>
      </c>
      <c r="H34" s="126">
        <v>1</v>
      </c>
      <c r="I34" s="127">
        <v>98.551887205976826</v>
      </c>
      <c r="J34" s="127">
        <v>93.000774840329939</v>
      </c>
      <c r="K34" s="127">
        <v>1.3288880716934746</v>
      </c>
      <c r="L34" s="126" t="s">
        <v>215</v>
      </c>
      <c r="N34" s="195">
        <f t="shared" si="0"/>
        <v>168</v>
      </c>
      <c r="O34" s="85">
        <v>0.7</v>
      </c>
      <c r="P34" s="120">
        <v>83.186036457973586</v>
      </c>
      <c r="Q34" s="120">
        <v>77.402261547101759</v>
      </c>
      <c r="R34" s="270">
        <f t="shared" si="1"/>
        <v>5.783774910871827</v>
      </c>
    </row>
    <row r="35" spans="1:21" x14ac:dyDescent="0.25">
      <c r="A35" s="128">
        <v>43838</v>
      </c>
      <c r="B35" s="129" t="s">
        <v>143</v>
      </c>
      <c r="C35" s="183">
        <v>0.1</v>
      </c>
      <c r="D35" s="183">
        <v>0.1</v>
      </c>
      <c r="E35" s="129">
        <v>7.5</v>
      </c>
      <c r="F35" s="129">
        <v>10</v>
      </c>
      <c r="G35" s="183">
        <v>2</v>
      </c>
      <c r="H35" s="129">
        <v>1</v>
      </c>
      <c r="I35" s="130">
        <v>99.598260928220057</v>
      </c>
      <c r="J35" s="130">
        <v>83.9173434629638</v>
      </c>
      <c r="K35" s="130">
        <v>1.1990949207422894</v>
      </c>
      <c r="L35" s="129" t="s">
        <v>237</v>
      </c>
      <c r="N35" s="195">
        <f t="shared" si="0"/>
        <v>240</v>
      </c>
      <c r="O35" s="85">
        <v>1</v>
      </c>
      <c r="P35" s="93">
        <v>86.004183410321545</v>
      </c>
      <c r="Q35" s="120">
        <v>81.90571366943567</v>
      </c>
      <c r="R35" s="270">
        <f t="shared" si="1"/>
        <v>4.098469740885875</v>
      </c>
    </row>
    <row r="36" spans="1:21" x14ac:dyDescent="0.25">
      <c r="A36" s="128">
        <v>43838</v>
      </c>
      <c r="B36" s="129" t="s">
        <v>144</v>
      </c>
      <c r="C36" s="183">
        <v>0.1</v>
      </c>
      <c r="D36" s="183">
        <v>0.1</v>
      </c>
      <c r="E36" s="129">
        <v>7.5</v>
      </c>
      <c r="F36" s="129">
        <v>10</v>
      </c>
      <c r="G36" s="183">
        <v>2</v>
      </c>
      <c r="H36" s="129">
        <v>1</v>
      </c>
      <c r="I36" s="130">
        <v>99.748366606681529</v>
      </c>
      <c r="J36" s="130">
        <v>82.909684211569257</v>
      </c>
      <c r="K36" s="130">
        <v>1.1846964776991136</v>
      </c>
      <c r="L36" s="129" t="s">
        <v>237</v>
      </c>
    </row>
    <row r="37" spans="1:21" x14ac:dyDescent="0.25">
      <c r="A37" s="22">
        <v>43843</v>
      </c>
      <c r="B37" s="9" t="s">
        <v>269</v>
      </c>
      <c r="C37" s="178">
        <v>0.1</v>
      </c>
      <c r="D37" s="178">
        <v>0.1</v>
      </c>
      <c r="E37" s="119">
        <v>7.5</v>
      </c>
      <c r="F37" s="119">
        <v>10</v>
      </c>
      <c r="G37" s="178">
        <v>2</v>
      </c>
      <c r="H37" s="119">
        <v>1</v>
      </c>
      <c r="I37" s="136">
        <v>94.907590357669633</v>
      </c>
      <c r="J37" s="136">
        <v>77.402261547101759</v>
      </c>
      <c r="K37" s="136">
        <v>1.1060009152465369</v>
      </c>
      <c r="L37" s="9" t="s">
        <v>271</v>
      </c>
    </row>
    <row r="38" spans="1:21" x14ac:dyDescent="0.25">
      <c r="A38" s="22">
        <v>43843</v>
      </c>
      <c r="B38" s="9" t="s">
        <v>270</v>
      </c>
      <c r="C38" s="178">
        <v>0.1</v>
      </c>
      <c r="D38" s="178">
        <v>0.1</v>
      </c>
      <c r="E38" s="119">
        <v>7.5</v>
      </c>
      <c r="F38" s="119">
        <v>10</v>
      </c>
      <c r="G38" s="178">
        <v>2</v>
      </c>
      <c r="H38" s="119">
        <v>1</v>
      </c>
      <c r="I38" s="136">
        <v>98.708329917793506</v>
      </c>
      <c r="J38" s="136">
        <v>81.90571366943567</v>
      </c>
      <c r="K38" s="136">
        <v>1.1703507426225663</v>
      </c>
      <c r="L38" s="9" t="s">
        <v>272</v>
      </c>
    </row>
    <row r="39" spans="1:21" x14ac:dyDescent="0.25">
      <c r="A39" s="22">
        <v>43844</v>
      </c>
      <c r="B39" s="117" t="s">
        <v>273</v>
      </c>
      <c r="C39" s="178">
        <v>0.1</v>
      </c>
      <c r="D39" s="178">
        <v>0.1</v>
      </c>
      <c r="E39" s="119">
        <v>7.5</v>
      </c>
      <c r="F39" s="119">
        <v>10</v>
      </c>
      <c r="G39" s="178">
        <v>2</v>
      </c>
      <c r="H39" s="119">
        <v>1</v>
      </c>
      <c r="I39" s="136">
        <v>50.472643292737516</v>
      </c>
      <c r="J39" s="136">
        <v>36.442429755642237</v>
      </c>
      <c r="K39" s="136">
        <v>0.52072587877837195</v>
      </c>
      <c r="L39" s="9" t="s">
        <v>260</v>
      </c>
    </row>
    <row r="40" spans="1:21" x14ac:dyDescent="0.25">
      <c r="A40" s="22">
        <v>43844</v>
      </c>
      <c r="B40" s="117" t="s">
        <v>274</v>
      </c>
      <c r="C40" s="178">
        <v>0.1</v>
      </c>
      <c r="D40" s="178">
        <v>0.1</v>
      </c>
      <c r="E40" s="119">
        <v>7.5</v>
      </c>
      <c r="F40" s="119">
        <v>10</v>
      </c>
      <c r="G40" s="178">
        <v>2</v>
      </c>
      <c r="H40" s="119">
        <v>1</v>
      </c>
      <c r="I40" s="136">
        <v>70.526738319310198</v>
      </c>
      <c r="J40" s="136">
        <v>54.777088210023237</v>
      </c>
      <c r="K40" s="136">
        <v>0.78270981343302204</v>
      </c>
      <c r="L40" s="117" t="s">
        <v>261</v>
      </c>
    </row>
    <row r="41" spans="1:21" x14ac:dyDescent="0.25">
      <c r="A41" s="22">
        <v>43844</v>
      </c>
      <c r="B41" s="117" t="s">
        <v>275</v>
      </c>
      <c r="C41" s="178">
        <v>0.1</v>
      </c>
      <c r="D41" s="178">
        <v>0.1</v>
      </c>
      <c r="E41" s="119">
        <v>7.5</v>
      </c>
      <c r="F41" s="119">
        <v>10</v>
      </c>
      <c r="G41" s="178">
        <v>2</v>
      </c>
      <c r="H41" s="119">
        <v>1</v>
      </c>
      <c r="I41" s="136">
        <v>82.428266118983757</v>
      </c>
      <c r="J41" s="136">
        <v>66.101376637978888</v>
      </c>
      <c r="K41" s="136">
        <v>0.94452257078008028</v>
      </c>
      <c r="L41" s="117" t="s">
        <v>262</v>
      </c>
      <c r="N41" s="9">
        <v>72.208044687700109</v>
      </c>
      <c r="O41" s="9">
        <v>58.647333542854547</v>
      </c>
      <c r="P41" s="9">
        <v>0.82404216869343894</v>
      </c>
    </row>
    <row r="42" spans="1:21" x14ac:dyDescent="0.25">
      <c r="A42" s="22">
        <v>43844</v>
      </c>
      <c r="B42" s="117" t="s">
        <v>276</v>
      </c>
      <c r="C42" s="178">
        <v>0.1</v>
      </c>
      <c r="D42" s="178">
        <v>0.1</v>
      </c>
      <c r="E42" s="119">
        <v>7.5</v>
      </c>
      <c r="F42" s="119">
        <v>10</v>
      </c>
      <c r="G42" s="178">
        <v>2</v>
      </c>
      <c r="H42" s="119">
        <v>1</v>
      </c>
      <c r="I42" s="136">
        <v>95.375206935636186</v>
      </c>
      <c r="J42" s="136">
        <v>79.255353015763305</v>
      </c>
      <c r="K42" s="136">
        <v>1.1324797392422419</v>
      </c>
      <c r="L42" s="117" t="s">
        <v>263</v>
      </c>
    </row>
    <row r="43" spans="1:21" x14ac:dyDescent="0.25">
      <c r="A43" s="22">
        <v>43844</v>
      </c>
      <c r="B43" s="117" t="s">
        <v>277</v>
      </c>
      <c r="C43" s="178">
        <v>0.1</v>
      </c>
      <c r="D43" s="178">
        <v>0.1</v>
      </c>
      <c r="E43" s="119">
        <v>7.5</v>
      </c>
      <c r="F43" s="119">
        <v>10</v>
      </c>
      <c r="G43" s="178">
        <v>2</v>
      </c>
      <c r="H43" s="119">
        <v>1</v>
      </c>
      <c r="I43" s="136">
        <v>98.84871082504651</v>
      </c>
      <c r="J43" s="136">
        <v>83.186036457973586</v>
      </c>
      <c r="K43" s="136">
        <v>1.1886452749479846</v>
      </c>
      <c r="L43" s="117" t="s">
        <v>268</v>
      </c>
    </row>
    <row r="44" spans="1:21" x14ac:dyDescent="0.25">
      <c r="A44" s="22">
        <v>43845</v>
      </c>
      <c r="B44" s="132" t="s">
        <v>286</v>
      </c>
      <c r="C44" s="178">
        <v>0.1</v>
      </c>
      <c r="D44" s="178">
        <v>0.1</v>
      </c>
      <c r="E44" s="133">
        <v>7.5</v>
      </c>
      <c r="F44" s="133">
        <v>10</v>
      </c>
      <c r="G44" s="178">
        <v>2</v>
      </c>
      <c r="H44" s="133">
        <v>1</v>
      </c>
      <c r="I44" s="136">
        <v>74.415302617340998</v>
      </c>
      <c r="J44" s="136">
        <v>60.315735935493713</v>
      </c>
      <c r="K44" s="136">
        <v>0.86185155078226983</v>
      </c>
      <c r="L44" s="9" t="s">
        <v>292</v>
      </c>
    </row>
    <row r="45" spans="1:21" x14ac:dyDescent="0.25">
      <c r="A45" s="22">
        <v>43845</v>
      </c>
      <c r="B45" s="132" t="s">
        <v>287</v>
      </c>
      <c r="C45" s="178">
        <v>0.1</v>
      </c>
      <c r="D45" s="178">
        <v>0.1</v>
      </c>
      <c r="E45" s="133">
        <v>7.5</v>
      </c>
      <c r="F45" s="133">
        <v>10</v>
      </c>
      <c r="G45" s="178">
        <v>2</v>
      </c>
      <c r="H45" s="133">
        <v>1</v>
      </c>
      <c r="I45" s="136">
        <v>89.609613920185495</v>
      </c>
      <c r="J45" s="136">
        <v>75.678822269198292</v>
      </c>
      <c r="K45" s="136">
        <v>1.0813746914045745</v>
      </c>
      <c r="L45" s="137" t="s">
        <v>297</v>
      </c>
      <c r="O45" s="290" t="s">
        <v>492</v>
      </c>
      <c r="P45" s="296" t="s">
        <v>44</v>
      </c>
      <c r="Q45" s="296" t="s">
        <v>53</v>
      </c>
      <c r="R45" s="292" t="s">
        <v>41</v>
      </c>
      <c r="S45" s="292" t="s">
        <v>42</v>
      </c>
      <c r="T45" s="294" t="s">
        <v>51</v>
      </c>
      <c r="U45" s="294" t="s">
        <v>388</v>
      </c>
    </row>
    <row r="46" spans="1:21" x14ac:dyDescent="0.25">
      <c r="A46" s="159">
        <v>43846</v>
      </c>
      <c r="B46" s="186" t="s">
        <v>310</v>
      </c>
      <c r="C46" s="187">
        <v>0.2019848219497957</v>
      </c>
      <c r="D46" s="187">
        <v>0.1</v>
      </c>
      <c r="E46" s="186">
        <v>7.5</v>
      </c>
      <c r="F46" s="186">
        <v>10</v>
      </c>
      <c r="G46" s="187">
        <v>2</v>
      </c>
      <c r="H46" s="186">
        <v>1</v>
      </c>
      <c r="I46" s="188">
        <v>91.502642949378682</v>
      </c>
      <c r="J46" s="188">
        <v>81.39786935156836</v>
      </c>
      <c r="K46" s="188">
        <v>2.349273658417617</v>
      </c>
      <c r="L46" s="150"/>
      <c r="O46" s="291"/>
      <c r="P46" s="297"/>
      <c r="Q46" s="297"/>
      <c r="R46" s="293"/>
      <c r="S46" s="293"/>
      <c r="T46" s="295"/>
      <c r="U46" s="295"/>
    </row>
    <row r="47" spans="1:21" x14ac:dyDescent="0.25">
      <c r="A47" s="159">
        <v>43846</v>
      </c>
      <c r="B47" s="189" t="s">
        <v>311</v>
      </c>
      <c r="C47" s="190">
        <v>0.20276318349873515</v>
      </c>
      <c r="D47" s="190">
        <v>0.10414370014914726</v>
      </c>
      <c r="E47" s="189">
        <v>7.5</v>
      </c>
      <c r="F47" s="189">
        <v>10</v>
      </c>
      <c r="G47" s="190">
        <v>4.0108514672895037</v>
      </c>
      <c r="H47" s="189">
        <v>1</v>
      </c>
      <c r="I47" s="191">
        <v>99.880812987085733</v>
      </c>
      <c r="J47" s="191">
        <v>81.436827148492753</v>
      </c>
      <c r="K47" s="191">
        <v>2.3594554537771066</v>
      </c>
      <c r="L47" s="150"/>
      <c r="O47" s="9">
        <v>1</v>
      </c>
      <c r="P47" s="184">
        <v>0.2019848219497957</v>
      </c>
      <c r="Q47" s="184">
        <v>2</v>
      </c>
      <c r="R47" s="184">
        <v>91.502642949378682</v>
      </c>
      <c r="S47" s="184">
        <v>81.39786935156836</v>
      </c>
      <c r="T47" s="184">
        <v>2.349273658417617</v>
      </c>
      <c r="U47" s="184">
        <f>1000*T47/238.15</f>
        <v>9.8646804888415573</v>
      </c>
    </row>
    <row r="48" spans="1:21" x14ac:dyDescent="0.25">
      <c r="A48" s="159">
        <v>43846</v>
      </c>
      <c r="B48" s="150" t="s">
        <v>312</v>
      </c>
      <c r="C48" s="160">
        <v>0.30317182331192838</v>
      </c>
      <c r="D48" s="160">
        <v>0.10232799429349589</v>
      </c>
      <c r="E48" s="150">
        <v>7.5</v>
      </c>
      <c r="F48" s="150">
        <v>10</v>
      </c>
      <c r="G48" s="160">
        <v>3.9482163570843061</v>
      </c>
      <c r="H48" s="150">
        <v>1</v>
      </c>
      <c r="I48" s="157">
        <v>96.615450576407568</v>
      </c>
      <c r="J48" s="157">
        <v>83.870800457010063</v>
      </c>
      <c r="K48" s="157">
        <v>3.6333016811124295</v>
      </c>
      <c r="L48" s="150"/>
      <c r="O48" s="9">
        <v>2</v>
      </c>
      <c r="P48" s="184">
        <v>0.20315236427320488</v>
      </c>
      <c r="Q48" s="184">
        <v>3.9053126298296643</v>
      </c>
      <c r="R48" s="184">
        <v>99.839002100038911</v>
      </c>
      <c r="S48" s="184">
        <v>90.716230733027899</v>
      </c>
      <c r="T48" s="184">
        <v>2.6333507816030002</v>
      </c>
      <c r="U48" s="184">
        <f t="shared" ref="U48:U60" si="2">1000*T48/238.15</f>
        <v>11.057530050820912</v>
      </c>
    </row>
    <row r="49" spans="1:29" x14ac:dyDescent="0.25">
      <c r="A49" s="185">
        <v>43847</v>
      </c>
      <c r="B49" s="162" t="s">
        <v>347</v>
      </c>
      <c r="C49" s="178">
        <v>0.1</v>
      </c>
      <c r="D49" s="178">
        <v>0.10232799429349589</v>
      </c>
      <c r="E49" s="162">
        <v>7.5</v>
      </c>
      <c r="F49" s="162">
        <v>10</v>
      </c>
      <c r="G49" s="178">
        <v>2.0903614457831323</v>
      </c>
      <c r="H49" s="162">
        <v>1</v>
      </c>
      <c r="I49" s="20">
        <v>61.526372534491315</v>
      </c>
      <c r="J49" s="20">
        <v>57.057819451090495</v>
      </c>
      <c r="K49" s="20">
        <v>0.81529918213663199</v>
      </c>
      <c r="L49" s="162" t="s">
        <v>348</v>
      </c>
      <c r="O49" s="245">
        <v>3</v>
      </c>
      <c r="P49" s="184">
        <v>0.30382045793604462</v>
      </c>
      <c r="Q49" s="184">
        <v>3.965563363616722</v>
      </c>
      <c r="R49" s="184">
        <v>95.748663173594437</v>
      </c>
      <c r="S49" s="184">
        <v>83.971686270491105</v>
      </c>
      <c r="T49" s="184">
        <v>3.7417142034425694</v>
      </c>
      <c r="U49" s="184">
        <f t="shared" si="2"/>
        <v>15.711585989681165</v>
      </c>
    </row>
    <row r="50" spans="1:29" x14ac:dyDescent="0.25">
      <c r="A50" s="159">
        <v>43847</v>
      </c>
      <c r="B50" s="186" t="s">
        <v>349</v>
      </c>
      <c r="C50" s="187">
        <v>0.1978335603554518</v>
      </c>
      <c r="D50" s="187">
        <v>0.10232799429349589</v>
      </c>
      <c r="E50" s="186">
        <v>7.5</v>
      </c>
      <c r="F50" s="186">
        <v>10</v>
      </c>
      <c r="G50" s="187">
        <v>2</v>
      </c>
      <c r="H50" s="186">
        <v>1</v>
      </c>
      <c r="I50" s="188">
        <v>99.145600129202151</v>
      </c>
      <c r="J50" s="188">
        <v>94.332033830921389</v>
      </c>
      <c r="K50" s="188">
        <v>2.7146611395183204</v>
      </c>
      <c r="L50" s="150"/>
      <c r="O50" s="245">
        <v>4</v>
      </c>
      <c r="P50" s="184">
        <v>0.39670493610948954</v>
      </c>
      <c r="Q50" s="184">
        <v>5.0415304120340094</v>
      </c>
      <c r="R50" s="184">
        <v>96.401787344276272</v>
      </c>
      <c r="S50" s="184">
        <v>85.296663119012806</v>
      </c>
      <c r="T50" s="184">
        <v>4.8350557060940025</v>
      </c>
      <c r="U50" s="184">
        <f t="shared" si="2"/>
        <v>20.302564375788378</v>
      </c>
    </row>
    <row r="51" spans="1:29" x14ac:dyDescent="0.25">
      <c r="A51" s="159">
        <v>43847</v>
      </c>
      <c r="B51" s="189" t="s">
        <v>350</v>
      </c>
      <c r="C51" s="190">
        <v>0.20367127197249793</v>
      </c>
      <c r="D51" s="190">
        <v>9.8177809480578429E-2</v>
      </c>
      <c r="E51" s="189">
        <v>7.5</v>
      </c>
      <c r="F51" s="189">
        <v>10</v>
      </c>
      <c r="G51" s="190">
        <v>3.9929686900468102</v>
      </c>
      <c r="H51" s="189">
        <v>1</v>
      </c>
      <c r="I51" s="191">
        <v>99.936593386962286</v>
      </c>
      <c r="J51" s="191">
        <v>94.804891465044349</v>
      </c>
      <c r="K51" s="191">
        <v>2.759067701635999</v>
      </c>
      <c r="L51" s="150"/>
      <c r="O51" s="245">
        <v>5</v>
      </c>
      <c r="P51" s="184">
        <v>0.40280210157618218</v>
      </c>
      <c r="Q51" s="184">
        <v>5.9672341540073326</v>
      </c>
      <c r="R51" s="184">
        <v>99.952442262874726</v>
      </c>
      <c r="S51" s="184">
        <v>89.722925658880627</v>
      </c>
      <c r="T51" s="184">
        <v>5.5402264095600868</v>
      </c>
      <c r="U51" s="184">
        <f t="shared" si="2"/>
        <v>23.263600292085183</v>
      </c>
      <c r="X51" s="184">
        <v>0.50009729519361745</v>
      </c>
      <c r="Y51" s="184">
        <v>6.9956266701045422</v>
      </c>
      <c r="Z51" s="184">
        <v>99.831678221614112</v>
      </c>
      <c r="AA51" s="184">
        <v>90.6739377499797</v>
      </c>
      <c r="AB51" s="184">
        <v>6.4794600778931928</v>
      </c>
      <c r="AC51" s="184">
        <f t="shared" ref="AC51:AC52" si="3">1000*AB51/238.15</f>
        <v>27.207474607991571</v>
      </c>
    </row>
    <row r="52" spans="1:29" x14ac:dyDescent="0.25">
      <c r="A52" s="185">
        <v>43848</v>
      </c>
      <c r="B52" s="162" t="s">
        <v>351</v>
      </c>
      <c r="C52" s="178">
        <v>0.10131672828695597</v>
      </c>
      <c r="D52" s="178">
        <v>0.10116075481486284</v>
      </c>
      <c r="E52" s="162">
        <v>7.5</v>
      </c>
      <c r="F52" s="162">
        <v>10</v>
      </c>
      <c r="G52" s="178">
        <v>2.0156283263656416</v>
      </c>
      <c r="H52" s="162">
        <v>1</v>
      </c>
      <c r="I52" s="20">
        <v>78.613941510502585</v>
      </c>
      <c r="J52" s="20">
        <v>69.923411425274523</v>
      </c>
      <c r="K52" s="20">
        <v>1.012291527266445</v>
      </c>
      <c r="L52" s="162" t="s">
        <v>261</v>
      </c>
      <c r="O52" s="245">
        <v>6</v>
      </c>
      <c r="P52" s="184">
        <v>0.50009729519361745</v>
      </c>
      <c r="Q52" s="184">
        <v>6.9956266701045422</v>
      </c>
      <c r="R52" s="184">
        <v>99.831678221614112</v>
      </c>
      <c r="S52" s="184">
        <v>90.6739377499797</v>
      </c>
      <c r="T52" s="184">
        <v>6.4794600778931928</v>
      </c>
      <c r="U52" s="184">
        <f t="shared" si="2"/>
        <v>27.207474607991571</v>
      </c>
      <c r="X52" s="184">
        <v>0.59998702730751774</v>
      </c>
      <c r="Y52" s="184">
        <v>6.9404111038749594</v>
      </c>
      <c r="Z52" s="184">
        <v>99.498913246369426</v>
      </c>
      <c r="AA52" s="184">
        <v>91.816846828671913</v>
      </c>
      <c r="AB52" s="184">
        <v>7.8716553480558886</v>
      </c>
      <c r="AC52" s="184">
        <f t="shared" si="3"/>
        <v>33.053350191290733</v>
      </c>
    </row>
    <row r="53" spans="1:29" x14ac:dyDescent="0.25">
      <c r="A53" s="159">
        <v>43848</v>
      </c>
      <c r="B53" s="186" t="s">
        <v>352</v>
      </c>
      <c r="C53" s="187">
        <v>0.20094700655120973</v>
      </c>
      <c r="D53" s="187">
        <v>0.10154983464107385</v>
      </c>
      <c r="E53" s="186">
        <v>7.5</v>
      </c>
      <c r="F53" s="186">
        <v>10</v>
      </c>
      <c r="G53" s="187">
        <v>1.9875767109756002</v>
      </c>
      <c r="H53" s="186">
        <v>1</v>
      </c>
      <c r="I53" s="188">
        <v>90.485497443124174</v>
      </c>
      <c r="J53" s="188">
        <v>80.212333508354007</v>
      </c>
      <c r="K53" s="188">
        <v>2.3031622207859486</v>
      </c>
      <c r="L53" s="150"/>
      <c r="O53" s="245">
        <v>7</v>
      </c>
      <c r="P53" s="184">
        <v>0.59998702730751774</v>
      </c>
      <c r="Q53" s="184">
        <v>6.9404111038749594</v>
      </c>
      <c r="R53" s="184">
        <v>99.498913246369426</v>
      </c>
      <c r="S53" s="184">
        <v>91.816846828671913</v>
      </c>
      <c r="T53" s="184">
        <v>7.8716553480558886</v>
      </c>
      <c r="U53" s="184">
        <f t="shared" si="2"/>
        <v>33.053350191290733</v>
      </c>
      <c r="X53" s="271">
        <v>0.69501199974054617</v>
      </c>
      <c r="Y53" s="271">
        <v>7.0706068792201</v>
      </c>
      <c r="Z53" s="271">
        <v>99.832181684840251</v>
      </c>
      <c r="AA53" s="271">
        <v>88.064911835467967</v>
      </c>
      <c r="AB53" s="271">
        <v>8.7457497001363276</v>
      </c>
      <c r="AC53" s="271">
        <v>36.723702289046095</v>
      </c>
    </row>
    <row r="54" spans="1:29" x14ac:dyDescent="0.25">
      <c r="A54" s="159">
        <v>43848</v>
      </c>
      <c r="B54" s="189" t="s">
        <v>353</v>
      </c>
      <c r="C54" s="190">
        <v>0.20315236427320488</v>
      </c>
      <c r="D54" s="190">
        <v>0.10064198171324816</v>
      </c>
      <c r="E54" s="189">
        <v>7.5</v>
      </c>
      <c r="F54" s="189">
        <v>10</v>
      </c>
      <c r="G54" s="190">
        <v>3.9053126298296643</v>
      </c>
      <c r="H54" s="189">
        <v>1</v>
      </c>
      <c r="I54" s="191">
        <v>99.839002100038911</v>
      </c>
      <c r="J54" s="191">
        <v>90.716230733027899</v>
      </c>
      <c r="K54" s="191">
        <v>2.6333507816030002</v>
      </c>
      <c r="L54" s="150"/>
      <c r="O54" s="245">
        <v>8</v>
      </c>
      <c r="P54" s="184">
        <v>0.70311993254199912</v>
      </c>
      <c r="Q54" s="184">
        <v>6.9890731283065834</v>
      </c>
      <c r="R54" s="184">
        <v>99.329358519866105</v>
      </c>
      <c r="S54" s="184">
        <v>82.316267881148292</v>
      </c>
      <c r="T54" s="184">
        <v>8.2702172439582355</v>
      </c>
      <c r="U54" s="184">
        <f t="shared" si="2"/>
        <v>34.726925231821269</v>
      </c>
      <c r="X54" s="184">
        <v>0.79846922228708572</v>
      </c>
      <c r="Y54" s="184">
        <v>7.0013486929032114</v>
      </c>
      <c r="Z54" s="184">
        <v>99.62906976741435</v>
      </c>
      <c r="AA54" s="184">
        <v>80.076708401215271</v>
      </c>
      <c r="AB54" s="184">
        <v>9.1362132859223717</v>
      </c>
      <c r="AC54" s="184">
        <v>38.363272248256855</v>
      </c>
    </row>
    <row r="55" spans="1:29" x14ac:dyDescent="0.25">
      <c r="A55" s="159">
        <v>43848</v>
      </c>
      <c r="B55" s="150" t="s">
        <v>354</v>
      </c>
      <c r="C55" s="160">
        <v>0.30382045793604462</v>
      </c>
      <c r="D55" s="160">
        <v>0.10077167498865183</v>
      </c>
      <c r="E55" s="150">
        <v>7.5</v>
      </c>
      <c r="F55" s="150">
        <v>10</v>
      </c>
      <c r="G55" s="160">
        <v>3.965563363616722</v>
      </c>
      <c r="H55" s="150">
        <v>1</v>
      </c>
      <c r="I55" s="157">
        <v>95.748663173594437</v>
      </c>
      <c r="J55" s="157">
        <v>83.971686270491105</v>
      </c>
      <c r="K55" s="157">
        <v>3.7417142034425694</v>
      </c>
      <c r="L55" s="150"/>
      <c r="O55" s="248">
        <v>9</v>
      </c>
      <c r="P55" s="247">
        <v>0.69501199974054617</v>
      </c>
      <c r="Q55" s="247">
        <v>7.0706068792201</v>
      </c>
      <c r="R55" s="247">
        <v>99.832181684840251</v>
      </c>
      <c r="S55" s="247">
        <v>88.064911835467967</v>
      </c>
      <c r="T55" s="247">
        <v>8.7457497001363276</v>
      </c>
      <c r="U55" s="247">
        <f t="shared" si="2"/>
        <v>36.723702289046095</v>
      </c>
    </row>
    <row r="56" spans="1:29" x14ac:dyDescent="0.25">
      <c r="A56" s="159">
        <v>43848</v>
      </c>
      <c r="B56" s="150" t="s">
        <v>355</v>
      </c>
      <c r="C56" s="160">
        <v>0.39670493610948954</v>
      </c>
      <c r="D56" s="160">
        <v>9.9863822060826127E-2</v>
      </c>
      <c r="E56" s="150">
        <v>7.5</v>
      </c>
      <c r="F56" s="150">
        <v>10</v>
      </c>
      <c r="G56" s="160">
        <v>5.0415304120340094</v>
      </c>
      <c r="H56" s="150">
        <v>1</v>
      </c>
      <c r="I56" s="157">
        <v>96.401787344276272</v>
      </c>
      <c r="J56" s="157">
        <v>85.296663119012806</v>
      </c>
      <c r="K56" s="157">
        <v>4.8350557060940025</v>
      </c>
      <c r="L56" s="150"/>
      <c r="O56" s="150">
        <v>10</v>
      </c>
      <c r="P56" s="160">
        <v>0.59414931569047158</v>
      </c>
      <c r="Q56" s="160">
        <v>5.046701050928605</v>
      </c>
      <c r="R56" s="160">
        <v>99.919099697169216</v>
      </c>
      <c r="S56" s="160">
        <v>81.619005799736613</v>
      </c>
      <c r="T56" s="160">
        <v>6.9292900049760133</v>
      </c>
      <c r="U56" s="160">
        <f t="shared" si="2"/>
        <v>29.096325865950089</v>
      </c>
    </row>
    <row r="57" spans="1:29" x14ac:dyDescent="0.25">
      <c r="A57" s="159">
        <v>43849</v>
      </c>
      <c r="B57" s="150" t="s">
        <v>365</v>
      </c>
      <c r="C57" s="160">
        <v>0.40280210157618218</v>
      </c>
      <c r="D57" s="160">
        <v>9.9863822060826141E-2</v>
      </c>
      <c r="E57" s="150">
        <v>7.5</v>
      </c>
      <c r="F57" s="150">
        <v>10</v>
      </c>
      <c r="G57" s="160">
        <v>5.9672341540073326</v>
      </c>
      <c r="H57" s="150">
        <v>1</v>
      </c>
      <c r="I57" s="157">
        <v>99.952442262874726</v>
      </c>
      <c r="J57" s="157">
        <v>89.722925658880627</v>
      </c>
      <c r="K57" s="157">
        <v>5.5402264095600868</v>
      </c>
      <c r="L57" s="150"/>
      <c r="O57" s="150">
        <v>11</v>
      </c>
      <c r="P57" s="160">
        <v>0.69468768242848811</v>
      </c>
      <c r="Q57" s="160">
        <v>5.0490748709122197</v>
      </c>
      <c r="R57" s="160">
        <v>99.888090745428187</v>
      </c>
      <c r="S57" s="160">
        <v>82.171877042242897</v>
      </c>
      <c r="T57" s="160">
        <v>8.1567028707376803</v>
      </c>
      <c r="U57" s="160">
        <f t="shared" si="2"/>
        <v>34.250274493964646</v>
      </c>
      <c r="X57" s="184">
        <v>0.39670493610948954</v>
      </c>
      <c r="Y57" s="184">
        <v>5.0415304120340094</v>
      </c>
      <c r="Z57" s="184">
        <v>96.401787344276272</v>
      </c>
      <c r="AA57" s="184">
        <v>85.296663119012806</v>
      </c>
      <c r="AB57" s="184">
        <v>4.8350557060940025</v>
      </c>
      <c r="AC57" s="184">
        <f t="shared" ref="AC57" si="4">1000*AB57/238.15</f>
        <v>20.302564375788378</v>
      </c>
    </row>
    <row r="58" spans="1:29" x14ac:dyDescent="0.25">
      <c r="A58" s="159">
        <v>43849</v>
      </c>
      <c r="B58" s="150" t="s">
        <v>366</v>
      </c>
      <c r="C58" s="160">
        <v>0.50009729519361745</v>
      </c>
      <c r="D58" s="160">
        <v>0.10180922119188118</v>
      </c>
      <c r="E58" s="150">
        <v>7.5</v>
      </c>
      <c r="F58" s="150">
        <v>10</v>
      </c>
      <c r="G58" s="160">
        <v>6.9956266701045422</v>
      </c>
      <c r="H58" s="150">
        <v>1</v>
      </c>
      <c r="I58" s="157">
        <v>99.831678221614112</v>
      </c>
      <c r="J58" s="157">
        <v>90.6739377499797</v>
      </c>
      <c r="K58" s="157">
        <v>6.4794600778931928</v>
      </c>
      <c r="L58" s="150"/>
      <c r="O58" s="150">
        <v>12</v>
      </c>
      <c r="P58" s="160">
        <v>0.80657715508853878</v>
      </c>
      <c r="Q58" s="160">
        <v>4.9554936271018928</v>
      </c>
      <c r="R58" s="160">
        <v>99.830584010058274</v>
      </c>
      <c r="S58" s="160">
        <v>71.4044630805015</v>
      </c>
      <c r="T58" s="160">
        <v>8.229493590013524</v>
      </c>
      <c r="U58" s="160">
        <f t="shared" si="2"/>
        <v>34.55592521525729</v>
      </c>
      <c r="X58" s="160">
        <v>0.59414931569047158</v>
      </c>
      <c r="Y58" s="160">
        <v>5.046701050928605</v>
      </c>
      <c r="Z58" s="160">
        <v>99.919099697169216</v>
      </c>
      <c r="AA58" s="160">
        <v>81.619005799736613</v>
      </c>
      <c r="AB58" s="160">
        <v>6.9292900049760133</v>
      </c>
      <c r="AC58" s="160">
        <f t="shared" ref="AC58:AC60" si="5">1000*AB58/238.15</f>
        <v>29.096325865950089</v>
      </c>
    </row>
    <row r="59" spans="1:29" x14ac:dyDescent="0.25">
      <c r="A59" s="159">
        <v>43850</v>
      </c>
      <c r="B59" s="150" t="s">
        <v>371</v>
      </c>
      <c r="C59" s="160">
        <v>0.59998702730751774</v>
      </c>
      <c r="D59" s="160">
        <v>9.8566889306789446E-2</v>
      </c>
      <c r="E59" s="150">
        <v>7.5</v>
      </c>
      <c r="F59" s="150">
        <v>10</v>
      </c>
      <c r="G59" s="160">
        <v>6.9404111038749594</v>
      </c>
      <c r="H59" s="150">
        <v>1</v>
      </c>
      <c r="I59" s="157">
        <v>99.498913246369426</v>
      </c>
      <c r="J59" s="157">
        <v>91.816846828671913</v>
      </c>
      <c r="K59" s="157">
        <v>7.8716553480558886</v>
      </c>
      <c r="L59" s="150"/>
      <c r="O59" s="245">
        <v>13</v>
      </c>
      <c r="P59" s="184">
        <v>0.79846922228708572</v>
      </c>
      <c r="Q59" s="184">
        <v>7.0013486929032114</v>
      </c>
      <c r="R59" s="184">
        <v>99.62906976741435</v>
      </c>
      <c r="S59" s="184">
        <v>80.076708401215271</v>
      </c>
      <c r="T59" s="184">
        <v>9.1362132859223717</v>
      </c>
      <c r="U59" s="184">
        <f t="shared" si="2"/>
        <v>38.363272248256855</v>
      </c>
      <c r="X59" s="160">
        <v>0.69468768242848811</v>
      </c>
      <c r="Y59" s="160">
        <v>5.0490748709122197</v>
      </c>
      <c r="Z59" s="160">
        <v>99.888090745428187</v>
      </c>
      <c r="AA59" s="160">
        <v>82.171877042242897</v>
      </c>
      <c r="AB59" s="160">
        <v>8.1567028707376803</v>
      </c>
      <c r="AC59" s="160">
        <f t="shared" si="5"/>
        <v>34.250274493964646</v>
      </c>
    </row>
    <row r="60" spans="1:29" x14ac:dyDescent="0.25">
      <c r="A60" s="150"/>
      <c r="B60" s="150" t="s">
        <v>372</v>
      </c>
      <c r="C60" s="160">
        <v>0.70311993254199912</v>
      </c>
      <c r="D60" s="160">
        <v>9.9863822060826141E-2</v>
      </c>
      <c r="E60" s="150">
        <v>7.5</v>
      </c>
      <c r="F60" s="150">
        <v>10</v>
      </c>
      <c r="G60" s="160">
        <v>6.9890731283065834</v>
      </c>
      <c r="H60" s="150">
        <v>1</v>
      </c>
      <c r="I60" s="157">
        <v>99.329358519866105</v>
      </c>
      <c r="J60" s="157">
        <v>82.316267881148292</v>
      </c>
      <c r="K60" s="157">
        <v>8.2702172439582355</v>
      </c>
      <c r="L60" s="150"/>
      <c r="O60" s="249">
        <v>14</v>
      </c>
      <c r="P60" s="250">
        <v>0.81209054939352676</v>
      </c>
      <c r="Q60" s="250">
        <v>7.8816363697601908</v>
      </c>
      <c r="R60" s="250">
        <v>100</v>
      </c>
      <c r="S60" s="250">
        <v>87.43454299037613</v>
      </c>
      <c r="T60" s="250">
        <v>10.145871021316955</v>
      </c>
      <c r="U60" s="250">
        <f t="shared" si="2"/>
        <v>42.602859631815889</v>
      </c>
      <c r="X60" s="160">
        <v>0.80657715508853878</v>
      </c>
      <c r="Y60" s="160">
        <v>4.9554936271018928</v>
      </c>
      <c r="Z60" s="160">
        <v>99.830584010058274</v>
      </c>
      <c r="AA60" s="160">
        <v>71.4044630805015</v>
      </c>
      <c r="AB60" s="160">
        <v>8.229493590013524</v>
      </c>
      <c r="AC60" s="160">
        <f t="shared" si="5"/>
        <v>34.55592521525729</v>
      </c>
    </row>
    <row r="61" spans="1:29" x14ac:dyDescent="0.25">
      <c r="A61" s="92"/>
      <c r="B61" s="92" t="s">
        <v>373</v>
      </c>
      <c r="C61" s="180"/>
      <c r="D61" s="180"/>
      <c r="E61" s="92"/>
      <c r="F61" s="92"/>
      <c r="G61" s="180"/>
      <c r="H61" s="92"/>
      <c r="I61" s="93"/>
      <c r="J61" s="93"/>
      <c r="K61" s="93"/>
      <c r="L61" s="92"/>
    </row>
    <row r="62" spans="1:29" x14ac:dyDescent="0.25">
      <c r="A62" s="92"/>
      <c r="B62" s="92" t="s">
        <v>374</v>
      </c>
      <c r="C62" s="180">
        <v>0.10118700136213271</v>
      </c>
      <c r="D62" s="180">
        <v>0.10070682835095</v>
      </c>
      <c r="E62" s="92">
        <v>7.5</v>
      </c>
      <c r="F62" s="92">
        <v>10</v>
      </c>
      <c r="G62" s="180">
        <v>1.9735617469879518</v>
      </c>
      <c r="H62" s="92">
        <v>1</v>
      </c>
      <c r="I62" s="93">
        <v>76.299150675009685</v>
      </c>
      <c r="J62" s="93">
        <v>72.099028055544991</v>
      </c>
      <c r="K62" s="93">
        <v>1.04245177306977</v>
      </c>
      <c r="L62" s="92" t="s">
        <v>348</v>
      </c>
    </row>
    <row r="63" spans="1:29" x14ac:dyDescent="0.25">
      <c r="A63" s="92"/>
      <c r="B63" s="92" t="s">
        <v>375</v>
      </c>
      <c r="C63" s="180">
        <v>0.10118700136213271</v>
      </c>
      <c r="D63" s="180">
        <v>0.10070682835095</v>
      </c>
      <c r="E63" s="92">
        <v>7.5</v>
      </c>
      <c r="F63" s="92">
        <v>10</v>
      </c>
      <c r="G63" s="180">
        <v>1.9735617469879518</v>
      </c>
      <c r="H63" s="92">
        <v>1</v>
      </c>
      <c r="I63" s="93">
        <v>85.4881418755879</v>
      </c>
      <c r="J63" s="93">
        <v>81.415110494486768</v>
      </c>
      <c r="K63" s="93">
        <v>1.1771493816014307</v>
      </c>
      <c r="L63" s="92" t="s">
        <v>292</v>
      </c>
    </row>
    <row r="64" spans="1:29" x14ac:dyDescent="0.25">
      <c r="A64" s="92"/>
      <c r="B64" s="92" t="s">
        <v>376</v>
      </c>
      <c r="C64" s="180"/>
      <c r="D64" s="180"/>
      <c r="E64" s="92"/>
      <c r="F64" s="92"/>
      <c r="G64" s="180"/>
      <c r="H64" s="92"/>
      <c r="I64" s="93"/>
      <c r="J64" s="93"/>
      <c r="K64" s="93"/>
      <c r="L64" s="92"/>
    </row>
    <row r="65" spans="1:24" x14ac:dyDescent="0.25">
      <c r="A65" s="150"/>
      <c r="B65" s="150" t="s">
        <v>377</v>
      </c>
      <c r="C65" s="160">
        <v>0.69501199974054617</v>
      </c>
      <c r="D65" s="160">
        <v>0.10894235133908306</v>
      </c>
      <c r="E65" s="150">
        <v>7.5</v>
      </c>
      <c r="F65" s="150">
        <v>10</v>
      </c>
      <c r="G65" s="160">
        <v>7.0706068792201</v>
      </c>
      <c r="H65" s="150">
        <v>1</v>
      </c>
      <c r="I65" s="157">
        <v>99.832181684840251</v>
      </c>
      <c r="J65" s="157">
        <v>88.064911835467967</v>
      </c>
      <c r="K65" s="157">
        <v>8.7457497001363276</v>
      </c>
      <c r="L65" s="150"/>
    </row>
    <row r="66" spans="1:24" x14ac:dyDescent="0.25">
      <c r="A66" s="159">
        <v>43852</v>
      </c>
      <c r="B66" s="150" t="s">
        <v>378</v>
      </c>
      <c r="C66" s="160">
        <v>0.70636310566258032</v>
      </c>
      <c r="D66" s="160">
        <v>0.10375462032293625</v>
      </c>
      <c r="E66" s="150">
        <v>7.5</v>
      </c>
      <c r="F66" s="150">
        <v>10</v>
      </c>
      <c r="G66" s="160">
        <v>4.969883252016329</v>
      </c>
      <c r="H66" s="150">
        <v>1</v>
      </c>
      <c r="I66" s="157">
        <v>99.926393964146129</v>
      </c>
      <c r="J66" s="157">
        <v>75.113681804443146</v>
      </c>
      <c r="K66" s="157">
        <v>7.58139096997935</v>
      </c>
      <c r="L66" s="150"/>
      <c r="O66" s="90">
        <v>5</v>
      </c>
      <c r="P66" s="102">
        <v>77.817974182116529</v>
      </c>
      <c r="Q66" s="102">
        <v>60.294023118076225</v>
      </c>
    </row>
    <row r="67" spans="1:24" x14ac:dyDescent="0.25">
      <c r="A67" s="159">
        <v>43852</v>
      </c>
      <c r="B67" s="150" t="s">
        <v>379</v>
      </c>
      <c r="C67" s="160">
        <v>0.59414931569047158</v>
      </c>
      <c r="D67" s="160">
        <v>9.7918422929771085E-2</v>
      </c>
      <c r="E67" s="150">
        <v>7.5</v>
      </c>
      <c r="F67" s="150">
        <v>10</v>
      </c>
      <c r="G67" s="160">
        <v>5.046701050928605</v>
      </c>
      <c r="H67" s="150">
        <v>1</v>
      </c>
      <c r="I67" s="157">
        <v>99.919099697169216</v>
      </c>
      <c r="J67" s="157">
        <v>81.619005799736613</v>
      </c>
      <c r="K67" s="157">
        <v>6.9292900049760133</v>
      </c>
      <c r="L67" s="150"/>
      <c r="O67" s="90">
        <v>7.5</v>
      </c>
      <c r="P67" s="102">
        <v>88.865015647085329</v>
      </c>
      <c r="Q67" s="102">
        <v>68.201071496923646</v>
      </c>
    </row>
    <row r="68" spans="1:24" x14ac:dyDescent="0.25">
      <c r="A68" s="159">
        <v>43853</v>
      </c>
      <c r="B68" s="150" t="s">
        <v>425</v>
      </c>
      <c r="C68" s="160">
        <v>0.69468768242848811</v>
      </c>
      <c r="D68" s="160">
        <v>0.10148498800337202</v>
      </c>
      <c r="E68" s="150">
        <v>7.5</v>
      </c>
      <c r="F68" s="150">
        <v>10</v>
      </c>
      <c r="G68" s="160">
        <v>5.0490748709122197</v>
      </c>
      <c r="H68" s="150">
        <v>1</v>
      </c>
      <c r="I68" s="157">
        <v>99.888090745428187</v>
      </c>
      <c r="J68" s="157">
        <v>82.171877042242897</v>
      </c>
      <c r="K68" s="157">
        <v>8.1567028707376803</v>
      </c>
      <c r="L68" s="150"/>
      <c r="O68" s="9">
        <v>10</v>
      </c>
      <c r="P68" s="93">
        <v>99.857976756216047</v>
      </c>
      <c r="Q68" s="93">
        <v>86.004183410321545</v>
      </c>
    </row>
    <row r="69" spans="1:24" x14ac:dyDescent="0.25">
      <c r="A69" s="159">
        <v>43853</v>
      </c>
      <c r="B69" s="150" t="s">
        <v>426</v>
      </c>
      <c r="C69" s="160">
        <v>0.80657715508853878</v>
      </c>
      <c r="D69" s="160">
        <v>9.9539588872316967E-2</v>
      </c>
      <c r="E69" s="150">
        <v>7.5</v>
      </c>
      <c r="F69" s="150">
        <v>10</v>
      </c>
      <c r="G69" s="160">
        <v>4.9554936271018928</v>
      </c>
      <c r="H69" s="150">
        <v>1</v>
      </c>
      <c r="I69" s="157">
        <v>99.830584010058274</v>
      </c>
      <c r="J69" s="157">
        <v>71.4044630805015</v>
      </c>
      <c r="K69" s="157">
        <v>8.229493590013524</v>
      </c>
      <c r="L69" s="150"/>
      <c r="O69" s="90">
        <v>12.5</v>
      </c>
      <c r="P69" s="102">
        <v>99.88574003157548</v>
      </c>
      <c r="Q69" s="102">
        <v>84.202409232760431</v>
      </c>
      <c r="T69" s="255" t="s">
        <v>492</v>
      </c>
      <c r="U69" s="255" t="s">
        <v>509</v>
      </c>
      <c r="V69" s="255" t="s">
        <v>516</v>
      </c>
      <c r="W69" s="255" t="s">
        <v>511</v>
      </c>
      <c r="X69" s="255" t="s">
        <v>512</v>
      </c>
    </row>
    <row r="70" spans="1:24" x14ac:dyDescent="0.25">
      <c r="A70" s="159">
        <v>43856</v>
      </c>
      <c r="B70" s="150" t="s">
        <v>461</v>
      </c>
      <c r="C70" s="160">
        <v>0.80236103003178316</v>
      </c>
      <c r="D70" s="160">
        <v>9.7269956552752723E-2</v>
      </c>
      <c r="E70" s="150">
        <v>7.5</v>
      </c>
      <c r="F70" s="150">
        <v>10</v>
      </c>
      <c r="G70" s="160">
        <v>6.9842819540084342</v>
      </c>
      <c r="H70" s="150">
        <v>1</v>
      </c>
      <c r="I70" s="157">
        <v>99.923949744105073</v>
      </c>
      <c r="J70" s="157">
        <v>77.282100688189871</v>
      </c>
      <c r="K70" s="157">
        <v>8.8603439692507973</v>
      </c>
      <c r="L70" s="150"/>
      <c r="O70" s="90">
        <v>15</v>
      </c>
      <c r="P70" s="102">
        <v>99.957536856007152</v>
      </c>
      <c r="Q70" s="102">
        <v>81.653263803608453</v>
      </c>
      <c r="T70" s="9">
        <v>1</v>
      </c>
      <c r="U70" s="9" t="s">
        <v>510</v>
      </c>
      <c r="V70" s="9" t="s">
        <v>278</v>
      </c>
      <c r="W70" s="9" t="s">
        <v>513</v>
      </c>
      <c r="X70" s="9">
        <v>38.5</v>
      </c>
    </row>
    <row r="71" spans="1:24" x14ac:dyDescent="0.25">
      <c r="A71" s="159">
        <v>43856</v>
      </c>
      <c r="B71" s="150" t="s">
        <v>462</v>
      </c>
      <c r="C71" s="160">
        <v>0.70149834598170846</v>
      </c>
      <c r="D71" s="160">
        <v>0.19875494455612475</v>
      </c>
      <c r="E71" s="150">
        <v>7.5</v>
      </c>
      <c r="F71" s="150">
        <v>10</v>
      </c>
      <c r="G71" s="160">
        <v>7.0202571729358496</v>
      </c>
      <c r="H71" s="150">
        <v>1</v>
      </c>
      <c r="I71" s="157">
        <v>99.955777346428846</v>
      </c>
      <c r="J71" s="157">
        <v>73.585729736356342</v>
      </c>
      <c r="K71" s="157">
        <v>7.3760200513545016</v>
      </c>
      <c r="L71" s="150"/>
      <c r="T71" s="9">
        <v>2</v>
      </c>
      <c r="U71" s="9" t="s">
        <v>514</v>
      </c>
      <c r="V71" s="253" t="s">
        <v>278</v>
      </c>
      <c r="W71" s="9">
        <v>56.7</v>
      </c>
      <c r="X71" s="9" t="s">
        <v>513</v>
      </c>
    </row>
    <row r="72" spans="1:24" x14ac:dyDescent="0.25">
      <c r="A72" s="159">
        <v>43856</v>
      </c>
      <c r="B72" s="150" t="s">
        <v>463</v>
      </c>
      <c r="C72" s="160">
        <v>0.79846922228708572</v>
      </c>
      <c r="D72" s="160">
        <v>0.20037611049867063</v>
      </c>
      <c r="E72" s="150">
        <v>7.5</v>
      </c>
      <c r="F72" s="150">
        <v>10</v>
      </c>
      <c r="G72" s="160">
        <v>7.0013486929032114</v>
      </c>
      <c r="H72" s="150">
        <v>1</v>
      </c>
      <c r="I72" s="157">
        <v>99.62906976741435</v>
      </c>
      <c r="J72" s="157">
        <v>80.076708401215271</v>
      </c>
      <c r="K72" s="157">
        <v>9.1362132859223717</v>
      </c>
      <c r="L72" s="150"/>
      <c r="T72" s="9">
        <v>3</v>
      </c>
      <c r="U72" s="9" t="s">
        <v>515</v>
      </c>
      <c r="V72" s="253" t="s">
        <v>278</v>
      </c>
      <c r="W72" s="9">
        <v>64.3</v>
      </c>
      <c r="X72" s="9" t="s">
        <v>513</v>
      </c>
    </row>
    <row r="73" spans="1:24" x14ac:dyDescent="0.25">
      <c r="A73" s="89">
        <v>43856</v>
      </c>
      <c r="B73" s="90" t="s">
        <v>464</v>
      </c>
      <c r="C73" s="181">
        <v>9.9954595576311867E-2</v>
      </c>
      <c r="D73" s="181">
        <v>9.9474742234615138E-2</v>
      </c>
      <c r="E73" s="90">
        <v>7.5</v>
      </c>
      <c r="F73" s="90">
        <v>5</v>
      </c>
      <c r="G73" s="181">
        <v>2.0099487502247793</v>
      </c>
      <c r="H73" s="90">
        <v>1</v>
      </c>
      <c r="I73" s="102">
        <v>88.865015647085329</v>
      </c>
      <c r="J73" s="102">
        <v>68.201071496923646</v>
      </c>
      <c r="K73" s="102">
        <v>0.97408263310936893</v>
      </c>
      <c r="T73" s="9">
        <v>4</v>
      </c>
      <c r="U73" s="9" t="s">
        <v>517</v>
      </c>
      <c r="V73" s="253" t="s">
        <v>279</v>
      </c>
      <c r="W73" s="9">
        <v>58.2</v>
      </c>
      <c r="X73" s="9" t="s">
        <v>513</v>
      </c>
    </row>
    <row r="74" spans="1:24" x14ac:dyDescent="0.25">
      <c r="A74" s="89">
        <v>43857</v>
      </c>
      <c r="B74" s="90" t="s">
        <v>465</v>
      </c>
      <c r="C74" s="181">
        <v>9.9954595576311867E-2</v>
      </c>
      <c r="D74" s="181">
        <v>9.9474742234615138E-2</v>
      </c>
      <c r="E74" s="90">
        <v>7.5</v>
      </c>
      <c r="F74" s="90">
        <v>7.5</v>
      </c>
      <c r="G74" s="181">
        <v>2.0099487502247793</v>
      </c>
      <c r="H74" s="90">
        <v>1</v>
      </c>
      <c r="I74" s="102">
        <v>84.04128593614341</v>
      </c>
      <c r="J74" s="102">
        <v>64.439575737532479</v>
      </c>
      <c r="K74" s="102">
        <v>0.92035902417893234</v>
      </c>
      <c r="T74" s="254">
        <v>5</v>
      </c>
      <c r="U74" s="254" t="s">
        <v>515</v>
      </c>
      <c r="V74" s="254" t="s">
        <v>518</v>
      </c>
      <c r="W74" s="254" t="s">
        <v>513</v>
      </c>
      <c r="X74" s="254" t="s">
        <v>519</v>
      </c>
    </row>
    <row r="75" spans="1:24" x14ac:dyDescent="0.25">
      <c r="A75" s="89">
        <v>43857</v>
      </c>
      <c r="B75" s="90" t="s">
        <v>466</v>
      </c>
      <c r="C75" s="181">
        <v>9.9954595576311867E-2</v>
      </c>
      <c r="D75" s="181">
        <v>9.9474742234615138E-2</v>
      </c>
      <c r="E75" s="90">
        <v>7.5</v>
      </c>
      <c r="F75" s="90">
        <v>12.5</v>
      </c>
      <c r="G75" s="181">
        <v>2.0099487502247793</v>
      </c>
      <c r="H75" s="90">
        <v>1</v>
      </c>
      <c r="I75" s="102">
        <v>99.88574003157548</v>
      </c>
      <c r="J75" s="102">
        <v>84.202409232760431</v>
      </c>
      <c r="K75" s="102">
        <v>1.2026219339281143</v>
      </c>
    </row>
    <row r="76" spans="1:24" x14ac:dyDescent="0.25">
      <c r="A76" s="89">
        <v>43857</v>
      </c>
      <c r="B76" s="90" t="s">
        <v>467</v>
      </c>
      <c r="C76" s="181">
        <v>9.9954595576311867E-2</v>
      </c>
      <c r="D76" s="181">
        <v>9.9474742234615138E-2</v>
      </c>
      <c r="E76" s="90">
        <v>7.5</v>
      </c>
      <c r="F76" s="90">
        <v>15</v>
      </c>
      <c r="G76" s="181">
        <v>2.0099487502247793</v>
      </c>
      <c r="H76" s="90">
        <v>1</v>
      </c>
      <c r="I76" s="102">
        <v>99.957536856007152</v>
      </c>
      <c r="J76" s="102">
        <v>81.653263803608453</v>
      </c>
      <c r="K76" s="102">
        <v>1.1662137333338016</v>
      </c>
    </row>
    <row r="77" spans="1:24" x14ac:dyDescent="0.25">
      <c r="A77" s="159">
        <v>43857</v>
      </c>
      <c r="B77" s="150" t="s">
        <v>488</v>
      </c>
      <c r="C77" s="160">
        <v>0.81144191476941041</v>
      </c>
      <c r="D77" s="160">
        <v>0.21237273847351015</v>
      </c>
      <c r="E77" s="150">
        <v>7.5</v>
      </c>
      <c r="F77" s="150">
        <v>10</v>
      </c>
      <c r="G77" s="160">
        <v>6.9376722718210981</v>
      </c>
      <c r="H77" s="150">
        <v>1</v>
      </c>
      <c r="I77" s="157">
        <v>99.968319394563991</v>
      </c>
      <c r="J77" s="157">
        <v>76.406895312576424</v>
      </c>
      <c r="K77" s="157">
        <v>8.859145339747533</v>
      </c>
      <c r="L77" s="150"/>
    </row>
    <row r="78" spans="1:24" x14ac:dyDescent="0.25">
      <c r="A78" s="159">
        <v>43858</v>
      </c>
      <c r="B78" s="150" t="s">
        <v>489</v>
      </c>
      <c r="C78" s="160">
        <v>0.81209054939352676</v>
      </c>
      <c r="D78" s="160">
        <v>0.20005187731016144</v>
      </c>
      <c r="E78" s="150">
        <v>7.5</v>
      </c>
      <c r="F78" s="150">
        <v>10</v>
      </c>
      <c r="G78" s="160">
        <v>7.8816363697601908</v>
      </c>
      <c r="H78" s="150">
        <v>1</v>
      </c>
      <c r="I78" s="157">
        <v>100</v>
      </c>
      <c r="J78" s="157">
        <v>87.43454299037613</v>
      </c>
      <c r="K78" s="157">
        <v>10.145871021316955</v>
      </c>
      <c r="L78" s="150"/>
    </row>
    <row r="79" spans="1:24" x14ac:dyDescent="0.25">
      <c r="A79" s="89">
        <v>43858</v>
      </c>
      <c r="B79" s="90" t="s">
        <v>490</v>
      </c>
      <c r="C79" s="181">
        <v>9.8333009016021294E-2</v>
      </c>
      <c r="D79" s="181">
        <v>9.9863822060826127E-2</v>
      </c>
      <c r="E79" s="90">
        <v>7.5</v>
      </c>
      <c r="F79" s="90">
        <v>7.5</v>
      </c>
      <c r="G79" s="181">
        <v>2.0308419032329845</v>
      </c>
      <c r="H79" s="90">
        <v>1</v>
      </c>
      <c r="I79" s="102">
        <v>77.817974182116529</v>
      </c>
      <c r="J79" s="102">
        <v>60.294023118076225</v>
      </c>
      <c r="K79" s="102">
        <v>0.84717948060104697</v>
      </c>
      <c r="L79" s="90" t="s">
        <v>292</v>
      </c>
    </row>
    <row r="80" spans="1:24" x14ac:dyDescent="0.25">
      <c r="A80" s="91">
        <v>43858</v>
      </c>
      <c r="B80" s="92" t="s">
        <v>491</v>
      </c>
      <c r="C80" s="180">
        <v>9.8333009016021294E-2</v>
      </c>
      <c r="D80" s="180">
        <v>9.9863822060826127E-2</v>
      </c>
      <c r="E80" s="92">
        <v>7.5</v>
      </c>
      <c r="F80" s="92">
        <v>10</v>
      </c>
      <c r="G80" s="180">
        <v>2.0308419032329845</v>
      </c>
      <c r="H80" s="92">
        <v>1</v>
      </c>
      <c r="I80" s="93">
        <v>72.208044687700109</v>
      </c>
      <c r="J80" s="93">
        <v>58.647333542854547</v>
      </c>
      <c r="K80" s="93">
        <v>0.82404216869343894</v>
      </c>
      <c r="L80" s="92" t="s">
        <v>348</v>
      </c>
    </row>
    <row r="81" spans="1:11" x14ac:dyDescent="0.25">
      <c r="A81" s="22">
        <v>43861</v>
      </c>
    </row>
    <row r="82" spans="1:11" x14ac:dyDescent="0.25">
      <c r="A82" s="22">
        <v>43862</v>
      </c>
    </row>
    <row r="83" spans="1:11" x14ac:dyDescent="0.25">
      <c r="A83" s="22">
        <v>43863</v>
      </c>
    </row>
    <row r="84" spans="1:11" x14ac:dyDescent="0.25">
      <c r="A84" s="22">
        <v>43865</v>
      </c>
      <c r="B84" s="163" t="s">
        <v>520</v>
      </c>
      <c r="C84" s="184">
        <v>0.70260102484270615</v>
      </c>
      <c r="D84" s="184">
        <v>0.10206860774268854</v>
      </c>
      <c r="E84" s="9">
        <v>7.5</v>
      </c>
      <c r="F84" s="9">
        <v>10</v>
      </c>
      <c r="G84" s="184">
        <v>6.9766582393087866</v>
      </c>
      <c r="H84" s="9">
        <v>1</v>
      </c>
      <c r="I84" s="136">
        <v>90.436739235275425</v>
      </c>
      <c r="J84" s="136">
        <v>59.9793329586713</v>
      </c>
      <c r="K84" s="136">
        <v>6.0216047657899692</v>
      </c>
    </row>
    <row r="85" spans="1:11" x14ac:dyDescent="0.25">
      <c r="A85" s="22">
        <v>43865</v>
      </c>
      <c r="B85" s="163" t="s">
        <v>521</v>
      </c>
      <c r="C85" s="184">
        <v>0.70260102484270615</v>
      </c>
      <c r="D85" s="184">
        <v>0.10206860774268854</v>
      </c>
      <c r="E85" s="9">
        <v>7.5</v>
      </c>
      <c r="F85" s="9">
        <v>10</v>
      </c>
      <c r="G85" s="184">
        <v>6.9766582393087866</v>
      </c>
      <c r="H85" s="9">
        <v>1</v>
      </c>
      <c r="I85" s="136">
        <v>89.941084835756598</v>
      </c>
      <c r="J85" s="136">
        <v>61.051586710360745</v>
      </c>
      <c r="K85" s="136">
        <v>6.1292533170961034</v>
      </c>
    </row>
    <row r="86" spans="1:11" x14ac:dyDescent="0.25">
      <c r="A86" s="22">
        <v>43865</v>
      </c>
      <c r="B86" s="163" t="s">
        <v>522</v>
      </c>
      <c r="C86" s="184">
        <v>0.7011740286696504</v>
      </c>
      <c r="D86" s="184">
        <v>9.9993515336229813E-2</v>
      </c>
      <c r="E86" s="9">
        <v>7.5</v>
      </c>
      <c r="F86" s="9">
        <v>10</v>
      </c>
      <c r="G86" s="184">
        <v>6.9869906545701772</v>
      </c>
      <c r="H86" s="9">
        <v>1</v>
      </c>
      <c r="I86" s="136">
        <v>77.078319070860388</v>
      </c>
      <c r="J86" s="136">
        <v>48.840456580433901</v>
      </c>
      <c r="K86" s="136">
        <v>4.8933623148999379</v>
      </c>
    </row>
    <row r="87" spans="1:11" x14ac:dyDescent="0.25">
      <c r="A87" s="22">
        <v>43865</v>
      </c>
      <c r="B87" s="163" t="s">
        <v>525</v>
      </c>
      <c r="C87" s="184">
        <v>0.60128429655575022</v>
      </c>
      <c r="D87" s="184">
        <v>0.10933143116529408</v>
      </c>
      <c r="E87" s="9">
        <v>7.5</v>
      </c>
      <c r="F87" s="9">
        <v>10</v>
      </c>
      <c r="G87" s="184">
        <v>6.9935644519826869</v>
      </c>
      <c r="H87" s="9">
        <v>1</v>
      </c>
      <c r="I87" s="136">
        <v>71.216760862917681</v>
      </c>
      <c r="J87" s="136">
        <v>46.333346492908163</v>
      </c>
      <c r="K87" s="136">
        <v>3.9808459058860461</v>
      </c>
    </row>
    <row r="88" spans="1:11" x14ac:dyDescent="0.25">
      <c r="B88" s="163" t="s">
        <v>527</v>
      </c>
      <c r="C88" s="184">
        <v>0.61036518129337747</v>
      </c>
      <c r="D88" s="184">
        <v>9.9539588872316967E-2</v>
      </c>
      <c r="E88" s="9">
        <v>7.5</v>
      </c>
      <c r="F88" s="9">
        <v>10</v>
      </c>
      <c r="G88" s="184">
        <v>6.8643480404081787</v>
      </c>
      <c r="H88" s="9">
        <v>1</v>
      </c>
      <c r="I88" s="136">
        <v>99.274477980804122</v>
      </c>
      <c r="J88" s="136">
        <v>77.964184351156788</v>
      </c>
      <c r="K88" s="136">
        <v>6.7996526341846799</v>
      </c>
    </row>
    <row r="89" spans="1:11" x14ac:dyDescent="0.25">
      <c r="B89" s="163" t="s">
        <v>528</v>
      </c>
      <c r="C89" s="184">
        <v>0.60582473892456379</v>
      </c>
      <c r="D89" s="184">
        <v>0.10375462032293625</v>
      </c>
      <c r="E89" s="9">
        <v>7.5</v>
      </c>
      <c r="F89" s="9">
        <v>10</v>
      </c>
      <c r="G89" s="184">
        <v>6.9257375325713992</v>
      </c>
      <c r="H89" s="9">
        <v>1</v>
      </c>
      <c r="I89" s="136">
        <v>98.200776346247096</v>
      </c>
      <c r="J89" s="136">
        <v>79.932653662237229</v>
      </c>
      <c r="K89" s="136">
        <v>6.9194738325215477</v>
      </c>
    </row>
  </sheetData>
  <mergeCells count="25">
    <mergeCell ref="U45:U46"/>
    <mergeCell ref="U6:U7"/>
    <mergeCell ref="U8:U9"/>
    <mergeCell ref="U10:U11"/>
    <mergeCell ref="U12:U13"/>
    <mergeCell ref="G1:G2"/>
    <mergeCell ref="A1:A2"/>
    <mergeCell ref="B1:B2"/>
    <mergeCell ref="C1:C2"/>
    <mergeCell ref="D1:D2"/>
    <mergeCell ref="E1:E2"/>
    <mergeCell ref="F1:F2"/>
    <mergeCell ref="K1:K2"/>
    <mergeCell ref="L1:L2"/>
    <mergeCell ref="M1:M2"/>
    <mergeCell ref="N1:N2"/>
    <mergeCell ref="H1:H2"/>
    <mergeCell ref="I1:I2"/>
    <mergeCell ref="J1:J2"/>
    <mergeCell ref="O45:O46"/>
    <mergeCell ref="R45:R46"/>
    <mergeCell ref="S45:S46"/>
    <mergeCell ref="T45:T46"/>
    <mergeCell ref="P45:P46"/>
    <mergeCell ref="Q45:Q46"/>
  </mergeCells>
  <phoneticPr fontId="6" type="noConversion"/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E7:L16"/>
  <sheetViews>
    <sheetView workbookViewId="0">
      <selection activeCell="O21" sqref="O21"/>
    </sheetView>
  </sheetViews>
  <sheetFormatPr defaultColWidth="11.42578125" defaultRowHeight="15" x14ac:dyDescent="0.25"/>
  <sheetData>
    <row r="7" spans="5:12" x14ac:dyDescent="0.25">
      <c r="E7">
        <v>5</v>
      </c>
      <c r="F7">
        <v>60.294020000000003</v>
      </c>
      <c r="G7">
        <v>2.0469300000000001</v>
      </c>
      <c r="H7">
        <v>1.4656800000000001</v>
      </c>
      <c r="L7">
        <v>1.19909</v>
      </c>
    </row>
    <row r="8" spans="5:12" x14ac:dyDescent="0.25">
      <c r="E8">
        <v>7.5</v>
      </c>
      <c r="F8">
        <v>68.201070000000001</v>
      </c>
      <c r="G8">
        <v>-1.65469</v>
      </c>
      <c r="H8">
        <v>1.19123</v>
      </c>
      <c r="L8">
        <v>1.2307300000000001</v>
      </c>
    </row>
    <row r="9" spans="5:12" x14ac:dyDescent="0.25">
      <c r="E9">
        <v>10</v>
      </c>
      <c r="F9">
        <v>86.004180000000005</v>
      </c>
      <c r="G9">
        <v>-1.13476</v>
      </c>
      <c r="H9">
        <v>1.2111099999999999</v>
      </c>
      <c r="L9">
        <v>1.2102599999999999</v>
      </c>
    </row>
    <row r="10" spans="5:12" x14ac:dyDescent="0.25">
      <c r="E10">
        <v>12.5</v>
      </c>
      <c r="F10">
        <v>84.20241</v>
      </c>
      <c r="G10">
        <v>-1.2192099999999999</v>
      </c>
      <c r="H10">
        <v>0.62156</v>
      </c>
      <c r="L10">
        <v>1.15577</v>
      </c>
    </row>
    <row r="11" spans="5:12" x14ac:dyDescent="0.25">
      <c r="E11">
        <v>15</v>
      </c>
      <c r="F11">
        <v>81.653260000000003</v>
      </c>
      <c r="G11">
        <v>-0.43879000000000001</v>
      </c>
      <c r="H11">
        <v>0.36482999999999999</v>
      </c>
      <c r="L11">
        <v>1.1336599999999999</v>
      </c>
    </row>
    <row r="12" spans="5:12" x14ac:dyDescent="0.25">
      <c r="E12">
        <v>5</v>
      </c>
      <c r="I12">
        <v>77.817970000000003</v>
      </c>
      <c r="J12">
        <v>0.31067</v>
      </c>
      <c r="K12">
        <v>0.31729000000000002</v>
      </c>
    </row>
    <row r="13" spans="5:12" x14ac:dyDescent="0.25">
      <c r="E13">
        <v>7.5</v>
      </c>
      <c r="I13">
        <v>88.865020000000001</v>
      </c>
      <c r="J13">
        <v>-0.92627999999999999</v>
      </c>
      <c r="K13">
        <v>1.07552</v>
      </c>
    </row>
    <row r="14" spans="5:12" x14ac:dyDescent="0.25">
      <c r="E14">
        <v>10</v>
      </c>
      <c r="I14">
        <v>99.857979999999998</v>
      </c>
      <c r="J14">
        <v>-1.985E-2</v>
      </c>
      <c r="K14">
        <v>3.7629999999999997E-2</v>
      </c>
    </row>
    <row r="15" spans="5:12" x14ac:dyDescent="0.25">
      <c r="E15">
        <v>12.5</v>
      </c>
      <c r="I15">
        <v>99.885739999999998</v>
      </c>
      <c r="J15">
        <v>-4.9099999999999998E-2</v>
      </c>
      <c r="K15">
        <v>0.11107</v>
      </c>
    </row>
    <row r="16" spans="5:12" x14ac:dyDescent="0.25">
      <c r="E16">
        <v>15</v>
      </c>
      <c r="I16">
        <v>99.957539999999995</v>
      </c>
      <c r="J16">
        <v>-7.7299999999999999E-3</v>
      </c>
      <c r="K16">
        <v>1.223E-2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Calibration Curve</vt:lpstr>
      <vt:lpstr>Raw results</vt:lpstr>
      <vt:lpstr>Results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2020-07-10T12:37:58Z</dcterms:modified>
</cp:coreProperties>
</file>