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/>
  <xr:revisionPtr revIDLastSave="14" documentId="13_ncr:1_{FF01C4D4-64F3-462C-891C-6962645D3154}" xr6:coauthVersionLast="47" xr6:coauthVersionMax="47" xr10:uidLastSave="{057A19D7-2E1F-4C30-9A57-876C2C1ACC2D}"/>
  <bookViews>
    <workbookView xWindow="-38510" yWindow="-110" windowWidth="38620" windowHeight="212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60" i="1" l="1"/>
  <c r="AR60" i="1"/>
  <c r="AS59" i="1"/>
  <c r="AR59" i="1"/>
  <c r="AS58" i="1"/>
  <c r="AR58" i="1"/>
  <c r="AS57" i="1"/>
  <c r="AR57" i="1"/>
  <c r="AS56" i="1"/>
  <c r="AR56" i="1"/>
  <c r="AS55" i="1"/>
  <c r="AR55" i="1"/>
  <c r="AS54" i="1"/>
  <c r="AR54" i="1"/>
  <c r="AS53" i="1"/>
  <c r="AR53" i="1"/>
  <c r="AS52" i="1"/>
  <c r="AR52" i="1"/>
  <c r="AS51" i="1"/>
  <c r="AR51" i="1"/>
  <c r="AS50" i="1"/>
  <c r="AR50" i="1"/>
  <c r="AS49" i="1"/>
  <c r="AR49" i="1"/>
  <c r="AS48" i="1"/>
  <c r="AR48" i="1"/>
  <c r="AS47" i="1"/>
  <c r="AR47" i="1"/>
  <c r="AS46" i="1"/>
  <c r="AR46" i="1"/>
  <c r="AS45" i="1"/>
  <c r="AR45" i="1"/>
  <c r="AS44" i="1"/>
  <c r="AR44" i="1"/>
  <c r="AS43" i="1"/>
  <c r="AR43" i="1"/>
  <c r="AS42" i="1"/>
  <c r="AR42" i="1"/>
  <c r="AS41" i="1"/>
  <c r="AR41" i="1"/>
  <c r="AS40" i="1"/>
  <c r="AR40" i="1"/>
  <c r="AS39" i="1"/>
  <c r="AR39" i="1"/>
  <c r="AS38" i="1"/>
  <c r="AR38" i="1"/>
  <c r="AS37" i="1"/>
  <c r="AR37" i="1"/>
  <c r="AS36" i="1"/>
  <c r="AR36" i="1"/>
  <c r="AS35" i="1"/>
  <c r="AR35" i="1"/>
  <c r="AS34" i="1"/>
  <c r="AR34" i="1"/>
  <c r="AS33" i="1"/>
  <c r="AR33" i="1"/>
  <c r="AS32" i="1"/>
  <c r="AR32" i="1"/>
  <c r="BG50" i="1"/>
  <c r="AS16" i="1"/>
  <c r="AR16" i="1"/>
  <c r="AS15" i="1"/>
  <c r="AR15" i="1"/>
  <c r="AS14" i="1"/>
  <c r="AR14" i="1"/>
  <c r="AS13" i="1"/>
  <c r="AR13" i="1"/>
  <c r="AS12" i="1"/>
  <c r="AR12" i="1"/>
  <c r="AS11" i="1"/>
  <c r="AR11" i="1"/>
  <c r="AS10" i="1"/>
  <c r="AR10" i="1"/>
  <c r="AS9" i="1"/>
  <c r="AR9" i="1"/>
  <c r="AS8" i="1"/>
  <c r="AR8" i="1"/>
  <c r="AS7" i="1"/>
  <c r="AR7" i="1"/>
  <c r="AS6" i="1"/>
  <c r="AR6" i="1"/>
  <c r="AS5" i="1"/>
  <c r="AR5" i="1"/>
  <c r="AS4" i="1"/>
  <c r="AR4" i="1"/>
  <c r="AS3" i="1"/>
  <c r="AR3" i="1"/>
  <c r="AS2" i="1"/>
  <c r="AR2" i="1"/>
  <c r="BE12" i="1"/>
  <c r="AQ31" i="1" l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L65" i="1"/>
  <c r="Z31" i="1"/>
  <c r="Y31" i="1"/>
  <c r="X31" i="1"/>
  <c r="V31" i="1"/>
  <c r="U31" i="1"/>
  <c r="T31" i="1"/>
  <c r="R31" i="1"/>
  <c r="Q31" i="1"/>
  <c r="P31" i="1"/>
  <c r="N31" i="1"/>
  <c r="M31" i="1"/>
  <c r="L31" i="1"/>
  <c r="Z30" i="1"/>
  <c r="Y30" i="1"/>
  <c r="X30" i="1"/>
  <c r="V30" i="1"/>
  <c r="U30" i="1"/>
  <c r="T30" i="1"/>
  <c r="R30" i="1"/>
  <c r="Q30" i="1"/>
  <c r="P30" i="1"/>
  <c r="N30" i="1"/>
  <c r="M30" i="1"/>
  <c r="L30" i="1"/>
  <c r="Z29" i="1"/>
  <c r="Y29" i="1"/>
  <c r="X29" i="1"/>
  <c r="V29" i="1"/>
  <c r="U29" i="1"/>
  <c r="T29" i="1"/>
  <c r="R29" i="1"/>
  <c r="Q29" i="1"/>
  <c r="P29" i="1"/>
  <c r="N29" i="1"/>
  <c r="M29" i="1"/>
  <c r="L29" i="1"/>
  <c r="Z28" i="1"/>
  <c r="Y28" i="1"/>
  <c r="X28" i="1"/>
  <c r="V28" i="1"/>
  <c r="U28" i="1"/>
  <c r="T28" i="1"/>
  <c r="R28" i="1"/>
  <c r="Q28" i="1"/>
  <c r="P28" i="1"/>
  <c r="N28" i="1"/>
  <c r="M28" i="1"/>
  <c r="L28" i="1"/>
  <c r="Z27" i="1"/>
  <c r="Y27" i="1"/>
  <c r="X27" i="1"/>
  <c r="V27" i="1"/>
  <c r="U27" i="1"/>
  <c r="T27" i="1"/>
  <c r="R27" i="1"/>
  <c r="Q27" i="1"/>
  <c r="P27" i="1"/>
  <c r="N27" i="1"/>
  <c r="M27" i="1"/>
  <c r="L27" i="1"/>
  <c r="Z26" i="1"/>
  <c r="Y26" i="1"/>
  <c r="X26" i="1"/>
  <c r="V26" i="1"/>
  <c r="U26" i="1"/>
  <c r="T26" i="1"/>
  <c r="R26" i="1"/>
  <c r="Q26" i="1"/>
  <c r="P26" i="1"/>
  <c r="N26" i="1"/>
  <c r="M26" i="1"/>
  <c r="L26" i="1"/>
  <c r="Z25" i="1"/>
  <c r="Y25" i="1"/>
  <c r="X25" i="1"/>
  <c r="V25" i="1"/>
  <c r="U25" i="1"/>
  <c r="T25" i="1"/>
  <c r="R25" i="1"/>
  <c r="Q25" i="1"/>
  <c r="P25" i="1"/>
  <c r="N25" i="1"/>
  <c r="M25" i="1"/>
  <c r="L25" i="1"/>
  <c r="Z24" i="1"/>
  <c r="Y24" i="1"/>
  <c r="X24" i="1"/>
  <c r="V24" i="1"/>
  <c r="U24" i="1"/>
  <c r="T24" i="1"/>
  <c r="R24" i="1"/>
  <c r="Q24" i="1"/>
  <c r="P24" i="1"/>
  <c r="N24" i="1"/>
  <c r="M24" i="1"/>
  <c r="L24" i="1"/>
  <c r="Z23" i="1"/>
  <c r="Y23" i="1"/>
  <c r="X23" i="1"/>
  <c r="AA23" i="1" s="1"/>
  <c r="V23" i="1"/>
  <c r="U23" i="1"/>
  <c r="T23" i="1"/>
  <c r="R23" i="1"/>
  <c r="Q23" i="1"/>
  <c r="P23" i="1"/>
  <c r="N23" i="1"/>
  <c r="M23" i="1"/>
  <c r="L23" i="1"/>
  <c r="Z22" i="1"/>
  <c r="Y22" i="1"/>
  <c r="X22" i="1"/>
  <c r="AA22" i="1" s="1"/>
  <c r="V22" i="1"/>
  <c r="U22" i="1"/>
  <c r="T22" i="1"/>
  <c r="R22" i="1"/>
  <c r="Q22" i="1"/>
  <c r="P22" i="1"/>
  <c r="N22" i="1"/>
  <c r="M22" i="1"/>
  <c r="L22" i="1"/>
  <c r="Z21" i="1"/>
  <c r="Y21" i="1"/>
  <c r="X21" i="1"/>
  <c r="AA21" i="1" s="1"/>
  <c r="V21" i="1"/>
  <c r="U21" i="1"/>
  <c r="T21" i="1"/>
  <c r="R21" i="1"/>
  <c r="Q21" i="1"/>
  <c r="P21" i="1"/>
  <c r="N21" i="1"/>
  <c r="M21" i="1"/>
  <c r="L21" i="1"/>
  <c r="Z20" i="1"/>
  <c r="Y20" i="1"/>
  <c r="X20" i="1"/>
  <c r="AA20" i="1" s="1"/>
  <c r="V20" i="1"/>
  <c r="U20" i="1"/>
  <c r="T20" i="1"/>
  <c r="R20" i="1"/>
  <c r="Q20" i="1"/>
  <c r="P20" i="1"/>
  <c r="N20" i="1"/>
  <c r="M20" i="1"/>
  <c r="L20" i="1"/>
  <c r="Z19" i="1"/>
  <c r="Y19" i="1"/>
  <c r="X19" i="1"/>
  <c r="AA19" i="1" s="1"/>
  <c r="V19" i="1"/>
  <c r="U19" i="1"/>
  <c r="T19" i="1"/>
  <c r="R19" i="1"/>
  <c r="Q19" i="1"/>
  <c r="P19" i="1"/>
  <c r="N19" i="1"/>
  <c r="M19" i="1"/>
  <c r="L19" i="1"/>
  <c r="Z18" i="1"/>
  <c r="Y18" i="1"/>
  <c r="X18" i="1"/>
  <c r="AA18" i="1" s="1"/>
  <c r="V18" i="1"/>
  <c r="U18" i="1"/>
  <c r="T18" i="1"/>
  <c r="R18" i="1"/>
  <c r="Q18" i="1"/>
  <c r="P18" i="1"/>
  <c r="N18" i="1"/>
  <c r="M18" i="1"/>
  <c r="L18" i="1"/>
  <c r="Z17" i="1"/>
  <c r="Y17" i="1"/>
  <c r="X17" i="1"/>
  <c r="AA17" i="1" s="1"/>
  <c r="V17" i="1"/>
  <c r="U17" i="1"/>
  <c r="T17" i="1"/>
  <c r="R17" i="1"/>
  <c r="Q17" i="1"/>
  <c r="P17" i="1"/>
  <c r="N17" i="1"/>
  <c r="M17" i="1"/>
  <c r="L17" i="1"/>
  <c r="W17" i="1" l="1"/>
  <c r="W18" i="1"/>
  <c r="W19" i="1"/>
  <c r="W20" i="1"/>
  <c r="W21" i="1"/>
  <c r="W31" i="1"/>
  <c r="AA25" i="1"/>
  <c r="AA27" i="1"/>
  <c r="AA29" i="1"/>
  <c r="AA31" i="1"/>
  <c r="AA24" i="1"/>
  <c r="AA26" i="1"/>
  <c r="AA28" i="1"/>
  <c r="AA30" i="1"/>
  <c r="O30" i="1"/>
  <c r="O31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O28" i="1"/>
  <c r="W22" i="1"/>
  <c r="W27" i="1"/>
  <c r="W28" i="1"/>
  <c r="O29" i="1"/>
  <c r="O17" i="1"/>
  <c r="O18" i="1"/>
  <c r="O19" i="1"/>
  <c r="O20" i="1"/>
  <c r="O21" i="1"/>
  <c r="O22" i="1"/>
  <c r="O23" i="1"/>
  <c r="O24" i="1"/>
  <c r="O25" i="1"/>
  <c r="O26" i="1"/>
  <c r="O27" i="1"/>
  <c r="S31" i="1"/>
  <c r="W23" i="1"/>
  <c r="W24" i="1"/>
  <c r="W25" i="1"/>
  <c r="W26" i="1"/>
  <c r="W29" i="1"/>
  <c r="W30" i="1"/>
  <c r="CO60" i="1"/>
  <c r="CN60" i="1"/>
  <c r="CM60" i="1"/>
  <c r="CL60" i="1"/>
  <c r="CK60" i="1"/>
  <c r="CJ60" i="1"/>
  <c r="CI60" i="1"/>
  <c r="CH60" i="1"/>
  <c r="CP60" i="1" s="1"/>
  <c r="CG60" i="1"/>
  <c r="CS60" i="1" s="1"/>
  <c r="CF60" i="1"/>
  <c r="CO59" i="1"/>
  <c r="CN59" i="1"/>
  <c r="CM59" i="1"/>
  <c r="CL59" i="1"/>
  <c r="CK59" i="1"/>
  <c r="CJ59" i="1"/>
  <c r="CI59" i="1"/>
  <c r="CU59" i="1" s="1"/>
  <c r="CH59" i="1"/>
  <c r="CT59" i="1" s="1"/>
  <c r="CG59" i="1"/>
  <c r="CW59" i="1" s="1"/>
  <c r="CF59" i="1"/>
  <c r="CV59" i="1" s="1"/>
  <c r="CO58" i="1"/>
  <c r="CN58" i="1"/>
  <c r="CM58" i="1"/>
  <c r="CL58" i="1"/>
  <c r="CK58" i="1"/>
  <c r="CJ58" i="1"/>
  <c r="CI58" i="1"/>
  <c r="CS58" i="1" s="1"/>
  <c r="CH58" i="1"/>
  <c r="CR58" i="1" s="1"/>
  <c r="CG58" i="1"/>
  <c r="CQ58" i="1" s="1"/>
  <c r="CF58" i="1"/>
  <c r="CP58" i="1" s="1"/>
  <c r="CO57" i="1"/>
  <c r="CN57" i="1"/>
  <c r="CM57" i="1"/>
  <c r="CL57" i="1"/>
  <c r="CK57" i="1"/>
  <c r="CU57" i="1" s="1"/>
  <c r="CJ57" i="1"/>
  <c r="CI57" i="1"/>
  <c r="CH57" i="1"/>
  <c r="CP57" i="1" s="1"/>
  <c r="CG57" i="1"/>
  <c r="CS57" i="1" s="1"/>
  <c r="CF57" i="1"/>
  <c r="CR57" i="1" s="1"/>
  <c r="CO56" i="1"/>
  <c r="CN56" i="1"/>
  <c r="CM56" i="1"/>
  <c r="CL56" i="1"/>
  <c r="CK56" i="1"/>
  <c r="CJ56" i="1"/>
  <c r="CI56" i="1"/>
  <c r="CQ56" i="1" s="1"/>
  <c r="CH56" i="1"/>
  <c r="CR56" i="1" s="1"/>
  <c r="CG56" i="1"/>
  <c r="CF56" i="1"/>
  <c r="CO55" i="1"/>
  <c r="CN55" i="1"/>
  <c r="CM55" i="1"/>
  <c r="CL55" i="1"/>
  <c r="CK55" i="1"/>
  <c r="CJ55" i="1"/>
  <c r="CV55" i="1" s="1"/>
  <c r="CI55" i="1"/>
  <c r="CQ55" i="1" s="1"/>
  <c r="CH55" i="1"/>
  <c r="CG55" i="1"/>
  <c r="CW55" i="1" s="1"/>
  <c r="CF55" i="1"/>
  <c r="CP55" i="1" s="1"/>
  <c r="CO54" i="1"/>
  <c r="CN54" i="1"/>
  <c r="CM54" i="1"/>
  <c r="CL54" i="1"/>
  <c r="CK54" i="1"/>
  <c r="CJ54" i="1"/>
  <c r="CI54" i="1"/>
  <c r="CH54" i="1"/>
  <c r="CG54" i="1"/>
  <c r="CQ54" i="1" s="1"/>
  <c r="CF54" i="1"/>
  <c r="CP54" i="1" s="1"/>
  <c r="CO53" i="1"/>
  <c r="CN53" i="1"/>
  <c r="CM53" i="1"/>
  <c r="CL53" i="1"/>
  <c r="CK53" i="1"/>
  <c r="CS53" i="1" s="1"/>
  <c r="CJ53" i="1"/>
  <c r="CR53" i="1" s="1"/>
  <c r="CI53" i="1"/>
  <c r="CQ53" i="1" s="1"/>
  <c r="CH53" i="1"/>
  <c r="CP53" i="1" s="1"/>
  <c r="CF53" i="1"/>
  <c r="CV53" i="1" s="1"/>
  <c r="CO52" i="1"/>
  <c r="CN52" i="1"/>
  <c r="CM52" i="1"/>
  <c r="CL52" i="1"/>
  <c r="CK52" i="1"/>
  <c r="CJ52" i="1"/>
  <c r="CI52" i="1"/>
  <c r="CH52" i="1"/>
  <c r="CP52" i="1" s="1"/>
  <c r="CG52" i="1"/>
  <c r="CS52" i="1" s="1"/>
  <c r="CF52" i="1"/>
  <c r="CR52" i="1" s="1"/>
  <c r="CO51" i="1"/>
  <c r="CN51" i="1"/>
  <c r="CM51" i="1"/>
  <c r="CL51" i="1"/>
  <c r="CK51" i="1"/>
  <c r="CJ51" i="1"/>
  <c r="CI51" i="1"/>
  <c r="CW51" i="1" s="1"/>
  <c r="CH51" i="1"/>
  <c r="CG51" i="1"/>
  <c r="CF51" i="1"/>
  <c r="CR51" i="1" s="1"/>
  <c r="CO50" i="1"/>
  <c r="CN50" i="1"/>
  <c r="CM50" i="1"/>
  <c r="CL50" i="1"/>
  <c r="CK50" i="1"/>
  <c r="CJ50" i="1"/>
  <c r="CI50" i="1"/>
  <c r="CS50" i="1" s="1"/>
  <c r="CH50" i="1"/>
  <c r="CP50" i="1" s="1"/>
  <c r="CG50" i="1"/>
  <c r="CW50" i="1" s="1"/>
  <c r="CF50" i="1"/>
  <c r="CV50" i="1" s="1"/>
  <c r="CO49" i="1"/>
  <c r="CN49" i="1"/>
  <c r="CM49" i="1"/>
  <c r="CL49" i="1"/>
  <c r="CK49" i="1"/>
  <c r="CJ49" i="1"/>
  <c r="CI49" i="1"/>
  <c r="CQ49" i="1" s="1"/>
  <c r="CH49" i="1"/>
  <c r="CP49" i="1" s="1"/>
  <c r="CG49" i="1"/>
  <c r="CW49" i="1" s="1"/>
  <c r="CF49" i="1"/>
  <c r="CV49" i="1" s="1"/>
  <c r="CO48" i="1"/>
  <c r="CN48" i="1"/>
  <c r="CM48" i="1"/>
  <c r="CL48" i="1"/>
  <c r="CK48" i="1"/>
  <c r="CJ48" i="1"/>
  <c r="CI48" i="1"/>
  <c r="CW48" i="1" s="1"/>
  <c r="CH48" i="1"/>
  <c r="CR48" i="1" s="1"/>
  <c r="CG48" i="1"/>
  <c r="CS48" i="1" s="1"/>
  <c r="CF48" i="1"/>
  <c r="CV48" i="1" s="1"/>
  <c r="CO47" i="1"/>
  <c r="CN47" i="1"/>
  <c r="CM47" i="1"/>
  <c r="CL47" i="1"/>
  <c r="CK47" i="1"/>
  <c r="CQ47" i="1" s="1"/>
  <c r="CJ47" i="1"/>
  <c r="CI47" i="1"/>
  <c r="CW47" i="1" s="1"/>
  <c r="CH47" i="1"/>
  <c r="CR47" i="1" s="1"/>
  <c r="CG47" i="1"/>
  <c r="CS47" i="1" s="1"/>
  <c r="CF47" i="1"/>
  <c r="CV47" i="1" s="1"/>
  <c r="CO46" i="1"/>
  <c r="CN46" i="1"/>
  <c r="CM46" i="1"/>
  <c r="CL46" i="1"/>
  <c r="CK46" i="1"/>
  <c r="CU46" i="1" s="1"/>
  <c r="CJ46" i="1"/>
  <c r="CI46" i="1"/>
  <c r="CH46" i="1"/>
  <c r="CV46" i="1" s="1"/>
  <c r="CG46" i="1"/>
  <c r="CW46" i="1" s="1"/>
  <c r="CF46" i="1"/>
  <c r="CP46" i="1" s="1"/>
  <c r="CO45" i="1"/>
  <c r="CN45" i="1"/>
  <c r="CM45" i="1"/>
  <c r="CL45" i="1"/>
  <c r="CK45" i="1"/>
  <c r="CW45" i="1" s="1"/>
  <c r="CJ45" i="1"/>
  <c r="CV45" i="1" s="1"/>
  <c r="CI45" i="1"/>
  <c r="CQ45" i="1" s="1"/>
  <c r="CH45" i="1"/>
  <c r="CP45" i="1" s="1"/>
  <c r="CG45" i="1"/>
  <c r="CS45" i="1" s="1"/>
  <c r="CF45" i="1"/>
  <c r="CO44" i="1"/>
  <c r="CN44" i="1"/>
  <c r="CM44" i="1"/>
  <c r="CL44" i="1"/>
  <c r="CR44" i="1" s="1"/>
  <c r="CK44" i="1"/>
  <c r="CJ44" i="1"/>
  <c r="CI44" i="1"/>
  <c r="CQ44" i="1" s="1"/>
  <c r="CH44" i="1"/>
  <c r="CV44" i="1" s="1"/>
  <c r="CG44" i="1"/>
  <c r="CW44" i="1" s="1"/>
  <c r="CF44" i="1"/>
  <c r="CO43" i="1"/>
  <c r="CN43" i="1"/>
  <c r="CM43" i="1"/>
  <c r="CL43" i="1"/>
  <c r="CP43" i="1" s="1"/>
  <c r="CK43" i="1"/>
  <c r="CQ43" i="1" s="1"/>
  <c r="CJ43" i="1"/>
  <c r="CI43" i="1"/>
  <c r="CW43" i="1" s="1"/>
  <c r="CH43" i="1"/>
  <c r="CV43" i="1" s="1"/>
  <c r="CG43" i="1"/>
  <c r="CS43" i="1" s="1"/>
  <c r="CF43" i="1"/>
  <c r="CR43" i="1" s="1"/>
  <c r="CO42" i="1"/>
  <c r="CN42" i="1"/>
  <c r="CM42" i="1"/>
  <c r="CL42" i="1"/>
  <c r="CK42" i="1"/>
  <c r="CJ42" i="1"/>
  <c r="CI42" i="1"/>
  <c r="CU42" i="1" s="1"/>
  <c r="CH42" i="1"/>
  <c r="CT42" i="1" s="1"/>
  <c r="CG42" i="1"/>
  <c r="CS42" i="1" s="1"/>
  <c r="CF42" i="1"/>
  <c r="CR42" i="1" s="1"/>
  <c r="CO41" i="1"/>
  <c r="CN41" i="1"/>
  <c r="CM41" i="1"/>
  <c r="CU41" i="1" s="1"/>
  <c r="CL41" i="1"/>
  <c r="CK41" i="1"/>
  <c r="CW41" i="1" s="1"/>
  <c r="CJ41" i="1"/>
  <c r="CI41" i="1"/>
  <c r="CS41" i="1" s="1"/>
  <c r="CH41" i="1"/>
  <c r="CR41" i="1" s="1"/>
  <c r="CG41" i="1"/>
  <c r="CQ41" i="1" s="1"/>
  <c r="CF41" i="1"/>
  <c r="CP41" i="1" s="1"/>
  <c r="CO40" i="1"/>
  <c r="CN40" i="1"/>
  <c r="CM40" i="1"/>
  <c r="CL40" i="1"/>
  <c r="CK40" i="1"/>
  <c r="CU40" i="1" s="1"/>
  <c r="CJ40" i="1"/>
  <c r="CT40" i="1" s="1"/>
  <c r="CI40" i="1"/>
  <c r="CW40" i="1" s="1"/>
  <c r="CH40" i="1"/>
  <c r="CV40" i="1" s="1"/>
  <c r="CG40" i="1"/>
  <c r="CQ40" i="1" s="1"/>
  <c r="CF40" i="1"/>
  <c r="CP40" i="1" s="1"/>
  <c r="CO39" i="1"/>
  <c r="CN39" i="1"/>
  <c r="CM39" i="1"/>
  <c r="CW39" i="1" s="1"/>
  <c r="CL39" i="1"/>
  <c r="CT39" i="1" s="1"/>
  <c r="CK39" i="1"/>
  <c r="CQ39" i="1" s="1"/>
  <c r="CJ39" i="1"/>
  <c r="CV39" i="1" s="1"/>
  <c r="CI39" i="1"/>
  <c r="CU39" i="1" s="1"/>
  <c r="CH39" i="1"/>
  <c r="CG39" i="1"/>
  <c r="CS39" i="1" s="1"/>
  <c r="CF39" i="1"/>
  <c r="CO38" i="1"/>
  <c r="CN38" i="1"/>
  <c r="CM38" i="1"/>
  <c r="CL38" i="1"/>
  <c r="CK38" i="1"/>
  <c r="CW38" i="1" s="1"/>
  <c r="CJ38" i="1"/>
  <c r="CR38" i="1" s="1"/>
  <c r="CI38" i="1"/>
  <c r="CS38" i="1" s="1"/>
  <c r="CH38" i="1"/>
  <c r="CG38" i="1"/>
  <c r="CQ38" i="1" s="1"/>
  <c r="CF38" i="1"/>
  <c r="CV38" i="1" s="1"/>
  <c r="CO37" i="1"/>
  <c r="CN37" i="1"/>
  <c r="CM37" i="1"/>
  <c r="CL37" i="1"/>
  <c r="CK37" i="1"/>
  <c r="CJ37" i="1"/>
  <c r="CI37" i="1"/>
  <c r="CH37" i="1"/>
  <c r="CP37" i="1" s="1"/>
  <c r="CG37" i="1"/>
  <c r="CQ37" i="1" s="1"/>
  <c r="CF37" i="1"/>
  <c r="CV37" i="1" s="1"/>
  <c r="CO36" i="1"/>
  <c r="CN36" i="1"/>
  <c r="CM36" i="1"/>
  <c r="CL36" i="1"/>
  <c r="CK36" i="1"/>
  <c r="CW36" i="1" s="1"/>
  <c r="CJ36" i="1"/>
  <c r="CV36" i="1" s="1"/>
  <c r="CI36" i="1"/>
  <c r="CS36" i="1" s="1"/>
  <c r="CH36" i="1"/>
  <c r="CR36" i="1" s="1"/>
  <c r="CG36" i="1"/>
  <c r="CU36" i="1" s="1"/>
  <c r="CF36" i="1"/>
  <c r="CP36" i="1" s="1"/>
  <c r="CO35" i="1"/>
  <c r="CN35" i="1"/>
  <c r="CM35" i="1"/>
  <c r="CL35" i="1"/>
  <c r="CK35" i="1"/>
  <c r="CJ35" i="1"/>
  <c r="CI35" i="1"/>
  <c r="CU35" i="1" s="1"/>
  <c r="CH35" i="1"/>
  <c r="CG35" i="1"/>
  <c r="CS35" i="1" s="1"/>
  <c r="CF35" i="1"/>
  <c r="CR35" i="1" s="1"/>
  <c r="CO34" i="1"/>
  <c r="CN34" i="1"/>
  <c r="CM34" i="1"/>
  <c r="CU34" i="1" s="1"/>
  <c r="CL34" i="1"/>
  <c r="CT34" i="1" s="1"/>
  <c r="CK34" i="1"/>
  <c r="CW34" i="1" s="1"/>
  <c r="CJ34" i="1"/>
  <c r="CV34" i="1" s="1"/>
  <c r="CI34" i="1"/>
  <c r="CQ34" i="1" s="1"/>
  <c r="CH34" i="1"/>
  <c r="CP34" i="1" s="1"/>
  <c r="CG34" i="1"/>
  <c r="CS34" i="1" s="1"/>
  <c r="CF34" i="1"/>
  <c r="CR34" i="1" s="1"/>
  <c r="CO33" i="1"/>
  <c r="CN33" i="1"/>
  <c r="CM33" i="1"/>
  <c r="CW33" i="1" s="1"/>
  <c r="CL33" i="1"/>
  <c r="CK33" i="1"/>
  <c r="CU33" i="1" s="1"/>
  <c r="CJ33" i="1"/>
  <c r="CV33" i="1" s="1"/>
  <c r="CI33" i="1"/>
  <c r="CS33" i="1" s="1"/>
  <c r="CH33" i="1"/>
  <c r="CR33" i="1" s="1"/>
  <c r="CG33" i="1"/>
  <c r="CQ33" i="1" s="1"/>
  <c r="CF33" i="1"/>
  <c r="CO32" i="1"/>
  <c r="CN32" i="1"/>
  <c r="CM32" i="1"/>
  <c r="CL32" i="1"/>
  <c r="CK32" i="1"/>
  <c r="CJ32" i="1"/>
  <c r="CI32" i="1"/>
  <c r="CH32" i="1"/>
  <c r="CG32" i="1"/>
  <c r="CQ32" i="1" s="1"/>
  <c r="CF32" i="1"/>
  <c r="CP32" i="1" s="1"/>
  <c r="BR21" i="1"/>
  <c r="CO16" i="1"/>
  <c r="CN16" i="1"/>
  <c r="CM16" i="1"/>
  <c r="CL16" i="1"/>
  <c r="CT16" i="1" s="1"/>
  <c r="CK16" i="1"/>
  <c r="CW16" i="1" s="1"/>
  <c r="CJ16" i="1"/>
  <c r="CI16" i="1"/>
  <c r="CQ16" i="1" s="1"/>
  <c r="CH16" i="1"/>
  <c r="CG16" i="1"/>
  <c r="CS16" i="1" s="1"/>
  <c r="CF16" i="1"/>
  <c r="CP16" i="1" s="1"/>
  <c r="CO15" i="1"/>
  <c r="CN15" i="1"/>
  <c r="CM15" i="1"/>
  <c r="CL15" i="1"/>
  <c r="CK15" i="1"/>
  <c r="CJ15" i="1"/>
  <c r="CI15" i="1"/>
  <c r="CW15" i="1" s="1"/>
  <c r="CH15" i="1"/>
  <c r="CG15" i="1"/>
  <c r="CQ15" i="1" s="1"/>
  <c r="CF15" i="1"/>
  <c r="CP15" i="1" s="1"/>
  <c r="CO14" i="1"/>
  <c r="CN14" i="1"/>
  <c r="CM14" i="1"/>
  <c r="CL14" i="1"/>
  <c r="CK14" i="1"/>
  <c r="CJ14" i="1"/>
  <c r="CI14" i="1"/>
  <c r="CS14" i="1" s="1"/>
  <c r="CH14" i="1"/>
  <c r="CR14" i="1" s="1"/>
  <c r="CG14" i="1"/>
  <c r="CQ14" i="1" s="1"/>
  <c r="CF14" i="1"/>
  <c r="CO13" i="1"/>
  <c r="CN13" i="1"/>
  <c r="CM13" i="1"/>
  <c r="CL13" i="1"/>
  <c r="CK13" i="1"/>
  <c r="CW13" i="1" s="1"/>
  <c r="CJ13" i="1"/>
  <c r="CV13" i="1" s="1"/>
  <c r="CI13" i="1"/>
  <c r="CH13" i="1"/>
  <c r="CG13" i="1"/>
  <c r="CQ13" i="1" s="1"/>
  <c r="CF13" i="1"/>
  <c r="CP13" i="1" s="1"/>
  <c r="CO12" i="1"/>
  <c r="CN12" i="1"/>
  <c r="CM12" i="1"/>
  <c r="CL12" i="1"/>
  <c r="CK12" i="1"/>
  <c r="CW12" i="1" s="1"/>
  <c r="CJ12" i="1"/>
  <c r="CV12" i="1" s="1"/>
  <c r="CI12" i="1"/>
  <c r="CS12" i="1" s="1"/>
  <c r="CH12" i="1"/>
  <c r="CR12" i="1" s="1"/>
  <c r="CG12" i="1"/>
  <c r="CQ12" i="1" s="1"/>
  <c r="CF12" i="1"/>
  <c r="CP12" i="1" s="1"/>
  <c r="CO11" i="1"/>
  <c r="CN11" i="1"/>
  <c r="CM11" i="1"/>
  <c r="CL11" i="1"/>
  <c r="CK11" i="1"/>
  <c r="CW11" i="1" s="1"/>
  <c r="CJ11" i="1"/>
  <c r="CI11" i="1"/>
  <c r="CS11" i="1" s="1"/>
  <c r="CH11" i="1"/>
  <c r="CV11" i="1" s="1"/>
  <c r="CG11" i="1"/>
  <c r="CQ11" i="1" s="1"/>
  <c r="CF11" i="1"/>
  <c r="CR11" i="1" s="1"/>
  <c r="CO10" i="1"/>
  <c r="CN10" i="1"/>
  <c r="CM10" i="1"/>
  <c r="CW10" i="1" s="1"/>
  <c r="CL10" i="1"/>
  <c r="CV10" i="1" s="1"/>
  <c r="CK10" i="1"/>
  <c r="CU10" i="1" s="1"/>
  <c r="CJ10" i="1"/>
  <c r="CT10" i="1" s="1"/>
  <c r="CI10" i="1"/>
  <c r="CS10" i="1" s="1"/>
  <c r="CH10" i="1"/>
  <c r="CR10" i="1" s="1"/>
  <c r="CG10" i="1"/>
  <c r="CQ10" i="1" s="1"/>
  <c r="CF10" i="1"/>
  <c r="CP10" i="1" s="1"/>
  <c r="CO9" i="1"/>
  <c r="CN9" i="1"/>
  <c r="CM9" i="1"/>
  <c r="CL9" i="1"/>
  <c r="CK9" i="1"/>
  <c r="CW9" i="1" s="1"/>
  <c r="CJ9" i="1"/>
  <c r="CV9" i="1" s="1"/>
  <c r="CI9" i="1"/>
  <c r="CS9" i="1" s="1"/>
  <c r="CH9" i="1"/>
  <c r="CP9" i="1" s="1"/>
  <c r="CG9" i="1"/>
  <c r="CQ9" i="1" s="1"/>
  <c r="CF9" i="1"/>
  <c r="CR9" i="1" s="1"/>
  <c r="CO8" i="1"/>
  <c r="CN8" i="1"/>
  <c r="CM8" i="1"/>
  <c r="CL8" i="1"/>
  <c r="CV8" i="1" s="1"/>
  <c r="CK8" i="1"/>
  <c r="CU8" i="1" s="1"/>
  <c r="CJ8" i="1"/>
  <c r="CI8" i="1"/>
  <c r="CS8" i="1" s="1"/>
  <c r="CH8" i="1"/>
  <c r="CR8" i="1" s="1"/>
  <c r="CG8" i="1"/>
  <c r="CQ8" i="1" s="1"/>
  <c r="CF8" i="1"/>
  <c r="CP8" i="1" s="1"/>
  <c r="CO7" i="1"/>
  <c r="CN7" i="1"/>
  <c r="CM7" i="1"/>
  <c r="CL7" i="1"/>
  <c r="CK7" i="1"/>
  <c r="CJ7" i="1"/>
  <c r="CV7" i="1" s="1"/>
  <c r="CI7" i="1"/>
  <c r="CH7" i="1"/>
  <c r="CR7" i="1" s="1"/>
  <c r="CG7" i="1"/>
  <c r="CQ7" i="1" s="1"/>
  <c r="CF7" i="1"/>
  <c r="CP7" i="1" s="1"/>
  <c r="CO6" i="1"/>
  <c r="CN6" i="1"/>
  <c r="CM6" i="1"/>
  <c r="CW6" i="1" s="1"/>
  <c r="CL6" i="1"/>
  <c r="CT6" i="1" s="1"/>
  <c r="CK6" i="1"/>
  <c r="CU6" i="1" s="1"/>
  <c r="CJ6" i="1"/>
  <c r="CV6" i="1" s="1"/>
  <c r="CI6" i="1"/>
  <c r="CS6" i="1" s="1"/>
  <c r="CH6" i="1"/>
  <c r="CR6" i="1" s="1"/>
  <c r="CG6" i="1"/>
  <c r="CQ6" i="1" s="1"/>
  <c r="CF6" i="1"/>
  <c r="CP6" i="1" s="1"/>
  <c r="CO5" i="1"/>
  <c r="CN5" i="1"/>
  <c r="CM5" i="1"/>
  <c r="CL5" i="1"/>
  <c r="CK5" i="1"/>
  <c r="CW5" i="1" s="1"/>
  <c r="CJ5" i="1"/>
  <c r="CI5" i="1"/>
  <c r="CS5" i="1" s="1"/>
  <c r="CH5" i="1"/>
  <c r="CG5" i="1"/>
  <c r="CF5" i="1"/>
  <c r="CR5" i="1" s="1"/>
  <c r="CO4" i="1"/>
  <c r="CN4" i="1"/>
  <c r="CM4" i="1"/>
  <c r="CL4" i="1"/>
  <c r="CK4" i="1"/>
  <c r="CU4" i="1" s="1"/>
  <c r="CJ4" i="1"/>
  <c r="CT4" i="1" s="1"/>
  <c r="CI4" i="1"/>
  <c r="CS4" i="1" s="1"/>
  <c r="CH4" i="1"/>
  <c r="CR4" i="1" s="1"/>
  <c r="CG4" i="1"/>
  <c r="CQ4" i="1" s="1"/>
  <c r="CF4" i="1"/>
  <c r="CP4" i="1" s="1"/>
  <c r="CO3" i="1"/>
  <c r="CN3" i="1"/>
  <c r="CM3" i="1"/>
  <c r="CL3" i="1"/>
  <c r="CK3" i="1"/>
  <c r="CW3" i="1" s="1"/>
  <c r="CJ3" i="1"/>
  <c r="CV3" i="1" s="1"/>
  <c r="CI3" i="1"/>
  <c r="CS3" i="1" s="1"/>
  <c r="CH3" i="1"/>
  <c r="CR3" i="1" s="1"/>
  <c r="CG3" i="1"/>
  <c r="CQ3" i="1" s="1"/>
  <c r="CF3" i="1"/>
  <c r="CP3" i="1" s="1"/>
  <c r="CO2" i="1"/>
  <c r="CN2" i="1"/>
  <c r="CM2" i="1"/>
  <c r="CL2" i="1"/>
  <c r="CK2" i="1"/>
  <c r="CU2" i="1" s="1"/>
  <c r="CJ2" i="1"/>
  <c r="CV2" i="1" s="1"/>
  <c r="CI2" i="1"/>
  <c r="CS2" i="1" s="1"/>
  <c r="CH2" i="1"/>
  <c r="CR2" i="1" s="1"/>
  <c r="CG2" i="1"/>
  <c r="CQ2" i="1" s="1"/>
  <c r="CF2" i="1"/>
  <c r="CP2" i="1" s="1"/>
  <c r="CP47" i="1"/>
  <c r="CT47" i="1"/>
  <c r="CU47" i="1"/>
  <c r="CP48" i="1"/>
  <c r="CQ48" i="1"/>
  <c r="CT48" i="1"/>
  <c r="CU48" i="1"/>
  <c r="CR49" i="1"/>
  <c r="CS49" i="1"/>
  <c r="CT49" i="1"/>
  <c r="CU49" i="1"/>
  <c r="CQ50" i="1"/>
  <c r="CR50" i="1"/>
  <c r="CT50" i="1"/>
  <c r="CU50" i="1"/>
  <c r="CP51" i="1"/>
  <c r="CQ51" i="1"/>
  <c r="CS51" i="1"/>
  <c r="CT51" i="1"/>
  <c r="CU51" i="1"/>
  <c r="CV51" i="1"/>
  <c r="CQ52" i="1"/>
  <c r="CT52" i="1"/>
  <c r="CU52" i="1"/>
  <c r="CV52" i="1"/>
  <c r="CW52" i="1"/>
  <c r="CT53" i="1"/>
  <c r="CU53" i="1"/>
  <c r="CW53" i="1"/>
  <c r="CR54" i="1"/>
  <c r="CS54" i="1"/>
  <c r="CT54" i="1"/>
  <c r="CU54" i="1"/>
  <c r="CV54" i="1"/>
  <c r="CW54" i="1"/>
  <c r="CR55" i="1"/>
  <c r="CS55" i="1"/>
  <c r="CT55" i="1"/>
  <c r="CU55" i="1"/>
  <c r="CP56" i="1"/>
  <c r="CS56" i="1"/>
  <c r="CT56" i="1"/>
  <c r="CU56" i="1"/>
  <c r="CV56" i="1"/>
  <c r="CW56" i="1"/>
  <c r="CQ57" i="1"/>
  <c r="CT57" i="1"/>
  <c r="CV57" i="1"/>
  <c r="CW57" i="1"/>
  <c r="CT58" i="1"/>
  <c r="CU58" i="1"/>
  <c r="CV58" i="1"/>
  <c r="CW58" i="1"/>
  <c r="CP59" i="1"/>
  <c r="CQ59" i="1"/>
  <c r="CR59" i="1"/>
  <c r="CS59" i="1"/>
  <c r="CQ60" i="1"/>
  <c r="CR60" i="1"/>
  <c r="CT60" i="1"/>
  <c r="CU60" i="1"/>
  <c r="CV60" i="1"/>
  <c r="CW60" i="1"/>
  <c r="CP33" i="1"/>
  <c r="CT33" i="1"/>
  <c r="CP35" i="1"/>
  <c r="CQ35" i="1"/>
  <c r="CT35" i="1"/>
  <c r="CV35" i="1"/>
  <c r="CW35" i="1"/>
  <c r="CQ36" i="1"/>
  <c r="CT36" i="1"/>
  <c r="CR37" i="1"/>
  <c r="CS37" i="1"/>
  <c r="CT37" i="1"/>
  <c r="CU37" i="1"/>
  <c r="CW37" i="1"/>
  <c r="CP38" i="1"/>
  <c r="CT38" i="1"/>
  <c r="CU38" i="1"/>
  <c r="CP39" i="1"/>
  <c r="CR39" i="1"/>
  <c r="CR40" i="1"/>
  <c r="CS40" i="1"/>
  <c r="CT41" i="1"/>
  <c r="CV41" i="1"/>
  <c r="CP42" i="1"/>
  <c r="CQ42" i="1"/>
  <c r="CV42" i="1"/>
  <c r="CW42" i="1"/>
  <c r="CT43" i="1"/>
  <c r="CU43" i="1"/>
  <c r="CP44" i="1"/>
  <c r="CS44" i="1"/>
  <c r="CT44" i="1"/>
  <c r="CU44" i="1"/>
  <c r="CR45" i="1"/>
  <c r="CT45" i="1"/>
  <c r="CU45" i="1"/>
  <c r="CT46" i="1"/>
  <c r="CS46" i="1"/>
  <c r="CR46" i="1"/>
  <c r="CQ46" i="1"/>
  <c r="CW32" i="1"/>
  <c r="CV32" i="1"/>
  <c r="CU32" i="1"/>
  <c r="CT32" i="1"/>
  <c r="CS32" i="1"/>
  <c r="CR32" i="1"/>
  <c r="CW2" i="1"/>
  <c r="CT2" i="1"/>
  <c r="CV4" i="1"/>
  <c r="CW4" i="1"/>
  <c r="CV5" i="1"/>
  <c r="CW7" i="1"/>
  <c r="CW8" i="1"/>
  <c r="CV14" i="1"/>
  <c r="CW14" i="1"/>
  <c r="CV15" i="1"/>
  <c r="CV16" i="1"/>
  <c r="CT3" i="1"/>
  <c r="CU3" i="1"/>
  <c r="CT5" i="1"/>
  <c r="CU5" i="1"/>
  <c r="CT7" i="1"/>
  <c r="CU7" i="1"/>
  <c r="CT8" i="1"/>
  <c r="CT9" i="1"/>
  <c r="CU9" i="1"/>
  <c r="CT11" i="1"/>
  <c r="CU11" i="1"/>
  <c r="CT12" i="1"/>
  <c r="CU12" i="1"/>
  <c r="CT13" i="1"/>
  <c r="CU13" i="1"/>
  <c r="CT14" i="1"/>
  <c r="CU14" i="1"/>
  <c r="CT15" i="1"/>
  <c r="CU15" i="1"/>
  <c r="CU16" i="1"/>
  <c r="CS7" i="1"/>
  <c r="CR13" i="1"/>
  <c r="CS13" i="1"/>
  <c r="CR15" i="1"/>
  <c r="CS15" i="1"/>
  <c r="CR16" i="1"/>
  <c r="CQ5" i="1"/>
  <c r="CP5" i="1"/>
  <c r="CP11" i="1"/>
  <c r="CP14" i="1"/>
  <c r="BK60" i="1" l="1"/>
  <c r="BJ60" i="1"/>
  <c r="BI60" i="1"/>
  <c r="BH60" i="1"/>
  <c r="BG60" i="1"/>
  <c r="BF60" i="1"/>
  <c r="BE60" i="1"/>
  <c r="BD60" i="1"/>
  <c r="BK59" i="1"/>
  <c r="BJ59" i="1"/>
  <c r="BI59" i="1"/>
  <c r="BH59" i="1"/>
  <c r="BG59" i="1"/>
  <c r="BF59" i="1"/>
  <c r="BE59" i="1"/>
  <c r="BD59" i="1"/>
  <c r="BK58" i="1"/>
  <c r="BJ58" i="1"/>
  <c r="BI58" i="1"/>
  <c r="BH58" i="1"/>
  <c r="BG58" i="1"/>
  <c r="BF58" i="1"/>
  <c r="BE58" i="1"/>
  <c r="BD58" i="1"/>
  <c r="BK57" i="1"/>
  <c r="BJ57" i="1"/>
  <c r="BI57" i="1"/>
  <c r="BH57" i="1"/>
  <c r="BG57" i="1"/>
  <c r="BF57" i="1"/>
  <c r="BE57" i="1"/>
  <c r="BD57" i="1"/>
  <c r="BK56" i="1"/>
  <c r="BJ56" i="1"/>
  <c r="BI56" i="1"/>
  <c r="BH56" i="1"/>
  <c r="BG56" i="1"/>
  <c r="BF56" i="1"/>
  <c r="BE56" i="1"/>
  <c r="BD56" i="1"/>
  <c r="BK55" i="1"/>
  <c r="BJ55" i="1"/>
  <c r="BI55" i="1"/>
  <c r="BH55" i="1"/>
  <c r="BG55" i="1"/>
  <c r="BF55" i="1"/>
  <c r="BE55" i="1"/>
  <c r="BD55" i="1"/>
  <c r="BK54" i="1"/>
  <c r="BJ54" i="1"/>
  <c r="BI54" i="1"/>
  <c r="BH54" i="1"/>
  <c r="BG54" i="1"/>
  <c r="BF54" i="1"/>
  <c r="BE54" i="1"/>
  <c r="BD54" i="1"/>
  <c r="BK53" i="1"/>
  <c r="BJ53" i="1"/>
  <c r="BI53" i="1"/>
  <c r="BH53" i="1"/>
  <c r="BG53" i="1"/>
  <c r="BF53" i="1"/>
  <c r="BE53" i="1"/>
  <c r="BD53" i="1"/>
  <c r="BK52" i="1"/>
  <c r="BJ52" i="1"/>
  <c r="BI52" i="1"/>
  <c r="BH52" i="1"/>
  <c r="BG52" i="1"/>
  <c r="BF52" i="1"/>
  <c r="BE52" i="1"/>
  <c r="BD52" i="1"/>
  <c r="BK51" i="1"/>
  <c r="BJ51" i="1"/>
  <c r="BI51" i="1"/>
  <c r="BH51" i="1"/>
  <c r="BG51" i="1"/>
  <c r="BF51" i="1"/>
  <c r="BE51" i="1"/>
  <c r="BD51" i="1"/>
  <c r="BK50" i="1"/>
  <c r="BJ50" i="1"/>
  <c r="BI50" i="1"/>
  <c r="BH50" i="1"/>
  <c r="BF50" i="1"/>
  <c r="BE50" i="1"/>
  <c r="BD50" i="1"/>
  <c r="BK49" i="1"/>
  <c r="BJ49" i="1"/>
  <c r="BI49" i="1"/>
  <c r="BH49" i="1"/>
  <c r="BG49" i="1"/>
  <c r="BF49" i="1"/>
  <c r="BE49" i="1"/>
  <c r="BD49" i="1"/>
  <c r="BK48" i="1"/>
  <c r="BJ48" i="1"/>
  <c r="BI48" i="1"/>
  <c r="BH48" i="1"/>
  <c r="BG48" i="1"/>
  <c r="BF48" i="1"/>
  <c r="BE48" i="1"/>
  <c r="BD48" i="1"/>
  <c r="BK47" i="1"/>
  <c r="BJ47" i="1"/>
  <c r="BI47" i="1"/>
  <c r="BH47" i="1"/>
  <c r="BG47" i="1"/>
  <c r="BF47" i="1"/>
  <c r="BE47" i="1"/>
  <c r="BD47" i="1"/>
  <c r="BK46" i="1"/>
  <c r="BJ46" i="1"/>
  <c r="BI46" i="1"/>
  <c r="BH46" i="1"/>
  <c r="BG46" i="1"/>
  <c r="BF46" i="1"/>
  <c r="BE46" i="1"/>
  <c r="BD46" i="1"/>
  <c r="BK45" i="1"/>
  <c r="BJ45" i="1"/>
  <c r="BI45" i="1"/>
  <c r="BH45" i="1"/>
  <c r="BG45" i="1"/>
  <c r="BF45" i="1"/>
  <c r="BE45" i="1"/>
  <c r="BD45" i="1"/>
  <c r="BK44" i="1"/>
  <c r="BJ44" i="1"/>
  <c r="BI44" i="1"/>
  <c r="BH44" i="1"/>
  <c r="BG44" i="1"/>
  <c r="BF44" i="1"/>
  <c r="BE44" i="1"/>
  <c r="BD44" i="1"/>
  <c r="BK43" i="1"/>
  <c r="BJ43" i="1"/>
  <c r="BI43" i="1"/>
  <c r="BH43" i="1"/>
  <c r="BG43" i="1"/>
  <c r="BF43" i="1"/>
  <c r="BE43" i="1"/>
  <c r="BD43" i="1"/>
  <c r="BK42" i="1"/>
  <c r="BJ42" i="1"/>
  <c r="BI42" i="1"/>
  <c r="BH42" i="1"/>
  <c r="BG42" i="1"/>
  <c r="BF42" i="1"/>
  <c r="BE42" i="1"/>
  <c r="BD42" i="1"/>
  <c r="BK41" i="1"/>
  <c r="BJ41" i="1"/>
  <c r="BI41" i="1"/>
  <c r="BH41" i="1"/>
  <c r="BG41" i="1"/>
  <c r="BF41" i="1"/>
  <c r="BE41" i="1"/>
  <c r="BD41" i="1"/>
  <c r="BK40" i="1"/>
  <c r="BJ40" i="1"/>
  <c r="BI40" i="1"/>
  <c r="BH40" i="1"/>
  <c r="BG40" i="1"/>
  <c r="BF40" i="1"/>
  <c r="BE40" i="1"/>
  <c r="BD40" i="1"/>
  <c r="BK39" i="1"/>
  <c r="BJ39" i="1"/>
  <c r="BI39" i="1"/>
  <c r="BH39" i="1"/>
  <c r="BG39" i="1"/>
  <c r="BF39" i="1"/>
  <c r="BE39" i="1"/>
  <c r="BD39" i="1"/>
  <c r="BK38" i="1"/>
  <c r="BJ38" i="1"/>
  <c r="BI38" i="1"/>
  <c r="BH38" i="1"/>
  <c r="BG38" i="1"/>
  <c r="BF38" i="1"/>
  <c r="BE38" i="1"/>
  <c r="BD38" i="1"/>
  <c r="BK37" i="1"/>
  <c r="BJ37" i="1"/>
  <c r="BI37" i="1"/>
  <c r="BH37" i="1"/>
  <c r="BG37" i="1"/>
  <c r="BF37" i="1"/>
  <c r="BE37" i="1"/>
  <c r="BD37" i="1"/>
  <c r="BK36" i="1"/>
  <c r="BJ36" i="1"/>
  <c r="BI36" i="1"/>
  <c r="BH36" i="1"/>
  <c r="BG36" i="1"/>
  <c r="BF36" i="1"/>
  <c r="BE36" i="1"/>
  <c r="BD36" i="1"/>
  <c r="BK35" i="1"/>
  <c r="BJ35" i="1"/>
  <c r="BI35" i="1"/>
  <c r="BH35" i="1"/>
  <c r="BG35" i="1"/>
  <c r="BF35" i="1"/>
  <c r="BE35" i="1"/>
  <c r="BD35" i="1"/>
  <c r="BK34" i="1"/>
  <c r="BJ34" i="1"/>
  <c r="BI34" i="1"/>
  <c r="BH34" i="1"/>
  <c r="BG34" i="1"/>
  <c r="BF34" i="1"/>
  <c r="BE34" i="1"/>
  <c r="BD34" i="1"/>
  <c r="BK33" i="1"/>
  <c r="BJ33" i="1"/>
  <c r="BI33" i="1"/>
  <c r="BH33" i="1"/>
  <c r="BG33" i="1"/>
  <c r="BF33" i="1"/>
  <c r="BE33" i="1"/>
  <c r="BD33" i="1"/>
  <c r="BK32" i="1"/>
  <c r="BJ32" i="1"/>
  <c r="BI32" i="1"/>
  <c r="BH32" i="1"/>
  <c r="BG32" i="1"/>
  <c r="BF32" i="1"/>
  <c r="BE32" i="1"/>
  <c r="BD32" i="1"/>
  <c r="AB65" i="1"/>
  <c r="BM16" i="1"/>
  <c r="BL16" i="1"/>
  <c r="BK16" i="1"/>
  <c r="BJ16" i="1"/>
  <c r="BI16" i="1"/>
  <c r="BH16" i="1"/>
  <c r="BG16" i="1"/>
  <c r="BF16" i="1"/>
  <c r="BE16" i="1"/>
  <c r="BD16" i="1"/>
  <c r="BM15" i="1"/>
  <c r="BL15" i="1"/>
  <c r="BK15" i="1"/>
  <c r="BJ15" i="1"/>
  <c r="BI15" i="1"/>
  <c r="BH15" i="1"/>
  <c r="BG15" i="1"/>
  <c r="BF15" i="1"/>
  <c r="BE15" i="1"/>
  <c r="BD15" i="1"/>
  <c r="BM14" i="1"/>
  <c r="BL14" i="1"/>
  <c r="BK14" i="1"/>
  <c r="BJ14" i="1"/>
  <c r="BI14" i="1"/>
  <c r="BH14" i="1"/>
  <c r="BG14" i="1"/>
  <c r="BF14" i="1"/>
  <c r="BE14" i="1"/>
  <c r="BD14" i="1"/>
  <c r="BM13" i="1"/>
  <c r="BL13" i="1"/>
  <c r="BK13" i="1"/>
  <c r="BJ13" i="1"/>
  <c r="BI13" i="1"/>
  <c r="BH13" i="1"/>
  <c r="BG13" i="1"/>
  <c r="BF13" i="1"/>
  <c r="BE13" i="1"/>
  <c r="BD13" i="1"/>
  <c r="BM12" i="1"/>
  <c r="BL12" i="1"/>
  <c r="BK12" i="1"/>
  <c r="BJ12" i="1"/>
  <c r="BI12" i="1"/>
  <c r="BH12" i="1"/>
  <c r="BG12" i="1"/>
  <c r="BF12" i="1"/>
  <c r="BD12" i="1"/>
  <c r="BM11" i="1"/>
  <c r="BL11" i="1"/>
  <c r="BK11" i="1"/>
  <c r="BJ11" i="1"/>
  <c r="BI11" i="1"/>
  <c r="BH11" i="1"/>
  <c r="BG11" i="1"/>
  <c r="BF11" i="1"/>
  <c r="BE11" i="1"/>
  <c r="BD11" i="1"/>
  <c r="BM10" i="1"/>
  <c r="BL10" i="1"/>
  <c r="BK10" i="1"/>
  <c r="BJ10" i="1"/>
  <c r="BI10" i="1"/>
  <c r="BH10" i="1"/>
  <c r="BG10" i="1"/>
  <c r="BF10" i="1"/>
  <c r="BE10" i="1"/>
  <c r="BD10" i="1"/>
  <c r="BM9" i="1"/>
  <c r="BL9" i="1"/>
  <c r="BK9" i="1"/>
  <c r="BJ9" i="1"/>
  <c r="BI9" i="1"/>
  <c r="BH9" i="1"/>
  <c r="BG9" i="1"/>
  <c r="BF9" i="1"/>
  <c r="BE9" i="1"/>
  <c r="BD9" i="1"/>
  <c r="BM8" i="1"/>
  <c r="BL8" i="1"/>
  <c r="BK8" i="1"/>
  <c r="BJ8" i="1"/>
  <c r="BI8" i="1"/>
  <c r="BH8" i="1"/>
  <c r="BG8" i="1"/>
  <c r="BF8" i="1"/>
  <c r="BE8" i="1"/>
  <c r="BD8" i="1"/>
  <c r="BM7" i="1"/>
  <c r="BL7" i="1"/>
  <c r="BK7" i="1"/>
  <c r="BJ7" i="1"/>
  <c r="BI7" i="1"/>
  <c r="BH7" i="1"/>
  <c r="BG7" i="1"/>
  <c r="BF7" i="1"/>
  <c r="BE7" i="1"/>
  <c r="BD7" i="1"/>
  <c r="BM6" i="1"/>
  <c r="BL6" i="1"/>
  <c r="BK6" i="1"/>
  <c r="BJ6" i="1"/>
  <c r="BI6" i="1"/>
  <c r="BH6" i="1"/>
  <c r="BG6" i="1"/>
  <c r="BF6" i="1"/>
  <c r="BE6" i="1"/>
  <c r="BD6" i="1"/>
  <c r="BM5" i="1"/>
  <c r="BL5" i="1"/>
  <c r="BK5" i="1"/>
  <c r="BJ5" i="1"/>
  <c r="BI5" i="1"/>
  <c r="BH5" i="1"/>
  <c r="BG5" i="1"/>
  <c r="BF5" i="1"/>
  <c r="BE5" i="1"/>
  <c r="BD5" i="1"/>
  <c r="BM4" i="1"/>
  <c r="BL4" i="1"/>
  <c r="BK4" i="1"/>
  <c r="BJ4" i="1"/>
  <c r="BI4" i="1"/>
  <c r="BH4" i="1"/>
  <c r="BG4" i="1"/>
  <c r="BF4" i="1"/>
  <c r="BE4" i="1"/>
  <c r="BD4" i="1"/>
  <c r="BM3" i="1"/>
  <c r="BL3" i="1"/>
  <c r="BK3" i="1"/>
  <c r="BJ3" i="1"/>
  <c r="BI3" i="1"/>
  <c r="BH3" i="1"/>
  <c r="BG3" i="1"/>
  <c r="BF3" i="1"/>
  <c r="BE3" i="1"/>
  <c r="BD3" i="1"/>
  <c r="BM2" i="1"/>
  <c r="BL2" i="1"/>
  <c r="BK2" i="1"/>
  <c r="BJ2" i="1"/>
  <c r="BI2" i="1"/>
  <c r="BH2" i="1"/>
  <c r="BG2" i="1"/>
  <c r="BF2" i="1"/>
  <c r="BE2" i="1"/>
  <c r="BO2" i="1" s="1"/>
  <c r="BD2" i="1"/>
  <c r="BN2" i="1" s="1"/>
  <c r="BN47" i="1" l="1"/>
  <c r="BO47" i="1"/>
  <c r="BP47" i="1"/>
  <c r="BQ47" i="1"/>
  <c r="BR47" i="1"/>
  <c r="BS47" i="1"/>
  <c r="BT47" i="1"/>
  <c r="BU47" i="1"/>
  <c r="BN48" i="1"/>
  <c r="BO48" i="1"/>
  <c r="BP48" i="1"/>
  <c r="BQ48" i="1"/>
  <c r="BR48" i="1"/>
  <c r="BS48" i="1"/>
  <c r="BT48" i="1"/>
  <c r="BU48" i="1"/>
  <c r="BN49" i="1"/>
  <c r="BO49" i="1"/>
  <c r="BP49" i="1"/>
  <c r="BQ49" i="1"/>
  <c r="BR49" i="1"/>
  <c r="BS49" i="1"/>
  <c r="BT49" i="1"/>
  <c r="BU49" i="1"/>
  <c r="BN50" i="1"/>
  <c r="BO50" i="1"/>
  <c r="BP50" i="1"/>
  <c r="BQ50" i="1"/>
  <c r="BR50" i="1"/>
  <c r="BS50" i="1"/>
  <c r="BT50" i="1"/>
  <c r="BU50" i="1"/>
  <c r="BN51" i="1"/>
  <c r="BO51" i="1"/>
  <c r="BP51" i="1"/>
  <c r="BQ51" i="1"/>
  <c r="BR51" i="1"/>
  <c r="BS51" i="1"/>
  <c r="BT51" i="1"/>
  <c r="BU51" i="1"/>
  <c r="BN52" i="1"/>
  <c r="BO52" i="1"/>
  <c r="BP52" i="1"/>
  <c r="BQ52" i="1"/>
  <c r="BR52" i="1"/>
  <c r="BS52" i="1"/>
  <c r="BT52" i="1"/>
  <c r="BU52" i="1"/>
  <c r="BN53" i="1"/>
  <c r="BO53" i="1"/>
  <c r="BP53" i="1"/>
  <c r="BQ53" i="1"/>
  <c r="BR53" i="1"/>
  <c r="BS53" i="1"/>
  <c r="BT53" i="1"/>
  <c r="BU53" i="1"/>
  <c r="BN54" i="1"/>
  <c r="BO54" i="1"/>
  <c r="BP54" i="1"/>
  <c r="BQ54" i="1"/>
  <c r="BR54" i="1"/>
  <c r="BS54" i="1"/>
  <c r="BT54" i="1"/>
  <c r="BU54" i="1"/>
  <c r="BN55" i="1"/>
  <c r="BO55" i="1"/>
  <c r="BP55" i="1"/>
  <c r="BQ55" i="1"/>
  <c r="BR55" i="1"/>
  <c r="BS55" i="1"/>
  <c r="BT55" i="1"/>
  <c r="BU55" i="1"/>
  <c r="BN56" i="1"/>
  <c r="BO56" i="1"/>
  <c r="BP56" i="1"/>
  <c r="BQ56" i="1"/>
  <c r="BR56" i="1"/>
  <c r="BS56" i="1"/>
  <c r="BT56" i="1"/>
  <c r="BU56" i="1"/>
  <c r="BN57" i="1"/>
  <c r="BO57" i="1"/>
  <c r="BP57" i="1"/>
  <c r="BQ57" i="1"/>
  <c r="BR57" i="1"/>
  <c r="BS57" i="1"/>
  <c r="BT57" i="1"/>
  <c r="BU57" i="1"/>
  <c r="BN58" i="1"/>
  <c r="BO58" i="1"/>
  <c r="BP58" i="1"/>
  <c r="BQ58" i="1"/>
  <c r="BR58" i="1"/>
  <c r="BS58" i="1"/>
  <c r="BT58" i="1"/>
  <c r="BU58" i="1"/>
  <c r="BN59" i="1"/>
  <c r="BO59" i="1"/>
  <c r="BP59" i="1"/>
  <c r="BQ59" i="1"/>
  <c r="BR59" i="1"/>
  <c r="BS59" i="1"/>
  <c r="BT59" i="1"/>
  <c r="BU59" i="1"/>
  <c r="BN60" i="1"/>
  <c r="BO60" i="1"/>
  <c r="BP60" i="1"/>
  <c r="BQ60" i="1"/>
  <c r="BR60" i="1"/>
  <c r="BS60" i="1"/>
  <c r="BT60" i="1"/>
  <c r="BU60" i="1"/>
  <c r="BU46" i="1"/>
  <c r="BT46" i="1"/>
  <c r="BS46" i="1"/>
  <c r="BR46" i="1"/>
  <c r="BQ46" i="1"/>
  <c r="BP46" i="1"/>
  <c r="BO46" i="1"/>
  <c r="BN46" i="1"/>
  <c r="BU45" i="1"/>
  <c r="BT45" i="1"/>
  <c r="BS45" i="1"/>
  <c r="BR45" i="1"/>
  <c r="BQ45" i="1"/>
  <c r="BP45" i="1"/>
  <c r="BO45" i="1"/>
  <c r="BN45" i="1"/>
  <c r="BU44" i="1"/>
  <c r="BT44" i="1"/>
  <c r="BS44" i="1"/>
  <c r="BR44" i="1"/>
  <c r="BQ44" i="1"/>
  <c r="BP44" i="1"/>
  <c r="BO44" i="1"/>
  <c r="BN44" i="1"/>
  <c r="BU43" i="1"/>
  <c r="BT43" i="1"/>
  <c r="BS43" i="1"/>
  <c r="BR43" i="1"/>
  <c r="BQ43" i="1"/>
  <c r="BP43" i="1"/>
  <c r="BO43" i="1"/>
  <c r="BN43" i="1"/>
  <c r="BU42" i="1"/>
  <c r="BT42" i="1"/>
  <c r="BS42" i="1"/>
  <c r="BR42" i="1"/>
  <c r="BQ42" i="1"/>
  <c r="BP42" i="1"/>
  <c r="BO42" i="1"/>
  <c r="BN42" i="1"/>
  <c r="BU41" i="1"/>
  <c r="BT41" i="1"/>
  <c r="BS41" i="1"/>
  <c r="BR41" i="1"/>
  <c r="BQ41" i="1"/>
  <c r="BP41" i="1"/>
  <c r="BO41" i="1"/>
  <c r="BN41" i="1"/>
  <c r="BU40" i="1"/>
  <c r="BT40" i="1"/>
  <c r="BS40" i="1"/>
  <c r="BR40" i="1"/>
  <c r="BQ40" i="1"/>
  <c r="BP40" i="1"/>
  <c r="BO40" i="1"/>
  <c r="BN40" i="1"/>
  <c r="BU39" i="1"/>
  <c r="BT39" i="1"/>
  <c r="BS39" i="1"/>
  <c r="BR39" i="1"/>
  <c r="BQ39" i="1"/>
  <c r="BP39" i="1"/>
  <c r="BO39" i="1"/>
  <c r="BN39" i="1"/>
  <c r="BU38" i="1"/>
  <c r="BT38" i="1"/>
  <c r="BS38" i="1"/>
  <c r="BR38" i="1"/>
  <c r="BQ38" i="1"/>
  <c r="BP38" i="1"/>
  <c r="BO38" i="1"/>
  <c r="BN38" i="1"/>
  <c r="BU37" i="1"/>
  <c r="BT37" i="1"/>
  <c r="BS37" i="1"/>
  <c r="BR37" i="1"/>
  <c r="BQ37" i="1"/>
  <c r="BP37" i="1"/>
  <c r="BO37" i="1"/>
  <c r="BN37" i="1"/>
  <c r="BU36" i="1"/>
  <c r="BT36" i="1"/>
  <c r="BS36" i="1"/>
  <c r="BR36" i="1"/>
  <c r="BQ36" i="1"/>
  <c r="BP36" i="1"/>
  <c r="BO36" i="1"/>
  <c r="BN36" i="1"/>
  <c r="BU35" i="1"/>
  <c r="BT35" i="1"/>
  <c r="BS35" i="1"/>
  <c r="BR35" i="1"/>
  <c r="BQ35" i="1"/>
  <c r="BP35" i="1"/>
  <c r="BO35" i="1"/>
  <c r="BN35" i="1"/>
  <c r="BU34" i="1"/>
  <c r="BT34" i="1"/>
  <c r="BS34" i="1"/>
  <c r="BR34" i="1"/>
  <c r="BQ34" i="1"/>
  <c r="BP34" i="1"/>
  <c r="BO34" i="1"/>
  <c r="BN34" i="1"/>
  <c r="BU33" i="1"/>
  <c r="BT33" i="1"/>
  <c r="BS33" i="1"/>
  <c r="BR33" i="1"/>
  <c r="BQ33" i="1"/>
  <c r="BP33" i="1"/>
  <c r="BO33" i="1"/>
  <c r="BN33" i="1"/>
  <c r="BU32" i="1"/>
  <c r="BT32" i="1"/>
  <c r="BS32" i="1"/>
  <c r="BR32" i="1"/>
  <c r="BQ32" i="1"/>
  <c r="BP32" i="1"/>
  <c r="BO32" i="1"/>
  <c r="BN32" i="1"/>
  <c r="BT3" i="1"/>
  <c r="BU3" i="1"/>
  <c r="BT4" i="1"/>
  <c r="BU4" i="1"/>
  <c r="BT5" i="1"/>
  <c r="BU5" i="1"/>
  <c r="BT6" i="1"/>
  <c r="BU6" i="1"/>
  <c r="BT7" i="1"/>
  <c r="BU7" i="1"/>
  <c r="BT8" i="1"/>
  <c r="BU8" i="1"/>
  <c r="BT9" i="1"/>
  <c r="BU9" i="1"/>
  <c r="BT10" i="1"/>
  <c r="BU10" i="1"/>
  <c r="BT11" i="1"/>
  <c r="BU11" i="1"/>
  <c r="BT12" i="1"/>
  <c r="BU12" i="1"/>
  <c r="BT13" i="1"/>
  <c r="BU13" i="1"/>
  <c r="BT14" i="1"/>
  <c r="BU14" i="1"/>
  <c r="BT15" i="1"/>
  <c r="BU15" i="1"/>
  <c r="BT16" i="1"/>
  <c r="BU16" i="1"/>
  <c r="BU2" i="1"/>
  <c r="BT2" i="1"/>
  <c r="BR3" i="1"/>
  <c r="BS3" i="1"/>
  <c r="BR4" i="1"/>
  <c r="BS4" i="1"/>
  <c r="BR5" i="1"/>
  <c r="BS5" i="1"/>
  <c r="BR6" i="1"/>
  <c r="BS6" i="1"/>
  <c r="BR7" i="1"/>
  <c r="BS7" i="1"/>
  <c r="BR8" i="1"/>
  <c r="BS8" i="1"/>
  <c r="BR9" i="1"/>
  <c r="BS9" i="1"/>
  <c r="BR10" i="1"/>
  <c r="BS10" i="1"/>
  <c r="BR11" i="1"/>
  <c r="BS11" i="1"/>
  <c r="BR12" i="1"/>
  <c r="BS12" i="1"/>
  <c r="BR13" i="1"/>
  <c r="BS13" i="1"/>
  <c r="BR14" i="1"/>
  <c r="BS14" i="1"/>
  <c r="BR15" i="1"/>
  <c r="BS15" i="1"/>
  <c r="BR16" i="1"/>
  <c r="BS16" i="1"/>
  <c r="BS2" i="1"/>
  <c r="BR2" i="1"/>
  <c r="BP3" i="1"/>
  <c r="BQ3" i="1"/>
  <c r="BP4" i="1"/>
  <c r="BQ4" i="1"/>
  <c r="BP5" i="1"/>
  <c r="BQ5" i="1"/>
  <c r="BP6" i="1"/>
  <c r="BQ6" i="1"/>
  <c r="BP7" i="1"/>
  <c r="BQ7" i="1"/>
  <c r="BP8" i="1"/>
  <c r="BQ8" i="1"/>
  <c r="BP9" i="1"/>
  <c r="BQ9" i="1"/>
  <c r="BP10" i="1"/>
  <c r="BQ10" i="1"/>
  <c r="BP11" i="1"/>
  <c r="BQ11" i="1"/>
  <c r="BP12" i="1"/>
  <c r="BQ12" i="1"/>
  <c r="BP13" i="1"/>
  <c r="BQ13" i="1"/>
  <c r="BP14" i="1"/>
  <c r="BQ14" i="1"/>
  <c r="BP15" i="1"/>
  <c r="BQ15" i="1"/>
  <c r="BP16" i="1"/>
  <c r="BQ16" i="1"/>
  <c r="BQ2" i="1"/>
  <c r="BP2" i="1"/>
  <c r="BN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O16" i="1"/>
  <c r="BO15" i="1"/>
  <c r="BO14" i="1"/>
  <c r="BO13" i="1"/>
  <c r="BO12" i="1"/>
  <c r="BO11" i="1"/>
  <c r="BO10" i="1"/>
  <c r="BO9" i="1"/>
  <c r="BO8" i="1"/>
  <c r="BO7" i="1"/>
  <c r="BO6" i="1"/>
  <c r="BO5" i="1"/>
  <c r="BO4" i="1"/>
  <c r="BO3" i="1"/>
</calcChain>
</file>

<file path=xl/sharedStrings.xml><?xml version="1.0" encoding="utf-8"?>
<sst xmlns="http://schemas.openxmlformats.org/spreadsheetml/2006/main" count="608" uniqueCount="108">
  <si>
    <t>d_number</t>
  </si>
  <si>
    <t>d_sex</t>
  </si>
  <si>
    <t>d_age</t>
  </si>
  <si>
    <t>d_length</t>
  </si>
  <si>
    <t>d_weight</t>
  </si>
  <si>
    <t>d_BMI</t>
  </si>
  <si>
    <t>d_ongesteld</t>
  </si>
  <si>
    <t>d_group</t>
  </si>
  <si>
    <t>d_electrode</t>
  </si>
  <si>
    <t>m1_NRS</t>
  </si>
  <si>
    <t>m2_NRS</t>
  </si>
  <si>
    <t>A</t>
  </si>
  <si>
    <t>B</t>
  </si>
  <si>
    <t>D</t>
  </si>
  <si>
    <t>C</t>
  </si>
  <si>
    <t>X</t>
  </si>
  <si>
    <t>postCPT_m1_trans1_mA</t>
  </si>
  <si>
    <t>postCPT_m2_trans1_mA</t>
  </si>
  <si>
    <t>postCPT_m1_trans2_mA</t>
  </si>
  <si>
    <t>postCPT_m2_trans2_mA</t>
  </si>
  <si>
    <t>postCPT_m1_trans3_mA</t>
  </si>
  <si>
    <t>postCPT_m2_trans3_mA</t>
  </si>
  <si>
    <t>postCPT_m1_trans4_mA</t>
  </si>
  <si>
    <t>postCPT_m2_trans4_mA</t>
  </si>
  <si>
    <t>postCPT_m1_trans5_mA</t>
  </si>
  <si>
    <t>postCPT_m2_trans5_mA</t>
  </si>
  <si>
    <t>postCPT_m1_mu_A</t>
  </si>
  <si>
    <t>postCPT_m2_mu_A</t>
  </si>
  <si>
    <t>postCPT_m1_mu_B</t>
  </si>
  <si>
    <t>postCPT_m2_mu_B</t>
  </si>
  <si>
    <t>postCPT_m1_mu_C</t>
  </si>
  <si>
    <t>postCPT_m2_mu_C</t>
  </si>
  <si>
    <t>postCPT_m1_mu_D</t>
  </si>
  <si>
    <t>postCPT_m2_mu_D</t>
  </si>
  <si>
    <t>preCPT_m1_trans1_mA</t>
  </si>
  <si>
    <t>preCPT_m2_trans1_mA</t>
  </si>
  <si>
    <t>preCPT_m1_trans1</t>
  </si>
  <si>
    <t>preCPT_m2_trans1</t>
  </si>
  <si>
    <t>preCPT_m1_trans2</t>
  </si>
  <si>
    <t>preCPT_m2_trans2</t>
  </si>
  <si>
    <t>preCPT_m1_trans3</t>
  </si>
  <si>
    <t>preCPT_m2_trans3</t>
  </si>
  <si>
    <t>preCPT_m1_trans4</t>
  </si>
  <si>
    <t>preCPT_m2_trans4</t>
  </si>
  <si>
    <t>preCPT_m1_trans5</t>
  </si>
  <si>
    <t>preCPT_m2_trans5</t>
  </si>
  <si>
    <t>preCPT_m1_trans2_mA</t>
  </si>
  <si>
    <t>preCPT_m2_trans2_mA</t>
  </si>
  <si>
    <t>preCPT_m1_trans3_mA</t>
  </si>
  <si>
    <t>preCPT_m2_trans3_mA</t>
  </si>
  <si>
    <t>preCPT_m1_trans4_mA</t>
  </si>
  <si>
    <t>preCPT_m2_trans4_mA</t>
  </si>
  <si>
    <t>preCPT_m1_trans5_mA</t>
  </si>
  <si>
    <t>preCPT_m2_trans5_mA</t>
  </si>
  <si>
    <t>postCPT_m1_trans1</t>
  </si>
  <si>
    <t>postCPT_m2_trans1</t>
  </si>
  <si>
    <t>postCPT_m1_trans2</t>
  </si>
  <si>
    <t>postCPT_m2_trans2</t>
  </si>
  <si>
    <t>postCPT_m1_trans3</t>
  </si>
  <si>
    <t>postCPT_m2_trans3</t>
  </si>
  <si>
    <t>postCPT_m1_trans4</t>
  </si>
  <si>
    <t>postCPT_m2_trans4</t>
  </si>
  <si>
    <t>postCPT_m1_trans5</t>
  </si>
  <si>
    <t>postCPT_m2_trans5</t>
  </si>
  <si>
    <t>preCPT_m1_mu_A</t>
  </si>
  <si>
    <t>preCPT_m2_mu_A</t>
  </si>
  <si>
    <t>preCPT_m1_mu_B</t>
  </si>
  <si>
    <t>preCPT_m2_mu_B</t>
  </si>
  <si>
    <t>preCPT_m1_mu_C</t>
  </si>
  <si>
    <t>preCPT_m2_mu_C</t>
  </si>
  <si>
    <t>preCPT_m1_mu_D</t>
  </si>
  <si>
    <t>preCPT_m2_mu_D</t>
  </si>
  <si>
    <t>preCPT_m1_cre1_pt</t>
  </si>
  <si>
    <t>preCPT_m1_cre2_pt</t>
  </si>
  <si>
    <t>preCPT_m1_cre3_pt</t>
  </si>
  <si>
    <t>preCPT_m1_cre-ave_pt</t>
  </si>
  <si>
    <t>preCPT_m1_cre1_dt</t>
  </si>
  <si>
    <t>preCPT_m1_cre2_dt</t>
  </si>
  <si>
    <t>preCPT_m1_cre3_dt</t>
  </si>
  <si>
    <t>preCPT_m1_cre-ave_dt</t>
  </si>
  <si>
    <t>preCPT_m2_cre1_pt</t>
  </si>
  <si>
    <t>preCPT_m2_cre2_pt</t>
  </si>
  <si>
    <t>preCPT_m2_cre3_pt</t>
  </si>
  <si>
    <t>preCPT_m2_cre-ave_pt</t>
  </si>
  <si>
    <t>preCPT_m2_cre1_dt</t>
  </si>
  <si>
    <t>preCPT_m2_cre2_dt</t>
  </si>
  <si>
    <t>preCPT_m2_cre3_dt</t>
  </si>
  <si>
    <t>preCPT_m2_cre-ave_dt</t>
  </si>
  <si>
    <t>postCPT_m1_cre1_pt</t>
  </si>
  <si>
    <t>postCPT_m1_cre2_pt</t>
  </si>
  <si>
    <t>postCPT_m1_cre3_pt</t>
  </si>
  <si>
    <t>postCPT_m1_cre-ave_pt</t>
  </si>
  <si>
    <t>postCPT_m1_cre1_dt</t>
  </si>
  <si>
    <t>postCPT_m1_cre2_dt</t>
  </si>
  <si>
    <t>postCPT_m1_cre3_dt</t>
  </si>
  <si>
    <t>postCPT_m1_cre-ave_dt</t>
  </si>
  <si>
    <t>postCPT_m2_cre1_pt</t>
  </si>
  <si>
    <t>postCPT_m2_cre2_pt</t>
  </si>
  <si>
    <t>postCPT_m2_cre3_pt</t>
  </si>
  <si>
    <t>postCPT_m2_cre-ave_pt</t>
  </si>
  <si>
    <t>postCPT_m2_cre1_dt</t>
  </si>
  <si>
    <t>postCPT_m2_cre2_dt</t>
  </si>
  <si>
    <t>postCPT_m2_cre3_dt</t>
  </si>
  <si>
    <t>postCPT_m2_cre-ave_dt</t>
  </si>
  <si>
    <t>m1_fam</t>
  </si>
  <si>
    <t>m2_fam</t>
  </si>
  <si>
    <t>m1_t_CPT</t>
  </si>
  <si>
    <t>m2_t_CPT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</si>
</sst>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rgb="FF000000"/>
      <name val="Arial"/>
      <family val="2"/>
    </font>
    <font>
      <sz val="10"/>
      <name val="Corbel"/>
      <family val="2"/>
    </font>
    <font>
      <sz val="10"/>
      <color rgb="FF000000"/>
      <name val="Corbel"/>
      <family val="2"/>
    </font>
    <font>
      <sz val="10"/>
      <color theme="1"/>
      <name val="Corbel"/>
      <family val="2"/>
    </font>
    <font>
      <sz val="10"/>
      <color rgb="FF00000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0" borderId="0"/>
    <xf numFmtId="0" fontId="6" fillId="0" borderId="0"/>
  </cellStyleXfs>
  <cellXfs count="32">
    <xf numFmtId="0" fontId="0" fillId="0" borderId="0" xfId="0"/>
    <xf numFmtId="0" fontId="5" fillId="0" borderId="0" xfId="0" applyFont="1" applyAlignment="1">
      <alignment horizontal="right"/>
    </xf>
    <xf numFmtId="0" fontId="3" fillId="0" borderId="0" xfId="1" applyFont="1" applyFill="1" applyBorder="1" applyAlignment="1">
      <alignment horizontal="right"/>
    </xf>
    <xf numFmtId="2" fontId="3" fillId="0" borderId="0" xfId="1" applyNumberFormat="1" applyFont="1" applyFill="1" applyBorder="1" applyAlignment="1">
      <alignment horizontal="right"/>
    </xf>
    <xf numFmtId="0" fontId="3" fillId="0" borderId="0" xfId="2" applyFont="1" applyAlignment="1">
      <alignment horizontal="right"/>
    </xf>
    <xf numFmtId="0" fontId="5" fillId="0" borderId="2" xfId="0" applyFont="1" applyBorder="1" applyAlignment="1">
      <alignment horizontal="right"/>
    </xf>
    <xf numFmtId="0" fontId="3" fillId="0" borderId="2" xfId="1" applyFont="1" applyFill="1" applyBorder="1" applyAlignment="1">
      <alignment horizontal="right"/>
    </xf>
    <xf numFmtId="2" fontId="3" fillId="0" borderId="2" xfId="1" applyNumberFormat="1" applyFont="1" applyFill="1" applyBorder="1" applyAlignment="1">
      <alignment horizontal="right"/>
    </xf>
    <xf numFmtId="0" fontId="3" fillId="0" borderId="2" xfId="2" applyFont="1" applyBorder="1" applyAlignment="1">
      <alignment horizontal="right"/>
    </xf>
    <xf numFmtId="0" fontId="3" fillId="0" borderId="0" xfId="3" applyFont="1" applyAlignment="1">
      <alignment horizontal="left"/>
    </xf>
    <xf numFmtId="0" fontId="3" fillId="0" borderId="0" xfId="2" applyFont="1" applyAlignment="1">
      <alignment horizontal="left"/>
    </xf>
    <xf numFmtId="0" fontId="5" fillId="0" borderId="0" xfId="0" applyFont="1"/>
    <xf numFmtId="0" fontId="5" fillId="0" borderId="2" xfId="0" applyFont="1" applyBorder="1"/>
    <xf numFmtId="0" fontId="3" fillId="0" borderId="2" xfId="3" applyFont="1" applyBorder="1" applyAlignment="1">
      <alignment horizontal="left"/>
    </xf>
    <xf numFmtId="0" fontId="3" fillId="0" borderId="2" xfId="2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5" xfId="0" applyFont="1" applyBorder="1"/>
    <xf numFmtId="0" fontId="5" fillId="0" borderId="6" xfId="0" applyFont="1" applyBorder="1"/>
    <xf numFmtId="0" fontId="3" fillId="0" borderId="2" xfId="0" applyFont="1" applyBorder="1"/>
    <xf numFmtId="0" fontId="3" fillId="0" borderId="0" xfId="0" applyFont="1"/>
    <xf numFmtId="0" fontId="3" fillId="0" borderId="7" xfId="2" applyFont="1" applyBorder="1" applyAlignment="1">
      <alignment horizontal="left"/>
    </xf>
    <xf numFmtId="0" fontId="4" fillId="0" borderId="0" xfId="2" applyFont="1"/>
    <xf numFmtId="0" fontId="3" fillId="0" borderId="8" xfId="2" applyFont="1" applyBorder="1" applyAlignment="1">
      <alignment horizontal="left"/>
    </xf>
    <xf numFmtId="0" fontId="5" fillId="0" borderId="10" xfId="0" applyFont="1" applyBorder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0" fontId="5" fillId="0" borderId="9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7" fillId="0" borderId="0" xfId="3" applyFont="1" applyAlignment="1">
      <alignment horizontal="left"/>
    </xf>
  </cellXfs>
  <cellStyles count="4">
    <cellStyle name="Normal 2" xfId="2" xr:uid="{00000000-0005-0000-0000-00002F000000}"/>
    <cellStyle name="Normal 3" xfId="3" xr:uid="{00000000-0005-0000-0000-000030000000}"/>
    <cellStyle name="Standaard" xfId="0" builtinId="0"/>
    <cellStyle name="Uitvoer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65"/>
  <sheetViews>
    <sheetView tabSelected="1" workbookViewId="0">
      <pane xSplit="1" topLeftCell="AT1" activePane="topRight" state="frozen"/>
      <selection pane="topRight" activeCell="BN3" sqref="BN3"/>
    </sheetView>
  </sheetViews>
  <sheetFormatPr defaultColWidth="9.08984375" defaultRowHeight="14.5" x14ac:dyDescent="0.35"/>
  <cols>
    <col min="1" max="11" width="9.08984375" style="1"/>
    <col min="12" max="12" width="9.08984375" style="15"/>
    <col min="13" max="13" width="9.08984375" style="1"/>
    <col min="14" max="14" width="17.1796875" style="1" customWidth="1"/>
    <col min="15" max="15" width="20.7265625" style="1" customWidth="1"/>
    <col min="16" max="16" width="16" style="1" customWidth="1"/>
    <col min="17" max="19" width="9.08984375" style="1"/>
    <col min="20" max="20" width="20.453125" style="1" customWidth="1"/>
    <col min="21" max="26" width="9.08984375" style="1"/>
    <col min="27" max="27" width="9.08984375" style="17"/>
    <col min="28" max="28" width="20.26953125" style="15" customWidth="1"/>
    <col min="29" max="42" width="9.08984375" style="1"/>
    <col min="43" max="43" width="9.08984375" style="17"/>
    <col min="44" max="45" width="9.08984375" style="1"/>
    <col min="46" max="46" width="21.54296875" style="1" customWidth="1"/>
    <col min="47" max="54" width="9.08984375" style="1"/>
    <col min="55" max="55" width="9.08984375" style="17" customWidth="1"/>
    <col min="56" max="56" width="30.26953125" style="1" customWidth="1"/>
    <col min="57" max="64" width="9.08984375" style="1"/>
    <col min="65" max="65" width="9.08984375" style="17"/>
    <col min="66" max="66" width="14" style="1" customWidth="1"/>
    <col min="67" max="72" width="9.08984375" style="1"/>
    <col min="73" max="73" width="9.08984375" style="17"/>
    <col min="74" max="78" width="9.08984375" style="1"/>
    <col min="79" max="79" width="20.453125" style="1" customWidth="1"/>
    <col min="80" max="83" width="9.08984375" style="1"/>
    <col min="84" max="84" width="9.08984375" style="15"/>
    <col min="85" max="92" width="9.08984375" style="1"/>
    <col min="93" max="93" width="9.08984375" style="17"/>
    <col min="94" max="102" width="9.08984375" style="1"/>
    <col min="104" max="16384" width="9.08984375" style="1"/>
  </cols>
  <sheetData>
    <row r="1" spans="1:103" ht="13" x14ac:dyDescent="0.3">
      <c r="A1" s="1" t="s">
        <v>0</v>
      </c>
      <c r="B1" s="1" t="s">
        <v>7</v>
      </c>
      <c r="C1" s="1" t="s">
        <v>8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9</v>
      </c>
      <c r="K1" s="1" t="s">
        <v>10</v>
      </c>
      <c r="L1" s="15" t="s">
        <v>72</v>
      </c>
      <c r="M1" s="1" t="s">
        <v>73</v>
      </c>
      <c r="N1" s="1" t="s">
        <v>74</v>
      </c>
      <c r="O1" s="1" t="s">
        <v>75</v>
      </c>
      <c r="P1" s="1" t="s">
        <v>76</v>
      </c>
      <c r="Q1" s="1" t="s">
        <v>77</v>
      </c>
      <c r="R1" s="1" t="s">
        <v>78</v>
      </c>
      <c r="S1" s="1" t="s">
        <v>79</v>
      </c>
      <c r="T1" s="1" t="s">
        <v>80</v>
      </c>
      <c r="U1" s="1" t="s">
        <v>81</v>
      </c>
      <c r="V1" s="1" t="s">
        <v>82</v>
      </c>
      <c r="W1" s="1" t="s">
        <v>83</v>
      </c>
      <c r="X1" s="1" t="s">
        <v>84</v>
      </c>
      <c r="Y1" s="1" t="s">
        <v>85</v>
      </c>
      <c r="Z1" s="1" t="s">
        <v>86</v>
      </c>
      <c r="AA1" s="17" t="s">
        <v>87</v>
      </c>
      <c r="AB1" s="15" t="s">
        <v>88</v>
      </c>
      <c r="AC1" s="1" t="s">
        <v>89</v>
      </c>
      <c r="AD1" s="1" t="s">
        <v>90</v>
      </c>
      <c r="AE1" s="1" t="s">
        <v>91</v>
      </c>
      <c r="AF1" s="1" t="s">
        <v>92</v>
      </c>
      <c r="AG1" s="1" t="s">
        <v>93</v>
      </c>
      <c r="AH1" s="1" t="s">
        <v>94</v>
      </c>
      <c r="AI1" s="1" t="s">
        <v>95</v>
      </c>
      <c r="AJ1" s="1" t="s">
        <v>96</v>
      </c>
      <c r="AK1" s="1" t="s">
        <v>97</v>
      </c>
      <c r="AL1" s="1" t="s">
        <v>98</v>
      </c>
      <c r="AM1" s="1" t="s">
        <v>99</v>
      </c>
      <c r="AN1" s="1" t="s">
        <v>100</v>
      </c>
      <c r="AO1" s="1" t="s">
        <v>101</v>
      </c>
      <c r="AP1" s="1" t="s">
        <v>102</v>
      </c>
      <c r="AQ1" s="17" t="s">
        <v>103</v>
      </c>
      <c r="AR1" s="29" t="s">
        <v>104</v>
      </c>
      <c r="AS1" s="30" t="s">
        <v>105</v>
      </c>
      <c r="AT1" s="29" t="s">
        <v>36</v>
      </c>
      <c r="AU1" s="26" t="s">
        <v>37</v>
      </c>
      <c r="AV1" s="26" t="s">
        <v>38</v>
      </c>
      <c r="AW1" s="26" t="s">
        <v>39</v>
      </c>
      <c r="AX1" s="26" t="s">
        <v>40</v>
      </c>
      <c r="AY1" s="26" t="s">
        <v>41</v>
      </c>
      <c r="AZ1" s="26" t="s">
        <v>42</v>
      </c>
      <c r="BA1" s="26" t="s">
        <v>43</v>
      </c>
      <c r="BB1" s="26" t="s">
        <v>44</v>
      </c>
      <c r="BC1" s="30" t="s">
        <v>45</v>
      </c>
      <c r="BD1" s="1" t="s">
        <v>34</v>
      </c>
      <c r="BE1" s="1" t="s">
        <v>35</v>
      </c>
      <c r="BF1" s="1" t="s">
        <v>46</v>
      </c>
      <c r="BG1" s="1" t="s">
        <v>47</v>
      </c>
      <c r="BH1" s="1" t="s">
        <v>48</v>
      </c>
      <c r="BI1" s="1" t="s">
        <v>49</v>
      </c>
      <c r="BJ1" s="1" t="s">
        <v>50</v>
      </c>
      <c r="BK1" s="1" t="s">
        <v>51</v>
      </c>
      <c r="BL1" s="1" t="s">
        <v>52</v>
      </c>
      <c r="BM1" s="17" t="s">
        <v>53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7" t="s">
        <v>71</v>
      </c>
      <c r="BV1" s="1" t="s">
        <v>54</v>
      </c>
      <c r="BW1" s="1" t="s">
        <v>55</v>
      </c>
      <c r="BX1" s="1" t="s">
        <v>56</v>
      </c>
      <c r="BY1" s="1" t="s">
        <v>57</v>
      </c>
      <c r="BZ1" s="1" t="s">
        <v>58</v>
      </c>
      <c r="CA1" s="1" t="s">
        <v>59</v>
      </c>
      <c r="CB1" s="1" t="s">
        <v>60</v>
      </c>
      <c r="CC1" s="1" t="s">
        <v>61</v>
      </c>
      <c r="CD1" s="1" t="s">
        <v>62</v>
      </c>
      <c r="CE1" s="1" t="s">
        <v>63</v>
      </c>
      <c r="CF1" s="15" t="s">
        <v>16</v>
      </c>
      <c r="CG1" s="1" t="s">
        <v>17</v>
      </c>
      <c r="CH1" s="1" t="s">
        <v>18</v>
      </c>
      <c r="CI1" s="1" t="s">
        <v>19</v>
      </c>
      <c r="CJ1" s="1" t="s">
        <v>20</v>
      </c>
      <c r="CK1" s="1" t="s">
        <v>21</v>
      </c>
      <c r="CL1" s="1" t="s">
        <v>22</v>
      </c>
      <c r="CM1" s="1" t="s">
        <v>23</v>
      </c>
      <c r="CN1" s="1" t="s">
        <v>24</v>
      </c>
      <c r="CO1" s="17" t="s">
        <v>25</v>
      </c>
      <c r="CP1" s="1" t="s">
        <v>26</v>
      </c>
      <c r="CQ1" s="1" t="s">
        <v>27</v>
      </c>
      <c r="CR1" s="1" t="s">
        <v>28</v>
      </c>
      <c r="CS1" s="1" t="s">
        <v>29</v>
      </c>
      <c r="CT1" s="1" t="s">
        <v>30</v>
      </c>
      <c r="CU1" s="1" t="s">
        <v>31</v>
      </c>
      <c r="CV1" s="1" t="s">
        <v>32</v>
      </c>
      <c r="CW1" s="17" t="s">
        <v>33</v>
      </c>
      <c r="CX1" s="1" t="s">
        <v>106</v>
      </c>
      <c r="CY1" s="1" t="s">
        <v>107</v>
      </c>
    </row>
    <row r="2" spans="1:103" x14ac:dyDescent="0.35">
      <c r="A2" s="1">
        <v>2</v>
      </c>
      <c r="B2" s="1">
        <v>1</v>
      </c>
      <c r="C2" s="1">
        <v>0</v>
      </c>
      <c r="D2" s="1">
        <v>1</v>
      </c>
      <c r="E2" s="1">
        <v>24</v>
      </c>
      <c r="F2" s="1">
        <v>1.8</v>
      </c>
      <c r="G2" s="1">
        <v>70</v>
      </c>
      <c r="H2" s="1">
        <v>21.604938271604937</v>
      </c>
      <c r="I2" s="1">
        <v>0</v>
      </c>
      <c r="J2" s="1">
        <v>0</v>
      </c>
      <c r="K2" s="11">
        <v>0</v>
      </c>
      <c r="AR2" s="15">
        <f>9.534*((1/1.1227))</f>
        <v>8.4920281464327072</v>
      </c>
      <c r="AS2" s="17">
        <f>4.676*((1/1.1227))</f>
        <v>4.1649594726997412</v>
      </c>
      <c r="AT2" s="27" t="s">
        <v>11</v>
      </c>
      <c r="AU2" s="11" t="s">
        <v>11</v>
      </c>
      <c r="AV2" s="11" t="s">
        <v>12</v>
      </c>
      <c r="AW2" s="11" t="s">
        <v>12</v>
      </c>
      <c r="AX2" s="11" t="s">
        <v>13</v>
      </c>
      <c r="AY2" s="11" t="s">
        <v>14</v>
      </c>
      <c r="AZ2" s="11"/>
      <c r="BA2" s="11"/>
      <c r="BB2" s="11"/>
      <c r="BD2" s="1">
        <f>3.36*((1/1.1227))</f>
        <v>2.9927852498441254</v>
      </c>
      <c r="BE2" s="1">
        <f>1.47466666666667*((1/1.1227))</f>
        <v>1.3135001929871468</v>
      </c>
      <c r="BF2" s="1">
        <f>5.348*((1/1.1227))</f>
        <v>4.7635165226685663</v>
      </c>
      <c r="BG2" s="1">
        <f>2.25866666666667*((1/1.1227))</f>
        <v>2.0118167512841096</v>
      </c>
      <c r="BH2" s="1">
        <f>7.559*((1/1.1227))</f>
        <v>6.7328761022534955</v>
      </c>
      <c r="BI2" s="1">
        <f>4.51733333333333*((1/1.1227))</f>
        <v>4.0236335025682104</v>
      </c>
      <c r="BJ2" s="1">
        <f t="shared" ref="BJ2:BM5" si="0">0*((1/1.1227))</f>
        <v>0</v>
      </c>
      <c r="BK2" s="1">
        <f t="shared" si="0"/>
        <v>0</v>
      </c>
      <c r="BL2" s="1">
        <f t="shared" si="0"/>
        <v>0</v>
      </c>
      <c r="BM2" s="17">
        <f t="shared" si="0"/>
        <v>0</v>
      </c>
      <c r="BN2" s="1">
        <f>IF($AT2="A",$BD2,IF($AV2="A",$BF2,IF($AX2="A",$BH2,IF($AZ2="A",$BJ2,IF($BB2="A",$BL2,0)))))</f>
        <v>2.9927852498441254</v>
      </c>
      <c r="BO2" s="1">
        <f>IF($AU2="A",$BE2,IF($AW2="A",$BG2,IF($AY2="A",$BI2,IF($BA2="A",$BK2,IF($BC2="A",$BM2,0)))))</f>
        <v>1.3135001929871468</v>
      </c>
      <c r="BP2" s="1">
        <f>IF($AT2="B",$BD2,IF($AV2="B",$BF2,IF($AX2="B",$BH2,IF($AZ2="B",$BJ2,IF($BB2="B",$BL2,0)))))</f>
        <v>4.7635165226685663</v>
      </c>
      <c r="BQ2" s="1">
        <f>IF($AU2="B",$BE2,IF($AW2="B",$BG2,IF($AY2="B",$BI2,IF($BA2="B",$BK2,IF($BC2="B",$BM2,0)))))</f>
        <v>2.0118167512841096</v>
      </c>
      <c r="BR2" s="1">
        <f>IF($AT2="C",$BD2,IF($AV2="C",$BF2,IF($AX2="C",$BH2,IF($AZ2="C",$BJ2,IF($BB2="C",$BL2,0)))))</f>
        <v>0</v>
      </c>
      <c r="BS2" s="1">
        <f>IF($AU2="C",$BE2,IF($AW2="C",$BG2,IF($AY2="C",$BI2,IF($BA2="C",$BK2,IF($BC2="C",$BM2,0)))))</f>
        <v>4.0236335025682104</v>
      </c>
      <c r="BT2" s="1">
        <f>IF($AT2="D",$BD2,IF($AV2="D",$BF2,IF($AX2="D",$BH2,IF($AZ2="D",$BJ2,IF($BB2="D",$BL2,0)))))</f>
        <v>6.7328761022534955</v>
      </c>
      <c r="BU2" s="17">
        <f>IF($AU2="D",$BE2,IF($AW2="D",$BG2,IF($AY2="D",$BI2,IF($BA2="D",$BK2,IF($BC2="D",$BM2,0)))))</f>
        <v>0</v>
      </c>
      <c r="BV2" s="11" t="s">
        <v>11</v>
      </c>
      <c r="BW2" s="11" t="s">
        <v>11</v>
      </c>
      <c r="BX2" s="11" t="s">
        <v>12</v>
      </c>
      <c r="BY2" s="11" t="s">
        <v>12</v>
      </c>
      <c r="BZ2" s="11" t="s">
        <v>13</v>
      </c>
      <c r="CA2" s="11" t="s">
        <v>14</v>
      </c>
      <c r="CB2" s="11"/>
      <c r="CC2" s="11"/>
      <c r="CD2" s="11"/>
      <c r="CF2" s="1">
        <f>2.66466666666667*(1/1.1227)</f>
        <v>2.3734449689736081</v>
      </c>
      <c r="CG2" s="1">
        <f>1.36266666666667*(1/1.1227)</f>
        <v>1.2137406846590095</v>
      </c>
      <c r="CH2" s="1">
        <f>3.32266666666667*(1/1.1227)</f>
        <v>2.9595320804014165</v>
      </c>
      <c r="CI2" s="1">
        <f>2.338*(1/1.1227)</f>
        <v>2.0824797363498706</v>
      </c>
      <c r="CJ2" s="1">
        <f>5.30133333333333*(1/1.1227)</f>
        <v>4.721950060865173</v>
      </c>
      <c r="CK2" s="1">
        <f>4.802*(1/1.1227)</f>
        <v>4.2771889195688955</v>
      </c>
      <c r="CL2" s="1">
        <f t="shared" ref="CL2:CO5" si="1">0*(1/1.1227)</f>
        <v>0</v>
      </c>
      <c r="CM2" s="1">
        <f t="shared" si="1"/>
        <v>0</v>
      </c>
      <c r="CN2" s="1">
        <f t="shared" si="1"/>
        <v>0</v>
      </c>
      <c r="CO2" s="1">
        <f t="shared" si="1"/>
        <v>0</v>
      </c>
      <c r="CP2" s="1">
        <f>IF(BV2="A",CF2,IF(BX2="A",CH2,IF(BZ2="A",CJ2,IF(CB2="A",CL2,IF(CD2="A",CN2,0)))))</f>
        <v>2.3734449689736081</v>
      </c>
      <c r="CQ2" s="1">
        <f>IF(BW2="A",CG2,IF(BY2="A",CI2,IF(CA2="A",CK2,IF(CC2="A",CM2,IF(CE2="A",CO2,0)))))</f>
        <v>1.2137406846590095</v>
      </c>
      <c r="CR2" s="1">
        <f>IF(BV2="B",CF2,IF(BX2="B",CH2,IF(BZ2="B",CJ2,IF(CB2="B",CL2,IF(CD2="B",CN2,0)))))</f>
        <v>2.9595320804014165</v>
      </c>
      <c r="CS2" s="1">
        <f>IF(BW2="B",CG2,IF(BY2="B",CI2,IF(CA2="B",CK2,IF(CC2="B",CM2,IF(CE2="B",CO2,0)))))</f>
        <v>2.0824797363498706</v>
      </c>
      <c r="CT2" s="1">
        <f>IF(BV2="C",CF2,IF(BX2="C",CH2,IF(BZ2="C",CJ2,IF(CB2="C",CL2,IF(CD2="C",CN2,0)))))</f>
        <v>0</v>
      </c>
      <c r="CU2" s="1">
        <f>IF(BW2="C",CG2,IF(BY2="C",CI2,IF(CA2="C",CK2,IF(CC2="C",CM2,IF(CE2="C",CO2,0)))))</f>
        <v>4.2771889195688955</v>
      </c>
      <c r="CV2" s="1">
        <f>IF(BV2="D",CF2,IF(BX2="D",CH2,IF(BZ2="D",CJ2,IF(CB2="D",CL2,IF(CD2="D",CN2,0)))))</f>
        <v>4.721950060865173</v>
      </c>
      <c r="CW2" s="1">
        <f>IF(BW2="D",CG2,IF(BY2="D",CI2,IF(CA2="D",CK2,IF(CC2="D",CM2,IF(CE2="D",CO2,0)))))</f>
        <v>0</v>
      </c>
      <c r="CX2" s="11"/>
    </row>
    <row r="3" spans="1:103" x14ac:dyDescent="0.35">
      <c r="A3" s="1">
        <v>3</v>
      </c>
      <c r="B3" s="1">
        <v>1</v>
      </c>
      <c r="C3" s="1">
        <v>0</v>
      </c>
      <c r="D3" s="1">
        <v>1</v>
      </c>
      <c r="E3" s="1">
        <v>24</v>
      </c>
      <c r="F3" s="1">
        <v>1.9</v>
      </c>
      <c r="G3" s="1">
        <v>80</v>
      </c>
      <c r="H3" s="1">
        <v>22.1606648199446</v>
      </c>
      <c r="I3" s="1">
        <v>0</v>
      </c>
      <c r="J3" s="1">
        <v>0</v>
      </c>
      <c r="K3" s="11">
        <v>0</v>
      </c>
      <c r="AR3" s="15">
        <f>10.57*((1/1.1227))</f>
        <v>9.4148035984679783</v>
      </c>
      <c r="AS3" s="17">
        <f>9.45*((1/1.1227))</f>
        <v>8.4172085151866032</v>
      </c>
      <c r="AT3" s="27" t="s">
        <v>11</v>
      </c>
      <c r="AU3" s="11" t="s">
        <v>11</v>
      </c>
      <c r="AV3" s="11" t="s">
        <v>12</v>
      </c>
      <c r="AW3" s="11" t="s">
        <v>12</v>
      </c>
      <c r="AX3" s="11" t="s">
        <v>13</v>
      </c>
      <c r="AY3" s="11" t="s">
        <v>13</v>
      </c>
      <c r="AZ3" s="11"/>
      <c r="BA3" s="11"/>
      <c r="BB3" s="11"/>
      <c r="BD3" s="1">
        <f>2.16066666666667*((1/1.1227))</f>
        <v>1.9245271814969891</v>
      </c>
      <c r="BE3" s="1">
        <f>2.91266666666667*((1/1.1227))</f>
        <v>2.59434102312877</v>
      </c>
      <c r="BF3" s="1">
        <f>6.05733333333333*((1/1.1227))</f>
        <v>5.3953267420801012</v>
      </c>
      <c r="BG3" s="1">
        <f>6.16*((1/1.1227))</f>
        <v>5.4867729580475642</v>
      </c>
      <c r="BH3" s="1">
        <f>6.93*((1/1.1227))</f>
        <v>6.1726195778035091</v>
      </c>
      <c r="BI3" s="1">
        <f>9.86066666666667*((1/1.1227))</f>
        <v>8.7829933790564443</v>
      </c>
      <c r="BJ3" s="1">
        <f t="shared" si="0"/>
        <v>0</v>
      </c>
      <c r="BK3" s="1">
        <f t="shared" si="0"/>
        <v>0</v>
      </c>
      <c r="BL3" s="1">
        <f t="shared" si="0"/>
        <v>0</v>
      </c>
      <c r="BM3" s="17">
        <f t="shared" si="0"/>
        <v>0</v>
      </c>
      <c r="BN3" s="1">
        <f t="shared" ref="BN3:BN16" si="2">IF($AT3="A",$BD3,IF($AV3="A",$BF3,IF($AX3="A",$BH3,IF($AZ3="A",$BJ3,IF($BB3="A",$BL3,0)))))</f>
        <v>1.9245271814969891</v>
      </c>
      <c r="BO3" s="1">
        <f t="shared" ref="BO3:BO16" si="3">IF(AU3="A",BE3,IF(AW3="A",BG3,IF(AY3="A",BI3,IF(BA3="A",BK3,IF(BC3="A",BM3,0)))))</f>
        <v>2.59434102312877</v>
      </c>
      <c r="BP3" s="1">
        <f t="shared" ref="BP3:BP16" si="4">IF($AT3="B",$BD3,IF($AV3="B",$BF3,IF($AX3="B",$BH3,IF($AZ3="B",$BJ3,IF($BB3="B",$BL3,0)))))</f>
        <v>5.3953267420801012</v>
      </c>
      <c r="BQ3" s="1">
        <f t="shared" ref="BQ3:BQ16" si="5">IF($AU3="B",$BE3,IF($AW3="B",$BG3,IF($AY3="B",$BI3,IF($BA3="B",$BK3,IF($BC3="B",$BM3,0)))))</f>
        <v>5.4867729580475642</v>
      </c>
      <c r="BR3" s="1">
        <f t="shared" ref="BR3:BR16" si="6">IF($AT3="C",$BD3,IF($AV3="C",$BF3,IF($AX3="C",$BH3,IF($AZ3="C",$BJ3,IF($BB3="C",$BL3,0)))))</f>
        <v>0</v>
      </c>
      <c r="BS3" s="1">
        <f t="shared" ref="BS3:BS16" si="7">IF($AU3="C",$BE3,IF($AW3="C",$BG3,IF($AY3="C",$BI3,IF($BA3="C",$BK3,IF($BC3="C",$BM3,0)))))</f>
        <v>0</v>
      </c>
      <c r="BT3" s="1">
        <f t="shared" ref="BT3:BT16" si="8">IF($AT3="D",$BD3,IF($AV3="D",$BF3,IF($AX3="D",$BH3,IF($AZ3="D",$BJ3,IF($BB3="D",$BL3,0)))))</f>
        <v>6.1726195778035091</v>
      </c>
      <c r="BU3" s="17">
        <f t="shared" ref="BU3:BU16" si="9">IF($AU3="D",$BE3,IF($AW3="D",$BG3,IF($AY3="D",$BI3,IF($BA3="D",$BK3,IF($BC3="D",$BM3,0)))))</f>
        <v>8.7829933790564443</v>
      </c>
      <c r="BV3" s="22" t="s">
        <v>11</v>
      </c>
      <c r="BW3" s="11" t="s">
        <v>11</v>
      </c>
      <c r="BX3" s="11" t="s">
        <v>12</v>
      </c>
      <c r="BY3" s="11" t="s">
        <v>12</v>
      </c>
      <c r="BZ3" s="11" t="s">
        <v>13</v>
      </c>
      <c r="CA3" s="11" t="s">
        <v>13</v>
      </c>
      <c r="CB3" s="11"/>
      <c r="CC3" s="11"/>
      <c r="CD3" s="11"/>
      <c r="CF3" s="1">
        <f>2.20733333333333*(1/1.1227)</f>
        <v>1.9660936433003739</v>
      </c>
      <c r="CG3" s="1">
        <f>3.15*(1/1.1227)</f>
        <v>2.8057361717288676</v>
      </c>
      <c r="CH3" s="1">
        <f>3.36466666666667*(1/1.1227)</f>
        <v>2.9969418960244676</v>
      </c>
      <c r="CI3" s="1">
        <f>5.292*(1/1.1227)</f>
        <v>4.7136367685044975</v>
      </c>
      <c r="CJ3" s="1">
        <f>6.72*(1/1.1227)</f>
        <v>5.9855704996882508</v>
      </c>
      <c r="CK3" s="1">
        <f>8.56333333333333*(1/1.1227)</f>
        <v>7.6274457409221794</v>
      </c>
      <c r="CL3" s="1">
        <f t="shared" si="1"/>
        <v>0</v>
      </c>
      <c r="CM3" s="1">
        <f t="shared" si="1"/>
        <v>0</v>
      </c>
      <c r="CN3" s="1">
        <f t="shared" si="1"/>
        <v>0</v>
      </c>
      <c r="CO3" s="1">
        <f t="shared" si="1"/>
        <v>0</v>
      </c>
      <c r="CP3" s="1">
        <f>IF($BV3="A",$CF3,IF($BX3="A",$CH3,IF($BZ3="A",$CJ3,IF($CB3="A",$CL3,IF($CD3="A",$CN3,0)))))</f>
        <v>1.9660936433003739</v>
      </c>
      <c r="CQ3" s="1">
        <f t="shared" ref="CQ3:CQ16" si="10">IF($BW3="A",$CG3,IF($BY3="A",$CI3,IF($CA3="A",$CK3,IF($CC3="A",$CM3,IF($CE3="A",$CO3,0)))))</f>
        <v>2.8057361717288676</v>
      </c>
      <c r="CR3" s="1">
        <f t="shared" ref="CR3:CR16" si="11">IF($BV3="B",$CF3,IF($BX3="B",$CH3,IF($BZ3="B",$CJ3,IF($CB3="B",$CL3,IF($CD3="B",$CN3,0)))))</f>
        <v>2.9969418960244676</v>
      </c>
      <c r="CS3" s="1">
        <f t="shared" ref="CS3:CS16" si="12">IF($BW3="B",$CG3,IF($BY3="B",$CI3,IF($CA3="B",$CK3,IF($CC3="B",$CM3,IF($CE3="B",$CO3,0)))))</f>
        <v>4.7136367685044975</v>
      </c>
      <c r="CT3" s="1">
        <f t="shared" ref="CT3:CT16" si="13">IF($BV3="C",$CF3,IF($BX3="C",$CH3,IF($BZ3="C",$CJ3,IF($CB3="C",$CL3,IF($CD3="C",$CN3,0)))))</f>
        <v>0</v>
      </c>
      <c r="CU3" s="1">
        <f t="shared" ref="CU3:CU16" si="14">IF($BW3="C",$CG3,IF($BY3="C",$CI3,IF($CA3="C",$CK3,IF($CC3="C",$CM3,IF($CE3="C",$CO3,0)))))</f>
        <v>0</v>
      </c>
      <c r="CV3" s="1">
        <f t="shared" ref="CV3:CV16" si="15">IF($BV3="D",$CF3,IF($BX3="D",$CH3,IF($BZ3="D",$CJ3,IF($CB3="D",$CL3,IF($CD3="D",$CN3,0)))))</f>
        <v>5.9855704996882508</v>
      </c>
      <c r="CW3" s="1">
        <f t="shared" ref="CW3:CW16" si="16">IF($BW3="D",$CG3,IF($BY3="D",$CI3,IF($CA3="D",$CK3,IF($CC3="D",$CM3,IF($CE3="D",$CO3,0)))))</f>
        <v>7.6274457409221794</v>
      </c>
      <c r="CX3" s="11"/>
    </row>
    <row r="4" spans="1:103" x14ac:dyDescent="0.35">
      <c r="A4" s="1">
        <v>4</v>
      </c>
      <c r="B4" s="1">
        <v>1</v>
      </c>
      <c r="C4" s="1">
        <v>0</v>
      </c>
      <c r="D4" s="1">
        <v>1</v>
      </c>
      <c r="E4" s="1">
        <v>22</v>
      </c>
      <c r="F4" s="1">
        <v>1.96</v>
      </c>
      <c r="G4" s="1">
        <v>88</v>
      </c>
      <c r="H4" s="1">
        <v>22.907122032486466</v>
      </c>
      <c r="I4" s="1">
        <v>0</v>
      </c>
      <c r="J4" s="1">
        <v>1</v>
      </c>
      <c r="K4" s="11">
        <v>2</v>
      </c>
      <c r="AR4" s="15">
        <f>18.13*((1/1.1227))</f>
        <v>16.148570410617261</v>
      </c>
      <c r="AS4" s="17">
        <f>11.396*((1/1.1227))</f>
        <v>10.150529972387993</v>
      </c>
      <c r="AT4" s="27" t="s">
        <v>11</v>
      </c>
      <c r="AU4" s="11" t="s">
        <v>11</v>
      </c>
      <c r="AV4" s="11" t="s">
        <v>12</v>
      </c>
      <c r="AW4" s="11" t="s">
        <v>12</v>
      </c>
      <c r="AX4" s="11" t="s">
        <v>14</v>
      </c>
      <c r="AY4" s="11" t="s">
        <v>14</v>
      </c>
      <c r="AZ4" s="11"/>
      <c r="BA4" s="11"/>
      <c r="BB4" s="11"/>
      <c r="BD4" s="1">
        <f>1.11066666666667*((1/1.1227))</f>
        <v>0.98928179092070012</v>
      </c>
      <c r="BE4" s="1">
        <f>2.66933333333333*((1/1.1227))</f>
        <v>2.377601615153941</v>
      </c>
      <c r="BF4" s="1">
        <f>2.80466666666667*((1/1.1227))</f>
        <v>2.49814435438378</v>
      </c>
      <c r="BG4" s="1">
        <f>3.03333333333333*((1/1.1227))</f>
        <v>2.7018200172203883</v>
      </c>
      <c r="BH4" s="1">
        <f>7.31266666666667*((1/1.1227))</f>
        <v>6.5134645645913158</v>
      </c>
      <c r="BI4" s="1">
        <f>6.90666666666667*((1/1.1227))</f>
        <v>6.1518363469018169</v>
      </c>
      <c r="BJ4" s="1">
        <f t="shared" si="0"/>
        <v>0</v>
      </c>
      <c r="BK4" s="1">
        <f t="shared" si="0"/>
        <v>0</v>
      </c>
      <c r="BL4" s="1">
        <f t="shared" si="0"/>
        <v>0</v>
      </c>
      <c r="BM4" s="17">
        <f t="shared" si="0"/>
        <v>0</v>
      </c>
      <c r="BN4" s="1">
        <f t="shared" si="2"/>
        <v>0.98928179092070012</v>
      </c>
      <c r="BO4" s="1">
        <f t="shared" si="3"/>
        <v>2.377601615153941</v>
      </c>
      <c r="BP4" s="1">
        <f t="shared" si="4"/>
        <v>2.49814435438378</v>
      </c>
      <c r="BQ4" s="1">
        <f t="shared" si="5"/>
        <v>2.7018200172203883</v>
      </c>
      <c r="BR4" s="1">
        <f t="shared" si="6"/>
        <v>6.5134645645913158</v>
      </c>
      <c r="BS4" s="1">
        <f t="shared" si="7"/>
        <v>6.1518363469018169</v>
      </c>
      <c r="BT4" s="1">
        <f t="shared" si="8"/>
        <v>0</v>
      </c>
      <c r="BU4" s="17">
        <f t="shared" si="9"/>
        <v>0</v>
      </c>
      <c r="BV4" s="22" t="s">
        <v>11</v>
      </c>
      <c r="BW4" s="11" t="s">
        <v>11</v>
      </c>
      <c r="BX4" s="11" t="s">
        <v>12</v>
      </c>
      <c r="BY4" s="11" t="s">
        <v>12</v>
      </c>
      <c r="BZ4" s="11" t="s">
        <v>14</v>
      </c>
      <c r="CA4" s="11" t="s">
        <v>14</v>
      </c>
      <c r="CB4" s="11"/>
      <c r="CC4" s="11"/>
      <c r="CD4" s="11"/>
      <c r="CF4" s="1">
        <f>1.47933333333333*(1/1.1227)</f>
        <v>1.3176568391674801</v>
      </c>
      <c r="CG4" s="1">
        <f>2.76266666666667*(1/1.1227)</f>
        <v>2.4607345387607285</v>
      </c>
      <c r="CH4" s="1">
        <f>2.79733333333333*(1/1.1227)</f>
        <v>2.4916124818146699</v>
      </c>
      <c r="CI4" s="1">
        <f>2.85133333333333*(1/1.1227)</f>
        <v>2.5397108161871649</v>
      </c>
      <c r="CJ4" s="1">
        <f>5.726*(1/1.1227)</f>
        <v>5.1002048632760308</v>
      </c>
      <c r="CK4" s="1">
        <f>7.34533333333333*(1/1.1227)</f>
        <v>6.5425610878536826</v>
      </c>
      <c r="CL4" s="1">
        <f t="shared" si="1"/>
        <v>0</v>
      </c>
      <c r="CM4" s="1">
        <f t="shared" si="1"/>
        <v>0</v>
      </c>
      <c r="CN4" s="1">
        <f t="shared" si="1"/>
        <v>0</v>
      </c>
      <c r="CO4" s="1">
        <f t="shared" si="1"/>
        <v>0</v>
      </c>
      <c r="CP4" s="1">
        <f t="shared" ref="CP4:CP16" si="17">IF($BV4="A",$CF4,IF($BX4="A",$CH4,IF($BZ4="A",$CJ4,IF($CB4="A",$CL4,IF($CD4="A",$CN4,0)))))</f>
        <v>1.3176568391674801</v>
      </c>
      <c r="CQ4" s="1">
        <f t="shared" si="10"/>
        <v>2.4607345387607285</v>
      </c>
      <c r="CR4" s="1">
        <f t="shared" si="11"/>
        <v>2.4916124818146699</v>
      </c>
      <c r="CS4" s="1">
        <f t="shared" si="12"/>
        <v>2.5397108161871649</v>
      </c>
      <c r="CT4" s="1">
        <f t="shared" si="13"/>
        <v>5.1002048632760308</v>
      </c>
      <c r="CU4" s="1">
        <f t="shared" si="14"/>
        <v>6.5425610878536826</v>
      </c>
      <c r="CV4" s="1">
        <f t="shared" si="15"/>
        <v>0</v>
      </c>
      <c r="CW4" s="1">
        <f t="shared" si="16"/>
        <v>0</v>
      </c>
      <c r="CX4" s="11"/>
    </row>
    <row r="5" spans="1:103" x14ac:dyDescent="0.35">
      <c r="A5" s="1">
        <v>5</v>
      </c>
      <c r="B5" s="1">
        <v>1</v>
      </c>
      <c r="C5" s="1">
        <v>0</v>
      </c>
      <c r="D5" s="1">
        <v>0</v>
      </c>
      <c r="E5" s="1">
        <v>21</v>
      </c>
      <c r="F5" s="1">
        <v>1.71</v>
      </c>
      <c r="G5" s="1">
        <v>63</v>
      </c>
      <c r="H5" s="1">
        <v>21.545090797168363</v>
      </c>
      <c r="I5" s="1">
        <v>0</v>
      </c>
      <c r="J5" s="1">
        <v>0</v>
      </c>
      <c r="K5" s="11">
        <v>0</v>
      </c>
      <c r="AR5" s="15">
        <f>19.642*((1/1.1227))</f>
        <v>17.495323773047119</v>
      </c>
      <c r="AS5" s="17">
        <f>10.36*((1/1.1227))</f>
        <v>9.22775452035272</v>
      </c>
      <c r="AT5" s="27" t="s">
        <v>12</v>
      </c>
      <c r="AU5" s="11" t="s">
        <v>11</v>
      </c>
      <c r="AV5" s="11"/>
      <c r="AW5" s="11" t="s">
        <v>12</v>
      </c>
      <c r="AX5" s="11"/>
      <c r="AY5" s="11" t="s">
        <v>13</v>
      </c>
      <c r="AZ5" s="11"/>
      <c r="BA5" s="11"/>
      <c r="BB5" s="11"/>
      <c r="BD5" s="1">
        <f>1.77333333333333*((1/1.1227))</f>
        <v>1.5795255485288413</v>
      </c>
      <c r="BE5" s="1">
        <f>2.13733333333333*((1/1.1227))</f>
        <v>1.9037439505952882</v>
      </c>
      <c r="BF5" s="1">
        <f>0*((1/1.1227))</f>
        <v>0</v>
      </c>
      <c r="BG5" s="1">
        <f>4.844*((1/1.1227))</f>
        <v>4.3145987351919484</v>
      </c>
      <c r="BH5" s="1">
        <f>0*((1/1.1227))</f>
        <v>0</v>
      </c>
      <c r="BI5" s="1">
        <f>7.42*((1/1.1227))</f>
        <v>6.6090674267391103</v>
      </c>
      <c r="BJ5" s="1">
        <f t="shared" si="0"/>
        <v>0</v>
      </c>
      <c r="BK5" s="1">
        <f t="shared" si="0"/>
        <v>0</v>
      </c>
      <c r="BL5" s="1">
        <f t="shared" si="0"/>
        <v>0</v>
      </c>
      <c r="BM5" s="17">
        <f t="shared" si="0"/>
        <v>0</v>
      </c>
      <c r="BN5" s="1">
        <f t="shared" si="2"/>
        <v>0</v>
      </c>
      <c r="BO5" s="1">
        <f t="shared" si="3"/>
        <v>1.9037439505952882</v>
      </c>
      <c r="BP5" s="1">
        <f t="shared" si="4"/>
        <v>1.5795255485288413</v>
      </c>
      <c r="BQ5" s="1">
        <f t="shared" si="5"/>
        <v>4.3145987351919484</v>
      </c>
      <c r="BR5" s="1">
        <f t="shared" si="6"/>
        <v>0</v>
      </c>
      <c r="BS5" s="1">
        <f t="shared" si="7"/>
        <v>0</v>
      </c>
      <c r="BT5" s="1">
        <f t="shared" si="8"/>
        <v>0</v>
      </c>
      <c r="BU5" s="17">
        <f t="shared" si="9"/>
        <v>6.6090674267391103</v>
      </c>
      <c r="BV5" s="22" t="s">
        <v>12</v>
      </c>
      <c r="BW5" s="11" t="s">
        <v>11</v>
      </c>
      <c r="BX5" s="11"/>
      <c r="BY5" s="11" t="s">
        <v>12</v>
      </c>
      <c r="BZ5" s="11"/>
      <c r="CA5" s="11" t="s">
        <v>13</v>
      </c>
      <c r="CB5" s="11"/>
      <c r="CC5" s="11"/>
      <c r="CD5" s="11"/>
      <c r="CF5" s="1">
        <f>2.436*(1/1.1227)</f>
        <v>2.1697693061369909</v>
      </c>
      <c r="CG5" s="1">
        <f>3.04733333333333*(1/1.1227)</f>
        <v>2.7142899557614055</v>
      </c>
      <c r="CH5" s="1">
        <f>0*(1/1.1227)</f>
        <v>0</v>
      </c>
      <c r="CI5" s="1">
        <f>3.89666666666667*(1/1.1227)</f>
        <v>3.4707995605831208</v>
      </c>
      <c r="CJ5" s="1">
        <f>0*(1/1.1227)</f>
        <v>0</v>
      </c>
      <c r="CK5" s="1">
        <f>7.77466666666667*(1/1.1227)</f>
        <v>6.9249725364448826</v>
      </c>
      <c r="CL5" s="1">
        <f t="shared" si="1"/>
        <v>0</v>
      </c>
      <c r="CM5" s="1">
        <f t="shared" si="1"/>
        <v>0</v>
      </c>
      <c r="CN5" s="1">
        <f t="shared" si="1"/>
        <v>0</v>
      </c>
      <c r="CO5" s="1">
        <f t="shared" si="1"/>
        <v>0</v>
      </c>
      <c r="CP5" s="1">
        <f t="shared" si="17"/>
        <v>0</v>
      </c>
      <c r="CQ5" s="1">
        <f t="shared" si="10"/>
        <v>2.7142899557614055</v>
      </c>
      <c r="CR5" s="1">
        <f t="shared" si="11"/>
        <v>2.1697693061369909</v>
      </c>
      <c r="CS5" s="1">
        <f t="shared" si="12"/>
        <v>3.4707995605831208</v>
      </c>
      <c r="CT5" s="1">
        <f t="shared" si="13"/>
        <v>0</v>
      </c>
      <c r="CU5" s="1">
        <f t="shared" si="14"/>
        <v>0</v>
      </c>
      <c r="CV5" s="1">
        <f t="shared" si="15"/>
        <v>0</v>
      </c>
      <c r="CW5" s="1">
        <f t="shared" si="16"/>
        <v>6.9249725364448826</v>
      </c>
      <c r="CX5" s="11"/>
    </row>
    <row r="6" spans="1:103" x14ac:dyDescent="0.35">
      <c r="A6" s="1">
        <v>6</v>
      </c>
      <c r="B6" s="1">
        <v>1</v>
      </c>
      <c r="C6" s="1">
        <v>0</v>
      </c>
      <c r="D6" s="1">
        <v>1</v>
      </c>
      <c r="E6" s="1">
        <v>18</v>
      </c>
      <c r="F6" s="1">
        <v>1.88</v>
      </c>
      <c r="G6" s="1">
        <v>85</v>
      </c>
      <c r="H6" s="1">
        <v>24.049343594386603</v>
      </c>
      <c r="I6" s="1">
        <v>0</v>
      </c>
      <c r="J6" s="1">
        <v>0</v>
      </c>
      <c r="K6" s="11">
        <v>0</v>
      </c>
      <c r="AR6" s="15">
        <f>13.104*((1/1.1227))</f>
        <v>11.671862474392089</v>
      </c>
      <c r="AS6" s="17">
        <f>10.94*((1/1.1227))</f>
        <v>9.7443662599091461</v>
      </c>
      <c r="AT6" s="27" t="s">
        <v>11</v>
      </c>
      <c r="AU6" s="11" t="s">
        <v>11</v>
      </c>
      <c r="AV6" s="11" t="s">
        <v>12</v>
      </c>
      <c r="AW6" s="11" t="s">
        <v>12</v>
      </c>
      <c r="AX6" s="11" t="s">
        <v>13</v>
      </c>
      <c r="AY6" s="11" t="s">
        <v>14</v>
      </c>
      <c r="AZ6" s="11" t="s">
        <v>14</v>
      </c>
      <c r="BA6" s="11" t="s">
        <v>13</v>
      </c>
      <c r="BB6" s="11" t="s">
        <v>13</v>
      </c>
      <c r="BD6" s="1">
        <f>2.31933333333333*((1/1.1227))</f>
        <v>2.0658531516285117</v>
      </c>
      <c r="BE6" s="1">
        <f>2.772*((1/1.1227))</f>
        <v>2.4690478311214035</v>
      </c>
      <c r="BF6" s="1">
        <f>3.74733333333333*((1/1.1227))</f>
        <v>3.337786882812265</v>
      </c>
      <c r="BG6" s="1">
        <f>3.84066666666667*((1/1.1227))</f>
        <v>3.420919806419052</v>
      </c>
      <c r="BH6" s="1">
        <f>6.77133333333333*((1/1.1227))</f>
        <v>6.0312936076719783</v>
      </c>
      <c r="BI6" s="1">
        <f>6.77133333333333*((1/1.1227))</f>
        <v>6.0312936076719783</v>
      </c>
      <c r="BJ6" s="1">
        <f>6.51*((1/1.1227))</f>
        <v>5.7985214215729934</v>
      </c>
      <c r="BK6" s="1">
        <f>9.60866666666667*((1/1.1227))</f>
        <v>8.558534485318134</v>
      </c>
      <c r="BL6" s="1">
        <f>8.65666666666667*((1/1.1227))</f>
        <v>7.7105786645289651</v>
      </c>
      <c r="BM6" s="17">
        <f t="shared" ref="BM6:BM16" si="18">0*((1/1.1227))</f>
        <v>0</v>
      </c>
      <c r="BN6" s="1">
        <f t="shared" si="2"/>
        <v>2.0658531516285117</v>
      </c>
      <c r="BO6" s="1">
        <f t="shared" si="3"/>
        <v>2.4690478311214035</v>
      </c>
      <c r="BP6" s="1">
        <f t="shared" si="4"/>
        <v>3.337786882812265</v>
      </c>
      <c r="BQ6" s="1">
        <f t="shared" si="5"/>
        <v>3.420919806419052</v>
      </c>
      <c r="BR6" s="1">
        <f t="shared" si="6"/>
        <v>5.7985214215729934</v>
      </c>
      <c r="BS6" s="1">
        <f t="shared" si="7"/>
        <v>6.0312936076719783</v>
      </c>
      <c r="BT6" s="1">
        <f t="shared" si="8"/>
        <v>6.0312936076719783</v>
      </c>
      <c r="BU6" s="17">
        <f t="shared" si="9"/>
        <v>8.558534485318134</v>
      </c>
      <c r="BV6" s="22" t="s">
        <v>11</v>
      </c>
      <c r="BW6" s="11" t="s">
        <v>11</v>
      </c>
      <c r="BX6" s="11" t="s">
        <v>12</v>
      </c>
      <c r="BY6" s="11" t="s">
        <v>12</v>
      </c>
      <c r="BZ6" s="11" t="s">
        <v>13</v>
      </c>
      <c r="CA6" s="11" t="s">
        <v>14</v>
      </c>
      <c r="CB6" s="11" t="s">
        <v>14</v>
      </c>
      <c r="CC6" s="11" t="s">
        <v>13</v>
      </c>
      <c r="CD6" s="11" t="s">
        <v>13</v>
      </c>
      <c r="CF6" s="1">
        <f>2.772*(1/1.1227)</f>
        <v>2.4690478311214035</v>
      </c>
      <c r="CG6" s="1">
        <f>3.87333333333333*(1/1.1227)</f>
        <v>3.4500163296814197</v>
      </c>
      <c r="CH6" s="1">
        <f>3.65866666666667*(1/1.1227)</f>
        <v>3.2588106053858286</v>
      </c>
      <c r="CI6" s="1">
        <f>5.43666666666667*(1/1.1227)</f>
        <v>4.8424928000950116</v>
      </c>
      <c r="CJ6" s="1">
        <f>5.964*(1/1.1227)</f>
        <v>5.3121938184733235</v>
      </c>
      <c r="CK6" s="1">
        <f>7.57866666666667*(1/1.1227)</f>
        <v>6.750393396870642</v>
      </c>
      <c r="CL6" s="1">
        <f>6.328*(1/1.1227)</f>
        <v>5.6364122205397704</v>
      </c>
      <c r="CM6" s="1">
        <f>9.562*(1/1.1227)</f>
        <v>8.5169680235147407</v>
      </c>
      <c r="CN6" s="1">
        <f>8.78266666666667*(1/1.1227)</f>
        <v>7.8228081113981194</v>
      </c>
      <c r="CO6" s="1">
        <f t="shared" ref="CO6:CO16" si="19">0*(1/1.1227)</f>
        <v>0</v>
      </c>
      <c r="CP6" s="1">
        <f t="shared" si="17"/>
        <v>2.4690478311214035</v>
      </c>
      <c r="CQ6" s="1">
        <f t="shared" si="10"/>
        <v>3.4500163296814197</v>
      </c>
      <c r="CR6" s="1">
        <f t="shared" si="11"/>
        <v>3.2588106053858286</v>
      </c>
      <c r="CS6" s="1">
        <f t="shared" si="12"/>
        <v>4.8424928000950116</v>
      </c>
      <c r="CT6" s="1">
        <f t="shared" si="13"/>
        <v>5.6364122205397704</v>
      </c>
      <c r="CU6" s="1">
        <f t="shared" si="14"/>
        <v>6.750393396870642</v>
      </c>
      <c r="CV6" s="1">
        <f t="shared" si="15"/>
        <v>5.3121938184733235</v>
      </c>
      <c r="CW6" s="1">
        <f t="shared" si="16"/>
        <v>8.5169680235147407</v>
      </c>
      <c r="CX6" s="11"/>
    </row>
    <row r="7" spans="1:103" x14ac:dyDescent="0.35">
      <c r="A7" s="1">
        <v>7</v>
      </c>
      <c r="B7" s="1">
        <v>1</v>
      </c>
      <c r="C7" s="1">
        <v>0</v>
      </c>
      <c r="D7" s="1">
        <v>1</v>
      </c>
      <c r="E7" s="1">
        <v>20</v>
      </c>
      <c r="F7" s="1">
        <v>1.93</v>
      </c>
      <c r="G7" s="1">
        <v>74</v>
      </c>
      <c r="H7" s="1">
        <v>19.866305135708341</v>
      </c>
      <c r="I7" s="1">
        <v>0</v>
      </c>
      <c r="J7" s="1">
        <v>0</v>
      </c>
      <c r="K7" s="11">
        <v>0</v>
      </c>
      <c r="AR7" s="15">
        <f>12.978*((1/1.1227))</f>
        <v>11.559633027522935</v>
      </c>
      <c r="AS7" s="17">
        <f>12.992*((1/1.1227))</f>
        <v>11.572102966063953</v>
      </c>
      <c r="AT7" s="27" t="s">
        <v>11</v>
      </c>
      <c r="AU7" s="11" t="s">
        <v>11</v>
      </c>
      <c r="AV7" s="11" t="s">
        <v>12</v>
      </c>
      <c r="AW7" s="11" t="s">
        <v>12</v>
      </c>
      <c r="AX7" s="11" t="s">
        <v>13</v>
      </c>
      <c r="AY7" s="11" t="s">
        <v>13</v>
      </c>
      <c r="AZ7" s="11"/>
      <c r="BA7" s="11"/>
      <c r="BB7" s="11"/>
      <c r="BD7" s="1">
        <f>1.74066666666667*((1/1.1227))</f>
        <v>1.5504290252664736</v>
      </c>
      <c r="BE7" s="1">
        <f>1.82933333333333*((1/1.1227))</f>
        <v>1.6294053026929098</v>
      </c>
      <c r="BF7" s="1">
        <f>7.448*((1/1.1227))</f>
        <v>6.6340073038211456</v>
      </c>
      <c r="BG7" s="1">
        <f>7.28266666666667*((1/1.1227))</f>
        <v>6.4867432677177073</v>
      </c>
      <c r="BH7" s="1">
        <f>11.7926666666667*((1/1.1227))</f>
        <v>10.503844897716842</v>
      </c>
      <c r="BI7" s="1">
        <f>12.3713333333333*((1/1.1227))</f>
        <v>11.019269024078827</v>
      </c>
      <c r="BJ7" s="1">
        <f>0*((1/1.1227))</f>
        <v>0</v>
      </c>
      <c r="BK7" s="1">
        <f>0*((1/1.1227))</f>
        <v>0</v>
      </c>
      <c r="BL7" s="1">
        <f>0*((1/1.1227))</f>
        <v>0</v>
      </c>
      <c r="BM7" s="17">
        <f t="shared" si="18"/>
        <v>0</v>
      </c>
      <c r="BN7" s="1">
        <f t="shared" si="2"/>
        <v>1.5504290252664736</v>
      </c>
      <c r="BO7" s="1">
        <f t="shared" si="3"/>
        <v>1.6294053026929098</v>
      </c>
      <c r="BP7" s="1">
        <f t="shared" si="4"/>
        <v>6.6340073038211456</v>
      </c>
      <c r="BQ7" s="1">
        <f t="shared" si="5"/>
        <v>6.4867432677177073</v>
      </c>
      <c r="BR7" s="1">
        <f t="shared" si="6"/>
        <v>0</v>
      </c>
      <c r="BS7" s="1">
        <f t="shared" si="7"/>
        <v>0</v>
      </c>
      <c r="BT7" s="1">
        <f t="shared" si="8"/>
        <v>10.503844897716842</v>
      </c>
      <c r="BU7" s="17">
        <f t="shared" si="9"/>
        <v>11.019269024078827</v>
      </c>
      <c r="BV7" s="22" t="s">
        <v>11</v>
      </c>
      <c r="BW7" s="11" t="s">
        <v>11</v>
      </c>
      <c r="BX7" s="11" t="s">
        <v>12</v>
      </c>
      <c r="BY7" s="11" t="s">
        <v>12</v>
      </c>
      <c r="BZ7" s="11" t="s">
        <v>13</v>
      </c>
      <c r="CA7" s="11" t="s">
        <v>13</v>
      </c>
      <c r="CB7" s="11"/>
      <c r="CC7" s="11"/>
      <c r="CD7" s="11"/>
      <c r="CF7" s="1">
        <f>1.932*(1/1.1227)</f>
        <v>1.7208515186603721</v>
      </c>
      <c r="CG7" s="1">
        <f>2.22133333333333*(1/1.1227)</f>
        <v>1.9785635818413911</v>
      </c>
      <c r="CH7" s="1">
        <f>7.391*(1/1.1227)</f>
        <v>6.5832368397612893</v>
      </c>
      <c r="CI7" s="1">
        <f>6.40266666666667*(1/1.1227)</f>
        <v>5.7029185594251981</v>
      </c>
      <c r="CJ7" s="1">
        <f>11.8813333333333*(1/1.1227)</f>
        <v>10.582821175143225</v>
      </c>
      <c r="CK7" s="1">
        <f>12.6326666666667*(1/1.1227)</f>
        <v>11.252041210177874</v>
      </c>
      <c r="CL7" s="1">
        <f>0*(1/1.1227)</f>
        <v>0</v>
      </c>
      <c r="CM7" s="1">
        <f>0*(1/1.1227)</f>
        <v>0</v>
      </c>
      <c r="CN7" s="1">
        <f>0*(1/1.1227)</f>
        <v>0</v>
      </c>
      <c r="CO7" s="1">
        <f t="shared" si="19"/>
        <v>0</v>
      </c>
      <c r="CP7" s="1">
        <f t="shared" si="17"/>
        <v>1.7208515186603721</v>
      </c>
      <c r="CQ7" s="1">
        <f t="shared" si="10"/>
        <v>1.9785635818413911</v>
      </c>
      <c r="CR7" s="1">
        <f t="shared" si="11"/>
        <v>6.5832368397612893</v>
      </c>
      <c r="CS7" s="1">
        <f t="shared" si="12"/>
        <v>5.7029185594251981</v>
      </c>
      <c r="CT7" s="1">
        <f t="shared" si="13"/>
        <v>0</v>
      </c>
      <c r="CU7" s="1">
        <f t="shared" si="14"/>
        <v>0</v>
      </c>
      <c r="CV7" s="1">
        <f t="shared" si="15"/>
        <v>10.582821175143225</v>
      </c>
      <c r="CW7" s="1">
        <f t="shared" si="16"/>
        <v>11.252041210177874</v>
      </c>
      <c r="CX7" s="11"/>
    </row>
    <row r="8" spans="1:103" x14ac:dyDescent="0.35">
      <c r="A8" s="1">
        <v>8</v>
      </c>
      <c r="B8" s="1">
        <v>1</v>
      </c>
      <c r="C8" s="1">
        <v>0</v>
      </c>
      <c r="D8" s="1">
        <v>0</v>
      </c>
      <c r="E8" s="1">
        <v>23</v>
      </c>
      <c r="F8" s="1">
        <v>1.67</v>
      </c>
      <c r="G8" s="1">
        <v>58</v>
      </c>
      <c r="H8" s="1">
        <v>20.796729893506402</v>
      </c>
      <c r="I8" s="1">
        <v>0</v>
      </c>
      <c r="J8" s="1">
        <v>0</v>
      </c>
      <c r="K8" s="11">
        <v>1</v>
      </c>
      <c r="AR8" s="15">
        <f>9.54*((1/1.1227))</f>
        <v>8.4973724058074271</v>
      </c>
      <c r="AS8" s="17">
        <f>5.628*((1/1.1227))</f>
        <v>5.012915293488911</v>
      </c>
      <c r="AT8" s="27" t="s">
        <v>11</v>
      </c>
      <c r="AU8" s="11" t="s">
        <v>11</v>
      </c>
      <c r="AV8" s="11" t="s">
        <v>12</v>
      </c>
      <c r="AW8" s="11" t="s">
        <v>12</v>
      </c>
      <c r="AX8" s="11" t="s">
        <v>14</v>
      </c>
      <c r="AY8" s="11" t="s">
        <v>14</v>
      </c>
      <c r="AZ8" s="11" t="s">
        <v>13</v>
      </c>
      <c r="BA8" s="11"/>
      <c r="BB8" s="11"/>
      <c r="BD8" s="1">
        <f>1.39066666666667*((1/1.1227))</f>
        <v>1.2386805617410439</v>
      </c>
      <c r="BE8" s="1">
        <f>0.807333333333333*((1/1.1227))</f>
        <v>0.71909978919865769</v>
      </c>
      <c r="BF8" s="1">
        <f>1.85266666666667*((1/1.1227))</f>
        <v>1.6501885335946112</v>
      </c>
      <c r="BG8" s="1">
        <f>1.414*((1/1.1227))</f>
        <v>1.2594637926427361</v>
      </c>
      <c r="BH8" s="1">
        <f>4.11133333333333*((1/1.1227))</f>
        <v>3.6620052848787119</v>
      </c>
      <c r="BI8" s="1">
        <f>3.85466666666667*((1/1.1227))</f>
        <v>3.4333897449600692</v>
      </c>
      <c r="BJ8" s="1">
        <f>4.774*((1/1.1227))</f>
        <v>4.252249042486862</v>
      </c>
      <c r="BK8" s="1">
        <f>0*((1/1.1227))</f>
        <v>0</v>
      </c>
      <c r="BL8" s="1">
        <f>0*((1/1.1227))</f>
        <v>0</v>
      </c>
      <c r="BM8" s="17">
        <f t="shared" si="18"/>
        <v>0</v>
      </c>
      <c r="BN8" s="1">
        <f t="shared" si="2"/>
        <v>1.2386805617410439</v>
      </c>
      <c r="BO8" s="1">
        <f t="shared" si="3"/>
        <v>0.71909978919865769</v>
      </c>
      <c r="BP8" s="1">
        <f t="shared" si="4"/>
        <v>1.6501885335946112</v>
      </c>
      <c r="BQ8" s="1">
        <f t="shared" si="5"/>
        <v>1.2594637926427361</v>
      </c>
      <c r="BR8" s="1">
        <f t="shared" si="6"/>
        <v>3.6620052848787119</v>
      </c>
      <c r="BS8" s="1">
        <f t="shared" si="7"/>
        <v>3.4333897449600692</v>
      </c>
      <c r="BT8" s="1">
        <f t="shared" si="8"/>
        <v>4.252249042486862</v>
      </c>
      <c r="BU8" s="17">
        <f t="shared" si="9"/>
        <v>0</v>
      </c>
      <c r="BV8" s="22" t="s">
        <v>11</v>
      </c>
      <c r="BW8" s="11" t="s">
        <v>11</v>
      </c>
      <c r="BX8" s="11" t="s">
        <v>12</v>
      </c>
      <c r="BY8" s="11" t="s">
        <v>12</v>
      </c>
      <c r="BZ8" s="11" t="s">
        <v>14</v>
      </c>
      <c r="CA8" s="11" t="s">
        <v>14</v>
      </c>
      <c r="CB8" s="11" t="s">
        <v>13</v>
      </c>
      <c r="CC8" s="11"/>
      <c r="CD8" s="11"/>
      <c r="CF8" s="1">
        <f>1.218*(1/1.1227)</f>
        <v>1.0848846530684955</v>
      </c>
      <c r="CG8" s="1">
        <f>1.75466666666667*(1/1.1227)</f>
        <v>1.5628989638074908</v>
      </c>
      <c r="CH8" s="1">
        <f>2.31933333333333*(1/1.1227)</f>
        <v>2.0658531516285117</v>
      </c>
      <c r="CI8" s="1">
        <f>2.05333333333333*(1/1.1227)</f>
        <v>1.8289243193491851</v>
      </c>
      <c r="CJ8" s="1">
        <f>3.8688*(1/1.1227)</f>
        <v>3.4459784448205215</v>
      </c>
      <c r="CK8" s="1">
        <f>5.04933333333333*(1/1.1227)</f>
        <v>4.4974911671268636</v>
      </c>
      <c r="CL8" s="1">
        <f>5.74866666666667*(1/1.1227)</f>
        <v>5.1203942875805382</v>
      </c>
      <c r="CM8" s="1">
        <f>0*(1/1.1227)</f>
        <v>0</v>
      </c>
      <c r="CN8" s="1">
        <f>0*(1/1.1227)</f>
        <v>0</v>
      </c>
      <c r="CO8" s="1">
        <f t="shared" si="19"/>
        <v>0</v>
      </c>
      <c r="CP8" s="1">
        <f t="shared" si="17"/>
        <v>1.0848846530684955</v>
      </c>
      <c r="CQ8" s="1">
        <f t="shared" si="10"/>
        <v>1.5628989638074908</v>
      </c>
      <c r="CR8" s="1">
        <f t="shared" si="11"/>
        <v>2.0658531516285117</v>
      </c>
      <c r="CS8" s="1">
        <f t="shared" si="12"/>
        <v>1.8289243193491851</v>
      </c>
      <c r="CT8" s="1">
        <f t="shared" si="13"/>
        <v>3.4459784448205215</v>
      </c>
      <c r="CU8" s="1">
        <f t="shared" si="14"/>
        <v>4.4974911671268636</v>
      </c>
      <c r="CV8" s="1">
        <f t="shared" si="15"/>
        <v>5.1203942875805382</v>
      </c>
      <c r="CW8" s="1">
        <f t="shared" si="16"/>
        <v>0</v>
      </c>
      <c r="CX8" s="11"/>
    </row>
    <row r="9" spans="1:103" x14ac:dyDescent="0.35">
      <c r="A9" s="1">
        <v>9</v>
      </c>
      <c r="B9" s="1">
        <v>1</v>
      </c>
      <c r="C9" s="1">
        <v>0</v>
      </c>
      <c r="D9" s="1">
        <v>0</v>
      </c>
      <c r="E9" s="1">
        <v>21</v>
      </c>
      <c r="F9" s="1">
        <v>1.6</v>
      </c>
      <c r="G9" s="1">
        <v>70</v>
      </c>
      <c r="H9" s="1">
        <v>27.343749999999996</v>
      </c>
      <c r="I9" s="1">
        <v>0</v>
      </c>
      <c r="J9" s="1">
        <v>0</v>
      </c>
      <c r="K9" s="11">
        <v>0</v>
      </c>
      <c r="AR9" s="15">
        <f>4.928*((1/1.1227))</f>
        <v>4.3894183664380506</v>
      </c>
      <c r="AS9" s="17">
        <f>4.004*((1/1.1227))</f>
        <v>3.5664024227309161</v>
      </c>
      <c r="AT9" s="27" t="s">
        <v>11</v>
      </c>
      <c r="AU9" s="11" t="s">
        <v>11</v>
      </c>
      <c r="AV9" s="11" t="s">
        <v>12</v>
      </c>
      <c r="AW9" s="11" t="s">
        <v>12</v>
      </c>
      <c r="AX9" s="11" t="s">
        <v>13</v>
      </c>
      <c r="AY9" s="11" t="s">
        <v>13</v>
      </c>
      <c r="AZ9" s="11"/>
      <c r="BA9" s="11"/>
      <c r="BB9" s="11"/>
      <c r="BD9" s="1">
        <f>0.98*((1/1.1227))</f>
        <v>0.87289569787120325</v>
      </c>
      <c r="BE9" s="1">
        <f>1.26*((1/1.1227))</f>
        <v>1.122294468691547</v>
      </c>
      <c r="BF9" s="1">
        <f>1.32533333333333*((1/1.1227))</f>
        <v>1.180487515216291</v>
      </c>
      <c r="BG9" s="1">
        <f>1.85733333333333*((1/1.1227))</f>
        <v>1.6543451797749442</v>
      </c>
      <c r="BH9" s="1">
        <f>2.52466666666667*((1/1.1227))</f>
        <v>2.2487455835634362</v>
      </c>
      <c r="BI9" s="1">
        <f>2.76733333333333*((1/1.1227))</f>
        <v>2.4648911849410617</v>
      </c>
      <c r="BJ9" s="1">
        <f>0*((1/1.1227))</f>
        <v>0</v>
      </c>
      <c r="BK9" s="1">
        <f>0*((1/1.1227))</f>
        <v>0</v>
      </c>
      <c r="BL9" s="1">
        <f>0*((1/1.1227))</f>
        <v>0</v>
      </c>
      <c r="BM9" s="17">
        <f t="shared" si="18"/>
        <v>0</v>
      </c>
      <c r="BN9" s="1">
        <f t="shared" si="2"/>
        <v>0.87289569787120325</v>
      </c>
      <c r="BO9" s="1">
        <f t="shared" si="3"/>
        <v>1.122294468691547</v>
      </c>
      <c r="BP9" s="1">
        <f t="shared" si="4"/>
        <v>1.180487515216291</v>
      </c>
      <c r="BQ9" s="1">
        <f t="shared" si="5"/>
        <v>1.6543451797749442</v>
      </c>
      <c r="BR9" s="1">
        <f t="shared" si="6"/>
        <v>0</v>
      </c>
      <c r="BS9" s="1">
        <f t="shared" si="7"/>
        <v>0</v>
      </c>
      <c r="BT9" s="1">
        <f t="shared" si="8"/>
        <v>2.2487455835634362</v>
      </c>
      <c r="BU9" s="17">
        <f t="shared" si="9"/>
        <v>2.4648911849410617</v>
      </c>
      <c r="BV9" s="22" t="s">
        <v>12</v>
      </c>
      <c r="BW9" s="11" t="s">
        <v>11</v>
      </c>
      <c r="BX9" s="11" t="s">
        <v>11</v>
      </c>
      <c r="BY9" s="11" t="s">
        <v>12</v>
      </c>
      <c r="BZ9" s="11" t="s">
        <v>13</v>
      </c>
      <c r="CA9" s="11" t="s">
        <v>13</v>
      </c>
      <c r="CB9" s="11"/>
      <c r="CC9" s="11"/>
      <c r="CD9" s="11"/>
      <c r="CF9" s="1">
        <f>1.218*(1/1.1227)</f>
        <v>1.0848846530684955</v>
      </c>
      <c r="CG9" s="1">
        <f>1.38133333333333*(1/1.1227)</f>
        <v>1.2303672693803598</v>
      </c>
      <c r="CH9" s="1">
        <f>1.65666666666667*(1/1.1227)</f>
        <v>1.4756093940203705</v>
      </c>
      <c r="CI9" s="1">
        <f>2.20733333333333*(1/1.1227)</f>
        <v>1.9660936433003739</v>
      </c>
      <c r="CJ9" s="1">
        <f>2.66*(1/1.1227)</f>
        <v>2.3692883227932664</v>
      </c>
      <c r="CK9" s="1">
        <f>2.69733333333333*(1/1.1227)</f>
        <v>2.4025414922359754</v>
      </c>
      <c r="CL9" s="1">
        <f>0*(1/1.1227)</f>
        <v>0</v>
      </c>
      <c r="CM9" s="1">
        <f>0*(1/1.1227)</f>
        <v>0</v>
      </c>
      <c r="CN9" s="1">
        <f>0*(1/1.1227)</f>
        <v>0</v>
      </c>
      <c r="CO9" s="1">
        <f t="shared" si="19"/>
        <v>0</v>
      </c>
      <c r="CP9" s="1">
        <f t="shared" si="17"/>
        <v>1.4756093940203705</v>
      </c>
      <c r="CQ9" s="1">
        <f t="shared" si="10"/>
        <v>1.2303672693803598</v>
      </c>
      <c r="CR9" s="1">
        <f t="shared" si="11"/>
        <v>1.0848846530684955</v>
      </c>
      <c r="CS9" s="1">
        <f t="shared" si="12"/>
        <v>1.9660936433003739</v>
      </c>
      <c r="CT9" s="1">
        <f t="shared" si="13"/>
        <v>0</v>
      </c>
      <c r="CU9" s="1">
        <f t="shared" si="14"/>
        <v>0</v>
      </c>
      <c r="CV9" s="1">
        <f t="shared" si="15"/>
        <v>2.3692883227932664</v>
      </c>
      <c r="CW9" s="1">
        <f t="shared" si="16"/>
        <v>2.4025414922359754</v>
      </c>
      <c r="CX9" s="11"/>
    </row>
    <row r="10" spans="1:103" x14ac:dyDescent="0.35">
      <c r="A10" s="1">
        <v>10</v>
      </c>
      <c r="B10" s="1">
        <v>1</v>
      </c>
      <c r="C10" s="1">
        <v>0</v>
      </c>
      <c r="D10" s="1">
        <v>0</v>
      </c>
      <c r="E10" s="1">
        <v>20</v>
      </c>
      <c r="F10" s="1">
        <v>1.6</v>
      </c>
      <c r="G10" s="1">
        <v>55</v>
      </c>
      <c r="H10" s="1">
        <v>21.484374999999996</v>
      </c>
      <c r="I10" s="1">
        <v>1</v>
      </c>
      <c r="J10" s="1">
        <v>0</v>
      </c>
      <c r="K10" s="11">
        <v>0</v>
      </c>
      <c r="AR10" s="15">
        <f>6.734*((1/1.1227))</f>
        <v>5.9980404382292685</v>
      </c>
      <c r="AS10" s="17">
        <f>5.866*((1/1.1227))</f>
        <v>5.2249042486862027</v>
      </c>
      <c r="AT10" s="27" t="s">
        <v>11</v>
      </c>
      <c r="AU10" s="11" t="s">
        <v>11</v>
      </c>
      <c r="AV10" s="11" t="s">
        <v>12</v>
      </c>
      <c r="AW10" s="11" t="s">
        <v>12</v>
      </c>
      <c r="AX10" s="11" t="s">
        <v>14</v>
      </c>
      <c r="AY10" s="11" t="s">
        <v>14</v>
      </c>
      <c r="AZ10" s="11" t="s">
        <v>13</v>
      </c>
      <c r="BA10" s="11" t="s">
        <v>13</v>
      </c>
      <c r="BB10" s="11"/>
      <c r="BD10" s="1">
        <f>0.905333333333333*((1/1.1227))</f>
        <v>0.80638935898577802</v>
      </c>
      <c r="BE10" s="1">
        <f>1.554*((1/1.1227))</f>
        <v>1.3841631780529082</v>
      </c>
      <c r="BF10" s="1">
        <f>2.29133333333333*((1/1.1227))</f>
        <v>2.0409132745464773</v>
      </c>
      <c r="BG10" s="1">
        <f>2.702*((1/1.1227))</f>
        <v>2.4066981384163175</v>
      </c>
      <c r="BH10" s="1">
        <f>4.004*((1/1.1227))</f>
        <v>3.5664024227309161</v>
      </c>
      <c r="BI10" s="1">
        <f>3.948*((1/1.1227))</f>
        <v>3.5165226685668474</v>
      </c>
      <c r="BJ10" s="1">
        <f>5.59066666666667*((1/1.1227))</f>
        <v>4.9796621240462011</v>
      </c>
      <c r="BK10" s="1">
        <f>5.38533333333333*((1/1.1227))</f>
        <v>4.7967696921112761</v>
      </c>
      <c r="BL10" s="1">
        <f t="shared" ref="BL10:BL16" si="20">0*((1/1.1227))</f>
        <v>0</v>
      </c>
      <c r="BM10" s="17">
        <f t="shared" si="18"/>
        <v>0</v>
      </c>
      <c r="BN10" s="1">
        <f t="shared" si="2"/>
        <v>0.80638935898577802</v>
      </c>
      <c r="BO10" s="1">
        <f t="shared" si="3"/>
        <v>1.3841631780529082</v>
      </c>
      <c r="BP10" s="1">
        <f t="shared" si="4"/>
        <v>2.0409132745464773</v>
      </c>
      <c r="BQ10" s="1">
        <f t="shared" si="5"/>
        <v>2.4066981384163175</v>
      </c>
      <c r="BR10" s="1">
        <f t="shared" si="6"/>
        <v>3.5664024227309161</v>
      </c>
      <c r="BS10" s="1">
        <f t="shared" si="7"/>
        <v>3.5165226685668474</v>
      </c>
      <c r="BT10" s="1">
        <f t="shared" si="8"/>
        <v>4.9796621240462011</v>
      </c>
      <c r="BU10" s="17">
        <f t="shared" si="9"/>
        <v>4.7967696921112761</v>
      </c>
      <c r="BV10" s="22" t="s">
        <v>11</v>
      </c>
      <c r="BW10" s="11" t="s">
        <v>11</v>
      </c>
      <c r="BX10" s="11" t="s">
        <v>12</v>
      </c>
      <c r="BY10" s="11" t="s">
        <v>12</v>
      </c>
      <c r="BZ10" s="11" t="s">
        <v>14</v>
      </c>
      <c r="CA10" s="11" t="s">
        <v>14</v>
      </c>
      <c r="CB10" s="11" t="s">
        <v>13</v>
      </c>
      <c r="CC10" s="11" t="s">
        <v>13</v>
      </c>
      <c r="CD10" s="11"/>
      <c r="CF10" s="1">
        <f>1.49333333333333*(1/1.1227)</f>
        <v>1.3301267777084973</v>
      </c>
      <c r="CG10" s="1">
        <f>1.582*(1/1.1227)</f>
        <v>1.4091030551349426</v>
      </c>
      <c r="CH10" s="1">
        <f>2.34266666666667*(1/1.1227)</f>
        <v>2.0866363825302128</v>
      </c>
      <c r="CI10" s="1">
        <f>2.67866666666667*(1/1.1227)</f>
        <v>2.3859149075146253</v>
      </c>
      <c r="CJ10" s="1">
        <f>3.98066666666667*(1/1.1227)</f>
        <v>3.5456191918292244</v>
      </c>
      <c r="CK10" s="1">
        <f>4.704*(1/1.1227)</f>
        <v>4.1898993497817756</v>
      </c>
      <c r="CL10" s="1">
        <f>5.97333333333333*(1/1.1227)</f>
        <v>5.3205071108339981</v>
      </c>
      <c r="CM10" s="1">
        <f>5.894*(1/1.1227)</f>
        <v>5.2498441257682371</v>
      </c>
      <c r="CN10" s="1">
        <f t="shared" ref="CN10:CN16" si="21">0*(1/1.1227)</f>
        <v>0</v>
      </c>
      <c r="CO10" s="1">
        <f t="shared" si="19"/>
        <v>0</v>
      </c>
      <c r="CP10" s="1">
        <f t="shared" si="17"/>
        <v>1.3301267777084973</v>
      </c>
      <c r="CQ10" s="1">
        <f t="shared" si="10"/>
        <v>1.4091030551349426</v>
      </c>
      <c r="CR10" s="1">
        <f t="shared" si="11"/>
        <v>2.0866363825302128</v>
      </c>
      <c r="CS10" s="1">
        <f t="shared" si="12"/>
        <v>2.3859149075146253</v>
      </c>
      <c r="CT10" s="1">
        <f t="shared" si="13"/>
        <v>3.5456191918292244</v>
      </c>
      <c r="CU10" s="1">
        <f t="shared" si="14"/>
        <v>4.1898993497817756</v>
      </c>
      <c r="CV10" s="1">
        <f t="shared" si="15"/>
        <v>5.3205071108339981</v>
      </c>
      <c r="CW10" s="1">
        <f t="shared" si="16"/>
        <v>5.2498441257682371</v>
      </c>
      <c r="CX10" s="11"/>
    </row>
    <row r="11" spans="1:103" x14ac:dyDescent="0.35">
      <c r="A11" s="1">
        <v>11</v>
      </c>
      <c r="B11" s="1">
        <v>1</v>
      </c>
      <c r="C11" s="1">
        <v>0</v>
      </c>
      <c r="D11" s="1">
        <v>0</v>
      </c>
      <c r="E11" s="1">
        <v>22</v>
      </c>
      <c r="F11" s="1">
        <v>1.7</v>
      </c>
      <c r="G11" s="1">
        <v>68</v>
      </c>
      <c r="H11" s="1">
        <v>23.529411764705884</v>
      </c>
      <c r="I11" s="1">
        <v>0</v>
      </c>
      <c r="J11" s="1">
        <v>0</v>
      </c>
      <c r="K11" s="11">
        <v>0</v>
      </c>
      <c r="AR11" s="15">
        <f>6.678*((1/1.1227))</f>
        <v>5.9481606840651997</v>
      </c>
      <c r="AS11" s="17">
        <f>5.796*((1/1.1227))</f>
        <v>5.1625545559811172</v>
      </c>
      <c r="AT11" s="27" t="s">
        <v>12</v>
      </c>
      <c r="AU11" s="11" t="s">
        <v>11</v>
      </c>
      <c r="AV11" s="11" t="s">
        <v>13</v>
      </c>
      <c r="AW11" s="11" t="s">
        <v>12</v>
      </c>
      <c r="AX11" s="11" t="s">
        <v>12</v>
      </c>
      <c r="AY11" s="11" t="s">
        <v>13</v>
      </c>
      <c r="AZ11" s="11" t="s">
        <v>13</v>
      </c>
      <c r="BA11" s="11"/>
      <c r="BB11" s="11"/>
      <c r="BD11" s="1">
        <f>1.11533333333333*((1/1.1227))</f>
        <v>0.99343843710103319</v>
      </c>
      <c r="BE11" s="1">
        <f>1.39533333333333*((1/1.1227))</f>
        <v>1.242837207921377</v>
      </c>
      <c r="BF11" s="1">
        <f>2.884*((1/1.1227))</f>
        <v>2.568807339449541</v>
      </c>
      <c r="BG11" s="1">
        <f>1.932*((1/1.1227))</f>
        <v>1.7208515186603721</v>
      </c>
      <c r="BH11" s="1">
        <f>2.95866666666667*((1/1.1227))</f>
        <v>2.6353136783349691</v>
      </c>
      <c r="BI11" s="1">
        <f>2.86066666666667*((1/1.1227))</f>
        <v>2.5480241085478488</v>
      </c>
      <c r="BJ11" s="1">
        <f>4.66666666666667*((1/1.1227))</f>
        <v>4.1566461803390657</v>
      </c>
      <c r="BK11" s="1">
        <f>0*((1/1.1227))</f>
        <v>0</v>
      </c>
      <c r="BL11" s="1">
        <f t="shared" si="20"/>
        <v>0</v>
      </c>
      <c r="BM11" s="17">
        <f t="shared" si="18"/>
        <v>0</v>
      </c>
      <c r="BN11" s="1">
        <f t="shared" si="2"/>
        <v>0</v>
      </c>
      <c r="BO11" s="1">
        <f t="shared" si="3"/>
        <v>1.242837207921377</v>
      </c>
      <c r="BP11" s="1">
        <f t="shared" si="4"/>
        <v>0.99343843710103319</v>
      </c>
      <c r="BQ11" s="1">
        <f t="shared" si="5"/>
        <v>1.7208515186603721</v>
      </c>
      <c r="BR11" s="1">
        <f t="shared" si="6"/>
        <v>0</v>
      </c>
      <c r="BS11" s="1">
        <f t="shared" si="7"/>
        <v>0</v>
      </c>
      <c r="BT11" s="1">
        <f t="shared" si="8"/>
        <v>2.568807339449541</v>
      </c>
      <c r="BU11" s="17">
        <f t="shared" si="9"/>
        <v>2.5480241085478488</v>
      </c>
      <c r="BV11" s="11" t="s">
        <v>12</v>
      </c>
      <c r="BW11" s="11" t="s">
        <v>11</v>
      </c>
      <c r="BX11" s="11" t="s">
        <v>13</v>
      </c>
      <c r="BY11" s="11" t="s">
        <v>12</v>
      </c>
      <c r="BZ11" s="11" t="s">
        <v>12</v>
      </c>
      <c r="CA11" s="11" t="s">
        <v>13</v>
      </c>
      <c r="CB11" s="11" t="s">
        <v>13</v>
      </c>
      <c r="CC11" s="11"/>
      <c r="CD11" s="11"/>
      <c r="CF11" s="1">
        <f>1.48866666666667*(1/1.1227)</f>
        <v>1.325970131528164</v>
      </c>
      <c r="CG11" s="1">
        <f>1.25066666666667*(1/1.1227)</f>
        <v>1.1139811763308718</v>
      </c>
      <c r="CH11" s="1">
        <f>2.39726666666667*(1/1.1227)</f>
        <v>2.1352691428401798</v>
      </c>
      <c r="CI11" s="1">
        <f>1.804*(1/1.1227)</f>
        <v>1.6068406519996437</v>
      </c>
      <c r="CJ11" s="1">
        <f>3.48133333333333*(1/1.1227)</f>
        <v>3.1008580505329384</v>
      </c>
      <c r="CK11" s="1">
        <f>2.954*(1/1.1227)</f>
        <v>2.6311570321546274</v>
      </c>
      <c r="CL11" s="1">
        <f>5.82866666666667*(1/1.1227)</f>
        <v>5.1916510792434938</v>
      </c>
      <c r="CM11" s="1">
        <f>0*(1/1.1227)</f>
        <v>0</v>
      </c>
      <c r="CN11" s="1">
        <f t="shared" si="21"/>
        <v>0</v>
      </c>
      <c r="CO11" s="1">
        <f t="shared" si="19"/>
        <v>0</v>
      </c>
      <c r="CP11" s="1">
        <f t="shared" si="17"/>
        <v>0</v>
      </c>
      <c r="CQ11" s="1">
        <f t="shared" si="10"/>
        <v>1.1139811763308718</v>
      </c>
      <c r="CR11" s="1">
        <f t="shared" si="11"/>
        <v>1.325970131528164</v>
      </c>
      <c r="CS11" s="1">
        <f t="shared" si="12"/>
        <v>1.6068406519996437</v>
      </c>
      <c r="CT11" s="1">
        <f t="shared" si="13"/>
        <v>0</v>
      </c>
      <c r="CU11" s="1">
        <f t="shared" si="14"/>
        <v>0</v>
      </c>
      <c r="CV11" s="1">
        <f t="shared" si="15"/>
        <v>2.1352691428401798</v>
      </c>
      <c r="CW11" s="1">
        <f t="shared" si="16"/>
        <v>2.6311570321546274</v>
      </c>
      <c r="CX11" s="11"/>
    </row>
    <row r="12" spans="1:103" x14ac:dyDescent="0.35">
      <c r="A12" s="1">
        <v>12</v>
      </c>
      <c r="B12" s="1">
        <v>1</v>
      </c>
      <c r="C12" s="1">
        <v>0</v>
      </c>
      <c r="D12" s="1">
        <v>1</v>
      </c>
      <c r="E12" s="1">
        <v>23</v>
      </c>
      <c r="F12" s="1">
        <v>1.91</v>
      </c>
      <c r="G12" s="1">
        <v>73</v>
      </c>
      <c r="H12" s="1">
        <v>20.010416381129904</v>
      </c>
      <c r="I12" s="1">
        <v>0</v>
      </c>
      <c r="J12" s="1">
        <v>0</v>
      </c>
      <c r="K12" s="11">
        <v>0</v>
      </c>
      <c r="AR12" s="15">
        <f>15.4*((1/1.1227))</f>
        <v>13.71693239511891</v>
      </c>
      <c r="AS12" s="17">
        <f>7.588*((1/1.1227))</f>
        <v>6.7587066892313175</v>
      </c>
      <c r="AT12" s="27" t="s">
        <v>11</v>
      </c>
      <c r="AU12" s="11" t="s">
        <v>11</v>
      </c>
      <c r="AV12" s="11" t="s">
        <v>12</v>
      </c>
      <c r="AW12" s="11" t="s">
        <v>12</v>
      </c>
      <c r="AX12" s="11" t="s">
        <v>13</v>
      </c>
      <c r="AY12" s="11" t="s">
        <v>13</v>
      </c>
      <c r="AZ12" s="11"/>
      <c r="BA12" s="11"/>
      <c r="BB12" s="11"/>
      <c r="BD12" s="1">
        <f>2.16066666666667*((1/1.1227))</f>
        <v>1.9245271814969891</v>
      </c>
      <c r="BE12" s="1">
        <f>3.81733333333333*((1/1.1227))</f>
        <v>3.4001365755173509</v>
      </c>
      <c r="BF12" s="1">
        <f>3.85466666666667*((1/1.1227))</f>
        <v>3.4333897449600692</v>
      </c>
      <c r="BG12" s="1">
        <f>6.476*((1/1.1227))</f>
        <v>5.7682372851162373</v>
      </c>
      <c r="BH12" s="1">
        <f>7.50866666666667*((1/1.1227))</f>
        <v>6.6880437041655565</v>
      </c>
      <c r="BI12" s="1">
        <f>7.72333333333333*((1/1.1227))</f>
        <v>6.8792494284611472</v>
      </c>
      <c r="BJ12" s="1">
        <f>0*((1/1.1227))</f>
        <v>0</v>
      </c>
      <c r="BK12" s="1">
        <f>0*((1/1.1227))</f>
        <v>0</v>
      </c>
      <c r="BL12" s="1">
        <f t="shared" si="20"/>
        <v>0</v>
      </c>
      <c r="BM12" s="17">
        <f t="shared" si="18"/>
        <v>0</v>
      </c>
      <c r="BN12" s="1">
        <f t="shared" si="2"/>
        <v>1.9245271814969891</v>
      </c>
      <c r="BO12" s="1">
        <f t="shared" si="3"/>
        <v>3.4001365755173509</v>
      </c>
      <c r="BP12" s="1">
        <f t="shared" si="4"/>
        <v>3.4333897449600692</v>
      </c>
      <c r="BQ12" s="1">
        <f t="shared" si="5"/>
        <v>5.7682372851162373</v>
      </c>
      <c r="BR12" s="1">
        <f t="shared" si="6"/>
        <v>0</v>
      </c>
      <c r="BS12" s="1">
        <f t="shared" si="7"/>
        <v>0</v>
      </c>
      <c r="BT12" s="1">
        <f t="shared" si="8"/>
        <v>6.6880437041655565</v>
      </c>
      <c r="BU12" s="17">
        <f t="shared" si="9"/>
        <v>6.8792494284611472</v>
      </c>
      <c r="BV12" s="11" t="s">
        <v>11</v>
      </c>
      <c r="BW12" s="11" t="s">
        <v>11</v>
      </c>
      <c r="BX12" s="11" t="s">
        <v>12</v>
      </c>
      <c r="BY12" s="11" t="s">
        <v>12</v>
      </c>
      <c r="BZ12" s="11" t="s">
        <v>13</v>
      </c>
      <c r="CA12" s="11" t="s">
        <v>13</v>
      </c>
      <c r="CB12" s="11"/>
      <c r="CC12" s="11"/>
      <c r="CD12" s="11"/>
      <c r="CF12" s="1">
        <f>2.59466666666667*(1/1.1227)</f>
        <v>2.3110952762685222</v>
      </c>
      <c r="CG12" s="1">
        <f>4.64333333333333*(1/1.1227)</f>
        <v>4.1358629494373647</v>
      </c>
      <c r="CH12" s="1">
        <f>4.228*(1/1.1227)</f>
        <v>3.7659214393871911</v>
      </c>
      <c r="CI12" s="1">
        <f>6.692*(1/1.1227)</f>
        <v>5.9606306226062173</v>
      </c>
      <c r="CJ12" s="1">
        <f>8.344*(1/1.1227)</f>
        <v>7.4320833704462448</v>
      </c>
      <c r="CK12" s="1">
        <f>7.08866666666667*(1/1.1227)</f>
        <v>6.3139455479350408</v>
      </c>
      <c r="CL12" s="1">
        <f>0*(1/1.1227)</f>
        <v>0</v>
      </c>
      <c r="CM12" s="1">
        <f>0*(1/1.1227)</f>
        <v>0</v>
      </c>
      <c r="CN12" s="1">
        <f t="shared" si="21"/>
        <v>0</v>
      </c>
      <c r="CO12" s="1">
        <f t="shared" si="19"/>
        <v>0</v>
      </c>
      <c r="CP12" s="1">
        <f t="shared" si="17"/>
        <v>2.3110952762685222</v>
      </c>
      <c r="CQ12" s="1">
        <f t="shared" si="10"/>
        <v>4.1358629494373647</v>
      </c>
      <c r="CR12" s="1">
        <f t="shared" si="11"/>
        <v>3.7659214393871911</v>
      </c>
      <c r="CS12" s="1">
        <f t="shared" si="12"/>
        <v>5.9606306226062173</v>
      </c>
      <c r="CT12" s="1">
        <f t="shared" si="13"/>
        <v>0</v>
      </c>
      <c r="CU12" s="1">
        <f t="shared" si="14"/>
        <v>0</v>
      </c>
      <c r="CV12" s="1">
        <f t="shared" si="15"/>
        <v>7.4320833704462448</v>
      </c>
      <c r="CW12" s="1">
        <f t="shared" si="16"/>
        <v>6.3139455479350408</v>
      </c>
      <c r="CX12" s="11"/>
    </row>
    <row r="13" spans="1:103" x14ac:dyDescent="0.35">
      <c r="A13" s="1">
        <v>13</v>
      </c>
      <c r="B13" s="1">
        <v>1</v>
      </c>
      <c r="C13" s="1">
        <v>0</v>
      </c>
      <c r="D13" s="1">
        <v>0</v>
      </c>
      <c r="E13" s="1">
        <v>21</v>
      </c>
      <c r="F13" s="1">
        <v>1.67</v>
      </c>
      <c r="G13" s="1">
        <v>52</v>
      </c>
      <c r="H13" s="1">
        <v>18.645344042454013</v>
      </c>
      <c r="I13" s="1">
        <v>0</v>
      </c>
      <c r="J13" s="1">
        <v>0</v>
      </c>
      <c r="K13" s="11">
        <v>0</v>
      </c>
      <c r="AR13" s="15">
        <f>6.468*((1/1.1227))</f>
        <v>5.7611116059499414</v>
      </c>
      <c r="AS13" s="17">
        <f>5.46*((1/1.1227))</f>
        <v>4.8632760309967038</v>
      </c>
      <c r="AT13" s="27" t="s">
        <v>11</v>
      </c>
      <c r="AU13" s="11" t="s">
        <v>11</v>
      </c>
      <c r="AV13" s="11" t="s">
        <v>12</v>
      </c>
      <c r="AW13" s="11" t="s">
        <v>12</v>
      </c>
      <c r="AX13" s="11" t="s">
        <v>13</v>
      </c>
      <c r="AY13" s="11" t="s">
        <v>13</v>
      </c>
      <c r="AZ13" s="11"/>
      <c r="BA13" s="11"/>
      <c r="BB13" s="11"/>
      <c r="BD13" s="1">
        <f>1.59133333333333*((1/1.1227))</f>
        <v>1.4174163474956176</v>
      </c>
      <c r="BE13" s="1">
        <f>1.13866666666667*((1/1.1227))</f>
        <v>1.0142216680027345</v>
      </c>
      <c r="BF13" s="1">
        <f>2.744*((1/1.1227))</f>
        <v>2.4441079540393695</v>
      </c>
      <c r="BG13" s="1">
        <f>2.12333333333333*((1/1.1227))</f>
        <v>1.8912740120542708</v>
      </c>
      <c r="BH13" s="1">
        <f>5.74933333333333*((1/1.1227))</f>
        <v>5.120988094177723</v>
      </c>
      <c r="BI13" s="1">
        <f>5.56266666666667*((1/1.1227))</f>
        <v>4.9547222469641667</v>
      </c>
      <c r="BJ13" s="1">
        <f>0*((1/1.1227))</f>
        <v>0</v>
      </c>
      <c r="BK13" s="1">
        <f>0*((1/1.1227))</f>
        <v>0</v>
      </c>
      <c r="BL13" s="1">
        <f t="shared" si="20"/>
        <v>0</v>
      </c>
      <c r="BM13" s="17">
        <f t="shared" si="18"/>
        <v>0</v>
      </c>
      <c r="BN13" s="1">
        <f t="shared" si="2"/>
        <v>1.4174163474956176</v>
      </c>
      <c r="BO13" s="1">
        <f t="shared" si="3"/>
        <v>1.0142216680027345</v>
      </c>
      <c r="BP13" s="1">
        <f t="shared" si="4"/>
        <v>2.4441079540393695</v>
      </c>
      <c r="BQ13" s="1">
        <f t="shared" si="5"/>
        <v>1.8912740120542708</v>
      </c>
      <c r="BR13" s="1">
        <f t="shared" si="6"/>
        <v>0</v>
      </c>
      <c r="BS13" s="1">
        <f t="shared" si="7"/>
        <v>0</v>
      </c>
      <c r="BT13" s="1">
        <f t="shared" si="8"/>
        <v>5.120988094177723</v>
      </c>
      <c r="BU13" s="17">
        <f t="shared" si="9"/>
        <v>4.9547222469641667</v>
      </c>
      <c r="BV13" s="11" t="s">
        <v>11</v>
      </c>
      <c r="BW13" s="11" t="s">
        <v>11</v>
      </c>
      <c r="BX13" s="11" t="s">
        <v>12</v>
      </c>
      <c r="BY13" s="11" t="s">
        <v>12</v>
      </c>
      <c r="BZ13" s="11" t="s">
        <v>13</v>
      </c>
      <c r="CA13" s="11" t="s">
        <v>13</v>
      </c>
      <c r="CB13" s="11"/>
      <c r="CC13" s="11"/>
      <c r="CD13" s="11"/>
      <c r="CF13" s="1">
        <f>1.68933333333333*(1/1.1227)</f>
        <v>1.5047059172827379</v>
      </c>
      <c r="CG13" s="1">
        <f>1.498*(1/1.1227)</f>
        <v>1.3342834238888392</v>
      </c>
      <c r="CH13" s="1">
        <f>2.71133333333333*(1/1.1227)</f>
        <v>2.415011430776993</v>
      </c>
      <c r="CI13" s="1">
        <f>2.366*(1/1.1227)</f>
        <v>2.1074196134319054</v>
      </c>
      <c r="CJ13" s="1">
        <f>5.49266666666667*(1/1.1227)</f>
        <v>4.8923725542590804</v>
      </c>
      <c r="CK13" s="1">
        <f>5.13333333333333*(1/1.1227)</f>
        <v>4.5723107983729667</v>
      </c>
      <c r="CL13" s="1">
        <f>0*(1/1.1227)</f>
        <v>0</v>
      </c>
      <c r="CM13" s="1">
        <f>0*(1/1.1227)</f>
        <v>0</v>
      </c>
      <c r="CN13" s="1">
        <f t="shared" si="21"/>
        <v>0</v>
      </c>
      <c r="CO13" s="1">
        <f t="shared" si="19"/>
        <v>0</v>
      </c>
      <c r="CP13" s="1">
        <f t="shared" si="17"/>
        <v>1.5047059172827379</v>
      </c>
      <c r="CQ13" s="1">
        <f t="shared" si="10"/>
        <v>1.3342834238888392</v>
      </c>
      <c r="CR13" s="1">
        <f t="shared" si="11"/>
        <v>2.415011430776993</v>
      </c>
      <c r="CS13" s="1">
        <f t="shared" si="12"/>
        <v>2.1074196134319054</v>
      </c>
      <c r="CT13" s="1">
        <f t="shared" si="13"/>
        <v>0</v>
      </c>
      <c r="CU13" s="1">
        <f t="shared" si="14"/>
        <v>0</v>
      </c>
      <c r="CV13" s="1">
        <f t="shared" si="15"/>
        <v>4.8923725542590804</v>
      </c>
      <c r="CW13" s="1">
        <f t="shared" si="16"/>
        <v>4.5723107983729667</v>
      </c>
      <c r="CX13" s="11"/>
    </row>
    <row r="14" spans="1:103" x14ac:dyDescent="0.35">
      <c r="A14" s="1">
        <v>14</v>
      </c>
      <c r="B14" s="1">
        <v>1</v>
      </c>
      <c r="C14" s="1">
        <v>0</v>
      </c>
      <c r="D14" s="1">
        <v>0</v>
      </c>
      <c r="E14" s="1">
        <v>22</v>
      </c>
      <c r="F14" s="1">
        <v>1.71</v>
      </c>
      <c r="G14" s="1">
        <v>63.5</v>
      </c>
      <c r="H14" s="1">
        <v>21.716083581272873</v>
      </c>
      <c r="I14" s="1">
        <v>0</v>
      </c>
      <c r="J14" s="1">
        <v>0</v>
      </c>
      <c r="K14" s="11">
        <v>0</v>
      </c>
      <c r="AR14" s="15">
        <f>1.26*((1/1.1227))</f>
        <v>1.122294468691547</v>
      </c>
      <c r="AS14" s="17">
        <f>6.706*((1/1.1227))</f>
        <v>5.9731005611472341</v>
      </c>
      <c r="AT14" s="27" t="s">
        <v>11</v>
      </c>
      <c r="AU14" s="11" t="s">
        <v>11</v>
      </c>
      <c r="AV14" s="11" t="s">
        <v>12</v>
      </c>
      <c r="AW14" s="11" t="s">
        <v>12</v>
      </c>
      <c r="AX14" s="11" t="s">
        <v>14</v>
      </c>
      <c r="AY14" s="11" t="s">
        <v>14</v>
      </c>
      <c r="AZ14" s="11"/>
      <c r="BA14" s="11"/>
      <c r="BB14" s="11"/>
      <c r="BD14" s="1">
        <f>0.77*((1/1.1227))</f>
        <v>0.68584661975594552</v>
      </c>
      <c r="BE14" s="1">
        <f>1.64733333333333*((1/1.1227))</f>
        <v>1.4672961016596864</v>
      </c>
      <c r="BF14" s="1">
        <f>1.38133333333333*((1/1.1227))</f>
        <v>1.2303672693803598</v>
      </c>
      <c r="BG14" s="1">
        <f>2.85133333333333*((1/1.1227))</f>
        <v>2.5397108161871649</v>
      </c>
      <c r="BH14" s="1">
        <f>5.30133333333333*((1/1.1227))</f>
        <v>4.721950060865173</v>
      </c>
      <c r="BI14" s="1">
        <f>3.92933333333333*((1/1.1227))</f>
        <v>3.4998960838454884</v>
      </c>
      <c r="BJ14" s="1">
        <f>0*((1/1.1227))</f>
        <v>0</v>
      </c>
      <c r="BK14" s="1">
        <f>0*((1/1.1227))</f>
        <v>0</v>
      </c>
      <c r="BL14" s="1">
        <f t="shared" si="20"/>
        <v>0</v>
      </c>
      <c r="BM14" s="17">
        <f t="shared" si="18"/>
        <v>0</v>
      </c>
      <c r="BN14" s="1">
        <f t="shared" si="2"/>
        <v>0.68584661975594552</v>
      </c>
      <c r="BO14" s="1">
        <f t="shared" si="3"/>
        <v>1.4672961016596864</v>
      </c>
      <c r="BP14" s="1">
        <f t="shared" si="4"/>
        <v>1.2303672693803598</v>
      </c>
      <c r="BQ14" s="1">
        <f t="shared" si="5"/>
        <v>2.5397108161871649</v>
      </c>
      <c r="BR14" s="1">
        <f t="shared" si="6"/>
        <v>4.721950060865173</v>
      </c>
      <c r="BS14" s="1">
        <f t="shared" si="7"/>
        <v>3.4998960838454884</v>
      </c>
      <c r="BT14" s="1">
        <f t="shared" si="8"/>
        <v>0</v>
      </c>
      <c r="BU14" s="17">
        <f t="shared" si="9"/>
        <v>0</v>
      </c>
      <c r="BV14" s="11" t="s">
        <v>11</v>
      </c>
      <c r="BW14" s="22" t="s">
        <v>11</v>
      </c>
      <c r="BX14" s="11" t="s">
        <v>12</v>
      </c>
      <c r="BY14" s="11" t="s">
        <v>12</v>
      </c>
      <c r="BZ14" s="11" t="s">
        <v>14</v>
      </c>
      <c r="CA14" s="11" t="s">
        <v>14</v>
      </c>
      <c r="CB14" s="11"/>
      <c r="CC14" s="11"/>
      <c r="CD14" s="11"/>
      <c r="CF14" s="1">
        <f>2.13266666666667*(1/1.1227)</f>
        <v>1.8995873044149547</v>
      </c>
      <c r="CG14" s="1">
        <f>1.792*(1/1.1227)</f>
        <v>1.5961521332502004</v>
      </c>
      <c r="CH14" s="1">
        <f>2.8*(1/1.1227)</f>
        <v>2.4939877082034378</v>
      </c>
      <c r="CI14" s="1">
        <f>2.716*(1/1.1227)</f>
        <v>2.4191680769573352</v>
      </c>
      <c r="CJ14" s="1">
        <f>5.628*(1/1.1227)</f>
        <v>5.012915293488911</v>
      </c>
      <c r="CK14" s="1">
        <f>4.87666666666667*(1/1.1227)</f>
        <v>4.343695258454324</v>
      </c>
      <c r="CL14" s="1">
        <f>0*(1/1.1227)</f>
        <v>0</v>
      </c>
      <c r="CM14" s="1">
        <f>0*(1/1.1227)</f>
        <v>0</v>
      </c>
      <c r="CN14" s="1">
        <f t="shared" si="21"/>
        <v>0</v>
      </c>
      <c r="CO14" s="1">
        <f t="shared" si="19"/>
        <v>0</v>
      </c>
      <c r="CP14" s="1">
        <f t="shared" si="17"/>
        <v>1.8995873044149547</v>
      </c>
      <c r="CQ14" s="1">
        <f t="shared" si="10"/>
        <v>1.5961521332502004</v>
      </c>
      <c r="CR14" s="1">
        <f t="shared" si="11"/>
        <v>2.4939877082034378</v>
      </c>
      <c r="CS14" s="1">
        <f t="shared" si="12"/>
        <v>2.4191680769573352</v>
      </c>
      <c r="CT14" s="1">
        <f t="shared" si="13"/>
        <v>5.012915293488911</v>
      </c>
      <c r="CU14" s="1">
        <f t="shared" si="14"/>
        <v>4.343695258454324</v>
      </c>
      <c r="CV14" s="1">
        <f t="shared" si="15"/>
        <v>0</v>
      </c>
      <c r="CW14" s="1">
        <f t="shared" si="16"/>
        <v>0</v>
      </c>
      <c r="CX14" s="11"/>
    </row>
    <row r="15" spans="1:103" x14ac:dyDescent="0.35">
      <c r="A15" s="1">
        <v>15</v>
      </c>
      <c r="B15" s="1">
        <v>1</v>
      </c>
      <c r="C15" s="1">
        <v>0</v>
      </c>
      <c r="D15" s="1">
        <v>1</v>
      </c>
      <c r="E15" s="1">
        <v>25</v>
      </c>
      <c r="F15" s="1">
        <v>1.86</v>
      </c>
      <c r="G15" s="1">
        <v>86</v>
      </c>
      <c r="H15" s="1">
        <v>24.858365128916635</v>
      </c>
      <c r="I15" s="1">
        <v>0</v>
      </c>
      <c r="J15" s="1">
        <v>0</v>
      </c>
      <c r="K15" s="11">
        <v>3</v>
      </c>
      <c r="AR15" s="15">
        <f>5.838*((1/1.1227))</f>
        <v>5.1999643716041684</v>
      </c>
      <c r="AS15" s="17">
        <f>8.876*((1/1.1227))</f>
        <v>7.905941035004898</v>
      </c>
      <c r="AT15" s="27" t="s">
        <v>11</v>
      </c>
      <c r="AU15" s="11" t="s">
        <v>11</v>
      </c>
      <c r="AV15" s="11"/>
      <c r="AW15" s="11" t="s">
        <v>13</v>
      </c>
      <c r="AX15" s="11"/>
      <c r="AY15" s="11"/>
      <c r="AZ15" s="11"/>
      <c r="BA15" s="11"/>
      <c r="BB15" s="11"/>
      <c r="BD15" s="1">
        <f>1.064*((1/1.1227))</f>
        <v>0.94771532911730649</v>
      </c>
      <c r="BE15" s="1">
        <f>1.55866666666667*((1/1.1227))</f>
        <v>1.3883198242332502</v>
      </c>
      <c r="BF15" s="1">
        <f>0*((1/1.1227))</f>
        <v>0</v>
      </c>
      <c r="BG15" s="1">
        <f>6.99066666666667*((1/1.1227))</f>
        <v>6.22665597814792</v>
      </c>
      <c r="BH15" s="1">
        <f>0*((1/1.1227))</f>
        <v>0</v>
      </c>
      <c r="BI15" s="1">
        <f>0*((1/1.1227))</f>
        <v>0</v>
      </c>
      <c r="BJ15" s="1">
        <f>0*((1/1.1227))</f>
        <v>0</v>
      </c>
      <c r="BK15" s="1">
        <f>0*((1/1.1227))</f>
        <v>0</v>
      </c>
      <c r="BL15" s="1">
        <f t="shared" si="20"/>
        <v>0</v>
      </c>
      <c r="BM15" s="17">
        <f t="shared" si="18"/>
        <v>0</v>
      </c>
      <c r="BN15" s="1">
        <f t="shared" si="2"/>
        <v>0.94771532911730649</v>
      </c>
      <c r="BO15" s="1">
        <f t="shared" si="3"/>
        <v>1.3883198242332502</v>
      </c>
      <c r="BP15" s="1">
        <f t="shared" si="4"/>
        <v>0</v>
      </c>
      <c r="BQ15" s="1">
        <f t="shared" si="5"/>
        <v>0</v>
      </c>
      <c r="BR15" s="1">
        <f t="shared" si="6"/>
        <v>0</v>
      </c>
      <c r="BS15" s="1">
        <f t="shared" si="7"/>
        <v>0</v>
      </c>
      <c r="BT15" s="1">
        <f t="shared" si="8"/>
        <v>0</v>
      </c>
      <c r="BU15" s="17">
        <f t="shared" si="9"/>
        <v>6.22665597814792</v>
      </c>
      <c r="BV15" s="11" t="s">
        <v>11</v>
      </c>
      <c r="BW15" s="22" t="s">
        <v>11</v>
      </c>
      <c r="BX15" s="11"/>
      <c r="BY15" s="11" t="s">
        <v>13</v>
      </c>
      <c r="BZ15" s="11"/>
      <c r="CA15" s="11"/>
      <c r="CB15" s="11"/>
      <c r="CC15" s="11"/>
      <c r="CD15" s="11"/>
      <c r="CF15" s="1">
        <f>0.858666666666667*(1/1.1227)</f>
        <v>0.76482289718238794</v>
      </c>
      <c r="CG15" s="1">
        <f>1.74533333333333*(1/1.1227)</f>
        <v>1.5545856714468067</v>
      </c>
      <c r="CH15" s="1">
        <f>0*(1/1.1227)</f>
        <v>0</v>
      </c>
      <c r="CI15" s="1">
        <f>7.756*(1/1.1227)</f>
        <v>6.9083459517235237</v>
      </c>
      <c r="CJ15" s="1">
        <f>0*(1/1.1227)</f>
        <v>0</v>
      </c>
      <c r="CK15" s="1">
        <f>0*(1/1.1227)</f>
        <v>0</v>
      </c>
      <c r="CL15" s="1">
        <f>0*(1/1.1227)</f>
        <v>0</v>
      </c>
      <c r="CM15" s="1">
        <f>0*(1/1.1227)</f>
        <v>0</v>
      </c>
      <c r="CN15" s="1">
        <f t="shared" si="21"/>
        <v>0</v>
      </c>
      <c r="CO15" s="1">
        <f t="shared" si="19"/>
        <v>0</v>
      </c>
      <c r="CP15" s="1">
        <f t="shared" si="17"/>
        <v>0.76482289718238794</v>
      </c>
      <c r="CQ15" s="1">
        <f t="shared" si="10"/>
        <v>1.5545856714468067</v>
      </c>
      <c r="CR15" s="1">
        <f t="shared" si="11"/>
        <v>0</v>
      </c>
      <c r="CS15" s="1">
        <f t="shared" si="12"/>
        <v>0</v>
      </c>
      <c r="CT15" s="1">
        <f t="shared" si="13"/>
        <v>0</v>
      </c>
      <c r="CU15" s="1">
        <f t="shared" si="14"/>
        <v>0</v>
      </c>
      <c r="CV15" s="1">
        <f t="shared" si="15"/>
        <v>0</v>
      </c>
      <c r="CW15" s="1">
        <f t="shared" si="16"/>
        <v>6.9083459517235237</v>
      </c>
      <c r="CX15" s="11"/>
    </row>
    <row r="16" spans="1:103" s="5" customFormat="1" ht="13" x14ac:dyDescent="0.3">
      <c r="A16" s="5">
        <v>16</v>
      </c>
      <c r="B16" s="5">
        <v>1</v>
      </c>
      <c r="C16" s="5">
        <v>0</v>
      </c>
      <c r="D16" s="5">
        <v>0</v>
      </c>
      <c r="E16" s="5">
        <v>26</v>
      </c>
      <c r="F16" s="5">
        <v>1.8</v>
      </c>
      <c r="G16" s="5">
        <v>76</v>
      </c>
      <c r="H16" s="5">
        <v>23.456790123456788</v>
      </c>
      <c r="I16" s="5">
        <v>0</v>
      </c>
      <c r="J16" s="5">
        <v>0</v>
      </c>
      <c r="K16" s="12">
        <v>0</v>
      </c>
      <c r="L16" s="16"/>
      <c r="AA16" s="18"/>
      <c r="AB16" s="16"/>
      <c r="AQ16" s="18"/>
      <c r="AR16" s="16">
        <f>15.106*((1/1.1227))</f>
        <v>13.455063685757548</v>
      </c>
      <c r="AS16" s="18">
        <f>19.25*((1/1.1227))</f>
        <v>17.146165493898636</v>
      </c>
      <c r="AT16" s="28" t="s">
        <v>11</v>
      </c>
      <c r="AU16" s="12" t="s">
        <v>12</v>
      </c>
      <c r="AV16" s="12" t="s">
        <v>13</v>
      </c>
      <c r="AW16" s="12" t="s">
        <v>11</v>
      </c>
      <c r="AX16" s="12" t="s">
        <v>11</v>
      </c>
      <c r="AY16" s="12" t="s">
        <v>13</v>
      </c>
      <c r="AZ16" s="12" t="s">
        <v>14</v>
      </c>
      <c r="BA16" s="12" t="s">
        <v>11</v>
      </c>
      <c r="BB16" s="12"/>
      <c r="BC16" s="18"/>
      <c r="BD16" s="5">
        <f>2.00666666666667*((1/1.1227))</f>
        <v>1.7873578575458002</v>
      </c>
      <c r="BE16" s="5">
        <f>1.484*((1/1.1227))</f>
        <v>1.3218134853478221</v>
      </c>
      <c r="BF16" s="5">
        <f>7.75133333333333*((1/1.1227))</f>
        <v>6.9041893055431807</v>
      </c>
      <c r="BG16" s="5">
        <f>2.38466666666667*((1/1.1227))</f>
        <v>2.1240461981532643</v>
      </c>
      <c r="BH16" s="5">
        <f>7.994*((1/1.1227))</f>
        <v>7.1203349069208155</v>
      </c>
      <c r="BI16" s="5">
        <f>8.57266666666667*((1/1.1227))</f>
        <v>7.6357590332828629</v>
      </c>
      <c r="BJ16" s="5">
        <f>10.416*((1/1.1227))</f>
        <v>9.2776342745167906</v>
      </c>
      <c r="BK16" s="5">
        <f>8.75*((1/1.1227))</f>
        <v>7.7937115881357437</v>
      </c>
      <c r="BL16" s="5">
        <f t="shared" si="20"/>
        <v>0</v>
      </c>
      <c r="BM16" s="18">
        <f t="shared" si="18"/>
        <v>0</v>
      </c>
      <c r="BN16" s="5">
        <f t="shared" si="2"/>
        <v>1.7873578575458002</v>
      </c>
      <c r="BO16" s="5">
        <f t="shared" si="3"/>
        <v>2.1240461981532643</v>
      </c>
      <c r="BP16" s="5">
        <f t="shared" si="4"/>
        <v>0</v>
      </c>
      <c r="BQ16" s="5">
        <f t="shared" si="5"/>
        <v>1.3218134853478221</v>
      </c>
      <c r="BR16" s="5">
        <f t="shared" si="6"/>
        <v>9.2776342745167906</v>
      </c>
      <c r="BS16" s="5">
        <f t="shared" si="7"/>
        <v>0</v>
      </c>
      <c r="BT16" s="5">
        <f t="shared" si="8"/>
        <v>6.9041893055431807</v>
      </c>
      <c r="BU16" s="18">
        <f t="shared" si="9"/>
        <v>7.6357590332828629</v>
      </c>
      <c r="BV16" s="12" t="s">
        <v>11</v>
      </c>
      <c r="BW16" s="21" t="s">
        <v>12</v>
      </c>
      <c r="BX16" s="12" t="s">
        <v>13</v>
      </c>
      <c r="BY16" s="12" t="s">
        <v>11</v>
      </c>
      <c r="BZ16" s="12" t="s">
        <v>11</v>
      </c>
      <c r="CA16" s="12" t="s">
        <v>13</v>
      </c>
      <c r="CB16" s="12" t="s">
        <v>14</v>
      </c>
      <c r="CC16" s="12" t="s">
        <v>11</v>
      </c>
      <c r="CD16" s="12"/>
      <c r="CF16" s="1">
        <f>1.879*(1/1.1227)</f>
        <v>1.6736438941836642</v>
      </c>
      <c r="CG16" s="1">
        <f>1.46533333333333*(1/1.1227)</f>
        <v>1.3051869006264629</v>
      </c>
      <c r="CH16" s="1">
        <f>7.406*(1/1.1227)</f>
        <v>6.5965974881980936</v>
      </c>
      <c r="CI16" s="1">
        <f>2.61333333333333*(1/1.1227)</f>
        <v>2.3277218609898727</v>
      </c>
      <c r="CJ16" s="1">
        <f>8.16866666666667*(1/1.1227)</f>
        <v>7.2759122353849381</v>
      </c>
      <c r="CK16" s="1">
        <f>7.81666666666667*(1/1.1227)</f>
        <v>6.9623823520679338</v>
      </c>
      <c r="CL16" s="1">
        <f>8.32533333333333*(1/1.1227)</f>
        <v>7.4154567857248859</v>
      </c>
      <c r="CM16" s="1">
        <f>8.01266666666667*(1/1.1227)</f>
        <v>7.1369614916421744</v>
      </c>
      <c r="CN16" s="1">
        <f t="shared" si="21"/>
        <v>0</v>
      </c>
      <c r="CO16" s="1">
        <f t="shared" si="19"/>
        <v>0</v>
      </c>
      <c r="CP16" s="1">
        <f t="shared" si="17"/>
        <v>1.6736438941836642</v>
      </c>
      <c r="CQ16" s="1">
        <f t="shared" si="10"/>
        <v>2.3277218609898727</v>
      </c>
      <c r="CR16" s="1">
        <f t="shared" si="11"/>
        <v>0</v>
      </c>
      <c r="CS16" s="1">
        <f t="shared" si="12"/>
        <v>1.3051869006264629</v>
      </c>
      <c r="CT16" s="1">
        <f t="shared" si="13"/>
        <v>7.4154567857248859</v>
      </c>
      <c r="CU16" s="1">
        <f t="shared" si="14"/>
        <v>0</v>
      </c>
      <c r="CV16" s="1">
        <f t="shared" si="15"/>
        <v>6.5965974881980936</v>
      </c>
      <c r="CW16" s="1">
        <f t="shared" si="16"/>
        <v>6.9623823520679338</v>
      </c>
      <c r="CX16" s="12"/>
    </row>
    <row r="17" spans="1:103" ht="13" x14ac:dyDescent="0.3">
      <c r="A17" s="1">
        <v>2</v>
      </c>
      <c r="B17" s="1">
        <v>2</v>
      </c>
      <c r="C17" s="1">
        <v>0</v>
      </c>
      <c r="D17" s="1">
        <v>0</v>
      </c>
      <c r="E17" s="1">
        <v>21</v>
      </c>
      <c r="F17" s="1">
        <v>1.81</v>
      </c>
      <c r="G17" s="1">
        <v>68</v>
      </c>
      <c r="H17" s="1">
        <v>20.756387167668876</v>
      </c>
      <c r="I17" s="1">
        <v>1</v>
      </c>
      <c r="J17" s="1">
        <v>4</v>
      </c>
      <c r="K17" s="11">
        <v>0</v>
      </c>
      <c r="L17" s="15">
        <f>2.058*((1/1.1227))</f>
        <v>1.8330809655295268</v>
      </c>
      <c r="M17" s="1">
        <f>2.086*((1/1.1227))</f>
        <v>1.8580208426115612</v>
      </c>
      <c r="N17" s="1">
        <f>2.198*((1/1.1227))</f>
        <v>1.9577803509396987</v>
      </c>
      <c r="O17" s="11">
        <f>((L17+M17+N17)/3)</f>
        <v>1.8829607196935954</v>
      </c>
      <c r="P17" s="1">
        <f>0.91*((1/1.1227))</f>
        <v>0.81054600516611741</v>
      </c>
      <c r="Q17" s="1">
        <f>0.854*((1/1.1227))</f>
        <v>0.76066625100204854</v>
      </c>
      <c r="R17" s="1">
        <f>0.854*((1/1.1227))</f>
        <v>0.76066625100204854</v>
      </c>
      <c r="S17" s="11">
        <f>((P17+Q17+R17)/3)</f>
        <v>0.7772928357234048</v>
      </c>
      <c r="T17" s="1">
        <f>2.296*((1/1.1227))</f>
        <v>2.045069920726819</v>
      </c>
      <c r="U17" s="1">
        <f>2.268*((1/1.1227))</f>
        <v>2.0201300436447847</v>
      </c>
      <c r="V17" s="1">
        <f>2.646*((1/1.1227))</f>
        <v>2.3568183842522488</v>
      </c>
      <c r="W17" s="11">
        <f>((T17+U17+V17)/3)</f>
        <v>2.1406727828746175</v>
      </c>
      <c r="X17" s="1">
        <f>1.12*((1/1.1227))</f>
        <v>0.99759508328137525</v>
      </c>
      <c r="Y17" s="1">
        <f>1.274*((1/1.1227))</f>
        <v>1.1347644072325642</v>
      </c>
      <c r="Z17" s="1">
        <f>1.232*((1/1.1227))</f>
        <v>1.0973545916095127</v>
      </c>
      <c r="AA17" s="19">
        <f>((X17+Y17+Z17)/3)</f>
        <v>1.0765713607078173</v>
      </c>
      <c r="AB17" s="1">
        <f>1.918*((1/1.1227))</f>
        <v>1.7083815801193549</v>
      </c>
      <c r="AC17" s="1">
        <f>2.044*((1/1.1227))</f>
        <v>1.8206110269885099</v>
      </c>
      <c r="AD17" s="1">
        <f>2.31*((1/1.1227))</f>
        <v>2.0575398592678362</v>
      </c>
      <c r="AE17" s="1">
        <f>2.09066666666667*((1/1.1227))</f>
        <v>1.8621774887919034</v>
      </c>
      <c r="AF17" s="1">
        <f>1.036*((1/1.1227))</f>
        <v>0.92277545203527211</v>
      </c>
      <c r="AG17" s="1">
        <f>0.966*((1/1.1227))</f>
        <v>0.86042575933018606</v>
      </c>
      <c r="AH17" s="1">
        <f>1.064*((1/1.1227))</f>
        <v>0.94771532911730649</v>
      </c>
      <c r="AI17" s="1">
        <f>1.022*((1/1.1227))</f>
        <v>0.91030551349425493</v>
      </c>
      <c r="AJ17" s="1">
        <f>2.324*((1/1.1227))</f>
        <v>2.0700097978088534</v>
      </c>
      <c r="AK17" s="1">
        <f>2.254*((1/1.1227))</f>
        <v>2.0076601051037675</v>
      </c>
      <c r="AL17" s="1">
        <f>2.408*((1/1.1227))</f>
        <v>2.1448294290549565</v>
      </c>
      <c r="AM17" s="29">
        <f>2.32866666666667*((1/1.1227))</f>
        <v>2.0741664439891956</v>
      </c>
      <c r="AN17" s="26">
        <f>1.19*((1/1.1227))</f>
        <v>1.0599447759864611</v>
      </c>
      <c r="AO17" s="26">
        <f>1.26*((1/1.1227))</f>
        <v>1.122294468691547</v>
      </c>
      <c r="AP17" s="26">
        <f>1.288*((1/1.1227))</f>
        <v>1.1472343457735816</v>
      </c>
      <c r="AQ17" s="30">
        <f>1.246*((1/1.1227))</f>
        <v>1.1098245301505298</v>
      </c>
      <c r="CX17" s="11">
        <v>20</v>
      </c>
      <c r="CY17" s="1">
        <v>33</v>
      </c>
    </row>
    <row r="18" spans="1:103" ht="13" x14ac:dyDescent="0.3">
      <c r="A18" s="1">
        <v>3</v>
      </c>
      <c r="B18" s="1">
        <v>2</v>
      </c>
      <c r="C18" s="1">
        <v>0</v>
      </c>
      <c r="D18" s="1">
        <v>0</v>
      </c>
      <c r="E18" s="1">
        <v>21</v>
      </c>
      <c r="F18" s="1">
        <v>1.76</v>
      </c>
      <c r="G18" s="1">
        <v>70</v>
      </c>
      <c r="H18" s="1">
        <v>22.598140495867771</v>
      </c>
      <c r="I18" s="1">
        <v>0</v>
      </c>
      <c r="J18" s="1">
        <v>0</v>
      </c>
      <c r="K18" s="11">
        <v>0</v>
      </c>
      <c r="L18" s="15">
        <f>3.99*((1/1.1227))</f>
        <v>3.5539324841898994</v>
      </c>
      <c r="M18" s="1">
        <f>3.164*((1/1.1227))</f>
        <v>2.8182061102698852</v>
      </c>
      <c r="N18" s="1">
        <f>3.472*((1/1.1227))</f>
        <v>3.0925447581722629</v>
      </c>
      <c r="O18" s="11">
        <f t="shared" ref="O18:O31" si="22">((L18+M18+N18)/3)</f>
        <v>3.1548944508773489</v>
      </c>
      <c r="P18" s="1">
        <f>0.854*((1/1.1227))</f>
        <v>0.76066625100204854</v>
      </c>
      <c r="Q18" s="1">
        <f>1.092*((1/1.1227))</f>
        <v>0.97265520619934087</v>
      </c>
      <c r="R18" s="1">
        <f>0.728*((1/1.1227))</f>
        <v>0.64843680413289384</v>
      </c>
      <c r="S18" s="11">
        <f t="shared" ref="S18:S31" si="23">((P18+Q18+R18)/3)</f>
        <v>0.79391942044476105</v>
      </c>
      <c r="T18" s="1">
        <f>2.604*((1/1.1227))</f>
        <v>2.3194085686291976</v>
      </c>
      <c r="U18" s="1">
        <f>2.828*((1/1.1227))</f>
        <v>2.5189275852854722</v>
      </c>
      <c r="V18" s="1">
        <f>2.702*((1/1.1227))</f>
        <v>2.4066981384163175</v>
      </c>
      <c r="W18" s="11">
        <f t="shared" ref="W18:W31" si="24">((T18+U18+V18)/3)</f>
        <v>2.4150114307769956</v>
      </c>
      <c r="X18" s="1">
        <f>0.742*((1/1.1227))</f>
        <v>0.66090674267391103</v>
      </c>
      <c r="Y18" s="1">
        <f>0.7*((1/1.1227))</f>
        <v>0.62349692705085946</v>
      </c>
      <c r="Z18" s="1">
        <f>0.742*((1/1.1227))</f>
        <v>0.66090674267391103</v>
      </c>
      <c r="AA18" s="19">
        <f t="shared" ref="AA18:AA31" si="25">((X18+Y18+Z18)/3)</f>
        <v>0.64843680413289384</v>
      </c>
      <c r="AB18" s="1">
        <f>3.248*((1/1.1227))</f>
        <v>2.8930257415159883</v>
      </c>
      <c r="AC18" s="1">
        <f>3.416*((1/1.1227))</f>
        <v>3.0426650040081942</v>
      </c>
      <c r="AD18" s="1">
        <f>3.024*((1/1.1227))</f>
        <v>2.6935067248597129</v>
      </c>
      <c r="AE18" s="1">
        <f>3.22933333333333*((1/1.1227))</f>
        <v>2.8763991567946285</v>
      </c>
      <c r="AF18" s="1">
        <f>0.91*((1/1.1227))</f>
        <v>0.81054600516611741</v>
      </c>
      <c r="AG18" s="1">
        <f>1.204*((1/1.1227))</f>
        <v>1.0724147145274783</v>
      </c>
      <c r="AH18" s="1">
        <f>0.966*((1/1.1227))</f>
        <v>0.86042575933018606</v>
      </c>
      <c r="AI18" s="1">
        <f>1.02666666666667*((1/1.1227))</f>
        <v>0.91446215967459688</v>
      </c>
      <c r="AJ18" s="1">
        <f>2.716*((1/1.1227))</f>
        <v>2.4191680769573352</v>
      </c>
      <c r="AK18" s="1">
        <f>2.744*((1/1.1227))</f>
        <v>2.4441079540393695</v>
      </c>
      <c r="AL18" s="1">
        <f>2.744*((1/1.1227))</f>
        <v>2.4441079540393695</v>
      </c>
      <c r="AM18" s="15">
        <f>2.73466666666667*((1/1.1227))</f>
        <v>2.4357946616786941</v>
      </c>
      <c r="AN18" s="1">
        <f>0.756*((1/1.1227))</f>
        <v>0.67337668121492822</v>
      </c>
      <c r="AO18" s="1">
        <f>0.742*((1/1.1227))</f>
        <v>0.66090674267391103</v>
      </c>
      <c r="AP18" s="1">
        <f>0.784*((1/1.1227))</f>
        <v>0.69831655829696271</v>
      </c>
      <c r="AQ18" s="17">
        <f>0.760666666666667*((1/1.1227))</f>
        <v>0.67753332739526761</v>
      </c>
      <c r="CX18" s="11">
        <v>102</v>
      </c>
      <c r="CY18" s="1">
        <v>78</v>
      </c>
    </row>
    <row r="19" spans="1:103" ht="13" x14ac:dyDescent="0.3">
      <c r="A19" s="1">
        <v>4</v>
      </c>
      <c r="B19" s="1">
        <v>2</v>
      </c>
      <c r="C19" s="1">
        <v>0</v>
      </c>
      <c r="D19" s="1">
        <v>0</v>
      </c>
      <c r="E19" s="1">
        <v>20</v>
      </c>
      <c r="F19" s="1">
        <v>1.71</v>
      </c>
      <c r="G19" s="1">
        <v>68</v>
      </c>
      <c r="H19" s="1">
        <v>23.255018638213471</v>
      </c>
      <c r="I19" s="1">
        <v>0</v>
      </c>
      <c r="J19" s="1">
        <v>0</v>
      </c>
      <c r="K19" s="11">
        <v>0</v>
      </c>
      <c r="L19" s="15">
        <f>4.522*((1/1.1227))</f>
        <v>4.0277901487485526</v>
      </c>
      <c r="M19" s="1">
        <f>5.32*((1/1.1227))</f>
        <v>4.7385766455865328</v>
      </c>
      <c r="N19" s="1">
        <f>4.354*((1/1.1227))</f>
        <v>3.8781508862563463</v>
      </c>
      <c r="O19" s="11">
        <f t="shared" si="22"/>
        <v>4.21483922686381</v>
      </c>
      <c r="P19" s="1">
        <f>1.26*((1/1.1227))</f>
        <v>1.122294468691547</v>
      </c>
      <c r="Q19" s="1">
        <f>1.19*((1/1.1227))</f>
        <v>1.0599447759864611</v>
      </c>
      <c r="R19" s="1">
        <f>1.288*((1/1.1227))</f>
        <v>1.1472343457735816</v>
      </c>
      <c r="S19" s="11">
        <f t="shared" si="23"/>
        <v>1.1098245301505301</v>
      </c>
      <c r="T19" s="1">
        <f>5.25*((1/1.1227))</f>
        <v>4.6762269528814464</v>
      </c>
      <c r="U19" s="1">
        <f>4.69*((1/1.1227))</f>
        <v>4.1774294112407588</v>
      </c>
      <c r="V19" s="1">
        <f>5.278*((1/1.1227))</f>
        <v>4.7011668299634799</v>
      </c>
      <c r="W19" s="11">
        <f t="shared" si="24"/>
        <v>4.518274398028562</v>
      </c>
      <c r="X19" s="1">
        <f>1.246*((1/1.1227))</f>
        <v>1.1098245301505298</v>
      </c>
      <c r="Y19" s="1">
        <f>1.344*((1/1.1227))</f>
        <v>1.1971140999376504</v>
      </c>
      <c r="Z19" s="1">
        <f>1.288*((1/1.1227))</f>
        <v>1.1472343457735816</v>
      </c>
      <c r="AA19" s="19">
        <f t="shared" si="25"/>
        <v>1.1513909919539207</v>
      </c>
      <c r="AB19" s="1">
        <f>5.306*((1/1.1227))</f>
        <v>4.7261067070455152</v>
      </c>
      <c r="AC19" s="1">
        <f>5.558*((1/1.1227))</f>
        <v>4.9505656007838246</v>
      </c>
      <c r="AD19" s="1">
        <f>4.858*((1/1.1227))</f>
        <v>4.3270686737329642</v>
      </c>
      <c r="AE19" s="1">
        <f>5.24066666666667*((1/1.1227))</f>
        <v>4.6679136605207718</v>
      </c>
      <c r="AF19" s="1">
        <f>1.218*((1/1.1227))</f>
        <v>1.0848846530684955</v>
      </c>
      <c r="AG19" s="1">
        <f>1.12*((1/1.1227))</f>
        <v>0.99759508328137525</v>
      </c>
      <c r="AH19" s="1">
        <f>1.316*((1/1.1227))</f>
        <v>1.172174222855616</v>
      </c>
      <c r="AI19" s="1">
        <f>1.218*((1/1.1227))</f>
        <v>1.0848846530684955</v>
      </c>
      <c r="AJ19" s="1">
        <f>5.236*((1/1.1227))</f>
        <v>4.6637570143404288</v>
      </c>
      <c r="AK19" s="1">
        <f>4.858*((1/1.1227))</f>
        <v>4.3270686737329642</v>
      </c>
      <c r="AL19" s="1">
        <f>5.278*((1/1.1227))</f>
        <v>4.7011668299634799</v>
      </c>
      <c r="AM19" s="15">
        <f>5.124*((1/1.1227))</f>
        <v>4.5639975060122913</v>
      </c>
      <c r="AN19" s="1">
        <f>1.372*((1/1.1227))</f>
        <v>1.2220539770196848</v>
      </c>
      <c r="AO19" s="1">
        <f>1.456*((1/1.1227))</f>
        <v>1.2968736082657877</v>
      </c>
      <c r="AP19" s="1">
        <f>1.526*((1/1.1227))</f>
        <v>1.3592233009708738</v>
      </c>
      <c r="AQ19" s="17">
        <f>1.45133333333333*((1/1.1227))</f>
        <v>1.2927169620854457</v>
      </c>
      <c r="CX19" s="11">
        <v>37</v>
      </c>
      <c r="CY19" s="1">
        <v>37</v>
      </c>
    </row>
    <row r="20" spans="1:103" ht="13" x14ac:dyDescent="0.3">
      <c r="A20" s="1">
        <v>5</v>
      </c>
      <c r="B20" s="1">
        <v>2</v>
      </c>
      <c r="C20" s="1">
        <v>0</v>
      </c>
      <c r="D20" s="1">
        <v>1</v>
      </c>
      <c r="E20" s="1">
        <v>19</v>
      </c>
      <c r="F20" s="1">
        <v>1.84</v>
      </c>
      <c r="G20" s="1">
        <v>86</v>
      </c>
      <c r="H20" s="1">
        <v>25.401701323251416</v>
      </c>
      <c r="I20" s="1">
        <v>0</v>
      </c>
      <c r="J20" s="1">
        <v>0</v>
      </c>
      <c r="K20" s="11">
        <v>0</v>
      </c>
      <c r="L20" s="15">
        <f>6.818*((1/1.1227))</f>
        <v>6.0728600694753716</v>
      </c>
      <c r="M20" s="1">
        <f>6.888*((1/1.1227))</f>
        <v>6.1352097621804571</v>
      </c>
      <c r="N20" s="1">
        <f>7*((1/1.1227))</f>
        <v>6.2349692705085946</v>
      </c>
      <c r="O20" s="11">
        <f t="shared" si="22"/>
        <v>6.1476797007214747</v>
      </c>
      <c r="P20" s="1">
        <f>1.806*((1/1.1227))</f>
        <v>1.6086220717912176</v>
      </c>
      <c r="Q20" s="1">
        <f>1.4*((1/1.1227))</f>
        <v>1.2469938541017189</v>
      </c>
      <c r="R20" s="1">
        <f>1.624*((1/1.1227))</f>
        <v>1.4465128707579942</v>
      </c>
      <c r="S20" s="11">
        <f t="shared" si="23"/>
        <v>1.434042932216977</v>
      </c>
      <c r="T20" s="1">
        <f>8.89*((1/1.1227))</f>
        <v>7.9184109735459165</v>
      </c>
      <c r="U20" s="1">
        <f>6.37*((1/1.1227))</f>
        <v>5.6738220361628215</v>
      </c>
      <c r="V20" s="1">
        <f>6.034*((1/1.1227))</f>
        <v>5.374543511178409</v>
      </c>
      <c r="W20" s="11">
        <f t="shared" si="24"/>
        <v>6.3222588402957163</v>
      </c>
      <c r="X20" s="1">
        <f>3.78*((1/1.1227))</f>
        <v>3.3668834060746411</v>
      </c>
      <c r="Y20" s="1">
        <f>3.318*((1/1.1227))</f>
        <v>2.9553754342210743</v>
      </c>
      <c r="Z20" s="1">
        <f>3.122*((1/1.1227))</f>
        <v>2.7807962946468332</v>
      </c>
      <c r="AA20" s="19">
        <f t="shared" si="25"/>
        <v>3.0343517116475165</v>
      </c>
      <c r="AB20" s="1">
        <f>7.098*((1/1.1227))</f>
        <v>6.3222588402957154</v>
      </c>
      <c r="AC20" s="1">
        <f>6.972*((1/1.1227))</f>
        <v>6.2100293934265611</v>
      </c>
      <c r="AD20" s="1">
        <f>7.126*((1/1.1227))</f>
        <v>6.3471987173777498</v>
      </c>
      <c r="AE20" s="1">
        <f>7.06533333333333*((1/1.1227))</f>
        <v>6.2931623170333388</v>
      </c>
      <c r="AF20" s="1">
        <f>1.75*((1/1.1227))</f>
        <v>1.5587423176271487</v>
      </c>
      <c r="AG20" s="1">
        <f>2.058*((1/1.1227))</f>
        <v>1.8330809655295268</v>
      </c>
      <c r="AH20" s="1">
        <f>2.114*((1/1.1227))</f>
        <v>1.8829607196935956</v>
      </c>
      <c r="AI20" s="1">
        <f>1.974*((1/1.1227))</f>
        <v>1.7582613342834237</v>
      </c>
      <c r="AJ20" s="1">
        <f>6.482*((1/1.1227))</f>
        <v>5.7735815444909591</v>
      </c>
      <c r="AK20" s="1">
        <f>5.908*((1/1.1227))</f>
        <v>5.2623140643092547</v>
      </c>
      <c r="AL20" s="1">
        <f>5.936*((1/1.1227))</f>
        <v>5.2872539413912882</v>
      </c>
      <c r="AM20" s="15">
        <f>6.10866666666667*((1/1.1227))</f>
        <v>5.4410498500638367</v>
      </c>
      <c r="AN20" s="1">
        <f>2.898*((1/1.1227))</f>
        <v>2.5812772779905586</v>
      </c>
      <c r="AO20" s="1">
        <f>2.912*((1/1.1227))</f>
        <v>2.5937472165315754</v>
      </c>
      <c r="AP20" s="1">
        <f>2.716*((1/1.1227))</f>
        <v>2.4191680769573352</v>
      </c>
      <c r="AQ20" s="17">
        <f>2.842*((1/1.1227))</f>
        <v>2.5313975238264899</v>
      </c>
      <c r="CX20" s="11">
        <v>36</v>
      </c>
      <c r="CY20" s="1">
        <v>47</v>
      </c>
    </row>
    <row r="21" spans="1:103" ht="13" x14ac:dyDescent="0.3">
      <c r="A21" s="1">
        <v>6</v>
      </c>
      <c r="B21" s="1">
        <v>2</v>
      </c>
      <c r="C21" s="1">
        <v>0</v>
      </c>
      <c r="D21" s="1">
        <v>1</v>
      </c>
      <c r="E21" s="1">
        <v>22</v>
      </c>
      <c r="F21" s="1">
        <v>1.79</v>
      </c>
      <c r="G21" s="1">
        <v>75</v>
      </c>
      <c r="H21" s="1">
        <v>23.40750912892856</v>
      </c>
      <c r="I21" s="1">
        <v>0</v>
      </c>
      <c r="J21" s="1">
        <v>2</v>
      </c>
      <c r="K21" s="11">
        <v>0</v>
      </c>
      <c r="L21" s="15">
        <f>4.984*((1/1.1227))</f>
        <v>4.4392981206021194</v>
      </c>
      <c r="M21" s="1">
        <f>5.936*((1/1.1227))</f>
        <v>5.2872539413912882</v>
      </c>
      <c r="N21" s="1">
        <f>6.958*((1/1.1227))</f>
        <v>6.1975594548855435</v>
      </c>
      <c r="O21" s="11">
        <f t="shared" si="22"/>
        <v>5.308037172292984</v>
      </c>
      <c r="P21" s="1">
        <f>1.862*((1/1.1227))</f>
        <v>1.6585018259552864</v>
      </c>
      <c r="Q21" s="1">
        <f>1.526*((1/1.1227))</f>
        <v>1.3592233009708738</v>
      </c>
      <c r="R21" s="1">
        <f>1.456*((1/1.1227))</f>
        <v>1.2968736082657877</v>
      </c>
      <c r="S21" s="11">
        <f t="shared" si="23"/>
        <v>1.438199578397316</v>
      </c>
      <c r="T21" s="1">
        <f>4.214*((1/1.1227))</f>
        <v>3.7534515008461744</v>
      </c>
      <c r="U21" s="1">
        <f>4.074*((1/1.1227))</f>
        <v>3.6287521154360021</v>
      </c>
      <c r="V21" s="1">
        <f>4.354*((1/1.1227))</f>
        <v>3.8781508862563463</v>
      </c>
      <c r="W21" s="11">
        <f t="shared" si="24"/>
        <v>3.753451500846174</v>
      </c>
      <c r="X21" s="1">
        <f>1.232*((1/1.1227))</f>
        <v>1.0973545916095127</v>
      </c>
      <c r="Y21" s="1">
        <f>1.204*((1/1.1227))</f>
        <v>1.0724147145274783</v>
      </c>
      <c r="Z21" s="1">
        <f>1.232*((1/1.1227))</f>
        <v>1.0973545916095127</v>
      </c>
      <c r="AA21" s="19">
        <f t="shared" si="25"/>
        <v>1.0890412992488345</v>
      </c>
      <c r="AB21" s="1">
        <f>7.028*((1/1.1227))</f>
        <v>6.259909147590629</v>
      </c>
      <c r="AC21" s="1">
        <f>7.518*((1/1.1227))</f>
        <v>6.6963569965262311</v>
      </c>
      <c r="AD21" s="1">
        <f>7.462*((1/1.1227))</f>
        <v>6.6464772423621623</v>
      </c>
      <c r="AE21" s="1">
        <f>7.336*((1/1.1227))</f>
        <v>6.534247795493008</v>
      </c>
      <c r="AF21" s="1">
        <f>1.68*((1/1.1227))</f>
        <v>1.4963926249220627</v>
      </c>
      <c r="AG21" s="1">
        <f>1.526*((1/1.1227))</f>
        <v>1.3592233009708738</v>
      </c>
      <c r="AH21" s="1">
        <f>1.512*((1/1.1227))</f>
        <v>1.3467533624298564</v>
      </c>
      <c r="AI21" s="1">
        <f>1.57266666666667*((1/1.1227))</f>
        <v>1.4007897627742674</v>
      </c>
      <c r="AJ21" s="1">
        <f>4.396*((1/1.1227))</f>
        <v>3.9155607018793974</v>
      </c>
      <c r="AK21" s="1">
        <f>4.186*((1/1.1227))</f>
        <v>3.7285116237641396</v>
      </c>
      <c r="AL21" s="1">
        <f>4.172*((1/1.1227))</f>
        <v>3.7160416852231224</v>
      </c>
      <c r="AM21" s="15">
        <f>4.25133333333333*((1/1.1227))</f>
        <v>3.7867046702888834</v>
      </c>
      <c r="AN21" s="1">
        <f>1.372*((1/1.1227))</f>
        <v>1.2220539770196848</v>
      </c>
      <c r="AO21" s="1">
        <f>1.33*((1/1.1227))</f>
        <v>1.1846441613966332</v>
      </c>
      <c r="AP21" s="1">
        <f>1.302*((1/1.1227))</f>
        <v>1.1597042843145988</v>
      </c>
      <c r="AQ21" s="17">
        <f>1.33466666666667*((1/1.1227))</f>
        <v>1.1888008075769751</v>
      </c>
      <c r="BR21" s="1">
        <f>1/1.1341</f>
        <v>0.88175645886606113</v>
      </c>
      <c r="CX21" s="11">
        <v>57</v>
      </c>
      <c r="CY21" s="1">
        <v>73</v>
      </c>
    </row>
    <row r="22" spans="1:103" ht="13" x14ac:dyDescent="0.3">
      <c r="A22" s="1">
        <v>7</v>
      </c>
      <c r="B22" s="1">
        <v>2</v>
      </c>
      <c r="C22" s="1">
        <v>0</v>
      </c>
      <c r="D22" s="1">
        <v>0</v>
      </c>
      <c r="E22" s="1">
        <v>21</v>
      </c>
      <c r="F22" s="1">
        <v>1.72</v>
      </c>
      <c r="G22" s="1">
        <v>61</v>
      </c>
      <c r="H22" s="1">
        <v>20.61925365062196</v>
      </c>
      <c r="I22" s="1">
        <v>0</v>
      </c>
      <c r="J22" s="1">
        <v>0</v>
      </c>
      <c r="K22" s="11">
        <v>0</v>
      </c>
      <c r="L22" s="15">
        <f>3.514*((1/1.1227))</f>
        <v>3.1299545737953145</v>
      </c>
      <c r="M22" s="1">
        <f>3.668*((1/1.1227))</f>
        <v>3.267123897746504</v>
      </c>
      <c r="N22" s="1">
        <f>4.242*((1/1.1227))</f>
        <v>3.7783913779282088</v>
      </c>
      <c r="O22" s="11">
        <f t="shared" si="22"/>
        <v>3.3918232831566755</v>
      </c>
      <c r="P22" s="1">
        <f>0.588*((1/1.1227))</f>
        <v>0.52373741872272195</v>
      </c>
      <c r="Q22" s="1">
        <f>0.56*((1/1.1227))</f>
        <v>0.49879754164068763</v>
      </c>
      <c r="R22" s="1">
        <f>0.532*((1/1.1227))</f>
        <v>0.47385766455865325</v>
      </c>
      <c r="S22" s="11">
        <f t="shared" si="23"/>
        <v>0.49879754164068757</v>
      </c>
      <c r="T22" s="1">
        <f>3.626*((1/1.1227))</f>
        <v>3.229714082123452</v>
      </c>
      <c r="U22" s="1">
        <f>2.996*((1/1.1227))</f>
        <v>2.6685668477776785</v>
      </c>
      <c r="V22" s="1">
        <f>3.248*((1/1.1227))</f>
        <v>2.8930257415159883</v>
      </c>
      <c r="W22" s="11">
        <f t="shared" si="24"/>
        <v>2.9304355571390395</v>
      </c>
      <c r="X22" s="1">
        <f>0.616*((1/1.1227))</f>
        <v>0.54867729580475633</v>
      </c>
      <c r="Y22" s="1">
        <f>0.574*((1/1.1227))</f>
        <v>0.51126748018170476</v>
      </c>
      <c r="Z22" s="1">
        <f>0.588*((1/1.1227))</f>
        <v>0.52373741872272195</v>
      </c>
      <c r="AA22" s="19">
        <f t="shared" si="25"/>
        <v>0.52789406490306101</v>
      </c>
      <c r="AB22" s="1">
        <f>4.074*((1/1.1227))</f>
        <v>3.6287521154360021</v>
      </c>
      <c r="AC22" s="1">
        <f>3.8*((1/1.1227))</f>
        <v>3.38469760399038</v>
      </c>
      <c r="AD22" s="1">
        <f>3.64*((1/1.1227))</f>
        <v>3.2421840206644696</v>
      </c>
      <c r="AE22" s="1">
        <f>3.838*((1/1.1227))</f>
        <v>3.4185445800302841</v>
      </c>
      <c r="AF22" s="1">
        <f>0.63*((1/1.1227))</f>
        <v>0.56114723434577352</v>
      </c>
      <c r="AG22" s="1">
        <f>0.588*((1/1.1227))</f>
        <v>0.52373741872272195</v>
      </c>
      <c r="AH22" s="1">
        <f>0.602*((1/1.1227))</f>
        <v>0.53620735726373914</v>
      </c>
      <c r="AI22" s="1">
        <f>0.606666666666667*((1/1.1227))</f>
        <v>0.54036400344407853</v>
      </c>
      <c r="AJ22" s="1">
        <f>3.626*((1/1.1227))</f>
        <v>3.229714082123452</v>
      </c>
      <c r="AK22" s="1">
        <f>3.416*((1/1.1227))</f>
        <v>3.0426650040081942</v>
      </c>
      <c r="AL22" s="1">
        <f>3.402*((1/1.1227))</f>
        <v>3.0301950654671774</v>
      </c>
      <c r="AM22" s="15">
        <f>3.48133333333333*((1/1.1227))</f>
        <v>3.1008580505329384</v>
      </c>
      <c r="AN22" s="1">
        <f>0.63*((1/1.1227))</f>
        <v>0.56114723434577352</v>
      </c>
      <c r="AO22" s="1">
        <f>0.7*((1/1.1227))</f>
        <v>0.62349692705085946</v>
      </c>
      <c r="AP22" s="1">
        <f>0.658*((1/1.1227))</f>
        <v>0.58608711142780801</v>
      </c>
      <c r="AQ22" s="17">
        <f>0.662666666666667*((1/1.1227))</f>
        <v>0.59024375760814729</v>
      </c>
      <c r="CX22" s="11">
        <v>30</v>
      </c>
      <c r="CY22" s="1">
        <v>35</v>
      </c>
    </row>
    <row r="23" spans="1:103" ht="13" x14ac:dyDescent="0.3">
      <c r="A23" s="1">
        <v>8</v>
      </c>
      <c r="B23" s="1">
        <v>2</v>
      </c>
      <c r="C23" s="1">
        <v>0</v>
      </c>
      <c r="D23" s="1">
        <v>1</v>
      </c>
      <c r="E23" s="1">
        <v>23</v>
      </c>
      <c r="F23" s="1">
        <v>1.84</v>
      </c>
      <c r="G23" s="1">
        <v>73</v>
      </c>
      <c r="H23" s="1">
        <v>21.561909262759922</v>
      </c>
      <c r="I23" s="1">
        <v>0</v>
      </c>
      <c r="J23" s="1">
        <v>0</v>
      </c>
      <c r="K23" s="11">
        <v>1</v>
      </c>
      <c r="L23" s="15">
        <f>5.82*((1/1.1227))</f>
        <v>5.1839315934800032</v>
      </c>
      <c r="M23" s="1">
        <f>5.208*((1/1.1227))</f>
        <v>4.6388171372583953</v>
      </c>
      <c r="N23" s="1">
        <f>5.068*((1/1.1227))</f>
        <v>4.5141177518482225</v>
      </c>
      <c r="O23" s="11">
        <f t="shared" si="22"/>
        <v>4.7789554941955403</v>
      </c>
      <c r="P23" s="1">
        <f>2.002*((1/1.1227))</f>
        <v>1.7832012113654581</v>
      </c>
      <c r="Q23" s="1">
        <f>1.764*((1/1.1227))</f>
        <v>1.5712122561681661</v>
      </c>
      <c r="R23" s="1">
        <f>1.666*((1/1.1227))</f>
        <v>1.4839226863810455</v>
      </c>
      <c r="S23" s="11">
        <f t="shared" si="23"/>
        <v>1.6127787179715565</v>
      </c>
      <c r="T23" s="1">
        <f>7.672*((1/1.1227))</f>
        <v>6.8335263204774197</v>
      </c>
      <c r="U23" s="1">
        <f>7.714*((1/1.1227))</f>
        <v>6.8709361361004717</v>
      </c>
      <c r="V23" s="1">
        <f>7.854*((1/1.1227))</f>
        <v>6.9956355215106436</v>
      </c>
      <c r="W23" s="11">
        <f t="shared" si="24"/>
        <v>6.9000326593628456</v>
      </c>
      <c r="X23" s="1">
        <f>1.61*((1/1.1227))</f>
        <v>1.434042932216977</v>
      </c>
      <c r="Y23" s="1">
        <f>1.554*((1/1.1227))</f>
        <v>1.3841631780529082</v>
      </c>
      <c r="Z23" s="1">
        <f>1.694*((1/1.1227))</f>
        <v>1.5088625634630799</v>
      </c>
      <c r="AA23" s="19">
        <f t="shared" si="25"/>
        <v>1.4423562245776551</v>
      </c>
      <c r="AB23" s="1">
        <f>5.726*((1/1.1227))</f>
        <v>5.1002048632760308</v>
      </c>
      <c r="AC23" s="1">
        <f>5.824*((1/1.1227))</f>
        <v>5.1874944330631507</v>
      </c>
      <c r="AD23" s="1">
        <f>5.628*((1/1.1227))</f>
        <v>5.012915293488911</v>
      </c>
      <c r="AE23" s="1">
        <f>5.726*((1/1.1227))</f>
        <v>5.1002048632760308</v>
      </c>
      <c r="AF23" s="1">
        <f>1.862*((1/1.1227))</f>
        <v>1.6585018259552864</v>
      </c>
      <c r="AG23" s="1">
        <f>1.946*((1/1.1227))</f>
        <v>1.7333214572013893</v>
      </c>
      <c r="AH23" s="1">
        <f>1.764*((1/1.1227))</f>
        <v>1.5712122561681661</v>
      </c>
      <c r="AI23" s="1">
        <f>1.85733333333333*((1/1.1227))</f>
        <v>1.6543451797749442</v>
      </c>
      <c r="AJ23" s="1">
        <f>8.092*((1/1.1227))</f>
        <v>7.2076244767079363</v>
      </c>
      <c r="AK23" s="1">
        <f>8.288*((1/1.1227))</f>
        <v>7.3822036162821769</v>
      </c>
      <c r="AL23" s="1">
        <f>8.162*((1/1.1227))</f>
        <v>7.2699741694130227</v>
      </c>
      <c r="AM23" s="15">
        <f>8.18066666666667*((1/1.1227))</f>
        <v>7.2866007541343816</v>
      </c>
      <c r="AN23" s="1">
        <f>1.974*((1/1.1227))</f>
        <v>1.7582613342834237</v>
      </c>
      <c r="AO23" s="1">
        <f>1.988*((1/1.1227))</f>
        <v>1.7707312728244411</v>
      </c>
      <c r="AP23" s="1">
        <f>1.526*((1/1.1227))</f>
        <v>1.3592233009708738</v>
      </c>
      <c r="AQ23" s="17">
        <f>1.82933333333333*((1/1.1227))</f>
        <v>1.6294053026929098</v>
      </c>
      <c r="CX23" s="11">
        <v>51</v>
      </c>
      <c r="CY23" s="1">
        <v>13</v>
      </c>
    </row>
    <row r="24" spans="1:103" ht="13" x14ac:dyDescent="0.3">
      <c r="A24" s="1">
        <v>9</v>
      </c>
      <c r="B24" s="1">
        <v>2</v>
      </c>
      <c r="C24" s="1">
        <v>0</v>
      </c>
      <c r="D24" s="1">
        <v>1</v>
      </c>
      <c r="E24" s="1">
        <v>18</v>
      </c>
      <c r="F24" s="1">
        <v>1.97</v>
      </c>
      <c r="G24" s="1">
        <v>72</v>
      </c>
      <c r="H24" s="1">
        <v>18.552397639722745</v>
      </c>
      <c r="I24" s="1">
        <v>0</v>
      </c>
      <c r="J24" s="1">
        <v>1</v>
      </c>
      <c r="K24" s="11">
        <v>0</v>
      </c>
      <c r="L24" s="15">
        <f>7.476*((1/1.1227))</f>
        <v>6.6589471809031799</v>
      </c>
      <c r="M24" s="1">
        <f>7.91*((1/1.1227))</f>
        <v>7.0455152756747124</v>
      </c>
      <c r="N24" s="1">
        <f>7.77*((1/1.1227))</f>
        <v>6.9208158902645405</v>
      </c>
      <c r="O24" s="11">
        <f t="shared" si="22"/>
        <v>6.8750927822808121</v>
      </c>
      <c r="P24" s="1">
        <f>2.506*((1/1.1227))</f>
        <v>2.2321189988420769</v>
      </c>
      <c r="Q24" s="1">
        <f>2.38*((1/1.1227))</f>
        <v>2.1198895519729222</v>
      </c>
      <c r="R24" s="1">
        <f>2.478*((1/1.1227))</f>
        <v>2.2071791217600429</v>
      </c>
      <c r="S24" s="11">
        <f t="shared" si="23"/>
        <v>2.1863958908583472</v>
      </c>
      <c r="T24" s="1">
        <f>7.826*((1/1.1227))</f>
        <v>6.9706956444286092</v>
      </c>
      <c r="U24" s="1">
        <f>7.84*((1/1.1227))</f>
        <v>6.983165582969626</v>
      </c>
      <c r="V24" s="1">
        <f>7.84*((1/1.1227))</f>
        <v>6.983165582969626</v>
      </c>
      <c r="W24" s="11">
        <f t="shared" si="24"/>
        <v>6.9790089367892874</v>
      </c>
      <c r="X24" s="1">
        <f>1.68*((1/1.1227))</f>
        <v>1.4963926249220627</v>
      </c>
      <c r="Y24" s="1">
        <f>1.75*((1/1.1227))</f>
        <v>1.5587423176271487</v>
      </c>
      <c r="Z24" s="1">
        <f>1.764*((1/1.1227))</f>
        <v>1.5712122561681661</v>
      </c>
      <c r="AA24" s="19">
        <f t="shared" si="25"/>
        <v>1.5421157329057926</v>
      </c>
      <c r="AB24" s="1">
        <f>8.246*((1/1.1227))</f>
        <v>7.3447938006591258</v>
      </c>
      <c r="AC24" s="1">
        <f>8.806*((1/1.1227))</f>
        <v>7.8435913422998116</v>
      </c>
      <c r="AD24" s="1">
        <f>8.26*((1/1.1227))</f>
        <v>7.3572637392001417</v>
      </c>
      <c r="AE24" s="1">
        <f>8.43733333333333*((1/1.1227))</f>
        <v>7.5152162940530234</v>
      </c>
      <c r="AF24" s="1">
        <f>2.576*((1/1.1227))</f>
        <v>2.2944686915471633</v>
      </c>
      <c r="AG24" s="1">
        <f>2.534*((1/1.1227))</f>
        <v>2.2570588759241113</v>
      </c>
      <c r="AH24" s="1">
        <f>2.436*((1/1.1227))</f>
        <v>2.1697693061369909</v>
      </c>
      <c r="AI24" s="1">
        <f>2.51533333333333*((1/1.1227))</f>
        <v>2.2404322912027519</v>
      </c>
      <c r="AJ24" s="1">
        <f>8.302*((1/1.1227))</f>
        <v>7.3946735548231937</v>
      </c>
      <c r="AK24" s="1">
        <f>8.624*((1/1.1227))</f>
        <v>7.6814821412665895</v>
      </c>
      <c r="AL24" s="1">
        <f>8.792*((1/1.1227))</f>
        <v>7.8311214037587948</v>
      </c>
      <c r="AM24" s="15">
        <f>8.57266666666667*((1/1.1227))</f>
        <v>7.6357590332828629</v>
      </c>
      <c r="AN24" s="1">
        <f>1.61*((1/1.1227))</f>
        <v>1.434042932216977</v>
      </c>
      <c r="AO24" s="1">
        <f>1.666*((1/1.1227))</f>
        <v>1.4839226863810455</v>
      </c>
      <c r="AP24" s="1">
        <f>1.652*((1/1.1227))</f>
        <v>1.4714527478400283</v>
      </c>
      <c r="AQ24" s="17">
        <f>1.64266666666667*((1/1.1227))</f>
        <v>1.4631394554793533</v>
      </c>
      <c r="CX24" s="11">
        <v>31</v>
      </c>
      <c r="CY24" s="1">
        <v>32</v>
      </c>
    </row>
    <row r="25" spans="1:103" ht="13" x14ac:dyDescent="0.3">
      <c r="A25" s="1">
        <v>10</v>
      </c>
      <c r="B25" s="1">
        <v>2</v>
      </c>
      <c r="C25" s="1">
        <v>0</v>
      </c>
      <c r="D25" s="1">
        <v>1</v>
      </c>
      <c r="E25" s="1">
        <v>22</v>
      </c>
      <c r="F25" s="1">
        <v>1.87</v>
      </c>
      <c r="G25" s="1">
        <v>98</v>
      </c>
      <c r="H25" s="1">
        <v>28.024821985186875</v>
      </c>
      <c r="I25" s="1">
        <v>0</v>
      </c>
      <c r="J25" s="1">
        <v>0</v>
      </c>
      <c r="K25" s="11">
        <v>0</v>
      </c>
      <c r="L25" s="15">
        <f>4.774*((1/1.1227))</f>
        <v>4.252249042486862</v>
      </c>
      <c r="M25" s="1">
        <f>4.802*((1/1.1227))</f>
        <v>4.2771889195688955</v>
      </c>
      <c r="N25" s="1">
        <f>5.054*((1/1.1227))</f>
        <v>4.5016478133072058</v>
      </c>
      <c r="O25" s="11">
        <f t="shared" si="22"/>
        <v>4.3436952584543214</v>
      </c>
      <c r="P25" s="1">
        <f>1.876*((1/1.1227))</f>
        <v>1.6709717644963034</v>
      </c>
      <c r="Q25" s="1">
        <f>1.554*((1/1.1227))</f>
        <v>1.3841631780529082</v>
      </c>
      <c r="R25" s="1">
        <f>1.47*((1/1.1227))</f>
        <v>1.3093435468068049</v>
      </c>
      <c r="S25" s="11">
        <f t="shared" si="23"/>
        <v>1.4548261631186723</v>
      </c>
      <c r="T25" s="1">
        <f>4.746*((1/1.1227))</f>
        <v>4.2273091654048276</v>
      </c>
      <c r="U25" s="1">
        <f>4.746*((1/1.1227))</f>
        <v>4.2273091654048276</v>
      </c>
      <c r="V25" s="1">
        <f>4.9*((1/1.1227))</f>
        <v>4.3644784893560171</v>
      </c>
      <c r="W25" s="11">
        <f t="shared" si="24"/>
        <v>4.2730322733885577</v>
      </c>
      <c r="X25" s="1">
        <f>1.358*((1/1.1227))</f>
        <v>1.2095840384786676</v>
      </c>
      <c r="Y25" s="1">
        <f>1.498*((1/1.1227))</f>
        <v>1.3342834238888392</v>
      </c>
      <c r="Z25" s="1">
        <f>1.47*((1/1.1227))</f>
        <v>1.3093435468068049</v>
      </c>
      <c r="AA25" s="19">
        <f t="shared" si="25"/>
        <v>1.2844036697247705</v>
      </c>
      <c r="AB25" s="1">
        <f>5.166*((1/1.1227))</f>
        <v>4.6014073216353433</v>
      </c>
      <c r="AC25" s="1">
        <f>5.46*((1/1.1227))</f>
        <v>4.8632760309967038</v>
      </c>
      <c r="AD25" s="1">
        <f>5.46*((1/1.1227))</f>
        <v>4.8632760309967038</v>
      </c>
      <c r="AE25" s="1">
        <f>5.362*((1/1.1227))</f>
        <v>4.7759864612095839</v>
      </c>
      <c r="AF25" s="1">
        <f>1.554*((1/1.1227))</f>
        <v>1.3841631780529082</v>
      </c>
      <c r="AG25" s="1">
        <f>1.624*((1/1.1227))</f>
        <v>1.4465128707579942</v>
      </c>
      <c r="AH25" s="1">
        <f>1.638*((1/1.1227))</f>
        <v>1.4589828092990111</v>
      </c>
      <c r="AI25" s="1">
        <f>1.60533333333333*((1/1.1227))</f>
        <v>1.4298862860366348</v>
      </c>
      <c r="AJ25" s="1">
        <f>4.34*((1/1.1227))</f>
        <v>3.8656809477153287</v>
      </c>
      <c r="AK25" s="1">
        <f>4.48*((1/1.1227))</f>
        <v>3.990380333125501</v>
      </c>
      <c r="AL25" s="1">
        <f>4.746*((1/1.1227))</f>
        <v>4.2273091654048276</v>
      </c>
      <c r="AM25" s="15">
        <f>4.522*((1/1.1227))</f>
        <v>4.0277901487485526</v>
      </c>
      <c r="AN25" s="1">
        <f>1.582*((1/1.1227))</f>
        <v>1.4091030551349426</v>
      </c>
      <c r="AO25" s="1">
        <f>1.68*((1/1.1227))</f>
        <v>1.4963926249220627</v>
      </c>
      <c r="AP25" s="1">
        <f>1.624*((1/1.1227))</f>
        <v>1.4465128707579942</v>
      </c>
      <c r="AQ25" s="17">
        <f>1.62866666666667*((1/1.1227))</f>
        <v>1.4506695169383361</v>
      </c>
      <c r="CX25" s="11">
        <v>46</v>
      </c>
      <c r="CY25" s="1">
        <v>49</v>
      </c>
    </row>
    <row r="26" spans="1:103" ht="13" x14ac:dyDescent="0.3">
      <c r="A26" s="1">
        <v>11</v>
      </c>
      <c r="B26" s="1">
        <v>2</v>
      </c>
      <c r="C26" s="1">
        <v>0</v>
      </c>
      <c r="D26" s="1">
        <v>1</v>
      </c>
      <c r="E26" s="1">
        <v>18</v>
      </c>
      <c r="F26" s="1">
        <v>1.87</v>
      </c>
      <c r="G26" s="1">
        <v>70</v>
      </c>
      <c r="H26" s="1">
        <v>20.017729989419198</v>
      </c>
      <c r="I26" s="1">
        <v>0</v>
      </c>
      <c r="J26" s="1">
        <v>0</v>
      </c>
      <c r="K26" s="11">
        <v>0</v>
      </c>
      <c r="L26" s="15">
        <f>3.472*((1/1.1227))</f>
        <v>3.0925447581722629</v>
      </c>
      <c r="M26" s="1">
        <f>3.64*((1/1.1227))</f>
        <v>3.2421840206644696</v>
      </c>
      <c r="N26" s="1">
        <f>4.41*((1/1.1227))</f>
        <v>3.9280306404204151</v>
      </c>
      <c r="O26" s="11">
        <f t="shared" si="22"/>
        <v>3.4209198064190489</v>
      </c>
      <c r="P26" s="1">
        <f>1.008*((1/1.1227))</f>
        <v>0.89783557495323774</v>
      </c>
      <c r="Q26" s="1">
        <f>1.022*((1/1.1227))</f>
        <v>0.91030551349425493</v>
      </c>
      <c r="R26" s="1">
        <f>0.966*((1/1.1227))</f>
        <v>0.86042575933018606</v>
      </c>
      <c r="S26" s="11">
        <f t="shared" si="23"/>
        <v>0.8895222825925595</v>
      </c>
      <c r="T26" s="1">
        <f>5.95*((1/1.1227))</f>
        <v>5.2997238799323059</v>
      </c>
      <c r="U26" s="1">
        <f>6.258*((1/1.1227))</f>
        <v>5.574062527834684</v>
      </c>
      <c r="V26" s="1">
        <f>6.972*((1/1.1227))</f>
        <v>6.2100293934265611</v>
      </c>
      <c r="W26" s="11">
        <f t="shared" si="24"/>
        <v>5.6946052670645173</v>
      </c>
      <c r="X26" s="1">
        <f>1.876*((1/1.1227))</f>
        <v>1.6709717644963034</v>
      </c>
      <c r="Y26" s="1">
        <f>2.226*((1/1.1227))</f>
        <v>1.9827202280217333</v>
      </c>
      <c r="Z26" s="1">
        <f>2.086*((1/1.1227))</f>
        <v>1.8580208426115612</v>
      </c>
      <c r="AA26" s="19">
        <f t="shared" si="25"/>
        <v>1.8372376117098661</v>
      </c>
      <c r="AB26" s="1">
        <f>3.416*((1/1.1227))</f>
        <v>3.0426650040081942</v>
      </c>
      <c r="AC26" s="1">
        <f>3.878*((1/1.1227))</f>
        <v>3.4541729758617619</v>
      </c>
      <c r="AD26" s="1">
        <f>3.822*((1/1.1227))</f>
        <v>3.4042932216976931</v>
      </c>
      <c r="AE26" s="1">
        <f>3.70533333333333*((1/1.1227))</f>
        <v>3.300377067189213</v>
      </c>
      <c r="AF26" s="1">
        <f>1.288*((1/1.1227))</f>
        <v>1.1472343457735816</v>
      </c>
      <c r="AG26" s="1">
        <f>0.924*((1/1.1227))</f>
        <v>0.8230159437071346</v>
      </c>
      <c r="AH26" s="1">
        <f>1.008*((1/1.1227))</f>
        <v>0.89783557495323774</v>
      </c>
      <c r="AI26" s="1">
        <f>1.07333333333333*((1/1.1227))</f>
        <v>0.95602862147798151</v>
      </c>
      <c r="AJ26" s="1">
        <f>4.704*((1/1.1227))</f>
        <v>4.1898993497817756</v>
      </c>
      <c r="AK26" s="1">
        <f>7*((1/1.1227))</f>
        <v>6.2349692705085946</v>
      </c>
      <c r="AL26" s="1">
        <f>6.748*((1/1.1227))</f>
        <v>6.0105103767702861</v>
      </c>
      <c r="AM26" s="15">
        <f>6.15066666666667*((1/1.1227))</f>
        <v>5.4784596656868878</v>
      </c>
      <c r="AN26" s="1">
        <f>2.548*((1/1.1227))</f>
        <v>2.2695288144651284</v>
      </c>
      <c r="AO26" s="1">
        <f>2.492*((1/1.1227))</f>
        <v>2.2196490603010597</v>
      </c>
      <c r="AP26" s="1">
        <f>2.52*((1/1.1227))</f>
        <v>2.2445889373830941</v>
      </c>
      <c r="AQ26" s="17">
        <f>2.52*((1/1.1227))</f>
        <v>2.2445889373830941</v>
      </c>
      <c r="CX26" s="11">
        <v>99</v>
      </c>
      <c r="CY26" s="1">
        <v>120</v>
      </c>
    </row>
    <row r="27" spans="1:103" ht="13" x14ac:dyDescent="0.3">
      <c r="A27" s="1">
        <v>12</v>
      </c>
      <c r="B27" s="1">
        <v>2</v>
      </c>
      <c r="C27" s="1">
        <v>0</v>
      </c>
      <c r="D27" s="1">
        <v>0</v>
      </c>
      <c r="E27" s="1">
        <v>22</v>
      </c>
      <c r="F27" s="1">
        <v>1.64</v>
      </c>
      <c r="G27" s="1">
        <v>60</v>
      </c>
      <c r="H27" s="1">
        <v>22.308149910767405</v>
      </c>
      <c r="I27" s="1">
        <v>1</v>
      </c>
      <c r="J27" s="1">
        <v>0</v>
      </c>
      <c r="K27" s="11">
        <v>1</v>
      </c>
      <c r="L27" s="15">
        <f>4.13*((1/1.1227))</f>
        <v>3.6786318696000708</v>
      </c>
      <c r="M27" s="1">
        <f>5.068*((1/1.1227))</f>
        <v>4.5141177518482225</v>
      </c>
      <c r="N27" s="1">
        <f>5.138*((1/1.1227))</f>
        <v>4.5764674445533089</v>
      </c>
      <c r="O27" s="11">
        <f t="shared" si="22"/>
        <v>4.2564056886672006</v>
      </c>
      <c r="P27" s="1">
        <f>0.56*((1/1.1227))</f>
        <v>0.49879754164068763</v>
      </c>
      <c r="Q27" s="1">
        <f>0.504*((1/1.1227))</f>
        <v>0.44891778747661887</v>
      </c>
      <c r="R27" s="1">
        <f>0.546*((1/1.1227))</f>
        <v>0.48632760309967044</v>
      </c>
      <c r="S27" s="11">
        <f t="shared" si="23"/>
        <v>0.47801431073899231</v>
      </c>
      <c r="T27" s="1">
        <f>4.298*((1/1.1227))</f>
        <v>3.8282711320922775</v>
      </c>
      <c r="U27" s="1">
        <f>4.018*((1/1.1227))</f>
        <v>3.5788723612719333</v>
      </c>
      <c r="V27" s="1">
        <f>4.228*((1/1.1227))</f>
        <v>3.7659214393871911</v>
      </c>
      <c r="W27" s="11">
        <f t="shared" si="24"/>
        <v>3.7243549775838005</v>
      </c>
      <c r="X27" s="1">
        <f>0.812*((1/1.1227))</f>
        <v>0.72325643537899709</v>
      </c>
      <c r="Y27" s="1">
        <f>0.7*((1/1.1227))</f>
        <v>0.62349692705085946</v>
      </c>
      <c r="Z27" s="1">
        <f>0.602*((1/1.1227))</f>
        <v>0.53620735726373914</v>
      </c>
      <c r="AA27" s="19">
        <f t="shared" si="25"/>
        <v>0.62765357323119852</v>
      </c>
      <c r="AB27" s="1">
        <f>5.236*((1/1.1227))</f>
        <v>4.6637570143404288</v>
      </c>
      <c r="AC27" s="1">
        <f>5.362*((1/1.1227))</f>
        <v>4.7759864612095839</v>
      </c>
      <c r="AD27" s="1">
        <f>5.18*((1/1.1227))</f>
        <v>4.61387726017636</v>
      </c>
      <c r="AE27" s="1">
        <f>5.25933333333333*((1/1.1227))</f>
        <v>4.684540245242121</v>
      </c>
      <c r="AF27" s="1">
        <f>0.56*((1/1.1227))</f>
        <v>0.49879754164068763</v>
      </c>
      <c r="AG27" s="1">
        <f>0.532*((1/1.1227))</f>
        <v>0.47385766455865325</v>
      </c>
      <c r="AH27" s="1">
        <f>0.56*((1/1.1227))</f>
        <v>0.49879754164068763</v>
      </c>
      <c r="AI27" s="1">
        <f>0.550666666666667*((1/1.1227))</f>
        <v>0.49048424928000978</v>
      </c>
      <c r="AJ27" s="1">
        <f>5.138*((1/1.1227))</f>
        <v>4.5764674445533089</v>
      </c>
      <c r="AK27" s="1">
        <f>4.858*((1/1.1227))</f>
        <v>4.3270686737329642</v>
      </c>
      <c r="AL27" s="1">
        <f>4.564*((1/1.1227))</f>
        <v>4.0651999643716037</v>
      </c>
      <c r="AM27" s="15">
        <f>4.85333333333333*((1/1.1227))</f>
        <v>4.3229120275526229</v>
      </c>
      <c r="AN27" s="1">
        <f>0.658*((1/1.1227))</f>
        <v>0.58608711142780801</v>
      </c>
      <c r="AO27" s="1">
        <f>0.616*((1/1.1227))</f>
        <v>0.54867729580475633</v>
      </c>
      <c r="AP27" s="1">
        <f>0.658*((1/1.1227))</f>
        <v>0.58608711142780801</v>
      </c>
      <c r="AQ27" s="17">
        <f>0.644*((1/1.1227))</f>
        <v>0.57361717288679082</v>
      </c>
      <c r="CX27" s="11">
        <v>31</v>
      </c>
      <c r="CY27" s="1">
        <v>30</v>
      </c>
    </row>
    <row r="28" spans="1:103" ht="13" x14ac:dyDescent="0.3">
      <c r="A28" s="1">
        <v>13</v>
      </c>
      <c r="B28" s="1">
        <v>2</v>
      </c>
      <c r="C28" s="1">
        <v>0</v>
      </c>
      <c r="D28" s="1">
        <v>0</v>
      </c>
      <c r="E28" s="1">
        <v>21</v>
      </c>
      <c r="F28" s="1">
        <v>1.68</v>
      </c>
      <c r="G28" s="1">
        <v>54.5</v>
      </c>
      <c r="H28" s="1">
        <v>19.309807256235832</v>
      </c>
      <c r="I28" s="1">
        <v>0</v>
      </c>
      <c r="J28" s="1">
        <v>0</v>
      </c>
      <c r="K28" s="11">
        <v>0</v>
      </c>
      <c r="L28" s="15">
        <f>1.358*((1/1.1227))</f>
        <v>1.2095840384786676</v>
      </c>
      <c r="M28" s="1">
        <f>1.26*((1/1.1227))</f>
        <v>1.122294468691547</v>
      </c>
      <c r="N28" s="1">
        <f>1.134*((1/1.1227))</f>
        <v>1.0100650218223923</v>
      </c>
      <c r="O28" s="11">
        <f t="shared" si="22"/>
        <v>1.1139811763308691</v>
      </c>
      <c r="P28" s="1">
        <f>0.91*((1/1.1227))</f>
        <v>0.81054600516611741</v>
      </c>
      <c r="Q28" s="1">
        <f>0.966*((1/1.1227))</f>
        <v>0.86042575933018606</v>
      </c>
      <c r="R28" s="1">
        <f>0.868*((1/1.1227))</f>
        <v>0.77313618954306573</v>
      </c>
      <c r="S28" s="11">
        <f t="shared" si="23"/>
        <v>0.81470265134645636</v>
      </c>
      <c r="T28" s="1">
        <f>2.716*((1/1.1227))</f>
        <v>2.4191680769573352</v>
      </c>
      <c r="U28" s="1">
        <f>4.018*((1/1.1227))</f>
        <v>3.5788723612719333</v>
      </c>
      <c r="V28" s="1">
        <f>4.102*((1/1.1227))</f>
        <v>3.6536919925180369</v>
      </c>
      <c r="W28" s="11">
        <f t="shared" si="24"/>
        <v>3.2172441435824353</v>
      </c>
      <c r="X28" s="1">
        <f>0.644*((1/1.1227))</f>
        <v>0.57361717288679082</v>
      </c>
      <c r="Y28" s="1">
        <f>0.616*((1/1.1227))</f>
        <v>0.54867729580475633</v>
      </c>
      <c r="Z28" s="1">
        <f>0.616*((1/1.1227))</f>
        <v>0.54867729580475633</v>
      </c>
      <c r="AA28" s="19">
        <f t="shared" si="25"/>
        <v>0.55699058816543445</v>
      </c>
      <c r="AB28" s="1">
        <f>1.078*((1/1.1227))</f>
        <v>0.96018526765832368</v>
      </c>
      <c r="AC28" s="1">
        <f>1.456*((1/1.1227))</f>
        <v>1.2968736082657877</v>
      </c>
      <c r="AD28" s="1">
        <f>1.26*((1/1.1227))</f>
        <v>1.122294468691547</v>
      </c>
      <c r="AE28" s="1">
        <f>1.26466666666667*((1/1.1227))</f>
        <v>1.126451114871889</v>
      </c>
      <c r="AF28" s="1">
        <f>0.728*((1/1.1227))</f>
        <v>0.64843680413289384</v>
      </c>
      <c r="AG28" s="1">
        <f>0.845*((1/1.1227))</f>
        <v>0.75264986193996608</v>
      </c>
      <c r="AH28" s="1">
        <f>0.812*((1/1.1227))</f>
        <v>0.72325643537899709</v>
      </c>
      <c r="AI28" s="1">
        <f>0.795*((1/1.1227))</f>
        <v>0.70811436715061904</v>
      </c>
      <c r="AJ28" s="1">
        <f>4.284*((1/1.1227))</f>
        <v>3.8158011935512599</v>
      </c>
      <c r="AK28" s="1">
        <f>2.856*((1/1.1227))</f>
        <v>2.5438674623675066</v>
      </c>
      <c r="AL28" s="1">
        <f>4.172*((1/1.1227))</f>
        <v>3.7160416852231224</v>
      </c>
      <c r="AM28" s="15">
        <f>3.77066666666667*((1/1.1227))</f>
        <v>3.3585701137139665</v>
      </c>
      <c r="AN28" s="1">
        <f>0.658*((1/1.1227))</f>
        <v>0.58608711142780801</v>
      </c>
      <c r="AO28" s="1">
        <f>0.728*((1/1.1227))</f>
        <v>0.64843680413289384</v>
      </c>
      <c r="AP28" s="1">
        <f>0.7*((1/1.1227))</f>
        <v>0.62349692705085946</v>
      </c>
      <c r="AQ28" s="17">
        <f>0.695333333333333*((1/1.1227))</f>
        <v>0.61934028087052018</v>
      </c>
      <c r="CX28" s="11">
        <v>20</v>
      </c>
      <c r="CY28" s="1">
        <v>18</v>
      </c>
    </row>
    <row r="29" spans="1:103" ht="13" x14ac:dyDescent="0.3">
      <c r="A29" s="1">
        <v>14</v>
      </c>
      <c r="B29" s="1">
        <v>2</v>
      </c>
      <c r="C29" s="1">
        <v>0</v>
      </c>
      <c r="D29" s="1">
        <v>1</v>
      </c>
      <c r="E29" s="1">
        <v>20</v>
      </c>
      <c r="F29" s="1">
        <v>1.78</v>
      </c>
      <c r="G29" s="1">
        <v>65</v>
      </c>
      <c r="H29" s="1">
        <v>20.515086478979924</v>
      </c>
      <c r="I29" s="1">
        <v>0</v>
      </c>
      <c r="J29" s="1">
        <v>0</v>
      </c>
      <c r="K29" s="11">
        <v>0</v>
      </c>
      <c r="L29" s="15">
        <f>3.094*((1/1.1227))</f>
        <v>2.7558564175647988</v>
      </c>
      <c r="M29" s="1">
        <f>3.402*((1/1.1227))</f>
        <v>3.0301950654671774</v>
      </c>
      <c r="N29" s="1">
        <f>3.108*((1/1.1227))</f>
        <v>2.7683263561058165</v>
      </c>
      <c r="O29" s="11">
        <f t="shared" si="22"/>
        <v>2.8514592797125977</v>
      </c>
      <c r="P29" s="1">
        <f>1.918*((1/1.1227))</f>
        <v>1.7083815801193549</v>
      </c>
      <c r="Q29" s="1">
        <f>1.862*((1/1.1227))</f>
        <v>1.6585018259552864</v>
      </c>
      <c r="R29" s="1">
        <f>1.736*((1/1.1227))</f>
        <v>1.5462723790861315</v>
      </c>
      <c r="S29" s="11">
        <f t="shared" si="23"/>
        <v>1.6377185950535909</v>
      </c>
      <c r="T29" s="1">
        <f>2.982*((1/1.1227))</f>
        <v>2.6560969092366618</v>
      </c>
      <c r="U29" s="1">
        <f>3.024*((1/1.1227))</f>
        <v>2.6935067248597129</v>
      </c>
      <c r="V29" s="1">
        <f>3.01*((1/1.1227))</f>
        <v>2.6810367863186957</v>
      </c>
      <c r="W29" s="11">
        <f t="shared" si="24"/>
        <v>2.6768801401383566</v>
      </c>
      <c r="X29" s="1">
        <f>1.47*((1/1.1227))</f>
        <v>1.3093435468068049</v>
      </c>
      <c r="Y29" s="1">
        <f>1.414*((1/1.1227))</f>
        <v>1.2594637926427361</v>
      </c>
      <c r="Z29" s="1">
        <f>1.358*((1/1.1227))</f>
        <v>1.2095840384786676</v>
      </c>
      <c r="AA29" s="19">
        <f t="shared" si="25"/>
        <v>1.2594637926427363</v>
      </c>
      <c r="AB29" s="1">
        <f>3.038*((1/1.1227))</f>
        <v>2.7059766634007301</v>
      </c>
      <c r="AC29" s="1">
        <f>2.604*((1/1.1227))</f>
        <v>2.3194085686291976</v>
      </c>
      <c r="AD29" s="1">
        <f>2.534*((1/1.1227))</f>
        <v>2.2570588759241113</v>
      </c>
      <c r="AE29" s="1">
        <f>2.72533333333333*((1/1.1227))</f>
        <v>2.4274813693180097</v>
      </c>
      <c r="AF29" s="1">
        <f>1.68*((1/1.1227))</f>
        <v>1.4963926249220627</v>
      </c>
      <c r="AG29" s="1">
        <f>1.722*((1/1.1227))</f>
        <v>1.5338024405451143</v>
      </c>
      <c r="AH29" s="1">
        <f>1.694*((1/1.1227))</f>
        <v>1.5088625634630799</v>
      </c>
      <c r="AI29" s="1">
        <f>1.69866666666667*((1/1.1227))</f>
        <v>1.5130192096434221</v>
      </c>
      <c r="AJ29" s="1">
        <f>3.64*((1/1.1227))</f>
        <v>3.2421840206644696</v>
      </c>
      <c r="AK29" s="1">
        <f>3.71*((1/1.1227))</f>
        <v>3.3045337133695551</v>
      </c>
      <c r="AL29" s="1">
        <f>6.82*((1/1.1227))</f>
        <v>6.0746414892669458</v>
      </c>
      <c r="AM29" s="15">
        <f>4.72333333333333*((1/1.1227))</f>
        <v>4.2071197411003203</v>
      </c>
      <c r="AN29" s="1">
        <f>1.512*((1/1.1227))</f>
        <v>1.3467533624298564</v>
      </c>
      <c r="AO29" s="1">
        <f>1.652*((1/1.1227))</f>
        <v>1.4714527478400283</v>
      </c>
      <c r="AP29" s="1">
        <f>1.484*((1/1.1227))</f>
        <v>1.3218134853478221</v>
      </c>
      <c r="AQ29" s="17">
        <f>1.54933333333333*((1/1.1227))</f>
        <v>1.3800065318725661</v>
      </c>
      <c r="CX29" s="11">
        <v>23</v>
      </c>
      <c r="CY29" s="1">
        <v>30</v>
      </c>
    </row>
    <row r="30" spans="1:103" ht="13" x14ac:dyDescent="0.3">
      <c r="A30" s="1">
        <v>15</v>
      </c>
      <c r="B30" s="1">
        <v>2</v>
      </c>
      <c r="C30" s="1">
        <v>0</v>
      </c>
      <c r="D30" s="1">
        <v>1</v>
      </c>
      <c r="E30" s="1">
        <v>22</v>
      </c>
      <c r="F30" s="1">
        <v>1.85</v>
      </c>
      <c r="G30" s="1">
        <v>72</v>
      </c>
      <c r="H30" s="1">
        <v>21.037253469685901</v>
      </c>
      <c r="I30" s="1">
        <v>0</v>
      </c>
      <c r="J30" s="1">
        <v>0</v>
      </c>
      <c r="K30" s="11">
        <v>0</v>
      </c>
      <c r="L30" s="15">
        <f>6.454*((1/1.1227))</f>
        <v>5.7486416674089247</v>
      </c>
      <c r="M30" s="1">
        <f>6.552*((1/1.1227))</f>
        <v>5.8359312371960446</v>
      </c>
      <c r="N30" s="1">
        <f>5.628*((1/1.1227))</f>
        <v>5.012915293488911</v>
      </c>
      <c r="O30" s="11">
        <f t="shared" si="22"/>
        <v>5.5324960660312925</v>
      </c>
      <c r="P30" s="1">
        <f>2.17*((1/1.1227))</f>
        <v>1.9328404738576643</v>
      </c>
      <c r="Q30" s="1">
        <f>1.932*((1/1.1227))</f>
        <v>1.7208515186603721</v>
      </c>
      <c r="R30" s="1">
        <f>1.764*((1/1.1227))</f>
        <v>1.5712122561681661</v>
      </c>
      <c r="S30" s="11">
        <f t="shared" si="23"/>
        <v>1.7416347495620677</v>
      </c>
      <c r="T30" s="1">
        <f>3.598*((1/1.1227))</f>
        <v>3.2047742050414176</v>
      </c>
      <c r="U30" s="1">
        <f>3.332*((1/1.1227))</f>
        <v>2.967845372762091</v>
      </c>
      <c r="V30" s="1">
        <f>3.43*((1/1.1227))</f>
        <v>3.0551349425492118</v>
      </c>
      <c r="W30" s="11">
        <f t="shared" si="24"/>
        <v>3.0759181734509071</v>
      </c>
      <c r="X30" s="1">
        <f>2.184*((1/1.1227))</f>
        <v>1.9453104123986817</v>
      </c>
      <c r="Y30" s="1">
        <f>2.184*((1/1.1227))</f>
        <v>1.9453104123986817</v>
      </c>
      <c r="Z30" s="1">
        <f>2.436*((1/1.1227))</f>
        <v>2.1697693061369909</v>
      </c>
      <c r="AA30" s="19">
        <f t="shared" si="25"/>
        <v>2.0201300436447851</v>
      </c>
      <c r="AB30" s="1">
        <f>5.32*((1/1.1227))</f>
        <v>4.7385766455865328</v>
      </c>
      <c r="AC30" s="1">
        <f>6.636*((1/1.1227))</f>
        <v>5.9107508684421486</v>
      </c>
      <c r="AD30" s="1">
        <f>7.238*((1/1.1227))</f>
        <v>6.4469582257058873</v>
      </c>
      <c r="AE30" s="1">
        <f>6.398*((1/1.1227))</f>
        <v>5.6987619132448559</v>
      </c>
      <c r="AF30" s="1">
        <f>1.47*((1/1.1227))</f>
        <v>1.3093435468068049</v>
      </c>
      <c r="AG30" s="1">
        <f>1.624*((1/1.1227))</f>
        <v>1.4465128707579942</v>
      </c>
      <c r="AH30" s="1">
        <f>1.974*((1/1.1227))</f>
        <v>1.7582613342834237</v>
      </c>
      <c r="AI30" s="1">
        <f>1.68933333333333*((1/1.1227))</f>
        <v>1.5047059172827379</v>
      </c>
      <c r="AJ30" s="1">
        <f>3.514*((1/1.1227))</f>
        <v>3.1299545737953145</v>
      </c>
      <c r="AK30" s="1">
        <f>3.822*((1/1.1227))</f>
        <v>3.4042932216976931</v>
      </c>
      <c r="AL30" s="1">
        <f>4.312*((1/1.1227))</f>
        <v>3.8407410706332947</v>
      </c>
      <c r="AM30" s="15">
        <f>3.88266666666667*((1/1.1227))</f>
        <v>3.4583296220421036</v>
      </c>
      <c r="AN30" s="1">
        <f>3.024*((1/1.1227))</f>
        <v>2.6935067248597129</v>
      </c>
      <c r="AO30" s="1">
        <f>3.164*((1/1.1227))</f>
        <v>2.8182061102698852</v>
      </c>
      <c r="AP30" s="1">
        <f>3.094*((1/1.1227))</f>
        <v>2.7558564175647988</v>
      </c>
      <c r="AQ30" s="17">
        <f>3.094*((1/1.1227))</f>
        <v>2.7558564175647988</v>
      </c>
      <c r="CX30" s="11">
        <v>70</v>
      </c>
      <c r="CY30" s="1">
        <v>45</v>
      </c>
    </row>
    <row r="31" spans="1:103" s="5" customFormat="1" ht="13" x14ac:dyDescent="0.3">
      <c r="A31" s="5">
        <v>16</v>
      </c>
      <c r="B31" s="5">
        <v>2</v>
      </c>
      <c r="C31" s="5">
        <v>0</v>
      </c>
      <c r="D31" s="5">
        <v>0</v>
      </c>
      <c r="E31" s="5">
        <v>23</v>
      </c>
      <c r="F31" s="5">
        <v>1.6</v>
      </c>
      <c r="G31" s="5">
        <v>50</v>
      </c>
      <c r="H31" s="5">
        <v>19.531249999999996</v>
      </c>
      <c r="I31" s="5">
        <v>1</v>
      </c>
      <c r="J31" s="5">
        <v>1</v>
      </c>
      <c r="K31" s="12">
        <v>0</v>
      </c>
      <c r="L31" s="16">
        <f>1.666*((1/1.1227))</f>
        <v>1.4839226863810455</v>
      </c>
      <c r="M31" s="5">
        <f>1.904*((1/1.1227))</f>
        <v>1.6959116415783377</v>
      </c>
      <c r="N31" s="5">
        <f>2.296*((1/1.1227))</f>
        <v>2.045069920726819</v>
      </c>
      <c r="O31" s="12">
        <f t="shared" si="22"/>
        <v>1.7416347495620677</v>
      </c>
      <c r="P31" s="5">
        <f>0.728*((1/1.1227))</f>
        <v>0.64843680413289384</v>
      </c>
      <c r="Q31" s="5">
        <f>0.686*((1/1.1227))</f>
        <v>0.61102698850984238</v>
      </c>
      <c r="R31" s="5">
        <f>0.63*((1/1.1227))</f>
        <v>0.56114723434577352</v>
      </c>
      <c r="S31" s="12">
        <f t="shared" si="23"/>
        <v>0.60687034232950321</v>
      </c>
      <c r="T31" s="5">
        <f>2.506*((1/1.1227))</f>
        <v>2.2321189988420769</v>
      </c>
      <c r="U31" s="5">
        <f>2.464*((1/1.1227))</f>
        <v>2.1947091832190253</v>
      </c>
      <c r="V31" s="5">
        <f>2.408*((1/1.1227))</f>
        <v>2.1448294290549565</v>
      </c>
      <c r="W31" s="12">
        <f t="shared" si="24"/>
        <v>2.1905525370386862</v>
      </c>
      <c r="X31" s="5">
        <f>0.994*((1/1.1227))</f>
        <v>0.88536563641222055</v>
      </c>
      <c r="Y31" s="5">
        <f>0.98*((1/1.1227))</f>
        <v>0.87289569787120325</v>
      </c>
      <c r="Z31" s="5">
        <f>0.952*((1/1.1227))</f>
        <v>0.84795582078916887</v>
      </c>
      <c r="AA31" s="20">
        <f t="shared" si="25"/>
        <v>0.86873905169086418</v>
      </c>
      <c r="AB31" s="1">
        <f>2.996*((1/1.1227))</f>
        <v>2.6685668477776785</v>
      </c>
      <c r="AC31" s="1">
        <f>2.912*((1/1.1227))</f>
        <v>2.5937472165315754</v>
      </c>
      <c r="AD31" s="1">
        <f>2.73*((1/1.1227))</f>
        <v>2.4316380154983519</v>
      </c>
      <c r="AE31" s="1">
        <f>2.87933333333333*((1/1.1227))</f>
        <v>2.5646506932691993</v>
      </c>
      <c r="AF31" s="1">
        <f>0.868*((1/1.1227))</f>
        <v>0.77313618954306573</v>
      </c>
      <c r="AG31" s="1">
        <f>0.868*((1/1.1227))</f>
        <v>0.77313618954306573</v>
      </c>
      <c r="AH31" s="1">
        <f>0.896*((1/1.1227))</f>
        <v>0.79807606662510022</v>
      </c>
      <c r="AI31" s="1">
        <f>0.877333333333333*((1/1.1227))</f>
        <v>0.78144948190374364</v>
      </c>
      <c r="AJ31" s="1">
        <f>2.702*((1/1.1227))</f>
        <v>2.4066981384163175</v>
      </c>
      <c r="AK31" s="1">
        <f>2.254*((1/1.1227))</f>
        <v>2.0076601051037675</v>
      </c>
      <c r="AL31" s="1">
        <f>2.702*((1/1.1227))</f>
        <v>2.4066981384163175</v>
      </c>
      <c r="AM31" s="16">
        <f>2.55266666666667*((1/1.1227))</f>
        <v>2.2736854606454706</v>
      </c>
      <c r="AN31" s="5">
        <f>0.952*((1/1.1227))</f>
        <v>0.84795582078916887</v>
      </c>
      <c r="AO31" s="5">
        <f>0.966*((1/1.1227))</f>
        <v>0.86042575933018606</v>
      </c>
      <c r="AP31" s="5">
        <f>0.952*((1/1.1227))</f>
        <v>0.84795582078916887</v>
      </c>
      <c r="AQ31" s="18">
        <f>0.956666666666667*((1/1.1227))</f>
        <v>0.85211246696950826</v>
      </c>
      <c r="AR31" s="1"/>
      <c r="AS31" s="1"/>
      <c r="BC31" s="18"/>
      <c r="BM31" s="18"/>
      <c r="BU31" s="18"/>
      <c r="CF31" s="16"/>
      <c r="CO31" s="18"/>
      <c r="CX31" s="12">
        <v>24</v>
      </c>
      <c r="CY31" s="5">
        <v>10</v>
      </c>
    </row>
    <row r="32" spans="1:103" x14ac:dyDescent="0.35">
      <c r="A32" s="1">
        <v>1</v>
      </c>
      <c r="B32" s="1">
        <v>3</v>
      </c>
      <c r="C32" s="1">
        <v>0</v>
      </c>
      <c r="D32" s="2">
        <v>1</v>
      </c>
      <c r="E32" s="2">
        <v>21</v>
      </c>
      <c r="F32" s="2">
        <v>1.78</v>
      </c>
      <c r="G32" s="2">
        <v>83</v>
      </c>
      <c r="H32" s="3">
        <v>26.196187350082059</v>
      </c>
      <c r="I32" s="1">
        <v>0</v>
      </c>
      <c r="J32" s="4">
        <v>0</v>
      </c>
      <c r="AR32" s="29">
        <f>6.72*((1/1.1341))</f>
        <v>5.9254034035799306</v>
      </c>
      <c r="AS32" s="30">
        <f>6.111*((1/1.1341))</f>
        <v>5.3884137201304991</v>
      </c>
      <c r="AT32" s="9" t="s">
        <v>11</v>
      </c>
      <c r="AU32" s="9" t="s">
        <v>11</v>
      </c>
      <c r="AV32" s="9"/>
      <c r="AW32" s="9" t="s">
        <v>15</v>
      </c>
      <c r="AX32" s="9"/>
      <c r="AY32" s="9"/>
      <c r="AZ32" s="10"/>
      <c r="BA32" s="9"/>
      <c r="BD32" s="1">
        <f>0.863333333333333*((1/1.1341))</f>
        <v>0.76124974282103242</v>
      </c>
      <c r="BE32" s="1">
        <f>1.302*((1/1.1341))</f>
        <v>1.1480469094436117</v>
      </c>
      <c r="BF32" s="1">
        <f>0*((1/1.1341))</f>
        <v>0</v>
      </c>
      <c r="BG32" s="1">
        <f>5.845*((1/1.1341))</f>
        <v>5.1538665020721268</v>
      </c>
      <c r="BH32" s="1">
        <f>0*((1/1.1341))</f>
        <v>0</v>
      </c>
      <c r="BI32" s="1">
        <f>0*((1/1.1341))</f>
        <v>0</v>
      </c>
      <c r="BJ32" s="1">
        <f>0*((1/1.1341))</f>
        <v>0</v>
      </c>
      <c r="BK32" s="1">
        <f>0*((1/1.1341))</f>
        <v>0</v>
      </c>
      <c r="BN32" s="1">
        <f>IF($AT32="A",$BD32,IF($AV32="A",$BF32,IF($AX32="A",$BH32,IF($AZ32="A",$BJ32,IF($BB32="A",$BL32,0)))))</f>
        <v>0.76124974282103242</v>
      </c>
      <c r="BO32" s="1">
        <f>IF($AU32="A",$BE32,IF($AW32="A",$BG32,IF($AY32="A",$BI32,IF($BA32="A",$BK32,IF($BC32="A",$BM32,0)))))</f>
        <v>1.1480469094436117</v>
      </c>
      <c r="BP32" s="1">
        <f>IF($AT32="B",$BD32,IF($AV32="B",$BF32,IF($AX32="B",$BH32,IF($AZ32="B",$BJ32,IF($BB32="B",$BL32,0)))))</f>
        <v>0</v>
      </c>
      <c r="BQ32" s="1">
        <f>IF($AU32="B",$BE32,IF($AW32="B",$BG32,IF($AY32="B",$BI32,IF($BA32="B",$BK32,IF($BC32="B",$BM32,0)))))</f>
        <v>0</v>
      </c>
      <c r="BR32" s="1">
        <f>IF($AT32="C",$BD32,IF($AV32="C",$BF32,IF($AX32="C",$BH32,IF($AZ32="C",$BJ32,IF($BB32="C",$BL32,0)))))</f>
        <v>0</v>
      </c>
      <c r="BS32" s="1">
        <f>IF($AU32="C",$BE32,IF($AW32="C",$BG32,IF($AY32="C",$BI32,IF($BA32="C",$BK32,IF($BC32="C",$BM32,0)))))</f>
        <v>0</v>
      </c>
      <c r="BT32" s="1">
        <f>IF($AT32="D",$BD32,IF($AV32="D",$BF32,IF($AX32="D",$BH32,IF($AZ32="D",$BJ32,IF($BB32="D",$BL32,0)))))</f>
        <v>0</v>
      </c>
      <c r="BU32" s="17">
        <f>IF($AU32="D",$BE32,IF($AW32="D",$BG32,IF($AY32="D",$BI32,IF($BA32="D",$BK32,IF($BC32="D",$BM32,0)))))</f>
        <v>0</v>
      </c>
      <c r="BV32" s="25" t="s">
        <v>11</v>
      </c>
      <c r="BW32" s="25" t="s">
        <v>11</v>
      </c>
      <c r="BX32" s="25"/>
      <c r="BY32" s="25"/>
      <c r="BZ32" s="25"/>
      <c r="CA32" s="25"/>
      <c r="CB32" s="25"/>
      <c r="CC32" s="25"/>
      <c r="CD32" s="25"/>
      <c r="CF32" s="1">
        <f>0.807333333333333*(1/1.1341)</f>
        <v>0.71187138112453308</v>
      </c>
      <c r="CG32" s="1">
        <f>1.295*(1/1.1341)</f>
        <v>1.141874614231549</v>
      </c>
      <c r="CH32" s="1">
        <f>0*(1/1.1341)</f>
        <v>0</v>
      </c>
      <c r="CI32" s="1">
        <f>6.027*(1/1.1341)</f>
        <v>5.314346177585751</v>
      </c>
      <c r="CJ32" s="1">
        <f t="shared" ref="CJ32:CO32" si="26">0*(1/1.1341)</f>
        <v>0</v>
      </c>
      <c r="CK32" s="1">
        <f t="shared" si="26"/>
        <v>0</v>
      </c>
      <c r="CL32" s="1">
        <f t="shared" si="26"/>
        <v>0</v>
      </c>
      <c r="CM32" s="1">
        <f t="shared" si="26"/>
        <v>0</v>
      </c>
      <c r="CN32" s="1">
        <f t="shared" si="26"/>
        <v>0</v>
      </c>
      <c r="CO32" s="1">
        <f t="shared" si="26"/>
        <v>0</v>
      </c>
      <c r="CP32" s="1">
        <f>IF(BV32="A",CF32,IF(BX32="A",CH32,IF(BZ32="A",CJ32,IF(CB32="A",CL32,IF(CD32="A",CN32,0)))))</f>
        <v>0.71187138112453308</v>
      </c>
      <c r="CQ32" s="1">
        <f>IF(BW32="A",CG32,IF(BY32="A",CI32,IF(CA32="A",CK32,IF(CC32="A",CM32,IF(CE32="A",CO32,0)))))</f>
        <v>1.141874614231549</v>
      </c>
      <c r="CR32" s="1">
        <f>IF(BV32="B",CF32,IF(BX32="B",CH32,IF(BZ32="B",CJ32,IF(CB32="B",CL32,IF(CD32="B",CN32,0)))))</f>
        <v>0</v>
      </c>
      <c r="CS32" s="1">
        <f>IF(BW32="B",CG32,IF(BY32="B",CI32,IF(CA32="B",CK32,IF(CC32="B",CM32,IF(CE32="B",CO32,0)))))</f>
        <v>0</v>
      </c>
      <c r="CT32" s="1">
        <f>IF(BV32="C",CF32,IF(BX32="C",CH32,IF(BZ32="C",CJ32,IF(CB32="C",CL32,IF(CD32="C",CN32,0)))))</f>
        <v>0</v>
      </c>
      <c r="CU32" s="1">
        <f>IF(BW32="C",CG32,IF(BY32="C",CI32,IF(CA32="C",CK32,IF(CC32="C",CM32,IF(CE32="C",CO32,0)))))</f>
        <v>0</v>
      </c>
      <c r="CV32" s="1">
        <f>IF(BV32="D",CF32,IF(BX32="D",CH32,IF(BZ32="D",CJ32,IF(CB32="D",CL32,IF(CD32="D",CN32,0)))))</f>
        <v>0</v>
      </c>
      <c r="CW32" s="1">
        <f>IF(BW32="D",CG32,IF(BY32="D",CI32,IF(CA32="D",CK32,IF(CC32="D",CM32,IF(CE32="D",CO32,0)))))</f>
        <v>0</v>
      </c>
    </row>
    <row r="33" spans="1:101" x14ac:dyDescent="0.35">
      <c r="A33" s="1">
        <v>2</v>
      </c>
      <c r="B33" s="1">
        <v>3</v>
      </c>
      <c r="C33" s="1">
        <v>0</v>
      </c>
      <c r="D33" s="2">
        <v>1</v>
      </c>
      <c r="E33" s="2">
        <v>19</v>
      </c>
      <c r="F33" s="2">
        <v>1.92</v>
      </c>
      <c r="G33" s="2">
        <v>84</v>
      </c>
      <c r="H33" s="3">
        <v>22.786458333333336</v>
      </c>
      <c r="I33" s="1">
        <v>0</v>
      </c>
      <c r="J33" s="4">
        <v>0</v>
      </c>
      <c r="AR33" s="15">
        <f>19.992*((1/1.1341))</f>
        <v>17.628075125650295</v>
      </c>
      <c r="AS33" s="17">
        <f>19.992*((1/1.1341))</f>
        <v>17.628075125650295</v>
      </c>
      <c r="AT33" s="9" t="s">
        <v>11</v>
      </c>
      <c r="AU33" s="9" t="s">
        <v>11</v>
      </c>
      <c r="AV33" s="9" t="s">
        <v>12</v>
      </c>
      <c r="AW33" s="9" t="s">
        <v>12</v>
      </c>
      <c r="AX33" s="9" t="s">
        <v>13</v>
      </c>
      <c r="AY33" s="9" t="s">
        <v>14</v>
      </c>
      <c r="AZ33" s="10"/>
      <c r="BA33" s="9" t="s">
        <v>13</v>
      </c>
      <c r="BD33" s="1">
        <f>1.59133333333333*((1/1.1341))</f>
        <v>1.4031684448755224</v>
      </c>
      <c r="BE33" s="1">
        <f>1.50266666666667*((1/1.1341))</f>
        <v>1.3249860388560708</v>
      </c>
      <c r="BF33" s="1">
        <f>1.932*((1/1.1341))</f>
        <v>1.7035534785292301</v>
      </c>
      <c r="BG33" s="1">
        <f>2.44533333333333*((1/1.1341))</f>
        <v>2.1561884607471384</v>
      </c>
      <c r="BH33" s="1">
        <f>5.25*((1/1.1341))</f>
        <v>4.6292214090468207</v>
      </c>
      <c r="BI33" s="1">
        <f>3.23866666666667*((1/1.1341))</f>
        <v>2.855715251447553</v>
      </c>
      <c r="BJ33" s="1">
        <f>0*((1/1.1341))</f>
        <v>0</v>
      </c>
      <c r="BK33" s="1">
        <f>5.00266666666667*((1/1.1341))</f>
        <v>4.4111336448872844</v>
      </c>
      <c r="BN33" s="1">
        <f t="shared" ref="BN33:BN48" si="27">IF($AT33="A",$BD33,IF($AV33="A",$BF33,IF($AX33="A",$BH33,IF($AZ33="A",$BJ33,IF($BB33="A",$BL33,0)))))</f>
        <v>1.4031684448755224</v>
      </c>
      <c r="BO33" s="1">
        <f t="shared" ref="BO33:BO46" si="28">IF(AU33="A",BE33,IF(AW33="A",BG33,IF(AY33="A",BI33,IF(BA33="A",BK33,IF(BC33="A",BM33,0)))))</f>
        <v>1.3249860388560708</v>
      </c>
      <c r="BP33" s="1">
        <f t="shared" ref="BP33:BP48" si="29">IF($AT33="B",$BD33,IF($AV33="B",$BF33,IF($AX33="B",$BH33,IF($AZ33="B",$BJ33,IF($BB33="B",$BL33,0)))))</f>
        <v>1.7035534785292301</v>
      </c>
      <c r="BQ33" s="1">
        <f t="shared" ref="BQ33:BQ48" si="30">IF($AU33="B",$BE33,IF($AW33="B",$BG33,IF($AY33="B",$BI33,IF($BA33="B",$BK33,IF($BC33="B",$BM33,0)))))</f>
        <v>2.1561884607471384</v>
      </c>
      <c r="BR33" s="1">
        <f t="shared" ref="BR33:BR48" si="31">IF($AT33="C",$BD33,IF($AV33="C",$BF33,IF($AX33="C",$BH33,IF($AZ33="C",$BJ33,IF($BB33="C",$BL33,0)))))</f>
        <v>0</v>
      </c>
      <c r="BS33" s="1">
        <f t="shared" ref="BS33:BS48" si="32">IF($AU33="C",$BE33,IF($AW33="C",$BG33,IF($AY33="C",$BI33,IF($BA33="C",$BK33,IF($BC33="C",$BM33,0)))))</f>
        <v>2.855715251447553</v>
      </c>
      <c r="BT33" s="1">
        <f t="shared" ref="BT33:BT60" si="33">IF($AT33="D",$BD33,IF($AV33="D",$BF33,IF($AX33="D",$BH33,IF($AZ33="D",$BJ33,IF($BB33="D",$BL33,0)))))</f>
        <v>4.6292214090468207</v>
      </c>
      <c r="BU33" s="17">
        <f t="shared" ref="BU33:BU60" si="34">IF($AU33="D",$BE33,IF($AW33="D",$BG33,IF($AY33="D",$BI33,IF($BA33="D",$BK33,IF($BC33="D",$BM33,0)))))</f>
        <v>4.4111336448872844</v>
      </c>
      <c r="BV33" s="23" t="s">
        <v>11</v>
      </c>
      <c r="BW33" s="23" t="s">
        <v>11</v>
      </c>
      <c r="BX33" s="23" t="s">
        <v>12</v>
      </c>
      <c r="BY33" s="23" t="s">
        <v>12</v>
      </c>
      <c r="BZ33" s="23" t="s">
        <v>13</v>
      </c>
      <c r="CA33" s="23" t="s">
        <v>14</v>
      </c>
      <c r="CB33" s="23"/>
      <c r="CC33" s="23" t="s">
        <v>13</v>
      </c>
      <c r="CD33" s="23"/>
      <c r="CF33" s="1">
        <f>1.868*(1/1.1341)</f>
        <v>1.6471210651618022</v>
      </c>
      <c r="CG33" s="1">
        <f>2.44866666666667*(1/1.1341)</f>
        <v>2.1591276489433646</v>
      </c>
      <c r="CH33" s="1">
        <f>1.54*(1/1.1341)</f>
        <v>1.3579049466537341</v>
      </c>
      <c r="CI33" s="1">
        <f>2.62733333333333*(1/1.1341)</f>
        <v>2.3166681362607617</v>
      </c>
      <c r="CJ33" s="1">
        <f>5.10533333333333*(1/1.1341)</f>
        <v>4.5016606413308606</v>
      </c>
      <c r="CK33" s="1">
        <f>3.68666666666667*(1/1.1341)</f>
        <v>3.2507421450195486</v>
      </c>
      <c r="CL33" s="1">
        <f>0*(1/1.1341)</f>
        <v>0</v>
      </c>
      <c r="CM33" s="1">
        <f>5.67933333333333*(1/1.1341)</f>
        <v>5.0077888487199802</v>
      </c>
      <c r="CN33" s="1">
        <f t="shared" ref="CN33:CO42" si="35">0*(1/1.1341)</f>
        <v>0</v>
      </c>
      <c r="CO33" s="1">
        <f t="shared" si="35"/>
        <v>0</v>
      </c>
      <c r="CP33" s="1">
        <f t="shared" ref="CP33:CP45" si="36">IF(BV33="A",CF33,IF(BX33="A",CH33,IF(BZ33="A",CJ33,IF(CB33="A",CL33,IF(CD33="A",CN33,0)))))</f>
        <v>1.6471210651618022</v>
      </c>
      <c r="CQ33" s="1">
        <f t="shared" ref="CQ33:CQ45" si="37">IF(BW33="A",CG33,IF(BY33="A",CI33,IF(CA33="A",CK33,IF(CC33="A",CM33,IF(CE33="A",CO33,0)))))</f>
        <v>2.1591276489433646</v>
      </c>
      <c r="CR33" s="1">
        <f t="shared" ref="CR33:CR45" si="38">IF(BV33="B",CF33,IF(BX33="B",CH33,IF(BZ33="B",CJ33,IF(CB33="B",CL33,IF(CD33="B",CN33,0)))))</f>
        <v>1.3579049466537341</v>
      </c>
      <c r="CS33" s="1">
        <f t="shared" ref="CS33:CS45" si="39">IF(BW33="B",CG33,IF(BY33="B",CI33,IF(CA33="B",CK33,IF(CC33="B",CM33,IF(CE33="B",CO33,0)))))</f>
        <v>2.3166681362607617</v>
      </c>
      <c r="CT33" s="1">
        <f t="shared" ref="CT33:CT45" si="40">IF(BV33="C",CF33,IF(BX33="C",CH33,IF(BZ33="C",CJ33,IF(CB33="C",CL33,IF(CD33="C",CN33,0)))))</f>
        <v>0</v>
      </c>
      <c r="CU33" s="1">
        <f t="shared" ref="CU33:CU45" si="41">IF(BW33="C",CG33,IF(BY33="C",CI33,IF(CA33="C",CK33,IF(CC33="C",CM33,IF(CE33="C",CO33,0)))))</f>
        <v>3.2507421450195486</v>
      </c>
      <c r="CV33" s="1">
        <f t="shared" ref="CV33:CV45" si="42">IF(BV33="D",CF33,IF(BX33="D",CH33,IF(BZ33="D",CJ33,IF(CB33="D",CL33,IF(CD33="D",CN33,0)))))</f>
        <v>4.5016606413308606</v>
      </c>
      <c r="CW33" s="1">
        <f t="shared" ref="CW33:CW45" si="43">IF(BW33="D",CG33,IF(BY33="D",CI33,IF(CA33="D",CK33,IF(CC33="D",CM33,IF(CE33="D",CO33,0)))))</f>
        <v>5.0077888487199802</v>
      </c>
    </row>
    <row r="34" spans="1:101" x14ac:dyDescent="0.35">
      <c r="A34" s="1">
        <v>3</v>
      </c>
      <c r="B34" s="1">
        <v>3</v>
      </c>
      <c r="C34" s="1">
        <v>0</v>
      </c>
      <c r="D34" s="2">
        <v>0</v>
      </c>
      <c r="E34" s="2">
        <v>21</v>
      </c>
      <c r="F34" s="2">
        <v>1.73</v>
      </c>
      <c r="G34" s="2">
        <v>67</v>
      </c>
      <c r="H34" s="3">
        <v>22.386314277122523</v>
      </c>
      <c r="I34" s="1">
        <v>0</v>
      </c>
      <c r="J34" s="4">
        <v>0</v>
      </c>
      <c r="AR34" s="15">
        <f>9.338*((1/1.1341))</f>
        <v>8.2338418128912778</v>
      </c>
      <c r="AS34" s="17">
        <f>8.106*((1/1.1341))</f>
        <v>7.1475178555682914</v>
      </c>
      <c r="AT34" s="9" t="s">
        <v>12</v>
      </c>
      <c r="AU34" s="9" t="s">
        <v>12</v>
      </c>
      <c r="AV34" s="9" t="s">
        <v>11</v>
      </c>
      <c r="AW34" s="9" t="s">
        <v>11</v>
      </c>
      <c r="AX34" s="9" t="s">
        <v>13</v>
      </c>
      <c r="AY34" s="9" t="s">
        <v>13</v>
      </c>
      <c r="AZ34" s="10" t="s">
        <v>14</v>
      </c>
      <c r="BA34" s="9" t="s">
        <v>14</v>
      </c>
      <c r="BD34" s="1">
        <f>1.288*((1/1.1341))</f>
        <v>1.1357023190194868</v>
      </c>
      <c r="BE34" s="1">
        <f>2.296*((1/1.1341))</f>
        <v>2.024512829556476</v>
      </c>
      <c r="BF34" s="1">
        <f>2.45*((1/1.1341))</f>
        <v>2.1603033242218501</v>
      </c>
      <c r="BG34" s="1">
        <f>6.11333333333333*((1/1.1341))</f>
        <v>5.3904711518678505</v>
      </c>
      <c r="BH34" s="1">
        <f>5.03533333333333*((1/1.1341))</f>
        <v>4.4399376892102369</v>
      </c>
      <c r="BI34" s="1">
        <f>6.706*((1/1.1341))</f>
        <v>5.9130588131558062</v>
      </c>
      <c r="BJ34" s="1">
        <f>6.39333333333333*((1/1.1341))</f>
        <v>5.6373629603503481</v>
      </c>
      <c r="BK34" s="1">
        <f>6.79466666666667*((1/1.1341))</f>
        <v>5.991241219175266</v>
      </c>
      <c r="BN34" s="1">
        <f t="shared" si="27"/>
        <v>2.1603033242218501</v>
      </c>
      <c r="BO34" s="1">
        <f t="shared" si="28"/>
        <v>5.3904711518678505</v>
      </c>
      <c r="BP34" s="1">
        <f t="shared" si="29"/>
        <v>1.1357023190194868</v>
      </c>
      <c r="BQ34" s="1">
        <f t="shared" si="30"/>
        <v>2.024512829556476</v>
      </c>
      <c r="BR34" s="1">
        <f t="shared" si="31"/>
        <v>5.6373629603503481</v>
      </c>
      <c r="BS34" s="1">
        <f t="shared" si="32"/>
        <v>5.991241219175266</v>
      </c>
      <c r="BT34" s="1">
        <f t="shared" si="33"/>
        <v>4.4399376892102369</v>
      </c>
      <c r="BU34" s="17">
        <f t="shared" si="34"/>
        <v>5.9130588131558062</v>
      </c>
      <c r="BV34" s="23" t="s">
        <v>12</v>
      </c>
      <c r="BW34" s="23" t="s">
        <v>12</v>
      </c>
      <c r="BX34" s="23" t="s">
        <v>11</v>
      </c>
      <c r="BY34" s="23" t="s">
        <v>11</v>
      </c>
      <c r="BZ34" s="23" t="s">
        <v>13</v>
      </c>
      <c r="CA34" s="23" t="s">
        <v>13</v>
      </c>
      <c r="CB34" s="23" t="s">
        <v>14</v>
      </c>
      <c r="CC34" s="23" t="s">
        <v>14</v>
      </c>
      <c r="CD34" s="23"/>
      <c r="CF34" s="1">
        <f>1.26666666666667*(1/1.1341)</f>
        <v>1.1168915145636804</v>
      </c>
      <c r="CG34" s="1">
        <f>1.99466666666667*(1/1.1341)</f>
        <v>1.7588102166181727</v>
      </c>
      <c r="CH34" s="1">
        <f>2.79066666666667*(1/1.1341)</f>
        <v>2.4606883578755578</v>
      </c>
      <c r="CI34" s="1">
        <f>5.138*(1/1.1341)</f>
        <v>4.530464685653822</v>
      </c>
      <c r="CJ34" s="1">
        <f>5.17533333333333*(1/1.1341)</f>
        <v>4.5633835934514853</v>
      </c>
      <c r="CK34" s="1">
        <f>6.79*(1/1.1341)</f>
        <v>5.9871263557005552</v>
      </c>
      <c r="CL34" s="1">
        <f>6.72933333333333*(1/1.1341)</f>
        <v>5.933633130529345</v>
      </c>
      <c r="CM34" s="1">
        <f>7.056*(1/1.1341)</f>
        <v>6.2216735737589275</v>
      </c>
      <c r="CN34" s="1">
        <f t="shared" si="35"/>
        <v>0</v>
      </c>
      <c r="CO34" s="1">
        <f t="shared" si="35"/>
        <v>0</v>
      </c>
      <c r="CP34" s="1">
        <f t="shared" si="36"/>
        <v>2.4606883578755578</v>
      </c>
      <c r="CQ34" s="1">
        <f t="shared" si="37"/>
        <v>4.530464685653822</v>
      </c>
      <c r="CR34" s="1">
        <f t="shared" si="38"/>
        <v>1.1168915145636804</v>
      </c>
      <c r="CS34" s="1">
        <f t="shared" si="39"/>
        <v>1.7588102166181727</v>
      </c>
      <c r="CT34" s="1">
        <f t="shared" si="40"/>
        <v>5.933633130529345</v>
      </c>
      <c r="CU34" s="1">
        <f t="shared" si="41"/>
        <v>6.2216735737589275</v>
      </c>
      <c r="CV34" s="1">
        <f t="shared" si="42"/>
        <v>4.5633835934514853</v>
      </c>
      <c r="CW34" s="1">
        <f t="shared" si="43"/>
        <v>5.9871263557005552</v>
      </c>
    </row>
    <row r="35" spans="1:101" x14ac:dyDescent="0.35">
      <c r="A35" s="1">
        <v>4</v>
      </c>
      <c r="B35" s="1">
        <v>3</v>
      </c>
      <c r="C35" s="1">
        <v>0</v>
      </c>
      <c r="D35" s="2">
        <v>0</v>
      </c>
      <c r="E35" s="2">
        <v>18</v>
      </c>
      <c r="F35" s="2">
        <v>1.83</v>
      </c>
      <c r="G35" s="2">
        <v>75</v>
      </c>
      <c r="H35" s="3">
        <v>22.395413419331717</v>
      </c>
      <c r="I35" s="1">
        <v>0</v>
      </c>
      <c r="J35" s="4">
        <v>0</v>
      </c>
      <c r="AR35" s="15">
        <f>10.276*((1/1.1341))</f>
        <v>9.060929371307644</v>
      </c>
      <c r="AS35" s="17">
        <f>13.048*((1/1.1341))</f>
        <v>11.505158275284366</v>
      </c>
      <c r="AT35" s="9" t="s">
        <v>12</v>
      </c>
      <c r="AU35" s="9" t="s">
        <v>12</v>
      </c>
      <c r="AV35" s="9"/>
      <c r="AW35" s="9" t="s">
        <v>14</v>
      </c>
      <c r="AX35" s="9"/>
      <c r="AY35" s="9" t="s">
        <v>12</v>
      </c>
      <c r="AZ35" s="10"/>
      <c r="BA35" s="9"/>
      <c r="BD35" s="1">
        <f>1.85733333333333*((1/1.1341))</f>
        <v>1.6377156629338945</v>
      </c>
      <c r="BE35" s="1">
        <f>2.66933333333333*((1/1.1341))</f>
        <v>2.3537019075331362</v>
      </c>
      <c r="BF35" s="1">
        <f>0*((1/1.1341))</f>
        <v>0</v>
      </c>
      <c r="BG35" s="1">
        <f>2.97733333333333*((1/1.1341))</f>
        <v>2.6252828968638831</v>
      </c>
      <c r="BH35" s="1">
        <f>0*((1/1.1341))</f>
        <v>0</v>
      </c>
      <c r="BI35" s="1">
        <f>4.13466666666667*((1/1.1341))</f>
        <v>3.6457690385915433</v>
      </c>
      <c r="BJ35" s="1">
        <f t="shared" ref="BJ35:BK38" si="44">0*((1/1.1341))</f>
        <v>0</v>
      </c>
      <c r="BK35" s="1">
        <f t="shared" si="44"/>
        <v>0</v>
      </c>
      <c r="BN35" s="1">
        <f t="shared" si="27"/>
        <v>0</v>
      </c>
      <c r="BO35" s="1">
        <f t="shared" si="28"/>
        <v>0</v>
      </c>
      <c r="BP35" s="1">
        <f t="shared" si="29"/>
        <v>1.6377156629338945</v>
      </c>
      <c r="BQ35" s="1">
        <f t="shared" si="30"/>
        <v>2.3537019075331362</v>
      </c>
      <c r="BR35" s="1">
        <f t="shared" si="31"/>
        <v>0</v>
      </c>
      <c r="BS35" s="1">
        <f t="shared" si="32"/>
        <v>2.6252828968638831</v>
      </c>
      <c r="BT35" s="1">
        <f t="shared" si="33"/>
        <v>0</v>
      </c>
      <c r="BU35" s="17">
        <f t="shared" si="34"/>
        <v>0</v>
      </c>
      <c r="BV35" s="23" t="s">
        <v>12</v>
      </c>
      <c r="BW35" s="23" t="s">
        <v>12</v>
      </c>
      <c r="BX35" s="23"/>
      <c r="BY35" s="23" t="s">
        <v>14</v>
      </c>
      <c r="BZ35" s="23"/>
      <c r="CA35" s="23" t="s">
        <v>12</v>
      </c>
      <c r="CB35" s="23"/>
      <c r="CC35" s="23"/>
      <c r="CD35" s="23"/>
      <c r="CF35" s="1">
        <f>1.97333333333333*(1/1.1341)</f>
        <v>1.7399994121623577</v>
      </c>
      <c r="CG35" s="1">
        <f>2.41666666666667*(1/1.1341)</f>
        <v>2.1309114422596509</v>
      </c>
      <c r="CH35" s="1">
        <f>0*(1/1.1341)</f>
        <v>0</v>
      </c>
      <c r="CI35" s="1">
        <f>3.35066666666667*(1/1.1341)</f>
        <v>2.9544719748405517</v>
      </c>
      <c r="CJ35" s="1">
        <f>0*(1/1.1341)</f>
        <v>0</v>
      </c>
      <c r="CK35" s="1">
        <f>4.27933333333333*(1/1.1341)</f>
        <v>3.7733298063074949</v>
      </c>
      <c r="CL35" s="1">
        <f t="shared" ref="CL35:CM38" si="45">0*(1/1.1341)</f>
        <v>0</v>
      </c>
      <c r="CM35" s="1">
        <f t="shared" si="45"/>
        <v>0</v>
      </c>
      <c r="CN35" s="1">
        <f t="shared" si="35"/>
        <v>0</v>
      </c>
      <c r="CO35" s="1">
        <f t="shared" si="35"/>
        <v>0</v>
      </c>
      <c r="CP35" s="1">
        <f t="shared" si="36"/>
        <v>0</v>
      </c>
      <c r="CQ35" s="1">
        <f t="shared" si="37"/>
        <v>0</v>
      </c>
      <c r="CR35" s="1">
        <f t="shared" si="38"/>
        <v>1.7399994121623577</v>
      </c>
      <c r="CS35" s="1">
        <f t="shared" si="39"/>
        <v>2.1309114422596509</v>
      </c>
      <c r="CT35" s="1">
        <f t="shared" si="40"/>
        <v>0</v>
      </c>
      <c r="CU35" s="1">
        <f t="shared" si="41"/>
        <v>2.9544719748405517</v>
      </c>
      <c r="CV35" s="1">
        <f t="shared" si="42"/>
        <v>0</v>
      </c>
      <c r="CW35" s="1">
        <f t="shared" si="43"/>
        <v>0</v>
      </c>
    </row>
    <row r="36" spans="1:101" x14ac:dyDescent="0.35">
      <c r="A36" s="1">
        <v>5</v>
      </c>
      <c r="B36" s="1">
        <v>3</v>
      </c>
      <c r="C36" s="1">
        <v>0</v>
      </c>
      <c r="D36" s="2">
        <v>0</v>
      </c>
      <c r="E36" s="2">
        <v>20</v>
      </c>
      <c r="F36" s="2">
        <v>1.6</v>
      </c>
      <c r="G36" s="2">
        <v>49</v>
      </c>
      <c r="H36" s="3">
        <v>19.140624999999996</v>
      </c>
      <c r="I36" s="1">
        <v>0</v>
      </c>
      <c r="J36" s="4">
        <v>0</v>
      </c>
      <c r="AR36" s="15">
        <f>19.992*((1/1.1341))</f>
        <v>17.628075125650295</v>
      </c>
      <c r="AS36" s="17">
        <f>19.992*((1/1.1341))</f>
        <v>17.628075125650295</v>
      </c>
      <c r="AT36" s="9" t="s">
        <v>11</v>
      </c>
      <c r="AU36" s="9" t="s">
        <v>14</v>
      </c>
      <c r="AV36" s="9" t="s">
        <v>12</v>
      </c>
      <c r="AW36" s="9" t="s">
        <v>12</v>
      </c>
      <c r="AX36" s="9" t="s">
        <v>13</v>
      </c>
      <c r="AY36" s="9" t="s">
        <v>13</v>
      </c>
      <c r="AZ36" s="10"/>
      <c r="BA36" s="9"/>
      <c r="BD36" s="1">
        <f>1.778*((1/1.1341))</f>
        <v>1.5677629838638567</v>
      </c>
      <c r="BE36" s="1">
        <f>1.64733333333333*((1/1.1341))</f>
        <v>1.4525468065720217</v>
      </c>
      <c r="BF36" s="1">
        <f>7.952*((1/1.1341))</f>
        <v>7.0117273609029178</v>
      </c>
      <c r="BG36" s="1">
        <f>8.75466666666667*((1/1.1341))</f>
        <v>7.7194838785527464</v>
      </c>
      <c r="BH36" s="1">
        <f>11.5826666666667*((1/1.1341))</f>
        <v>10.213091144225993</v>
      </c>
      <c r="BI36" s="1">
        <f>11.8206666666667*((1/1.1341))</f>
        <v>10.422949181436115</v>
      </c>
      <c r="BJ36" s="1">
        <f t="shared" si="44"/>
        <v>0</v>
      </c>
      <c r="BK36" s="1">
        <f t="shared" si="44"/>
        <v>0</v>
      </c>
      <c r="BN36" s="1">
        <f t="shared" si="27"/>
        <v>1.5677629838638567</v>
      </c>
      <c r="BO36" s="1">
        <f t="shared" si="28"/>
        <v>0</v>
      </c>
      <c r="BP36" s="1">
        <f t="shared" si="29"/>
        <v>7.0117273609029178</v>
      </c>
      <c r="BQ36" s="1">
        <f t="shared" si="30"/>
        <v>7.7194838785527464</v>
      </c>
      <c r="BR36" s="1">
        <f t="shared" si="31"/>
        <v>0</v>
      </c>
      <c r="BS36" s="1">
        <f t="shared" si="32"/>
        <v>1.4525468065720217</v>
      </c>
      <c r="BT36" s="1">
        <f t="shared" si="33"/>
        <v>10.213091144225993</v>
      </c>
      <c r="BU36" s="17">
        <f t="shared" si="34"/>
        <v>10.422949181436115</v>
      </c>
      <c r="BV36" s="23" t="s">
        <v>11</v>
      </c>
      <c r="BW36" s="23" t="s">
        <v>14</v>
      </c>
      <c r="BX36" s="23" t="s">
        <v>12</v>
      </c>
      <c r="BY36" s="23" t="s">
        <v>12</v>
      </c>
      <c r="BZ36" s="23" t="s">
        <v>13</v>
      </c>
      <c r="CA36" s="23" t="s">
        <v>13</v>
      </c>
      <c r="CB36" s="23"/>
      <c r="CC36" s="23"/>
      <c r="CD36" s="23"/>
      <c r="CF36" s="1">
        <f>1.74466666666667*(1/1.1341)</f>
        <v>1.5383711019016575</v>
      </c>
      <c r="CG36" s="1">
        <f>1.81466666666667*(1/1.1341)</f>
        <v>1.6000940540222819</v>
      </c>
      <c r="CH36" s="1">
        <f>7.728*(1/1.1341)</f>
        <v>6.8142139141169205</v>
      </c>
      <c r="CI36" s="1">
        <f>8.18533333333333*(1/1.1341)</f>
        <v>7.2174705346383297</v>
      </c>
      <c r="CJ36" s="1">
        <f>12.572*(1/1.1341)</f>
        <v>11.08544220086412</v>
      </c>
      <c r="CK36" s="1">
        <f>9.66*(1/1.1341)</f>
        <v>8.5177673926461512</v>
      </c>
      <c r="CL36" s="1">
        <f t="shared" si="45"/>
        <v>0</v>
      </c>
      <c r="CM36" s="1">
        <f t="shared" si="45"/>
        <v>0</v>
      </c>
      <c r="CN36" s="1">
        <f t="shared" si="35"/>
        <v>0</v>
      </c>
      <c r="CO36" s="1">
        <f t="shared" si="35"/>
        <v>0</v>
      </c>
      <c r="CP36" s="1">
        <f t="shared" si="36"/>
        <v>1.5383711019016575</v>
      </c>
      <c r="CQ36" s="1">
        <f t="shared" si="37"/>
        <v>0</v>
      </c>
      <c r="CR36" s="1">
        <f t="shared" si="38"/>
        <v>6.8142139141169205</v>
      </c>
      <c r="CS36" s="1">
        <f t="shared" si="39"/>
        <v>7.2174705346383297</v>
      </c>
      <c r="CT36" s="1">
        <f t="shared" si="40"/>
        <v>0</v>
      </c>
      <c r="CU36" s="1">
        <f t="shared" si="41"/>
        <v>1.6000940540222819</v>
      </c>
      <c r="CV36" s="1">
        <f t="shared" si="42"/>
        <v>11.08544220086412</v>
      </c>
      <c r="CW36" s="1">
        <f t="shared" si="43"/>
        <v>8.5177673926461512</v>
      </c>
    </row>
    <row r="37" spans="1:101" x14ac:dyDescent="0.35">
      <c r="A37" s="1">
        <v>6</v>
      </c>
      <c r="B37" s="1">
        <v>3</v>
      </c>
      <c r="C37" s="1">
        <v>0</v>
      </c>
      <c r="D37" s="2">
        <v>0</v>
      </c>
      <c r="E37" s="2">
        <v>20</v>
      </c>
      <c r="F37" s="2">
        <v>1.71</v>
      </c>
      <c r="G37" s="2">
        <v>63</v>
      </c>
      <c r="H37" s="3">
        <v>21.545090797168363</v>
      </c>
      <c r="I37" s="1">
        <v>0</v>
      </c>
      <c r="J37" s="4">
        <v>0</v>
      </c>
      <c r="AR37" s="15">
        <f>1.692*((1/1.1341))</f>
        <v>1.4919319284013755</v>
      </c>
      <c r="AS37" s="17">
        <f>1.946*((1/1.1341))</f>
        <v>1.7158980689533549</v>
      </c>
      <c r="AT37" s="9" t="s">
        <v>13</v>
      </c>
      <c r="AU37" s="9" t="s">
        <v>11</v>
      </c>
      <c r="AV37" s="9" t="s">
        <v>11</v>
      </c>
      <c r="AW37" s="9"/>
      <c r="AX37" s="9"/>
      <c r="AY37" s="9"/>
      <c r="AZ37" s="10"/>
      <c r="BA37" s="9"/>
      <c r="BD37" s="1">
        <f>0.742*((1/1.1341))</f>
        <v>0.65426329247861736</v>
      </c>
      <c r="BE37" s="1">
        <f>0.592666666666667*((1/1.1341))</f>
        <v>0.52258766128795253</v>
      </c>
      <c r="BF37" s="1">
        <f>1.11066666666667*((1/1.1341))</f>
        <v>0.97933750698057487</v>
      </c>
      <c r="BG37" s="1">
        <f>0*((1/1.1341))</f>
        <v>0</v>
      </c>
      <c r="BH37" s="1">
        <f>0*((1/1.1341))</f>
        <v>0</v>
      </c>
      <c r="BI37" s="1">
        <f>0*((1/1.1341))</f>
        <v>0</v>
      </c>
      <c r="BJ37" s="1">
        <f t="shared" si="44"/>
        <v>0</v>
      </c>
      <c r="BK37" s="1">
        <f t="shared" si="44"/>
        <v>0</v>
      </c>
      <c r="BN37" s="1">
        <f t="shared" si="27"/>
        <v>0.97933750698057487</v>
      </c>
      <c r="BO37" s="1">
        <f t="shared" si="28"/>
        <v>0.52258766128795253</v>
      </c>
      <c r="BP37" s="1">
        <f t="shared" si="29"/>
        <v>0</v>
      </c>
      <c r="BQ37" s="1">
        <f t="shared" si="30"/>
        <v>0</v>
      </c>
      <c r="BR37" s="1">
        <f t="shared" si="31"/>
        <v>0</v>
      </c>
      <c r="BS37" s="1">
        <f t="shared" si="32"/>
        <v>0</v>
      </c>
      <c r="BT37" s="1">
        <f t="shared" si="33"/>
        <v>0.65426329247861736</v>
      </c>
      <c r="BU37" s="17">
        <f t="shared" si="34"/>
        <v>0</v>
      </c>
      <c r="BV37" s="23" t="s">
        <v>13</v>
      </c>
      <c r="BW37" s="23" t="s">
        <v>11</v>
      </c>
      <c r="BX37" s="23" t="s">
        <v>11</v>
      </c>
      <c r="BY37" s="23"/>
      <c r="BZ37" s="23"/>
      <c r="CA37" s="23"/>
      <c r="CB37" s="23"/>
      <c r="CC37" s="23"/>
      <c r="CD37" s="23"/>
      <c r="CF37" s="1">
        <f>1.20333333333333*(1/1.1341)</f>
        <v>1.0610469388354906</v>
      </c>
      <c r="CG37" s="1">
        <f>1.04466666666667*(1/1.1341)</f>
        <v>0.92114158069541474</v>
      </c>
      <c r="CH37" s="1">
        <f>1.05466666666667*(1/1.1341)</f>
        <v>0.92995914528407542</v>
      </c>
      <c r="CI37" s="1">
        <f>0*(1/1.1341)</f>
        <v>0</v>
      </c>
      <c r="CJ37" s="1">
        <f>0*(1/1.1341)</f>
        <v>0</v>
      </c>
      <c r="CK37" s="1">
        <f>0*(1/1.1341)</f>
        <v>0</v>
      </c>
      <c r="CL37" s="1">
        <f t="shared" si="45"/>
        <v>0</v>
      </c>
      <c r="CM37" s="1">
        <f t="shared" si="45"/>
        <v>0</v>
      </c>
      <c r="CN37" s="1">
        <f t="shared" si="35"/>
        <v>0</v>
      </c>
      <c r="CO37" s="1">
        <f t="shared" si="35"/>
        <v>0</v>
      </c>
      <c r="CP37" s="1">
        <f t="shared" si="36"/>
        <v>0.92995914528407542</v>
      </c>
      <c r="CQ37" s="1">
        <f t="shared" si="37"/>
        <v>0.92114158069541474</v>
      </c>
      <c r="CR37" s="1">
        <f t="shared" si="38"/>
        <v>0</v>
      </c>
      <c r="CS37" s="1">
        <f t="shared" si="39"/>
        <v>0</v>
      </c>
      <c r="CT37" s="1">
        <f t="shared" si="40"/>
        <v>0</v>
      </c>
      <c r="CU37" s="1">
        <f t="shared" si="41"/>
        <v>0</v>
      </c>
      <c r="CV37" s="1">
        <f t="shared" si="42"/>
        <v>1.0610469388354906</v>
      </c>
      <c r="CW37" s="1">
        <f t="shared" si="43"/>
        <v>0</v>
      </c>
    </row>
    <row r="38" spans="1:101" x14ac:dyDescent="0.35">
      <c r="A38" s="1">
        <v>7</v>
      </c>
      <c r="B38" s="1">
        <v>3</v>
      </c>
      <c r="C38" s="1">
        <v>0</v>
      </c>
      <c r="D38" s="2">
        <v>0</v>
      </c>
      <c r="E38" s="2">
        <v>21</v>
      </c>
      <c r="F38" s="2">
        <v>1.75</v>
      </c>
      <c r="G38" s="2">
        <v>62</v>
      </c>
      <c r="H38" s="3">
        <v>20.244897959183675</v>
      </c>
      <c r="I38" s="1">
        <v>0</v>
      </c>
      <c r="J38" s="4">
        <v>0</v>
      </c>
      <c r="AR38" s="15">
        <f>8.96*((1/1.1341))</f>
        <v>7.9005378714399086</v>
      </c>
      <c r="AS38" s="17">
        <f>5.684*((1/1.1341))</f>
        <v>5.0119037121946919</v>
      </c>
      <c r="AT38" s="9" t="s">
        <v>13</v>
      </c>
      <c r="AU38" s="9" t="s">
        <v>11</v>
      </c>
      <c r="AV38" s="9" t="s">
        <v>11</v>
      </c>
      <c r="AW38" s="9" t="s">
        <v>12</v>
      </c>
      <c r="AX38" s="9" t="s">
        <v>12</v>
      </c>
      <c r="AY38" s="9" t="s">
        <v>13</v>
      </c>
      <c r="AZ38" s="10"/>
      <c r="BA38" s="9"/>
      <c r="BD38" s="1">
        <f>1.666*((1/1.1341))</f>
        <v>1.4690062604708578</v>
      </c>
      <c r="BE38" s="1">
        <f>1.988*((1/1.1341))</f>
        <v>1.7529318402257295</v>
      </c>
      <c r="BF38" s="1">
        <f>2.54333333333333*((1/1.1341))</f>
        <v>2.2426005937160123</v>
      </c>
      <c r="BG38" s="1">
        <f>2.56666666666667*((1/1.1341))</f>
        <v>2.26317491108956</v>
      </c>
      <c r="BH38" s="1">
        <f>3.15466666666667*((1/1.1341))</f>
        <v>2.781647708902804</v>
      </c>
      <c r="BI38" s="1">
        <f>3.64*((1/1.1341))</f>
        <v>3.2095935102724624</v>
      </c>
      <c r="BJ38" s="1">
        <f t="shared" si="44"/>
        <v>0</v>
      </c>
      <c r="BK38" s="1">
        <f t="shared" si="44"/>
        <v>0</v>
      </c>
      <c r="BN38" s="1">
        <f t="shared" si="27"/>
        <v>2.2426005937160123</v>
      </c>
      <c r="BO38" s="1">
        <f t="shared" si="28"/>
        <v>1.7529318402257295</v>
      </c>
      <c r="BP38" s="1">
        <f t="shared" si="29"/>
        <v>2.781647708902804</v>
      </c>
      <c r="BQ38" s="1">
        <f t="shared" si="30"/>
        <v>2.26317491108956</v>
      </c>
      <c r="BR38" s="1">
        <f t="shared" si="31"/>
        <v>0</v>
      </c>
      <c r="BS38" s="1">
        <f t="shared" si="32"/>
        <v>0</v>
      </c>
      <c r="BT38" s="1">
        <f t="shared" si="33"/>
        <v>1.4690062604708578</v>
      </c>
      <c r="BU38" s="17">
        <f t="shared" si="34"/>
        <v>3.2095935102724624</v>
      </c>
      <c r="BV38" s="23" t="s">
        <v>13</v>
      </c>
      <c r="BW38" s="23" t="s">
        <v>11</v>
      </c>
      <c r="BX38" s="23" t="s">
        <v>11</v>
      </c>
      <c r="BY38" s="23" t="s">
        <v>12</v>
      </c>
      <c r="BZ38" s="23" t="s">
        <v>12</v>
      </c>
      <c r="CA38" s="23" t="s">
        <v>13</v>
      </c>
      <c r="CB38" s="23"/>
      <c r="CC38" s="23"/>
      <c r="CD38" s="23"/>
      <c r="CF38" s="1">
        <f>2.01066666666667*(1/1.1341)</f>
        <v>1.7729183199600298</v>
      </c>
      <c r="CG38" s="1">
        <f>2.20666666666667*(1/1.1341)</f>
        <v>1.9457425858977779</v>
      </c>
      <c r="CH38" s="1">
        <f>2.618*(1/1.1341)</f>
        <v>2.3084384093113481</v>
      </c>
      <c r="CI38" s="1">
        <f>2.71133333333333*(1/1.1341)</f>
        <v>2.3907356788055107</v>
      </c>
      <c r="CJ38" s="1">
        <f>2.71133333333333*(1/1.1341)</f>
        <v>2.3907356788055107</v>
      </c>
      <c r="CK38" s="1">
        <f>3.49066666666667*(1/1.1341)</f>
        <v>3.0779178790818005</v>
      </c>
      <c r="CL38" s="1">
        <f t="shared" si="45"/>
        <v>0</v>
      </c>
      <c r="CM38" s="1">
        <f t="shared" si="45"/>
        <v>0</v>
      </c>
      <c r="CN38" s="1">
        <f t="shared" si="35"/>
        <v>0</v>
      </c>
      <c r="CO38" s="1">
        <f t="shared" si="35"/>
        <v>0</v>
      </c>
      <c r="CP38" s="1">
        <f t="shared" si="36"/>
        <v>2.3084384093113481</v>
      </c>
      <c r="CQ38" s="1">
        <f t="shared" si="37"/>
        <v>1.9457425858977779</v>
      </c>
      <c r="CR38" s="1">
        <f t="shared" si="38"/>
        <v>2.3907356788055107</v>
      </c>
      <c r="CS38" s="1">
        <f t="shared" si="39"/>
        <v>2.3907356788055107</v>
      </c>
      <c r="CT38" s="1">
        <f t="shared" si="40"/>
        <v>0</v>
      </c>
      <c r="CU38" s="1">
        <f t="shared" si="41"/>
        <v>0</v>
      </c>
      <c r="CV38" s="1">
        <f t="shared" si="42"/>
        <v>1.7729183199600298</v>
      </c>
      <c r="CW38" s="1">
        <f t="shared" si="43"/>
        <v>3.0779178790818005</v>
      </c>
    </row>
    <row r="39" spans="1:101" x14ac:dyDescent="0.35">
      <c r="A39" s="1">
        <v>8</v>
      </c>
      <c r="B39" s="1">
        <v>3</v>
      </c>
      <c r="C39" s="1">
        <v>0</v>
      </c>
      <c r="D39" s="2">
        <v>1</v>
      </c>
      <c r="E39" s="2">
        <v>20</v>
      </c>
      <c r="F39" s="2">
        <v>1.85</v>
      </c>
      <c r="G39" s="2">
        <v>84</v>
      </c>
      <c r="H39" s="3">
        <v>24.543462381300216</v>
      </c>
      <c r="I39" s="1">
        <v>0</v>
      </c>
      <c r="J39" s="4">
        <v>0</v>
      </c>
      <c r="AR39" s="15">
        <f>13.832*((1/1.1341))</f>
        <v>12.196455339035358</v>
      </c>
      <c r="AS39" s="17">
        <f>16.394*((1/1.1341))</f>
        <v>14.455515386650205</v>
      </c>
      <c r="AT39" s="9" t="s">
        <v>12</v>
      </c>
      <c r="AU39" s="9" t="s">
        <v>12</v>
      </c>
      <c r="AV39" s="9" t="s">
        <v>11</v>
      </c>
      <c r="AW39" s="9" t="s">
        <v>14</v>
      </c>
      <c r="AX39" s="9" t="s">
        <v>13</v>
      </c>
      <c r="AY39" s="9" t="s">
        <v>11</v>
      </c>
      <c r="AZ39" s="10" t="s">
        <v>14</v>
      </c>
      <c r="BA39" s="9" t="s">
        <v>13</v>
      </c>
      <c r="BD39" s="1">
        <f>2.42666666666667*((1/1.1341))</f>
        <v>2.1397290068483112</v>
      </c>
      <c r="BE39" s="1">
        <f>2.23533333333333*((1/1.1341))</f>
        <v>1.9710196043852657</v>
      </c>
      <c r="BF39" s="1">
        <f>8.344*((1/1.1341))</f>
        <v>7.3573758927784132</v>
      </c>
      <c r="BG39" s="1">
        <f>9.29133333333333*((1/1.1341))</f>
        <v>8.192693178144193</v>
      </c>
      <c r="BH39" s="1">
        <f>10.0706666666667*((1/1.1341))</f>
        <v>8.8798753784205093</v>
      </c>
      <c r="BI39" s="1">
        <f>12.278*((1/1.1341))</f>
        <v>10.826205801957499</v>
      </c>
      <c r="BJ39" s="1">
        <f>11.0693333333333*((1/1.1341))</f>
        <v>9.7604561620080244</v>
      </c>
      <c r="BK39" s="1">
        <f>14.9613333333333*((1/1.1341))</f>
        <v>13.192252299914733</v>
      </c>
      <c r="BN39" s="1">
        <f t="shared" si="27"/>
        <v>7.3573758927784132</v>
      </c>
      <c r="BO39" s="1">
        <f t="shared" si="28"/>
        <v>10.826205801957499</v>
      </c>
      <c r="BP39" s="1">
        <f t="shared" si="29"/>
        <v>2.1397290068483112</v>
      </c>
      <c r="BQ39" s="1">
        <f t="shared" si="30"/>
        <v>1.9710196043852657</v>
      </c>
      <c r="BR39" s="1">
        <f t="shared" si="31"/>
        <v>9.7604561620080244</v>
      </c>
      <c r="BS39" s="1">
        <f t="shared" si="32"/>
        <v>8.192693178144193</v>
      </c>
      <c r="BT39" s="1">
        <f t="shared" si="33"/>
        <v>8.8798753784205093</v>
      </c>
      <c r="BU39" s="17">
        <f t="shared" si="34"/>
        <v>13.192252299914733</v>
      </c>
      <c r="BV39" s="23" t="s">
        <v>12</v>
      </c>
      <c r="BW39" s="23" t="s">
        <v>12</v>
      </c>
      <c r="BX39" s="23" t="s">
        <v>11</v>
      </c>
      <c r="BY39" s="23" t="s">
        <v>14</v>
      </c>
      <c r="BZ39" s="23" t="s">
        <v>13</v>
      </c>
      <c r="CA39" s="23" t="s">
        <v>11</v>
      </c>
      <c r="CB39" s="23" t="s">
        <v>14</v>
      </c>
      <c r="CC39" s="23" t="s">
        <v>13</v>
      </c>
      <c r="CD39" s="23"/>
      <c r="CF39" s="1">
        <f>3.326*(1/1.1341)</f>
        <v>2.9327219821885193</v>
      </c>
      <c r="CG39" s="1">
        <f>2.624*(1/1.1341)</f>
        <v>2.3137289480645444</v>
      </c>
      <c r="CH39" s="1">
        <f>8.01866666666667*(1/1.1341)</f>
        <v>7.0705111248273251</v>
      </c>
      <c r="CI39" s="1">
        <f>10.43*(1/1.1341)</f>
        <v>9.1967198659730176</v>
      </c>
      <c r="CJ39" s="1">
        <f>9.22133333333333*(1/1.1341)</f>
        <v>8.1309702260235692</v>
      </c>
      <c r="CK39" s="1">
        <f>12.124*(1/1.1341)</f>
        <v>10.690415307292126</v>
      </c>
      <c r="CL39" s="1">
        <f>11.3866666666667*(1/1.1341)</f>
        <v>10.040266878288246</v>
      </c>
      <c r="CM39" s="1">
        <f>13.2093333333333*(1/1.1341)</f>
        <v>11.647414983981394</v>
      </c>
      <c r="CN39" s="1">
        <f t="shared" si="35"/>
        <v>0</v>
      </c>
      <c r="CO39" s="1">
        <f t="shared" si="35"/>
        <v>0</v>
      </c>
      <c r="CP39" s="1">
        <f t="shared" si="36"/>
        <v>7.0705111248273251</v>
      </c>
      <c r="CQ39" s="1">
        <f t="shared" si="37"/>
        <v>10.690415307292126</v>
      </c>
      <c r="CR39" s="1">
        <f t="shared" si="38"/>
        <v>2.9327219821885193</v>
      </c>
      <c r="CS39" s="1">
        <f t="shared" si="39"/>
        <v>2.3137289480645444</v>
      </c>
      <c r="CT39" s="1">
        <f t="shared" si="40"/>
        <v>10.040266878288246</v>
      </c>
      <c r="CU39" s="1">
        <f t="shared" si="41"/>
        <v>9.1967198659730176</v>
      </c>
      <c r="CV39" s="1">
        <f t="shared" si="42"/>
        <v>8.1309702260235692</v>
      </c>
      <c r="CW39" s="1">
        <f t="shared" si="43"/>
        <v>11.647414983981394</v>
      </c>
    </row>
    <row r="40" spans="1:101" x14ac:dyDescent="0.35">
      <c r="A40" s="1">
        <v>9</v>
      </c>
      <c r="B40" s="1">
        <v>3</v>
      </c>
      <c r="C40" s="1">
        <v>0</v>
      </c>
      <c r="D40" s="2">
        <v>1</v>
      </c>
      <c r="E40" s="2">
        <v>23</v>
      </c>
      <c r="F40" s="2">
        <v>1.98</v>
      </c>
      <c r="G40" s="2">
        <v>80</v>
      </c>
      <c r="H40" s="3">
        <v>20.40608101214162</v>
      </c>
      <c r="I40" s="1">
        <v>0</v>
      </c>
      <c r="J40" s="4">
        <v>1</v>
      </c>
      <c r="AR40" s="15">
        <f>7.924*((1/1.1341))</f>
        <v>6.987038180054669</v>
      </c>
      <c r="AS40" s="17">
        <f>5.502*((1/1.1341))</f>
        <v>4.8514240366810686</v>
      </c>
      <c r="AT40" s="9" t="s">
        <v>11</v>
      </c>
      <c r="AU40" s="9" t="s">
        <v>11</v>
      </c>
      <c r="AV40" s="9" t="s">
        <v>13</v>
      </c>
      <c r="AW40" s="9" t="s">
        <v>13</v>
      </c>
      <c r="AX40" s="9" t="s">
        <v>14</v>
      </c>
      <c r="AY40" s="9" t="s">
        <v>14</v>
      </c>
      <c r="AZ40" s="10"/>
      <c r="BA40" s="9"/>
      <c r="BD40" s="1">
        <f>1.512*((1/1.1341))</f>
        <v>1.3332157658054844</v>
      </c>
      <c r="BE40" s="1">
        <f>2.02066666666667*((1/1.1341))</f>
        <v>1.7817358845486906</v>
      </c>
      <c r="BF40" s="1">
        <f>3.416*((1/1.1341))</f>
        <v>3.0120800634864646</v>
      </c>
      <c r="BG40" s="1">
        <f>4.26533333333333*((1/1.1341))</f>
        <v>3.7609852158833696</v>
      </c>
      <c r="BH40" s="1">
        <f>5.782*((1/1.1341))</f>
        <v>5.0983158451635653</v>
      </c>
      <c r="BI40" s="1">
        <f>4.452*((1/1.1341))</f>
        <v>3.9255797548717042</v>
      </c>
      <c r="BJ40" s="1">
        <f>0*((1/1.1341))</f>
        <v>0</v>
      </c>
      <c r="BK40" s="1">
        <f>0*((1/1.1341))</f>
        <v>0</v>
      </c>
      <c r="BN40" s="1">
        <f t="shared" si="27"/>
        <v>1.3332157658054844</v>
      </c>
      <c r="BO40" s="1">
        <f t="shared" si="28"/>
        <v>1.7817358845486906</v>
      </c>
      <c r="BP40" s="1">
        <f t="shared" si="29"/>
        <v>0</v>
      </c>
      <c r="BQ40" s="1">
        <f t="shared" si="30"/>
        <v>0</v>
      </c>
      <c r="BR40" s="1">
        <f t="shared" si="31"/>
        <v>5.0983158451635653</v>
      </c>
      <c r="BS40" s="1">
        <f t="shared" si="32"/>
        <v>3.9255797548717042</v>
      </c>
      <c r="BT40" s="1">
        <f t="shared" si="33"/>
        <v>3.0120800634864646</v>
      </c>
      <c r="BU40" s="17">
        <f t="shared" si="34"/>
        <v>3.7609852158833696</v>
      </c>
      <c r="BV40" s="23" t="s">
        <v>11</v>
      </c>
      <c r="BW40" s="23" t="s">
        <v>11</v>
      </c>
      <c r="BX40" s="23" t="s">
        <v>13</v>
      </c>
      <c r="BY40" s="23" t="s">
        <v>13</v>
      </c>
      <c r="BZ40" s="23" t="s">
        <v>14</v>
      </c>
      <c r="CA40" s="23" t="s">
        <v>14</v>
      </c>
      <c r="CB40" s="23"/>
      <c r="CC40" s="23"/>
      <c r="CD40" s="23"/>
      <c r="CF40" s="1">
        <f>1.936*(1/1.1341)</f>
        <v>1.7070805043646944</v>
      </c>
      <c r="CG40" s="1">
        <f>2.37666666666667*(1/1.1341)</f>
        <v>2.0956411839050082</v>
      </c>
      <c r="CH40" s="1">
        <f>2.96333333333333*(1/1.1341)</f>
        <v>2.6129383064397582</v>
      </c>
      <c r="CI40" s="1">
        <f>3.36*(1/1.1341)</f>
        <v>2.9627017017899653</v>
      </c>
      <c r="CJ40" s="1">
        <f>3.81266666666667*(1/1.1341)</f>
        <v>3.3618434588366721</v>
      </c>
      <c r="CK40" s="1">
        <f>3.95266666666667*(1/1.1341)</f>
        <v>3.4852893630779205</v>
      </c>
      <c r="CL40" s="1">
        <f>0*(1/1.1341)</f>
        <v>0</v>
      </c>
      <c r="CM40" s="1">
        <f>0*(1/1.1341)</f>
        <v>0</v>
      </c>
      <c r="CN40" s="1">
        <f t="shared" si="35"/>
        <v>0</v>
      </c>
      <c r="CO40" s="1">
        <f t="shared" si="35"/>
        <v>0</v>
      </c>
      <c r="CP40" s="1">
        <f t="shared" si="36"/>
        <v>1.7070805043646944</v>
      </c>
      <c r="CQ40" s="1">
        <f t="shared" si="37"/>
        <v>2.0956411839050082</v>
      </c>
      <c r="CR40" s="1">
        <f t="shared" si="38"/>
        <v>0</v>
      </c>
      <c r="CS40" s="1">
        <f t="shared" si="39"/>
        <v>0</v>
      </c>
      <c r="CT40" s="1">
        <f t="shared" si="40"/>
        <v>3.3618434588366721</v>
      </c>
      <c r="CU40" s="1">
        <f t="shared" si="41"/>
        <v>3.4852893630779205</v>
      </c>
      <c r="CV40" s="1">
        <f t="shared" si="42"/>
        <v>2.6129383064397582</v>
      </c>
      <c r="CW40" s="1">
        <f t="shared" si="43"/>
        <v>2.9627017017899653</v>
      </c>
    </row>
    <row r="41" spans="1:101" x14ac:dyDescent="0.35">
      <c r="A41" s="1">
        <v>10</v>
      </c>
      <c r="B41" s="1">
        <v>3</v>
      </c>
      <c r="C41" s="1">
        <v>0</v>
      </c>
      <c r="D41" s="2">
        <v>1</v>
      </c>
      <c r="E41" s="2">
        <v>20</v>
      </c>
      <c r="F41" s="2">
        <v>1.95</v>
      </c>
      <c r="G41" s="2">
        <v>83</v>
      </c>
      <c r="H41" s="3">
        <v>21.827744904667984</v>
      </c>
      <c r="I41" s="1">
        <v>0</v>
      </c>
      <c r="J41" s="4">
        <v>1</v>
      </c>
      <c r="AR41" s="15">
        <f>13.041*((1/1.1341))</f>
        <v>11.498985980072304</v>
      </c>
      <c r="AS41" s="17">
        <f>12.74*((1/1.1341))</f>
        <v>11.233577285953618</v>
      </c>
      <c r="AT41" s="9" t="s">
        <v>11</v>
      </c>
      <c r="AU41" s="9" t="s">
        <v>11</v>
      </c>
      <c r="AV41" s="9" t="s">
        <v>12</v>
      </c>
      <c r="AW41" s="9" t="s">
        <v>12</v>
      </c>
      <c r="AX41" s="9" t="s">
        <v>14</v>
      </c>
      <c r="AY41" s="9" t="s">
        <v>13</v>
      </c>
      <c r="AZ41" s="10" t="s">
        <v>13</v>
      </c>
      <c r="BA41" s="9" t="s">
        <v>14</v>
      </c>
      <c r="BD41" s="1">
        <f>4.326*((1/1.1341))</f>
        <v>3.8144784410545802</v>
      </c>
      <c r="BE41" s="1">
        <f>5.16133333333333*((1/1.1341))</f>
        <v>4.55103900302736</v>
      </c>
      <c r="BF41" s="1">
        <f>7.77*((1/1.1341))</f>
        <v>6.8512476853892945</v>
      </c>
      <c r="BG41" s="1">
        <f>6.19733333333333*((1/1.1341))</f>
        <v>5.4645386944126004</v>
      </c>
      <c r="BH41" s="1">
        <f>8.561*((1/1.1341))</f>
        <v>7.5487170443523492</v>
      </c>
      <c r="BI41" s="1">
        <f>7.87266666666667*((1/1.1341))</f>
        <v>6.9417746818328805</v>
      </c>
      <c r="BJ41" s="1">
        <f>10.339*((1/1.1341))</f>
        <v>9.1164800282162073</v>
      </c>
      <c r="BK41" s="1">
        <f>9.41733333333333*((1/1.1341))</f>
        <v>8.303794491961316</v>
      </c>
      <c r="BN41" s="1">
        <f t="shared" si="27"/>
        <v>3.8144784410545802</v>
      </c>
      <c r="BO41" s="1">
        <f t="shared" si="28"/>
        <v>4.55103900302736</v>
      </c>
      <c r="BP41" s="1">
        <f t="shared" si="29"/>
        <v>6.8512476853892945</v>
      </c>
      <c r="BQ41" s="1">
        <f t="shared" si="30"/>
        <v>5.4645386944126004</v>
      </c>
      <c r="BR41" s="1">
        <f t="shared" si="31"/>
        <v>7.5487170443523492</v>
      </c>
      <c r="BS41" s="1">
        <f t="shared" si="32"/>
        <v>8.303794491961316</v>
      </c>
      <c r="BT41" s="1">
        <f t="shared" si="33"/>
        <v>9.1164800282162073</v>
      </c>
      <c r="BU41" s="17">
        <f t="shared" si="34"/>
        <v>6.9417746818328805</v>
      </c>
      <c r="BV41" s="23" t="s">
        <v>11</v>
      </c>
      <c r="BW41" s="23" t="s">
        <v>11</v>
      </c>
      <c r="BX41" s="23" t="s">
        <v>12</v>
      </c>
      <c r="BY41" s="23" t="s">
        <v>12</v>
      </c>
      <c r="BZ41" s="23" t="s">
        <v>14</v>
      </c>
      <c r="CA41" s="23" t="s">
        <v>13</v>
      </c>
      <c r="CB41" s="23" t="s">
        <v>13</v>
      </c>
      <c r="CC41" s="23" t="s">
        <v>14</v>
      </c>
      <c r="CD41" s="23"/>
      <c r="CF41" s="1">
        <f>3.149*(1/1.1341)</f>
        <v>2.7766510889692264</v>
      </c>
      <c r="CG41" s="1">
        <f>4.31066666666667*(1/1.1341)</f>
        <v>3.8009581753519703</v>
      </c>
      <c r="CH41" s="1">
        <f>7.798*(1/1.1341)</f>
        <v>6.8759368662375451</v>
      </c>
      <c r="CI41" s="1">
        <f>6.594*(1/1.1341)</f>
        <v>5.8143020897628075</v>
      </c>
      <c r="CJ41" s="1">
        <f>8.708*(1/1.1341)</f>
        <v>7.6783352438056607</v>
      </c>
      <c r="CK41" s="1">
        <f>10.535*(1/1.1341)</f>
        <v>9.2893042941539541</v>
      </c>
      <c r="CL41" s="1">
        <f>11.039*(1/1.1341)</f>
        <v>9.7337095494224481</v>
      </c>
      <c r="CM41" s="1">
        <f>10.3133333333333*(1/1.1341)</f>
        <v>9.0938482791052824</v>
      </c>
      <c r="CN41" s="1">
        <f t="shared" si="35"/>
        <v>0</v>
      </c>
      <c r="CO41" s="1">
        <f t="shared" si="35"/>
        <v>0</v>
      </c>
      <c r="CP41" s="1">
        <f t="shared" si="36"/>
        <v>2.7766510889692264</v>
      </c>
      <c r="CQ41" s="1">
        <f t="shared" si="37"/>
        <v>3.8009581753519703</v>
      </c>
      <c r="CR41" s="1">
        <f t="shared" si="38"/>
        <v>6.8759368662375451</v>
      </c>
      <c r="CS41" s="1">
        <f t="shared" si="39"/>
        <v>5.8143020897628075</v>
      </c>
      <c r="CT41" s="1">
        <f t="shared" si="40"/>
        <v>7.6783352438056607</v>
      </c>
      <c r="CU41" s="1">
        <f t="shared" si="41"/>
        <v>9.0938482791052824</v>
      </c>
      <c r="CV41" s="1">
        <f t="shared" si="42"/>
        <v>9.7337095494224481</v>
      </c>
      <c r="CW41" s="1">
        <f t="shared" si="43"/>
        <v>9.2893042941539541</v>
      </c>
    </row>
    <row r="42" spans="1:101" x14ac:dyDescent="0.35">
      <c r="A42" s="1">
        <v>11</v>
      </c>
      <c r="B42" s="1">
        <v>3</v>
      </c>
      <c r="C42" s="1">
        <v>0</v>
      </c>
      <c r="D42" s="2">
        <v>1</v>
      </c>
      <c r="E42" s="2">
        <v>22</v>
      </c>
      <c r="F42" s="2">
        <v>1.95</v>
      </c>
      <c r="G42" s="2">
        <v>80</v>
      </c>
      <c r="H42" s="3">
        <v>21.038790269559502</v>
      </c>
      <c r="I42" s="1">
        <v>0</v>
      </c>
      <c r="J42" s="4">
        <v>0</v>
      </c>
      <c r="AR42" s="15">
        <f>19.992*((1/1.1341))</f>
        <v>17.628075125650295</v>
      </c>
      <c r="AS42" s="17">
        <f>17.332*((1/1.1341))</f>
        <v>15.282602945066571</v>
      </c>
      <c r="AT42" s="9" t="s">
        <v>12</v>
      </c>
      <c r="AU42" s="9" t="s">
        <v>12</v>
      </c>
      <c r="AV42" s="9" t="s">
        <v>14</v>
      </c>
      <c r="AW42" s="9" t="s">
        <v>14</v>
      </c>
      <c r="AX42" s="9"/>
      <c r="AY42" s="9"/>
      <c r="AZ42" s="10"/>
      <c r="BA42" s="9"/>
      <c r="BD42" s="1">
        <f>6.44933333333333*((1/1.1341))</f>
        <v>5.6867413220468475</v>
      </c>
      <c r="BE42" s="1">
        <f>10.6586666666667*((1/1.1341))</f>
        <v>9.3983481762337533</v>
      </c>
      <c r="BF42" s="1">
        <f>11.3166666666667*((1/1.1341))</f>
        <v>9.978543926167621</v>
      </c>
      <c r="BG42" s="1">
        <f>13.7853333333333*((1/1.1341))</f>
        <v>12.155306704288245</v>
      </c>
      <c r="BH42" s="1">
        <f>0*((1/1.1341))</f>
        <v>0</v>
      </c>
      <c r="BI42" s="1">
        <f>0*((1/1.1341))</f>
        <v>0</v>
      </c>
      <c r="BJ42" s="1">
        <f>0*((1/1.1341))</f>
        <v>0</v>
      </c>
      <c r="BK42" s="1">
        <f>0*((1/1.1341))</f>
        <v>0</v>
      </c>
      <c r="BN42" s="1">
        <f t="shared" si="27"/>
        <v>0</v>
      </c>
      <c r="BO42" s="1">
        <f t="shared" si="28"/>
        <v>0</v>
      </c>
      <c r="BP42" s="1">
        <f t="shared" si="29"/>
        <v>5.6867413220468475</v>
      </c>
      <c r="BQ42" s="1">
        <f t="shared" si="30"/>
        <v>9.3983481762337533</v>
      </c>
      <c r="BR42" s="1">
        <f t="shared" si="31"/>
        <v>9.978543926167621</v>
      </c>
      <c r="BS42" s="1">
        <f t="shared" si="32"/>
        <v>12.155306704288245</v>
      </c>
      <c r="BT42" s="1">
        <f t="shared" si="33"/>
        <v>0</v>
      </c>
      <c r="BU42" s="17">
        <f t="shared" si="34"/>
        <v>0</v>
      </c>
      <c r="BV42" s="23" t="s">
        <v>12</v>
      </c>
      <c r="BW42" s="23" t="s">
        <v>12</v>
      </c>
      <c r="BX42" s="23" t="s">
        <v>14</v>
      </c>
      <c r="BY42" s="23" t="s">
        <v>14</v>
      </c>
      <c r="BZ42" s="23"/>
      <c r="CA42" s="23"/>
      <c r="CB42" s="23"/>
      <c r="CC42" s="23"/>
      <c r="CD42" s="23"/>
      <c r="CF42" s="1">
        <f>5.13733333333333*(1/1.1341)</f>
        <v>4.5298768480145748</v>
      </c>
      <c r="CG42" s="1">
        <f>9.87933333333333*(1/1.1341)</f>
        <v>8.7111659759574369</v>
      </c>
      <c r="CH42" s="1">
        <f>12.1436666666667*(1/1.1341)</f>
        <v>10.707756517649853</v>
      </c>
      <c r="CI42" s="1">
        <f>13.0993333333333*(1/1.1341)</f>
        <v>11.550421773506127</v>
      </c>
      <c r="CJ42" s="1">
        <f>0*(1/1.1341)</f>
        <v>0</v>
      </c>
      <c r="CK42" s="1">
        <f>0*(1/1.1341)</f>
        <v>0</v>
      </c>
      <c r="CL42" s="1">
        <f>0*(1/1.1341)</f>
        <v>0</v>
      </c>
      <c r="CM42" s="1">
        <f>0*(1/1.1341)</f>
        <v>0</v>
      </c>
      <c r="CN42" s="1">
        <f t="shared" si="35"/>
        <v>0</v>
      </c>
      <c r="CO42" s="1">
        <f t="shared" si="35"/>
        <v>0</v>
      </c>
      <c r="CP42" s="1">
        <f t="shared" si="36"/>
        <v>0</v>
      </c>
      <c r="CQ42" s="1">
        <f t="shared" si="37"/>
        <v>0</v>
      </c>
      <c r="CR42" s="1">
        <f t="shared" si="38"/>
        <v>4.5298768480145748</v>
      </c>
      <c r="CS42" s="1">
        <f t="shared" si="39"/>
        <v>8.7111659759574369</v>
      </c>
      <c r="CT42" s="1">
        <f t="shared" si="40"/>
        <v>10.707756517649853</v>
      </c>
      <c r="CU42" s="1">
        <f t="shared" si="41"/>
        <v>11.550421773506127</v>
      </c>
      <c r="CV42" s="1">
        <f t="shared" si="42"/>
        <v>0</v>
      </c>
      <c r="CW42" s="1">
        <f t="shared" si="43"/>
        <v>0</v>
      </c>
    </row>
    <row r="43" spans="1:101" x14ac:dyDescent="0.35">
      <c r="A43" s="1">
        <v>12</v>
      </c>
      <c r="B43" s="1">
        <v>3</v>
      </c>
      <c r="C43" s="1">
        <v>0</v>
      </c>
      <c r="D43" s="2">
        <v>1</v>
      </c>
      <c r="E43" s="2">
        <v>21</v>
      </c>
      <c r="F43" s="2">
        <v>1.88</v>
      </c>
      <c r="G43" s="2">
        <v>82</v>
      </c>
      <c r="H43" s="3">
        <v>23.20054323223178</v>
      </c>
      <c r="I43" s="1">
        <v>0</v>
      </c>
      <c r="J43" s="4">
        <v>0</v>
      </c>
      <c r="AR43" s="15">
        <f>19.992*((1/1.1341))</f>
        <v>17.628075125650295</v>
      </c>
      <c r="AS43" s="17">
        <f>19.992*((1/1.1341))</f>
        <v>17.628075125650295</v>
      </c>
      <c r="AT43" s="9" t="s">
        <v>12</v>
      </c>
      <c r="AU43" s="9" t="s">
        <v>12</v>
      </c>
      <c r="AV43" s="9" t="s">
        <v>13</v>
      </c>
      <c r="AW43" s="9" t="s">
        <v>13</v>
      </c>
      <c r="AX43" s="9" t="s">
        <v>12</v>
      </c>
      <c r="AY43" s="9" t="s">
        <v>11</v>
      </c>
      <c r="AZ43" s="10" t="s">
        <v>11</v>
      </c>
      <c r="BA43" s="9" t="s">
        <v>13</v>
      </c>
      <c r="BD43" s="1">
        <f>1.43266666666667*((1/1.1341))</f>
        <v>1.2632630867354466</v>
      </c>
      <c r="BE43" s="1">
        <f>2.21666666666667*((1/1.1341))</f>
        <v>1.9545601504864383</v>
      </c>
      <c r="BF43" s="1">
        <f>3.74266666666667*((1/1.1341))</f>
        <v>3.300120506716048</v>
      </c>
      <c r="BG43" s="1">
        <f>7.13066666666667*((1/1.1341))</f>
        <v>6.2875113893542629</v>
      </c>
      <c r="BH43" s="1">
        <f>4.68066666666667*((1/1.1341))</f>
        <v>4.1272080651324128</v>
      </c>
      <c r="BI43" s="1">
        <f>12.1426666666667*((1/1.1341))</f>
        <v>10.706874761190988</v>
      </c>
      <c r="BJ43" s="1">
        <f>9.968*((1/1.1341))</f>
        <v>8.7893483819768967</v>
      </c>
      <c r="BK43" s="1">
        <f>18.06*((1/1.1341))</f>
        <v>15.924521647121063</v>
      </c>
      <c r="BN43" s="1">
        <f t="shared" si="27"/>
        <v>8.7893483819768967</v>
      </c>
      <c r="BO43" s="1">
        <f t="shared" si="28"/>
        <v>10.706874761190988</v>
      </c>
      <c r="BP43" s="1">
        <f t="shared" si="29"/>
        <v>1.2632630867354466</v>
      </c>
      <c r="BQ43" s="1">
        <f t="shared" si="30"/>
        <v>1.9545601504864383</v>
      </c>
      <c r="BR43" s="1">
        <f t="shared" si="31"/>
        <v>0</v>
      </c>
      <c r="BS43" s="1">
        <f t="shared" si="32"/>
        <v>0</v>
      </c>
      <c r="BT43" s="1">
        <f t="shared" si="33"/>
        <v>3.300120506716048</v>
      </c>
      <c r="BU43" s="17">
        <f t="shared" si="34"/>
        <v>6.2875113893542629</v>
      </c>
      <c r="BV43" s="23" t="s">
        <v>12</v>
      </c>
      <c r="BW43" s="23" t="s">
        <v>12</v>
      </c>
      <c r="BX43" s="23" t="s">
        <v>13</v>
      </c>
      <c r="BY43" s="23" t="s">
        <v>13</v>
      </c>
      <c r="BZ43" s="23" t="s">
        <v>12</v>
      </c>
      <c r="CA43" s="23" t="s">
        <v>11</v>
      </c>
      <c r="CB43" s="23" t="s">
        <v>11</v>
      </c>
      <c r="CC43" s="23" t="s">
        <v>13</v>
      </c>
      <c r="CD43" s="23" t="s">
        <v>13</v>
      </c>
      <c r="CF43" s="1">
        <f>2.762*(1/1.1341)</f>
        <v>2.435411339388061</v>
      </c>
      <c r="CG43" s="1">
        <f>2.90666666666667*(1/1.1341)</f>
        <v>2.5629721071040206</v>
      </c>
      <c r="CH43" s="1">
        <f>4.73666666666667*(1/1.1341)</f>
        <v>4.1765864268289121</v>
      </c>
      <c r="CI43" s="1">
        <f>9.93066666666667*(1/1.1341)</f>
        <v>8.7564294741792352</v>
      </c>
      <c r="CJ43" s="1">
        <f>5.334*(1/1.1341)</f>
        <v>4.7032889515915697</v>
      </c>
      <c r="CK43" s="1">
        <f>14.0093333333333*(1/1.1341)</f>
        <v>12.352820151074244</v>
      </c>
      <c r="CL43" s="1">
        <f>10.29*(1/1.1341)</f>
        <v>9.0732739617317684</v>
      </c>
      <c r="CM43" s="1">
        <f>18.4053333333333*(1/1.1341)</f>
        <v>16.229021544249449</v>
      </c>
      <c r="CN43" s="1">
        <f>16.2446666666667*(1/1.1341)</f>
        <v>14.32383975545957</v>
      </c>
      <c r="CO43" s="1">
        <f t="shared" ref="CO43:CO60" si="46">0*(1/1.1341)</f>
        <v>0</v>
      </c>
      <c r="CP43" s="1">
        <f t="shared" si="36"/>
        <v>9.0732739617317684</v>
      </c>
      <c r="CQ43" s="1">
        <f t="shared" si="37"/>
        <v>12.352820151074244</v>
      </c>
      <c r="CR43" s="1">
        <f t="shared" si="38"/>
        <v>2.435411339388061</v>
      </c>
      <c r="CS43" s="1">
        <f t="shared" si="39"/>
        <v>2.5629721071040206</v>
      </c>
      <c r="CT43" s="1">
        <f t="shared" si="40"/>
        <v>0</v>
      </c>
      <c r="CU43" s="1">
        <f t="shared" si="41"/>
        <v>0</v>
      </c>
      <c r="CV43" s="1">
        <f t="shared" si="42"/>
        <v>4.1765864268289121</v>
      </c>
      <c r="CW43" s="1">
        <f t="shared" si="43"/>
        <v>8.7564294741792352</v>
      </c>
    </row>
    <row r="44" spans="1:101" x14ac:dyDescent="0.35">
      <c r="A44" s="1">
        <v>13</v>
      </c>
      <c r="B44" s="1">
        <v>3</v>
      </c>
      <c r="C44" s="1">
        <v>0</v>
      </c>
      <c r="D44" s="2">
        <v>0</v>
      </c>
      <c r="E44" s="2">
        <v>19</v>
      </c>
      <c r="F44" s="2">
        <v>1.71</v>
      </c>
      <c r="G44" s="2">
        <v>56</v>
      </c>
      <c r="H44" s="3">
        <v>19.151191819705211</v>
      </c>
      <c r="I44" s="1">
        <v>0</v>
      </c>
      <c r="J44" s="4">
        <v>1</v>
      </c>
      <c r="AR44" s="15">
        <f>7.952*((1/1.1341))</f>
        <v>7.0117273609029178</v>
      </c>
      <c r="AS44" s="17">
        <f>4.172*((1/1.1341))</f>
        <v>3.6786879463892066</v>
      </c>
      <c r="AT44" s="9" t="s">
        <v>14</v>
      </c>
      <c r="AU44" s="9" t="s">
        <v>13</v>
      </c>
      <c r="AV44" s="9" t="s">
        <v>13</v>
      </c>
      <c r="AW44" s="9" t="s">
        <v>11</v>
      </c>
      <c r="AX44" s="9" t="s">
        <v>14</v>
      </c>
      <c r="AY44" s="9"/>
      <c r="AZ44" s="10" t="s">
        <v>12</v>
      </c>
      <c r="BA44" s="9"/>
      <c r="BD44" s="1">
        <f>2.562*((1/1.1341))</f>
        <v>2.2590600476148484</v>
      </c>
      <c r="BE44" s="1">
        <f>0.751333333333333*((1/1.1341))</f>
        <v>0.66249301942803362</v>
      </c>
      <c r="BF44" s="1">
        <f>1.05466666666667*((1/1.1341))</f>
        <v>0.92995914528407542</v>
      </c>
      <c r="BG44" s="1">
        <f>1.512*((1/1.1341))</f>
        <v>1.3332157658054844</v>
      </c>
      <c r="BH44" s="1">
        <f>1.46066666666667*((1/1.1341))</f>
        <v>1.2879522675836963</v>
      </c>
      <c r="BI44" s="1">
        <f>0*((1/1.1341))</f>
        <v>0</v>
      </c>
      <c r="BJ44" s="1">
        <f>0.942666666666667*((1/1.1341))</f>
        <v>0.83120242189107396</v>
      </c>
      <c r="BK44" s="1">
        <f>0*((1/1.1341))</f>
        <v>0</v>
      </c>
      <c r="BN44" s="1">
        <f t="shared" si="27"/>
        <v>0</v>
      </c>
      <c r="BO44" s="1">
        <f t="shared" si="28"/>
        <v>1.3332157658054844</v>
      </c>
      <c r="BP44" s="1">
        <f t="shared" si="29"/>
        <v>0.83120242189107396</v>
      </c>
      <c r="BQ44" s="1">
        <f t="shared" si="30"/>
        <v>0</v>
      </c>
      <c r="BR44" s="1">
        <f t="shared" si="31"/>
        <v>2.2590600476148484</v>
      </c>
      <c r="BS44" s="1">
        <f t="shared" si="32"/>
        <v>0</v>
      </c>
      <c r="BT44" s="1">
        <f t="shared" si="33"/>
        <v>0.92995914528407542</v>
      </c>
      <c r="BU44" s="17">
        <f t="shared" si="34"/>
        <v>0.66249301942803362</v>
      </c>
      <c r="BV44" s="23" t="s">
        <v>14</v>
      </c>
      <c r="BW44" s="23" t="s">
        <v>13</v>
      </c>
      <c r="BX44" s="23" t="s">
        <v>13</v>
      </c>
      <c r="BY44" s="23" t="s">
        <v>11</v>
      </c>
      <c r="BZ44" s="23" t="s">
        <v>14</v>
      </c>
      <c r="CA44" s="23"/>
      <c r="CB44" s="23" t="s">
        <v>12</v>
      </c>
      <c r="CC44" s="23"/>
      <c r="CD44" s="23" t="s">
        <v>14</v>
      </c>
      <c r="CF44" s="1">
        <f>2.554*(1/1.1341)</f>
        <v>2.2520059959439198</v>
      </c>
      <c r="CG44" s="1">
        <f>1.404*(1/1.1341)</f>
        <v>1.2379860682479498</v>
      </c>
      <c r="CH44" s="1">
        <f>1.39066666666667*(1/1.1341)</f>
        <v>1.2262293154630719</v>
      </c>
      <c r="CI44" s="1">
        <f>1.22733333333333*(1/1.1341)</f>
        <v>1.0822090938482762</v>
      </c>
      <c r="CJ44" s="1">
        <f>1.73133333333333*(1/1.1341)</f>
        <v>1.526614349116771</v>
      </c>
      <c r="CK44" s="1">
        <f>0*(1/1.1341)</f>
        <v>0</v>
      </c>
      <c r="CL44" s="1">
        <f>1.59133333333333*(1/1.1341)</f>
        <v>1.4031684448755224</v>
      </c>
      <c r="CM44" s="1">
        <f>0*(1/1.1341)</f>
        <v>0</v>
      </c>
      <c r="CN44" s="1">
        <f>1.45133333333333*(1/1.1341)</f>
        <v>1.2797225406342738</v>
      </c>
      <c r="CO44" s="1">
        <f t="shared" si="46"/>
        <v>0</v>
      </c>
      <c r="CP44" s="1">
        <f t="shared" si="36"/>
        <v>0</v>
      </c>
      <c r="CQ44" s="1">
        <f t="shared" si="37"/>
        <v>1.0822090938482762</v>
      </c>
      <c r="CR44" s="1">
        <f t="shared" si="38"/>
        <v>1.4031684448755224</v>
      </c>
      <c r="CS44" s="1">
        <f t="shared" si="39"/>
        <v>0</v>
      </c>
      <c r="CT44" s="1">
        <f t="shared" si="40"/>
        <v>2.2520059959439198</v>
      </c>
      <c r="CU44" s="1">
        <f t="shared" si="41"/>
        <v>0</v>
      </c>
      <c r="CV44" s="1">
        <f t="shared" si="42"/>
        <v>1.2262293154630719</v>
      </c>
      <c r="CW44" s="1">
        <f t="shared" si="43"/>
        <v>1.2379860682479498</v>
      </c>
    </row>
    <row r="45" spans="1:101" s="5" customFormat="1" ht="13" x14ac:dyDescent="0.3">
      <c r="A45" s="5">
        <v>14</v>
      </c>
      <c r="B45" s="5">
        <v>3</v>
      </c>
      <c r="C45" s="5">
        <v>0</v>
      </c>
      <c r="D45" s="6">
        <v>1</v>
      </c>
      <c r="E45" s="6">
        <v>23</v>
      </c>
      <c r="F45" s="6">
        <v>1.82</v>
      </c>
      <c r="G45" s="6">
        <v>78</v>
      </c>
      <c r="H45" s="7">
        <v>23.547880690737831</v>
      </c>
      <c r="I45" s="5">
        <v>0</v>
      </c>
      <c r="J45" s="8">
        <v>0</v>
      </c>
      <c r="L45" s="16"/>
      <c r="AA45" s="18"/>
      <c r="AB45" s="16"/>
      <c r="AQ45" s="18"/>
      <c r="AR45" s="16">
        <f>19.992*((1/1.1341))</f>
        <v>17.628075125650295</v>
      </c>
      <c r="AS45" s="18">
        <f>19.992*((1/1.1341))</f>
        <v>17.628075125650295</v>
      </c>
      <c r="AT45" s="13" t="s">
        <v>12</v>
      </c>
      <c r="AU45" s="13" t="s">
        <v>12</v>
      </c>
      <c r="AV45" s="13" t="s">
        <v>11</v>
      </c>
      <c r="AW45" s="13" t="s">
        <v>11</v>
      </c>
      <c r="AX45" s="13" t="s">
        <v>13</v>
      </c>
      <c r="AY45" s="13" t="s">
        <v>13</v>
      </c>
      <c r="AZ45" s="14" t="s">
        <v>12</v>
      </c>
      <c r="BA45" s="13" t="s">
        <v>12</v>
      </c>
      <c r="BC45" s="18"/>
      <c r="BD45" s="5">
        <f>1.722*((1/1.1341))</f>
        <v>1.5183846221673571</v>
      </c>
      <c r="BE45" s="5">
        <f>2.00666666666667*((1/1.1341))</f>
        <v>1.7693912941245655</v>
      </c>
      <c r="BF45" s="5">
        <f>4.54533333333333*((1/1.1341))</f>
        <v>4.0078770243658672</v>
      </c>
      <c r="BG45" s="5">
        <f>7.364*((1/1.1341))</f>
        <v>6.4932545630896739</v>
      </c>
      <c r="BH45" s="5">
        <f>11.9466666666667*((1/1.1341))</f>
        <v>10.53405049525324</v>
      </c>
      <c r="BI45" s="5">
        <f>14.546*((1/1.1341))</f>
        <v>12.826029450665725</v>
      </c>
      <c r="BJ45" s="5">
        <f>18.692*((1/1.1341))</f>
        <v>16.481791729124414</v>
      </c>
      <c r="BK45" s="5">
        <f>18.0833333333333*((1/1.1341))</f>
        <v>15.945095964494577</v>
      </c>
      <c r="BM45" s="18"/>
      <c r="BN45" s="5">
        <f t="shared" si="27"/>
        <v>4.0078770243658672</v>
      </c>
      <c r="BO45" s="5">
        <f t="shared" si="28"/>
        <v>6.4932545630896739</v>
      </c>
      <c r="BP45" s="5">
        <f t="shared" si="29"/>
        <v>1.5183846221673571</v>
      </c>
      <c r="BQ45" s="5">
        <f t="shared" si="30"/>
        <v>1.7693912941245655</v>
      </c>
      <c r="BR45" s="5">
        <f t="shared" si="31"/>
        <v>0</v>
      </c>
      <c r="BS45" s="5">
        <f t="shared" si="32"/>
        <v>0</v>
      </c>
      <c r="BT45" s="5">
        <f t="shared" si="33"/>
        <v>10.53405049525324</v>
      </c>
      <c r="BU45" s="18">
        <f t="shared" si="34"/>
        <v>12.826029450665725</v>
      </c>
      <c r="BV45" s="23" t="s">
        <v>12</v>
      </c>
      <c r="BW45" s="23" t="s">
        <v>12</v>
      </c>
      <c r="BX45" s="23" t="s">
        <v>11</v>
      </c>
      <c r="BY45" s="23" t="s">
        <v>11</v>
      </c>
      <c r="BZ45" s="23" t="s">
        <v>13</v>
      </c>
      <c r="CA45" s="23" t="s">
        <v>13</v>
      </c>
      <c r="CB45" s="23" t="s">
        <v>12</v>
      </c>
      <c r="CC45" s="23" t="s">
        <v>12</v>
      </c>
      <c r="CD45" s="23"/>
      <c r="CF45" s="1">
        <f>2.45866666666667*(1/1.1341)</f>
        <v>2.167945213532025</v>
      </c>
      <c r="CG45" s="1">
        <f>2.65*(1/1.1341)</f>
        <v>2.3366546159950619</v>
      </c>
      <c r="CH45" s="1">
        <f>9.45*(1/1.1341)</f>
        <v>8.3325985362842765</v>
      </c>
      <c r="CI45" s="1">
        <f>7.90533333333333*(1/1.1341)</f>
        <v>6.970578726155833</v>
      </c>
      <c r="CJ45" s="1">
        <f>15.246*(1/1.1341)</f>
        <v>13.443258971871968</v>
      </c>
      <c r="CK45" s="1">
        <f>14.4666666666667*(1/1.1341)</f>
        <v>12.756076771595714</v>
      </c>
      <c r="CL45" s="1">
        <f>19.6233333333333*(1/1.1341)</f>
        <v>17.30300091114831</v>
      </c>
      <c r="CM45" s="1">
        <f>17.78*(1/1.1341)</f>
        <v>15.677629838638568</v>
      </c>
      <c r="CN45" s="1">
        <f t="shared" ref="CN45:CN60" si="47">0*(1/1.1341)</f>
        <v>0</v>
      </c>
      <c r="CO45" s="1">
        <f t="shared" si="46"/>
        <v>0</v>
      </c>
      <c r="CP45" s="1">
        <f t="shared" si="36"/>
        <v>8.3325985362842765</v>
      </c>
      <c r="CQ45" s="1">
        <f t="shared" si="37"/>
        <v>6.970578726155833</v>
      </c>
      <c r="CR45" s="1">
        <f t="shared" si="38"/>
        <v>2.167945213532025</v>
      </c>
      <c r="CS45" s="1">
        <f t="shared" si="39"/>
        <v>2.3366546159950619</v>
      </c>
      <c r="CT45" s="1">
        <f t="shared" si="40"/>
        <v>0</v>
      </c>
      <c r="CU45" s="1">
        <f t="shared" si="41"/>
        <v>0</v>
      </c>
      <c r="CV45" s="1">
        <f t="shared" si="42"/>
        <v>13.443258971871968</v>
      </c>
      <c r="CW45" s="1">
        <f t="shared" si="43"/>
        <v>12.756076771595714</v>
      </c>
    </row>
    <row r="46" spans="1:101" x14ac:dyDescent="0.35">
      <c r="A46" s="1">
        <v>1</v>
      </c>
      <c r="B46" s="1">
        <v>4</v>
      </c>
      <c r="C46" s="1">
        <v>1</v>
      </c>
      <c r="D46" s="2">
        <v>1</v>
      </c>
      <c r="E46" s="2">
        <v>21</v>
      </c>
      <c r="F46" s="2">
        <v>1.79</v>
      </c>
      <c r="G46" s="2">
        <v>70</v>
      </c>
      <c r="H46" s="3">
        <v>21.847008520333322</v>
      </c>
      <c r="I46" s="1">
        <v>0</v>
      </c>
      <c r="J46" s="4">
        <v>0</v>
      </c>
      <c r="AR46" s="29">
        <f>5.194*((1/1.1341))</f>
        <v>4.5798430473503213</v>
      </c>
      <c r="AS46" s="30">
        <f>16.982*((1/1.1341))</f>
        <v>14.973988184463449</v>
      </c>
      <c r="AT46" s="10" t="s">
        <v>11</v>
      </c>
      <c r="AU46" s="10" t="s">
        <v>13</v>
      </c>
      <c r="AV46" s="10" t="s">
        <v>13</v>
      </c>
      <c r="AW46" s="10" t="s">
        <v>11</v>
      </c>
      <c r="AX46" s="10" t="s">
        <v>12</v>
      </c>
      <c r="AY46" s="10" t="s">
        <v>14</v>
      </c>
      <c r="BA46" s="10"/>
      <c r="BD46" s="1">
        <f>2.016*((1/1.1341))</f>
        <v>1.7776210210739793</v>
      </c>
      <c r="BE46" s="1">
        <f>1.33*((1/1.1341))</f>
        <v>1.1727360902918613</v>
      </c>
      <c r="BF46" s="1">
        <f>3.29466666666667*((1/1.1341))</f>
        <v>2.9050936131440523</v>
      </c>
      <c r="BG46" s="1">
        <f>3.668*((1/1.1341))</f>
        <v>3.2342826911207125</v>
      </c>
      <c r="BH46" s="1">
        <f>4.27*((1/1.1341))</f>
        <v>3.7651000793580804</v>
      </c>
      <c r="BI46" s="1">
        <f>6.38866666666667*((1/1.1341))</f>
        <v>5.6332480968756453</v>
      </c>
      <c r="BJ46" s="1">
        <f>0*((1/1.1341))</f>
        <v>0</v>
      </c>
      <c r="BK46" s="1">
        <f>0*((1/1.1341))</f>
        <v>0</v>
      </c>
      <c r="BN46" s="1">
        <f t="shared" si="27"/>
        <v>1.7776210210739793</v>
      </c>
      <c r="BO46" s="1">
        <f t="shared" si="28"/>
        <v>3.2342826911207125</v>
      </c>
      <c r="BP46" s="1">
        <f t="shared" si="29"/>
        <v>3.7651000793580804</v>
      </c>
      <c r="BQ46" s="1">
        <f t="shared" si="30"/>
        <v>0</v>
      </c>
      <c r="BR46" s="1">
        <f t="shared" si="31"/>
        <v>0</v>
      </c>
      <c r="BS46" s="1">
        <f t="shared" si="32"/>
        <v>5.6332480968756453</v>
      </c>
      <c r="BT46" s="1">
        <f t="shared" si="33"/>
        <v>2.9050936131440523</v>
      </c>
      <c r="BU46" s="17">
        <f t="shared" si="34"/>
        <v>1.1727360902918613</v>
      </c>
      <c r="BV46" s="23" t="s">
        <v>11</v>
      </c>
      <c r="BW46" s="23" t="s">
        <v>13</v>
      </c>
      <c r="BX46" s="23" t="s">
        <v>13</v>
      </c>
      <c r="BY46" s="23" t="s">
        <v>11</v>
      </c>
      <c r="BZ46" s="23" t="s">
        <v>12</v>
      </c>
      <c r="CA46" s="23" t="s">
        <v>14</v>
      </c>
      <c r="CB46" s="23"/>
      <c r="CC46" s="23"/>
      <c r="CF46" s="1">
        <f>2.83733333333333*(1/1.1341)</f>
        <v>2.5018369926226343</v>
      </c>
      <c r="CG46" s="1">
        <f>1.12933333333333*(1/1.1341)</f>
        <v>0.99579696087940206</v>
      </c>
      <c r="CH46" s="1">
        <f>2.142*(1/1.1341)</f>
        <v>1.8887223348911029</v>
      </c>
      <c r="CI46" s="1">
        <f>3.56066666666667*(1/1.1341)</f>
        <v>3.1396408312024247</v>
      </c>
      <c r="CJ46" s="1">
        <f>3.60733333333333*(1/1.1341)</f>
        <v>3.1807894659495015</v>
      </c>
      <c r="CK46" s="1">
        <f>6.006*(1/1.1341)</f>
        <v>5.2958292919495635</v>
      </c>
      <c r="CL46" s="1">
        <f>0*(1/1.1341)</f>
        <v>0</v>
      </c>
      <c r="CM46" s="1">
        <f>0*(1/1.1341)</f>
        <v>0</v>
      </c>
      <c r="CN46" s="1">
        <f t="shared" si="47"/>
        <v>0</v>
      </c>
      <c r="CO46" s="1">
        <f t="shared" si="46"/>
        <v>0</v>
      </c>
      <c r="CP46" s="1">
        <f>IF(BV46="A",CF46,IF(BX46="A",CH46,IF(BZ46="A",CJ46,IF(CB46="A",CL46,IF(CD46="A",CN46,0)))))</f>
        <v>2.5018369926226343</v>
      </c>
      <c r="CQ46" s="1">
        <f>IF(BW46="A",CG46,IF(BY46="A",CI46,IF(CA46="A",CK46,IF(CC46="A",CM46,IF(CE46="A",CO46,0)))))</f>
        <v>3.1396408312024247</v>
      </c>
      <c r="CR46" s="1">
        <f>IF(BV46="B",CF46,IF(BX46="B",CH46,IF(BZ46="B",CJ46,IF(CB46="B",CL46,IF(CD46="B",CN46,0)))))</f>
        <v>3.1807894659495015</v>
      </c>
      <c r="CS46" s="1">
        <f>IF(BW46="B",CG46,IF(BY46="B",CI46,IF(CA46="B",CK46,IF(CC46="B",CM46,IF(CE46="B",CO46,0)))))</f>
        <v>0</v>
      </c>
      <c r="CT46" s="1">
        <f>IF(BV46="C",CF46,IF(BX46="C",CH46,IF(BZ46="C",CJ46,IF(CB46="C",CL46,IF(CD46="C",CN46,0)))))</f>
        <v>0</v>
      </c>
      <c r="CU46" s="1">
        <f>IF(BW46="C",CG46,IF(BY46="C",CI46,IF(CA46="C",CK46,IF(CC46="C",CM46,IF(CE46="C",CO46,0)))))</f>
        <v>5.2958292919495635</v>
      </c>
      <c r="CV46" s="1">
        <f>IF(BV46="D",CF46,IF(BX46="D",CH46,IF(BZ46="D",CJ46,IF(CB46="D",CL46,IF(CD46="D",CN46,0)))))</f>
        <v>1.8887223348911029</v>
      </c>
      <c r="CW46" s="1">
        <f>IF(BW46="D",CG46,IF(BY46="D",CI46,IF(CA46="D",CK46,IF(CC46="D",CM46,IF(CE46="D",CO46,0)))))</f>
        <v>0.99579696087940206</v>
      </c>
    </row>
    <row r="47" spans="1:101" x14ac:dyDescent="0.35">
      <c r="A47" s="1">
        <v>2</v>
      </c>
      <c r="B47" s="1">
        <v>4</v>
      </c>
      <c r="C47" s="1">
        <v>1</v>
      </c>
      <c r="D47" s="2">
        <v>0</v>
      </c>
      <c r="E47" s="2">
        <v>23</v>
      </c>
      <c r="F47" s="2">
        <v>1.8</v>
      </c>
      <c r="G47" s="2">
        <v>65</v>
      </c>
      <c r="H47" s="3">
        <v>20.061728395061728</v>
      </c>
      <c r="I47" s="1">
        <v>0</v>
      </c>
      <c r="J47" s="4">
        <v>0</v>
      </c>
      <c r="AR47" s="15">
        <f>19.992*((1/1.1341))</f>
        <v>17.628075125650295</v>
      </c>
      <c r="AS47" s="17">
        <f>19.992*((1/1.1341))</f>
        <v>17.628075125650295</v>
      </c>
      <c r="AT47" s="10" t="s">
        <v>13</v>
      </c>
      <c r="AU47" s="10" t="s">
        <v>12</v>
      </c>
      <c r="AV47" s="10" t="s">
        <v>12</v>
      </c>
      <c r="AW47" s="10" t="s">
        <v>13</v>
      </c>
      <c r="AX47" s="10" t="s">
        <v>13</v>
      </c>
      <c r="AY47" s="10" t="s">
        <v>11</v>
      </c>
      <c r="BA47" s="10" t="s">
        <v>13</v>
      </c>
      <c r="BD47" s="1">
        <f>4.326*((1/1.1341))</f>
        <v>3.8144784410545802</v>
      </c>
      <c r="BE47" s="1">
        <f>3.04266666666667*((1/1.1341))</f>
        <v>2.6828909855098049</v>
      </c>
      <c r="BF47" s="1">
        <f>7.81666666666667*((1/1.1341))</f>
        <v>6.8923963201363811</v>
      </c>
      <c r="BG47" s="1">
        <f>7.02333333333333*((1/1.1341))</f>
        <v>6.1928695294359661</v>
      </c>
      <c r="BH47" s="1">
        <f>11.4846666666667*((1/1.1341))</f>
        <v>10.126679011257119</v>
      </c>
      <c r="BI47" s="1">
        <f>11.438*((1/1.1341))</f>
        <v>10.085530376510007</v>
      </c>
      <c r="BJ47" s="1">
        <f t="shared" ref="BJ47:BJ60" si="48">0*((1/1.1341))</f>
        <v>0</v>
      </c>
      <c r="BK47" s="1">
        <f>16.9913333333333*((1/1.1341))</f>
        <v>14.982217911412839</v>
      </c>
      <c r="BN47" s="1">
        <f>IF($AT47="A",$BD47,IF($AV47="A",$BF47,IF($AX47="A",$BH47,IF($AZ47="A",$BJ47,IF($BB47="A",$BL47,0)))))</f>
        <v>0</v>
      </c>
      <c r="BO47" s="1">
        <f>IF($AU47="A",$BE47,IF($AW47="A",$BG47,IF($AY47="A",$BI47,IF($BA47="A",$BK47,IF($BC47="A",$BM47,0)))))</f>
        <v>10.085530376510007</v>
      </c>
      <c r="BP47" s="1">
        <f>IF($AT47="B",$BD47,IF($AV47="B",$BF47,IF($AX47="B",$BH47,IF($AZ47="B",$BJ47,IF($BB47="B",$BL47,0)))))</f>
        <v>6.8923963201363811</v>
      </c>
      <c r="BQ47" s="1">
        <f>IF($AU47="B",$BE47,IF($AW47="B",$BG47,IF($AY47="B",$BI47,IF($BA47="B",$BK47,IF($BC47="B",$BM47,0)))))</f>
        <v>2.6828909855098049</v>
      </c>
      <c r="BR47" s="1">
        <f>IF($AT47="C",$BD47,IF($AV47="C",$BF47,IF($AX47="C",$BH47,IF($AZ47="C",$BJ47,IF($BB47="C",$BL47,0)))))</f>
        <v>0</v>
      </c>
      <c r="BS47" s="1">
        <f>IF($AU47="C",$BE47,IF($AW47="C",$BG47,IF($AY47="C",$BI47,IF($BA47="C",$BK47,IF($BC47="C",$BM47,0)))))</f>
        <v>0</v>
      </c>
      <c r="BT47" s="1">
        <f>IF($AT47="D",$BD47,IF($AV47="D",$BF47,IF($AX47="D",$BH47,IF($AZ47="D",$BJ47,IF($BB47="D",$BL47,0)))))</f>
        <v>3.8144784410545802</v>
      </c>
      <c r="BU47" s="17">
        <f>IF($AU47="D",$BE47,IF($AW47="D",$BG47,IF($AY47="D",$BI47,IF($BA47="D",$BK47,IF($BC47="D",$BM47,0)))))</f>
        <v>6.1928695294359661</v>
      </c>
      <c r="BV47" s="23" t="s">
        <v>13</v>
      </c>
      <c r="BW47" s="23" t="s">
        <v>12</v>
      </c>
      <c r="BX47" s="23" t="s">
        <v>12</v>
      </c>
      <c r="BY47" s="23" t="s">
        <v>13</v>
      </c>
      <c r="BZ47" s="23" t="s">
        <v>13</v>
      </c>
      <c r="CA47" s="23" t="s">
        <v>11</v>
      </c>
      <c r="CB47" s="23"/>
      <c r="CC47" s="23" t="s">
        <v>13</v>
      </c>
      <c r="CF47" s="1">
        <f>4.56*(1/1.1341)</f>
        <v>4.0208094524292388</v>
      </c>
      <c r="CG47" s="1">
        <f>6.82266666666667*(1/1.1341)</f>
        <v>6.0159304000235165</v>
      </c>
      <c r="CH47" s="1">
        <f>6.78533333333333*(1/1.1341)</f>
        <v>5.9830114922258444</v>
      </c>
      <c r="CI47" s="1">
        <f>9.47333333333333*(1/1.1341)</f>
        <v>8.3531728536578154</v>
      </c>
      <c r="CJ47" s="1">
        <f>11.2093333333333*(1/1.1341)</f>
        <v>9.8839020662492718</v>
      </c>
      <c r="CK47" s="1">
        <f>12.6606666666667*(1/1.1341)</f>
        <v>11.163624606883607</v>
      </c>
      <c r="CL47" s="1">
        <f t="shared" ref="CL47:CL60" si="49">0*(1/1.1341)</f>
        <v>0</v>
      </c>
      <c r="CM47" s="1">
        <f>15.2693333333333*(1/1.1341)</f>
        <v>13.46383328924548</v>
      </c>
      <c r="CN47" s="1">
        <f t="shared" si="47"/>
        <v>0</v>
      </c>
      <c r="CO47" s="1">
        <f t="shared" si="46"/>
        <v>0</v>
      </c>
      <c r="CP47" s="1">
        <f t="shared" ref="CP47:CP60" si="50">IF(BV47="A",CF47,IF(BX47="A",CH47,IF(BZ47="A",CJ47,IF(CB47="A",CL47,IF(CD47="A",CN47,0)))))</f>
        <v>0</v>
      </c>
      <c r="CQ47" s="1">
        <f t="shared" ref="CQ47:CQ60" si="51">IF(BW47="A",CG47,IF(BY47="A",CI47,IF(CA47="A",CK47,IF(CC47="A",CM47,IF(CE47="A",CO47,0)))))</f>
        <v>11.163624606883607</v>
      </c>
      <c r="CR47" s="1">
        <f t="shared" ref="CR47:CR60" si="52">IF(BV47="B",CF47,IF(BX47="B",CH47,IF(BZ47="B",CJ47,IF(CB47="B",CL47,IF(CD47="B",CN47,0)))))</f>
        <v>5.9830114922258444</v>
      </c>
      <c r="CS47" s="1">
        <f t="shared" ref="CS47:CS60" si="53">IF(BW47="B",CG47,IF(BY47="B",CI47,IF(CA47="B",CK47,IF(CC47="B",CM47,IF(CE47="B",CO47,0)))))</f>
        <v>6.0159304000235165</v>
      </c>
      <c r="CT47" s="1">
        <f t="shared" ref="CT47:CT60" si="54">IF(BV47="C",CF47,IF(BX47="C",CH47,IF(BZ47="C",CJ47,IF(CB47="C",CL47,IF(CD47="C",CN47,0)))))</f>
        <v>0</v>
      </c>
      <c r="CU47" s="1">
        <f t="shared" ref="CU47:CU60" si="55">IF(BW47="C",CG47,IF(BY47="C",CI47,IF(CA47="C",CK47,IF(CC47="C",CM47,IF(CE47="C",CO47,0)))))</f>
        <v>0</v>
      </c>
      <c r="CV47" s="1">
        <f t="shared" ref="CV47:CV60" si="56">IF(BV47="D",CF47,IF(BX47="D",CH47,IF(BZ47="D",CJ47,IF(CB47="D",CL47,IF(CD47="D",CN47,0)))))</f>
        <v>4.0208094524292388</v>
      </c>
      <c r="CW47" s="1">
        <f t="shared" ref="CW47:CW60" si="57">IF(BW47="D",CG47,IF(BY47="D",CI47,IF(CA47="D",CK47,IF(CC47="D",CM47,IF(CE47="D",CO47,0)))))</f>
        <v>8.3531728536578154</v>
      </c>
    </row>
    <row r="48" spans="1:101" x14ac:dyDescent="0.35">
      <c r="A48" s="1">
        <v>3</v>
      </c>
      <c r="B48" s="1">
        <v>4</v>
      </c>
      <c r="C48" s="1">
        <v>1</v>
      </c>
      <c r="D48" s="2">
        <v>0</v>
      </c>
      <c r="E48" s="2">
        <v>22</v>
      </c>
      <c r="F48" s="2">
        <v>1.68</v>
      </c>
      <c r="G48" s="2">
        <v>56</v>
      </c>
      <c r="H48" s="3">
        <v>19.841269841269845</v>
      </c>
      <c r="I48" s="1">
        <v>0</v>
      </c>
      <c r="J48" s="4">
        <v>0</v>
      </c>
      <c r="AR48" s="15">
        <f>9.254*((1/1.1341))</f>
        <v>8.1597742703465297</v>
      </c>
      <c r="AS48" s="17">
        <f>19.992*((1/1.1341))</f>
        <v>17.628075125650295</v>
      </c>
      <c r="AT48" s="10" t="s">
        <v>13</v>
      </c>
      <c r="AU48" s="10" t="s">
        <v>12</v>
      </c>
      <c r="AV48" s="10" t="s">
        <v>12</v>
      </c>
      <c r="AW48" s="10" t="s">
        <v>13</v>
      </c>
      <c r="AX48" s="10"/>
      <c r="AY48" s="10" t="s">
        <v>12</v>
      </c>
      <c r="BA48" s="10" t="s">
        <v>13</v>
      </c>
      <c r="BD48" s="1">
        <f>3.836*((1/1.1341))</f>
        <v>3.3824177762102106</v>
      </c>
      <c r="BE48" s="1">
        <f>4.466*((1/1.1341))</f>
        <v>3.937924345295829</v>
      </c>
      <c r="BF48" s="1">
        <f>2.52466666666667*((1/1.1341))</f>
        <v>2.2261411398171855</v>
      </c>
      <c r="BG48" s="1">
        <f>4.438*((1/1.1341))</f>
        <v>3.9132351644475789</v>
      </c>
      <c r="BH48" s="1">
        <f>0*((1/1.1341))</f>
        <v>0</v>
      </c>
      <c r="BI48" s="1">
        <f>4.53133333333333*((1/1.1341))</f>
        <v>3.995532433941742</v>
      </c>
      <c r="BJ48" s="1">
        <f t="shared" si="48"/>
        <v>0</v>
      </c>
      <c r="BK48" s="1">
        <f>5.17066666666667*((1/1.1341))</f>
        <v>4.5592687299767833</v>
      </c>
      <c r="BN48" s="1">
        <f t="shared" si="27"/>
        <v>0</v>
      </c>
      <c r="BO48" s="1">
        <f t="shared" ref="BO48:BO60" si="58">IF(AU48="A",BE48,IF(AW48="A",BG48,IF(AY48="A",BI48,IF(BA48="A",BK48,IF(BC48="A",BM48,0)))))</f>
        <v>0</v>
      </c>
      <c r="BP48" s="1">
        <f t="shared" si="29"/>
        <v>2.2261411398171855</v>
      </c>
      <c r="BQ48" s="1">
        <f t="shared" si="30"/>
        <v>3.937924345295829</v>
      </c>
      <c r="BR48" s="1">
        <f t="shared" si="31"/>
        <v>0</v>
      </c>
      <c r="BS48" s="1">
        <f t="shared" si="32"/>
        <v>0</v>
      </c>
      <c r="BT48" s="1">
        <f t="shared" si="33"/>
        <v>3.3824177762102106</v>
      </c>
      <c r="BU48" s="17">
        <f t="shared" si="34"/>
        <v>3.9132351644475789</v>
      </c>
      <c r="BV48" s="23" t="s">
        <v>13</v>
      </c>
      <c r="BW48" s="23" t="s">
        <v>12</v>
      </c>
      <c r="BX48" s="23" t="s">
        <v>12</v>
      </c>
      <c r="BY48" s="23" t="s">
        <v>13</v>
      </c>
      <c r="BZ48" s="23"/>
      <c r="CA48" s="23" t="s">
        <v>12</v>
      </c>
      <c r="CB48" s="23"/>
      <c r="CC48" s="23" t="s">
        <v>13</v>
      </c>
      <c r="CF48" s="1">
        <f>3.57*(1/1.1341)</f>
        <v>3.1478705581518382</v>
      </c>
      <c r="CG48" s="1">
        <f>4.438*(1/1.1341)</f>
        <v>3.9132351644475789</v>
      </c>
      <c r="CH48" s="1">
        <f>3.10333333333333*(1/1.1341)</f>
        <v>2.7363842106810066</v>
      </c>
      <c r="CI48" s="1">
        <f>4.30733333333333*(1/1.1341)</f>
        <v>3.7980189871557442</v>
      </c>
      <c r="CJ48" s="1">
        <f>0*(1/1.1341)</f>
        <v>0</v>
      </c>
      <c r="CK48" s="1">
        <f>6.216*(1/1.1341)</f>
        <v>5.4809981483114365</v>
      </c>
      <c r="CL48" s="1">
        <f t="shared" si="49"/>
        <v>0</v>
      </c>
      <c r="CM48" s="1">
        <f>8.204*(1/1.1341)</f>
        <v>7.2339299885371657</v>
      </c>
      <c r="CN48" s="1">
        <f t="shared" si="47"/>
        <v>0</v>
      </c>
      <c r="CO48" s="1">
        <f t="shared" si="46"/>
        <v>0</v>
      </c>
      <c r="CP48" s="1">
        <f t="shared" si="50"/>
        <v>0</v>
      </c>
      <c r="CQ48" s="1">
        <f t="shared" si="51"/>
        <v>0</v>
      </c>
      <c r="CR48" s="1">
        <f t="shared" si="52"/>
        <v>2.7363842106810066</v>
      </c>
      <c r="CS48" s="1">
        <f t="shared" si="53"/>
        <v>3.9132351644475789</v>
      </c>
      <c r="CT48" s="1">
        <f t="shared" si="54"/>
        <v>0</v>
      </c>
      <c r="CU48" s="1">
        <f t="shared" si="55"/>
        <v>0</v>
      </c>
      <c r="CV48" s="1">
        <f t="shared" si="56"/>
        <v>3.1478705581518382</v>
      </c>
      <c r="CW48" s="1">
        <f t="shared" si="57"/>
        <v>3.7980189871557442</v>
      </c>
    </row>
    <row r="49" spans="1:101" x14ac:dyDescent="0.35">
      <c r="A49" s="1">
        <v>4</v>
      </c>
      <c r="B49" s="1">
        <v>4</v>
      </c>
      <c r="C49" s="1">
        <v>1</v>
      </c>
      <c r="D49" s="2">
        <v>1</v>
      </c>
      <c r="E49" s="2">
        <v>21</v>
      </c>
      <c r="F49" s="2">
        <v>1.86</v>
      </c>
      <c r="G49" s="2">
        <v>81</v>
      </c>
      <c r="H49" s="3">
        <v>23.413111342351716</v>
      </c>
      <c r="I49" s="1">
        <v>0</v>
      </c>
      <c r="J49" s="4">
        <v>0</v>
      </c>
      <c r="AR49" s="15">
        <f>19.992*((1/1.1341))</f>
        <v>17.628075125650295</v>
      </c>
      <c r="AS49" s="17">
        <f>19.992*((1/1.1341))</f>
        <v>17.628075125650295</v>
      </c>
      <c r="AT49" s="10" t="s">
        <v>13</v>
      </c>
      <c r="AU49" s="10" t="s">
        <v>13</v>
      </c>
      <c r="AV49" s="10" t="s">
        <v>11</v>
      </c>
      <c r="AW49" s="10" t="s">
        <v>11</v>
      </c>
      <c r="AX49" s="10"/>
      <c r="AY49" s="10"/>
      <c r="BA49" s="10"/>
      <c r="BD49" s="1">
        <f>1.95533333333333*((1/1.1341))</f>
        <v>1.7241277959027685</v>
      </c>
      <c r="BE49" s="1">
        <f>3.395*((1/1.1341))</f>
        <v>2.9935631778502776</v>
      </c>
      <c r="BF49" s="1">
        <f>5.264*((1/1.1341))</f>
        <v>4.6415659994709459</v>
      </c>
      <c r="BG49" s="1">
        <f>5.06333333333333*((1/1.1341))</f>
        <v>4.4646268700584866</v>
      </c>
      <c r="BH49" s="1">
        <f>0*((1/1.1341))</f>
        <v>0</v>
      </c>
      <c r="BI49" s="1">
        <f>0*((1/1.1341))</f>
        <v>0</v>
      </c>
      <c r="BJ49" s="1">
        <f t="shared" si="48"/>
        <v>0</v>
      </c>
      <c r="BK49" s="1">
        <f t="shared" ref="BK49:BK60" si="59">0*((1/1.1341))</f>
        <v>0</v>
      </c>
      <c r="BN49" s="1">
        <f t="shared" ref="BN49:BN60" si="60">IF($AT49="A",$BD49,IF($AV49="A",$BF49,IF($AX49="A",$BH49,IF($AZ49="A",$BJ49,IF($BB49="A",$BL49,0)))))</f>
        <v>4.6415659994709459</v>
      </c>
      <c r="BO49" s="1">
        <f t="shared" si="58"/>
        <v>4.4646268700584866</v>
      </c>
      <c r="BP49" s="1">
        <f t="shared" ref="BP49:BP60" si="61">IF($AT49="B",$BD49,IF($AV49="B",$BF49,IF($AX49="B",$BH49,IF($AZ49="B",$BJ49,IF($BB49="B",$BL49,0)))))</f>
        <v>0</v>
      </c>
      <c r="BQ49" s="1">
        <f t="shared" ref="BQ49:BQ60" si="62">IF($AU49="B",$BE49,IF($AW49="B",$BG49,IF($AY49="B",$BI49,IF($BA49="B",$BK49,IF($BC49="B",$BM49,0)))))</f>
        <v>0</v>
      </c>
      <c r="BR49" s="1">
        <f t="shared" ref="BR49:BR60" si="63">IF($AT49="C",$BD49,IF($AV49="C",$BF49,IF($AX49="C",$BH49,IF($AZ49="C",$BJ49,IF($BB49="C",$BL49,0)))))</f>
        <v>0</v>
      </c>
      <c r="BS49" s="1">
        <f t="shared" ref="BS49:BS60" si="64">IF($AU49="C",$BE49,IF($AW49="C",$BG49,IF($AY49="C",$BI49,IF($BA49="C",$BK49,IF($BC49="C",$BM49,0)))))</f>
        <v>0</v>
      </c>
      <c r="BT49" s="1">
        <f t="shared" si="33"/>
        <v>1.7241277959027685</v>
      </c>
      <c r="BU49" s="17">
        <f t="shared" si="34"/>
        <v>2.9935631778502776</v>
      </c>
      <c r="BV49" s="23" t="s">
        <v>13</v>
      </c>
      <c r="BW49" s="23" t="s">
        <v>13</v>
      </c>
      <c r="BX49" s="23" t="s">
        <v>11</v>
      </c>
      <c r="BY49" s="23" t="s">
        <v>11</v>
      </c>
      <c r="BZ49" s="23"/>
      <c r="CA49" s="23"/>
      <c r="CB49" s="23"/>
      <c r="CC49" s="23"/>
      <c r="CF49" s="1">
        <f>2.71133333333333*(1/1.1341)</f>
        <v>2.3907356788055107</v>
      </c>
      <c r="CG49" s="1">
        <f>1.855*(1/1.1341)</f>
        <v>1.6356582311965433</v>
      </c>
      <c r="CH49" s="1">
        <f>4.858*(1/1.1341)</f>
        <v>4.2835728771713244</v>
      </c>
      <c r="CI49" s="1">
        <f>4.34933333333333*(1/1.1341)</f>
        <v>3.8350527584281191</v>
      </c>
      <c r="CJ49" s="1">
        <f>0*(1/1.1341)</f>
        <v>0</v>
      </c>
      <c r="CK49" s="1">
        <f>0*(1/1.1341)</f>
        <v>0</v>
      </c>
      <c r="CL49" s="1">
        <f t="shared" si="49"/>
        <v>0</v>
      </c>
      <c r="CM49" s="1">
        <f t="shared" ref="CM49:CM60" si="65">0*(1/1.1341)</f>
        <v>0</v>
      </c>
      <c r="CN49" s="1">
        <f t="shared" si="47"/>
        <v>0</v>
      </c>
      <c r="CO49" s="1">
        <f t="shared" si="46"/>
        <v>0</v>
      </c>
      <c r="CP49" s="1">
        <f t="shared" si="50"/>
        <v>4.2835728771713244</v>
      </c>
      <c r="CQ49" s="1">
        <f t="shared" si="51"/>
        <v>3.8350527584281191</v>
      </c>
      <c r="CR49" s="1">
        <f t="shared" si="52"/>
        <v>0</v>
      </c>
      <c r="CS49" s="1">
        <f t="shared" si="53"/>
        <v>0</v>
      </c>
      <c r="CT49" s="1">
        <f t="shared" si="54"/>
        <v>0</v>
      </c>
      <c r="CU49" s="1">
        <f t="shared" si="55"/>
        <v>0</v>
      </c>
      <c r="CV49" s="1">
        <f t="shared" si="56"/>
        <v>2.3907356788055107</v>
      </c>
      <c r="CW49" s="1">
        <f t="shared" si="57"/>
        <v>1.6356582311965433</v>
      </c>
    </row>
    <row r="50" spans="1:101" x14ac:dyDescent="0.35">
      <c r="A50" s="1">
        <v>6</v>
      </c>
      <c r="B50" s="1">
        <v>4</v>
      </c>
      <c r="C50" s="1">
        <v>1</v>
      </c>
      <c r="D50" s="2">
        <v>0</v>
      </c>
      <c r="E50" s="2">
        <v>20</v>
      </c>
      <c r="F50" s="2">
        <v>1.67</v>
      </c>
      <c r="G50" s="2">
        <v>65</v>
      </c>
      <c r="H50" s="3">
        <v>23.306680053067517</v>
      </c>
      <c r="I50" s="1">
        <v>0</v>
      </c>
      <c r="J50" s="4">
        <v>0</v>
      </c>
      <c r="AR50" s="15">
        <f>5.32*((1/1.1341))</f>
        <v>4.6909443611674453</v>
      </c>
      <c r="AS50" s="17">
        <f>9.366*((1/1.1341))</f>
        <v>8.2585309937395284</v>
      </c>
      <c r="AT50" s="10" t="s">
        <v>13</v>
      </c>
      <c r="AU50" s="10" t="s">
        <v>13</v>
      </c>
      <c r="AV50" s="10" t="s">
        <v>11</v>
      </c>
      <c r="AW50" s="10" t="s">
        <v>12</v>
      </c>
      <c r="AX50" s="10"/>
      <c r="AY50" s="10" t="s">
        <v>13</v>
      </c>
      <c r="BA50" s="10"/>
      <c r="BD50" s="1">
        <f>1.148*((1/1.1341))</f>
        <v>1.012256414778238</v>
      </c>
      <c r="BE50" s="1">
        <f>1.70333333333333*((1/1.1341))</f>
        <v>1.5019251682685213</v>
      </c>
      <c r="BF50" s="1">
        <f>2.898*((1/1.1341))</f>
        <v>2.5553302177938453</v>
      </c>
      <c r="BG50" s="1">
        <f>4.38666666666667*((1/1.1341))</f>
        <v>3.8679716662257912</v>
      </c>
      <c r="BH50" s="1">
        <f>0*((1/1.1341))</f>
        <v>0</v>
      </c>
      <c r="BI50" s="1">
        <f>6.902*((1/1.1341))</f>
        <v>6.0858830790935539</v>
      </c>
      <c r="BJ50" s="1">
        <f t="shared" si="48"/>
        <v>0</v>
      </c>
      <c r="BK50" s="1">
        <f t="shared" si="59"/>
        <v>0</v>
      </c>
      <c r="BN50" s="1">
        <f t="shared" si="60"/>
        <v>2.5553302177938453</v>
      </c>
      <c r="BO50" s="1">
        <f t="shared" si="58"/>
        <v>0</v>
      </c>
      <c r="BP50" s="1">
        <f t="shared" si="61"/>
        <v>0</v>
      </c>
      <c r="BQ50" s="1">
        <f t="shared" si="62"/>
        <v>3.8679716662257912</v>
      </c>
      <c r="BR50" s="1">
        <f t="shared" si="63"/>
        <v>0</v>
      </c>
      <c r="BS50" s="1">
        <f t="shared" si="64"/>
        <v>0</v>
      </c>
      <c r="BT50" s="1">
        <f t="shared" si="33"/>
        <v>1.012256414778238</v>
      </c>
      <c r="BU50" s="17">
        <f t="shared" si="34"/>
        <v>1.5019251682685213</v>
      </c>
      <c r="BV50" s="23" t="s">
        <v>13</v>
      </c>
      <c r="BW50" s="23" t="s">
        <v>13</v>
      </c>
      <c r="BX50" s="23" t="s">
        <v>11</v>
      </c>
      <c r="BY50" s="23" t="s">
        <v>12</v>
      </c>
      <c r="BZ50" s="23"/>
      <c r="CA50" s="23" t="s">
        <v>13</v>
      </c>
      <c r="CB50" s="23"/>
      <c r="CC50" s="23"/>
      <c r="CF50" s="1">
        <f>2.828*(1/1.1341)</f>
        <v>2.4936072656732207</v>
      </c>
      <c r="CG50" s="1">
        <f>2.184*(1/1.1341)</f>
        <v>1.9257561061634776</v>
      </c>
      <c r="CH50" s="1">
        <f>3.00533333333333*(1/1.1341)</f>
        <v>2.6499720777121327</v>
      </c>
      <c r="CI50" s="1">
        <f>4.55*(1/1.1341)</f>
        <v>4.011991887840578</v>
      </c>
      <c r="CJ50" s="1">
        <f>0*(1/1.1341)</f>
        <v>0</v>
      </c>
      <c r="CK50" s="1">
        <f>6.22066666666667*(1/1.1341)</f>
        <v>5.4851130117861473</v>
      </c>
      <c r="CL50" s="1">
        <f t="shared" si="49"/>
        <v>0</v>
      </c>
      <c r="CM50" s="1">
        <f t="shared" si="65"/>
        <v>0</v>
      </c>
      <c r="CN50" s="1">
        <f t="shared" si="47"/>
        <v>0</v>
      </c>
      <c r="CO50" s="1">
        <f t="shared" si="46"/>
        <v>0</v>
      </c>
      <c r="CP50" s="1">
        <f t="shared" si="50"/>
        <v>2.6499720777121327</v>
      </c>
      <c r="CQ50" s="1">
        <f t="shared" si="51"/>
        <v>0</v>
      </c>
      <c r="CR50" s="1">
        <f t="shared" si="52"/>
        <v>0</v>
      </c>
      <c r="CS50" s="1">
        <f t="shared" si="53"/>
        <v>4.011991887840578</v>
      </c>
      <c r="CT50" s="1">
        <f t="shared" si="54"/>
        <v>0</v>
      </c>
      <c r="CU50" s="1">
        <f t="shared" si="55"/>
        <v>0</v>
      </c>
      <c r="CV50" s="1">
        <f t="shared" si="56"/>
        <v>2.4936072656732207</v>
      </c>
      <c r="CW50" s="1">
        <f t="shared" si="57"/>
        <v>1.9257561061634776</v>
      </c>
    </row>
    <row r="51" spans="1:101" x14ac:dyDescent="0.35">
      <c r="A51" s="1">
        <v>7</v>
      </c>
      <c r="B51" s="1">
        <v>4</v>
      </c>
      <c r="C51" s="1">
        <v>1</v>
      </c>
      <c r="D51" s="2">
        <v>0</v>
      </c>
      <c r="E51" s="2">
        <v>21</v>
      </c>
      <c r="F51" s="2">
        <v>1.65</v>
      </c>
      <c r="G51" s="2">
        <v>63</v>
      </c>
      <c r="H51" s="3">
        <v>23.140495867768596</v>
      </c>
      <c r="I51" s="1">
        <v>0</v>
      </c>
      <c r="J51" s="4">
        <v>0</v>
      </c>
      <c r="AR51" s="15">
        <f>5.922*((1/1.1341))</f>
        <v>5.2217617494048136</v>
      </c>
      <c r="AS51" s="17">
        <f>5.334*((1/1.1341))</f>
        <v>4.7032889515915697</v>
      </c>
      <c r="AT51" s="10" t="s">
        <v>12</v>
      </c>
      <c r="AU51" s="10" t="s">
        <v>12</v>
      </c>
      <c r="AV51" s="10" t="s">
        <v>13</v>
      </c>
      <c r="AW51" s="10" t="s">
        <v>13</v>
      </c>
      <c r="AX51" s="10"/>
      <c r="AY51" s="10"/>
      <c r="BA51" s="10"/>
      <c r="BD51" s="1">
        <f>3.1946*((1/1.1341))</f>
        <v>2.8168591834935186</v>
      </c>
      <c r="BE51" s="1">
        <f>4.04133333333333*((1/1.1341))</f>
        <v>3.5634717690973718</v>
      </c>
      <c r="BF51" s="1">
        <f>4.242*((1/1.1341))</f>
        <v>3.7404108985098312</v>
      </c>
      <c r="BG51" s="1">
        <f>4.816*((1/1.1341))</f>
        <v>4.2465391058989503</v>
      </c>
      <c r="BH51" s="1">
        <f>0*((1/1.1341))</f>
        <v>0</v>
      </c>
      <c r="BI51" s="1">
        <f>0*((1/1.1341))</f>
        <v>0</v>
      </c>
      <c r="BJ51" s="1">
        <f t="shared" si="48"/>
        <v>0</v>
      </c>
      <c r="BK51" s="1">
        <f t="shared" si="59"/>
        <v>0</v>
      </c>
      <c r="BN51" s="1">
        <f t="shared" si="60"/>
        <v>0</v>
      </c>
      <c r="BO51" s="1">
        <f t="shared" si="58"/>
        <v>0</v>
      </c>
      <c r="BP51" s="1">
        <f t="shared" si="61"/>
        <v>2.8168591834935186</v>
      </c>
      <c r="BQ51" s="1">
        <f t="shared" si="62"/>
        <v>3.5634717690973718</v>
      </c>
      <c r="BR51" s="1">
        <f t="shared" si="63"/>
        <v>0</v>
      </c>
      <c r="BS51" s="1">
        <f t="shared" si="64"/>
        <v>0</v>
      </c>
      <c r="BT51" s="1">
        <f t="shared" si="33"/>
        <v>3.7404108985098312</v>
      </c>
      <c r="BU51" s="17">
        <f t="shared" si="34"/>
        <v>4.2465391058989503</v>
      </c>
      <c r="BV51" s="23" t="s">
        <v>12</v>
      </c>
      <c r="BW51" s="23" t="s">
        <v>12</v>
      </c>
      <c r="BX51" s="23" t="s">
        <v>13</v>
      </c>
      <c r="BY51" s="23" t="s">
        <v>13</v>
      </c>
      <c r="BZ51" s="23"/>
      <c r="CA51" s="23"/>
      <c r="CB51" s="23"/>
      <c r="CC51" s="23"/>
      <c r="CF51" s="1">
        <f>3.724*(1/1.1341)</f>
        <v>3.2836610528172119</v>
      </c>
      <c r="CG51" s="1">
        <f>4.62466666666667*(1/1.1341)</f>
        <v>4.0778297034359134</v>
      </c>
      <c r="CH51" s="1">
        <f>4.634*(1/1.1341)</f>
        <v>4.0860594303853279</v>
      </c>
      <c r="CI51" s="1">
        <f>5.51866666666667*(1/1.1341)</f>
        <v>4.866119977662172</v>
      </c>
      <c r="CJ51" s="1">
        <f>0*(1/1.1341)</f>
        <v>0</v>
      </c>
      <c r="CK51" s="1">
        <f>0*(1/1.1341)</f>
        <v>0</v>
      </c>
      <c r="CL51" s="1">
        <f t="shared" si="49"/>
        <v>0</v>
      </c>
      <c r="CM51" s="1">
        <f t="shared" si="65"/>
        <v>0</v>
      </c>
      <c r="CN51" s="1">
        <f t="shared" si="47"/>
        <v>0</v>
      </c>
      <c r="CO51" s="1">
        <f t="shared" si="46"/>
        <v>0</v>
      </c>
      <c r="CP51" s="1">
        <f t="shared" si="50"/>
        <v>0</v>
      </c>
      <c r="CQ51" s="1">
        <f t="shared" si="51"/>
        <v>0</v>
      </c>
      <c r="CR51" s="1">
        <f t="shared" si="52"/>
        <v>3.2836610528172119</v>
      </c>
      <c r="CS51" s="1">
        <f t="shared" si="53"/>
        <v>4.0778297034359134</v>
      </c>
      <c r="CT51" s="1">
        <f t="shared" si="54"/>
        <v>0</v>
      </c>
      <c r="CU51" s="1">
        <f t="shared" si="55"/>
        <v>0</v>
      </c>
      <c r="CV51" s="1">
        <f t="shared" si="56"/>
        <v>4.0860594303853279</v>
      </c>
      <c r="CW51" s="1">
        <f t="shared" si="57"/>
        <v>4.866119977662172</v>
      </c>
    </row>
    <row r="52" spans="1:101" x14ac:dyDescent="0.35">
      <c r="A52" s="1">
        <v>8</v>
      </c>
      <c r="B52" s="1">
        <v>4</v>
      </c>
      <c r="C52" s="1">
        <v>1</v>
      </c>
      <c r="D52" s="2">
        <v>1</v>
      </c>
      <c r="E52" s="2">
        <v>24</v>
      </c>
      <c r="F52" s="2">
        <v>1.74</v>
      </c>
      <c r="G52" s="2">
        <v>60</v>
      </c>
      <c r="H52" s="3">
        <v>19.817677368212443</v>
      </c>
      <c r="I52" s="1">
        <v>0</v>
      </c>
      <c r="J52" s="4">
        <v>0</v>
      </c>
      <c r="AR52" s="15">
        <f t="shared" ref="AR52:AS54" si="66">19.992*((1/1.1341))</f>
        <v>17.628075125650295</v>
      </c>
      <c r="AS52" s="17">
        <f t="shared" si="66"/>
        <v>17.628075125650295</v>
      </c>
      <c r="AT52" s="10" t="s">
        <v>12</v>
      </c>
      <c r="AU52" s="10" t="s">
        <v>12</v>
      </c>
      <c r="AV52" s="10" t="s">
        <v>11</v>
      </c>
      <c r="AW52" s="10" t="s">
        <v>11</v>
      </c>
      <c r="AX52" s="10" t="s">
        <v>14</v>
      </c>
      <c r="AY52" s="10"/>
      <c r="BA52" s="10"/>
      <c r="BD52" s="1">
        <f>6.42133333333333*((1/1.1341))</f>
        <v>5.6620521411985969</v>
      </c>
      <c r="BE52" s="1">
        <f>4.96066666666667*((1/1.1341))</f>
        <v>4.3740998736149104</v>
      </c>
      <c r="BF52" s="1">
        <f>12.4086666666667*((1/1.1341))</f>
        <v>10.941421979249361</v>
      </c>
      <c r="BG52" s="1">
        <f>16.1093333333333*((1/1.1341))</f>
        <v>14.204508714692972</v>
      </c>
      <c r="BH52" s="1">
        <f>19.9173333333333*((1/1.1341))</f>
        <v>17.562237310054932</v>
      </c>
      <c r="BI52" s="1">
        <f>0*((1/1.1341))</f>
        <v>0</v>
      </c>
      <c r="BJ52" s="1">
        <f t="shared" si="48"/>
        <v>0</v>
      </c>
      <c r="BK52" s="1">
        <f t="shared" si="59"/>
        <v>0</v>
      </c>
      <c r="BN52" s="1">
        <f t="shared" si="60"/>
        <v>10.941421979249361</v>
      </c>
      <c r="BO52" s="1">
        <f t="shared" si="58"/>
        <v>14.204508714692972</v>
      </c>
      <c r="BP52" s="1">
        <f t="shared" si="61"/>
        <v>5.6620521411985969</v>
      </c>
      <c r="BQ52" s="1">
        <f t="shared" si="62"/>
        <v>4.3740998736149104</v>
      </c>
      <c r="BR52" s="1">
        <f t="shared" si="63"/>
        <v>17.562237310054932</v>
      </c>
      <c r="BS52" s="1">
        <f t="shared" si="64"/>
        <v>0</v>
      </c>
      <c r="BT52" s="1">
        <f t="shared" si="33"/>
        <v>0</v>
      </c>
      <c r="BU52" s="17">
        <f t="shared" si="34"/>
        <v>0</v>
      </c>
      <c r="BV52" s="23" t="s">
        <v>12</v>
      </c>
      <c r="BW52" s="23" t="s">
        <v>12</v>
      </c>
      <c r="BX52" s="23" t="s">
        <v>11</v>
      </c>
      <c r="BY52" s="23" t="s">
        <v>11</v>
      </c>
      <c r="BZ52" s="23" t="s">
        <v>14</v>
      </c>
      <c r="CA52" s="23"/>
      <c r="CB52" s="23"/>
      <c r="CC52" s="23"/>
      <c r="CF52" s="1">
        <f>7.87733333333333*(1/1.1341)</f>
        <v>6.9458895453075824</v>
      </c>
      <c r="CG52" s="1">
        <f>4.65266666666667*(1/1.1341)</f>
        <v>4.102518884284164</v>
      </c>
      <c r="CH52" s="1">
        <f>19.5113333333333*(1/1.1341)</f>
        <v>17.204244187755311</v>
      </c>
      <c r="CI52" s="1">
        <f>18.4373333333333*(1/1.1341)</f>
        <v>16.257237750933161</v>
      </c>
      <c r="CJ52" s="1">
        <f>19.992*(1/1.1341)</f>
        <v>17.628075125650295</v>
      </c>
      <c r="CK52" s="1">
        <f>0*(1/1.1341)</f>
        <v>0</v>
      </c>
      <c r="CL52" s="1">
        <f t="shared" si="49"/>
        <v>0</v>
      </c>
      <c r="CM52" s="1">
        <f t="shared" si="65"/>
        <v>0</v>
      </c>
      <c r="CN52" s="1">
        <f t="shared" si="47"/>
        <v>0</v>
      </c>
      <c r="CO52" s="1">
        <f t="shared" si="46"/>
        <v>0</v>
      </c>
      <c r="CP52" s="1">
        <f t="shared" si="50"/>
        <v>17.204244187755311</v>
      </c>
      <c r="CQ52" s="1">
        <f t="shared" si="51"/>
        <v>16.257237750933161</v>
      </c>
      <c r="CR52" s="1">
        <f t="shared" si="52"/>
        <v>6.9458895453075824</v>
      </c>
      <c r="CS52" s="1">
        <f t="shared" si="53"/>
        <v>4.102518884284164</v>
      </c>
      <c r="CT52" s="1">
        <f t="shared" si="54"/>
        <v>17.628075125650295</v>
      </c>
      <c r="CU52" s="1">
        <f t="shared" si="55"/>
        <v>0</v>
      </c>
      <c r="CV52" s="1">
        <f t="shared" si="56"/>
        <v>0</v>
      </c>
      <c r="CW52" s="1">
        <f t="shared" si="57"/>
        <v>0</v>
      </c>
    </row>
    <row r="53" spans="1:101" x14ac:dyDescent="0.35">
      <c r="A53" s="1">
        <v>9</v>
      </c>
      <c r="B53" s="1">
        <v>4</v>
      </c>
      <c r="C53" s="1">
        <v>1</v>
      </c>
      <c r="D53" s="2">
        <v>0</v>
      </c>
      <c r="E53" s="2">
        <v>22</v>
      </c>
      <c r="F53" s="2">
        <v>1.7</v>
      </c>
      <c r="G53" s="2">
        <v>78</v>
      </c>
      <c r="H53" s="3">
        <v>26.989619377162633</v>
      </c>
      <c r="I53" s="1">
        <v>0</v>
      </c>
      <c r="J53" s="4">
        <v>0</v>
      </c>
      <c r="AR53" s="15">
        <f t="shared" si="66"/>
        <v>17.628075125650295</v>
      </c>
      <c r="AS53" s="17">
        <f t="shared" si="66"/>
        <v>17.628075125650295</v>
      </c>
      <c r="AT53" s="10" t="s">
        <v>13</v>
      </c>
      <c r="AU53" s="10" t="s">
        <v>13</v>
      </c>
      <c r="AV53" s="10" t="s">
        <v>11</v>
      </c>
      <c r="AW53" s="10" t="s">
        <v>11</v>
      </c>
      <c r="AX53" s="10" t="s">
        <v>12</v>
      </c>
      <c r="AY53" s="10" t="s">
        <v>12</v>
      </c>
      <c r="BA53" s="10"/>
      <c r="BD53" s="1">
        <f>0.919333333333333*((1/1.1341))</f>
        <v>0.81062810451753187</v>
      </c>
      <c r="BE53" s="1">
        <f>1.666*((1/1.1341))</f>
        <v>1.4690062604708578</v>
      </c>
      <c r="BF53" s="1">
        <f>2.93533333333333*((1/1.1341))</f>
        <v>2.5882491255915081</v>
      </c>
      <c r="BG53" s="1">
        <f>6.244*((1/1.1341))</f>
        <v>5.5056873291596853</v>
      </c>
      <c r="BH53" s="1">
        <f>7.88666666666667*((1/1.1341))</f>
        <v>6.9541192722570049</v>
      </c>
      <c r="BI53" s="1">
        <f>8.99733333333333*((1/1.1341))</f>
        <v>7.933456779237571</v>
      </c>
      <c r="BJ53" s="1">
        <f t="shared" si="48"/>
        <v>0</v>
      </c>
      <c r="BK53" s="1">
        <f t="shared" si="59"/>
        <v>0</v>
      </c>
      <c r="BN53" s="1">
        <f t="shared" si="60"/>
        <v>2.5882491255915081</v>
      </c>
      <c r="BO53" s="1">
        <f t="shared" si="58"/>
        <v>5.5056873291596853</v>
      </c>
      <c r="BP53" s="1">
        <f t="shared" si="61"/>
        <v>6.9541192722570049</v>
      </c>
      <c r="BQ53" s="1">
        <f t="shared" si="62"/>
        <v>7.933456779237571</v>
      </c>
      <c r="BR53" s="1">
        <f t="shared" si="63"/>
        <v>0</v>
      </c>
      <c r="BS53" s="1">
        <f t="shared" si="64"/>
        <v>0</v>
      </c>
      <c r="BT53" s="1">
        <f t="shared" si="33"/>
        <v>0.81062810451753187</v>
      </c>
      <c r="BU53" s="17">
        <f t="shared" si="34"/>
        <v>1.4690062604708578</v>
      </c>
      <c r="BV53" s="23" t="s">
        <v>13</v>
      </c>
      <c r="BW53" s="23" t="s">
        <v>13</v>
      </c>
      <c r="BX53" s="23" t="s">
        <v>11</v>
      </c>
      <c r="BY53" s="23" t="s">
        <v>11</v>
      </c>
      <c r="BZ53" s="23" t="s">
        <v>12</v>
      </c>
      <c r="CA53" s="23" t="s">
        <v>12</v>
      </c>
      <c r="CB53" s="23"/>
      <c r="CC53" s="23"/>
      <c r="CF53" s="1">
        <f>1.05933333333333*(1/1.1341)</f>
        <v>0.93407400875877777</v>
      </c>
      <c r="CH53" s="1">
        <f>3.16866666666667*(1/1.1341)</f>
        <v>2.7939922993269284</v>
      </c>
      <c r="CI53" s="1">
        <f>6.39333333333333*(1/1.1341)</f>
        <v>5.6373629603503481</v>
      </c>
      <c r="CJ53" s="1">
        <f>6.72*(1/1.1341)</f>
        <v>5.9254034035799306</v>
      </c>
      <c r="CK53" s="1">
        <f>9.28666666666667*(1/1.1341)</f>
        <v>8.1885783146694919</v>
      </c>
      <c r="CL53" s="1">
        <f t="shared" si="49"/>
        <v>0</v>
      </c>
      <c r="CM53" s="1">
        <f t="shared" si="65"/>
        <v>0</v>
      </c>
      <c r="CN53" s="1">
        <f t="shared" si="47"/>
        <v>0</v>
      </c>
      <c r="CO53" s="1">
        <f t="shared" si="46"/>
        <v>0</v>
      </c>
      <c r="CP53" s="1">
        <f t="shared" si="50"/>
        <v>2.7939922993269284</v>
      </c>
      <c r="CQ53" s="1">
        <f t="shared" si="51"/>
        <v>5.6373629603503481</v>
      </c>
      <c r="CR53" s="1">
        <f t="shared" si="52"/>
        <v>5.9254034035799306</v>
      </c>
      <c r="CS53" s="1">
        <f t="shared" si="53"/>
        <v>8.1885783146694919</v>
      </c>
      <c r="CT53" s="1">
        <f t="shared" si="54"/>
        <v>0</v>
      </c>
      <c r="CU53" s="1">
        <f t="shared" si="55"/>
        <v>0</v>
      </c>
      <c r="CV53" s="1">
        <f t="shared" si="56"/>
        <v>0.93407400875877777</v>
      </c>
      <c r="CW53" s="1">
        <f t="shared" si="57"/>
        <v>0</v>
      </c>
    </row>
    <row r="54" spans="1:101" x14ac:dyDescent="0.35">
      <c r="A54" s="1">
        <v>10</v>
      </c>
      <c r="B54" s="1">
        <v>4</v>
      </c>
      <c r="C54" s="1">
        <v>1</v>
      </c>
      <c r="D54" s="2">
        <v>1</v>
      </c>
      <c r="E54" s="2">
        <v>24</v>
      </c>
      <c r="F54" s="2">
        <v>1.75</v>
      </c>
      <c r="G54" s="2">
        <v>77</v>
      </c>
      <c r="H54" s="3">
        <v>25.142857142857142</v>
      </c>
      <c r="I54" s="1">
        <v>0</v>
      </c>
      <c r="J54" s="4">
        <v>0</v>
      </c>
      <c r="AR54" s="15">
        <f t="shared" si="66"/>
        <v>17.628075125650295</v>
      </c>
      <c r="AS54" s="17">
        <f t="shared" si="66"/>
        <v>17.628075125650295</v>
      </c>
      <c r="AT54" s="10" t="s">
        <v>11</v>
      </c>
      <c r="AU54" s="10" t="s">
        <v>11</v>
      </c>
      <c r="AV54" s="10"/>
      <c r="AW54" s="10"/>
      <c r="AX54" s="10"/>
      <c r="AY54" s="10"/>
      <c r="BA54" s="10"/>
      <c r="BD54" s="1">
        <f>7.52266666666667*((1/1.1341))</f>
        <v>6.6331599212297592</v>
      </c>
      <c r="BE54" s="1">
        <f>7.994*((1/1.1341))</f>
        <v>7.0487611321752928</v>
      </c>
      <c r="BF54" s="1">
        <f>0*((1/1.1341))</f>
        <v>0</v>
      </c>
      <c r="BG54" s="1">
        <f>0*((1/1.1341))</f>
        <v>0</v>
      </c>
      <c r="BH54" s="1">
        <f>0*((1/1.1341))</f>
        <v>0</v>
      </c>
      <c r="BI54" s="1">
        <f>0*((1/1.1341))</f>
        <v>0</v>
      </c>
      <c r="BJ54" s="1">
        <f t="shared" si="48"/>
        <v>0</v>
      </c>
      <c r="BK54" s="1">
        <f t="shared" si="59"/>
        <v>0</v>
      </c>
      <c r="BN54" s="1">
        <f t="shared" si="60"/>
        <v>6.6331599212297592</v>
      </c>
      <c r="BO54" s="1">
        <f t="shared" si="58"/>
        <v>7.0487611321752928</v>
      </c>
      <c r="BP54" s="1">
        <f t="shared" si="61"/>
        <v>0</v>
      </c>
      <c r="BQ54" s="1">
        <f t="shared" si="62"/>
        <v>0</v>
      </c>
      <c r="BR54" s="1">
        <f t="shared" si="63"/>
        <v>0</v>
      </c>
      <c r="BS54" s="1">
        <f t="shared" si="64"/>
        <v>0</v>
      </c>
      <c r="BT54" s="1">
        <f t="shared" si="33"/>
        <v>0</v>
      </c>
      <c r="BU54" s="17">
        <f t="shared" si="34"/>
        <v>0</v>
      </c>
      <c r="BV54" s="23" t="s">
        <v>11</v>
      </c>
      <c r="BW54" s="23" t="s">
        <v>11</v>
      </c>
      <c r="BX54" s="23"/>
      <c r="BY54" s="23"/>
      <c r="BZ54" s="23"/>
      <c r="CA54" s="23"/>
      <c r="CB54" s="23"/>
      <c r="CC54" s="23"/>
      <c r="CF54" s="1">
        <f>5.41333333333333*(1/1.1341)</f>
        <v>4.7732416306616088</v>
      </c>
      <c r="CG54" s="1">
        <f>7.01866666666667*(1/1.1341)</f>
        <v>6.1887546659612642</v>
      </c>
      <c r="CH54" s="1">
        <f>0*(1/1.1341)</f>
        <v>0</v>
      </c>
      <c r="CI54" s="1">
        <f>0*(1/1.1341)</f>
        <v>0</v>
      </c>
      <c r="CJ54" s="1">
        <f>0*(1/1.1341)</f>
        <v>0</v>
      </c>
      <c r="CK54" s="1">
        <f>0*(1/1.1341)</f>
        <v>0</v>
      </c>
      <c r="CL54" s="1">
        <f t="shared" si="49"/>
        <v>0</v>
      </c>
      <c r="CM54" s="1">
        <f t="shared" si="65"/>
        <v>0</v>
      </c>
      <c r="CN54" s="1">
        <f t="shared" si="47"/>
        <v>0</v>
      </c>
      <c r="CO54" s="1">
        <f t="shared" si="46"/>
        <v>0</v>
      </c>
      <c r="CP54" s="1">
        <f t="shared" si="50"/>
        <v>4.7732416306616088</v>
      </c>
      <c r="CQ54" s="1">
        <f t="shared" si="51"/>
        <v>6.1887546659612642</v>
      </c>
      <c r="CR54" s="1">
        <f t="shared" si="52"/>
        <v>0</v>
      </c>
      <c r="CS54" s="1">
        <f t="shared" si="53"/>
        <v>0</v>
      </c>
      <c r="CT54" s="1">
        <f t="shared" si="54"/>
        <v>0</v>
      </c>
      <c r="CU54" s="1">
        <f t="shared" si="55"/>
        <v>0</v>
      </c>
      <c r="CV54" s="1">
        <f t="shared" si="56"/>
        <v>0</v>
      </c>
      <c r="CW54" s="1">
        <f t="shared" si="57"/>
        <v>0</v>
      </c>
    </row>
    <row r="55" spans="1:101" x14ac:dyDescent="0.35">
      <c r="A55" s="1">
        <v>11</v>
      </c>
      <c r="B55" s="1">
        <v>4</v>
      </c>
      <c r="C55" s="1">
        <v>1</v>
      </c>
      <c r="D55" s="2">
        <v>0</v>
      </c>
      <c r="E55" s="2">
        <v>19</v>
      </c>
      <c r="F55" s="2">
        <v>1.67</v>
      </c>
      <c r="G55" s="2">
        <v>61</v>
      </c>
      <c r="H55" s="3">
        <v>21.872422819032593</v>
      </c>
      <c r="I55" s="1">
        <v>0</v>
      </c>
      <c r="J55" s="4">
        <v>0</v>
      </c>
      <c r="AR55" s="15">
        <f>19.992*((1/1.1341))</f>
        <v>17.628075125650295</v>
      </c>
      <c r="AS55" s="17">
        <f>16.996*((1/1.1341))</f>
        <v>14.986332774887574</v>
      </c>
      <c r="AT55" s="10" t="s">
        <v>13</v>
      </c>
      <c r="AU55" s="10" t="s">
        <v>13</v>
      </c>
      <c r="AV55" s="10" t="s">
        <v>11</v>
      </c>
      <c r="AW55" s="10" t="s">
        <v>11</v>
      </c>
      <c r="AX55" s="10" t="s">
        <v>13</v>
      </c>
      <c r="AY55" s="10" t="s">
        <v>13</v>
      </c>
      <c r="BA55" s="10"/>
      <c r="BD55" s="1">
        <f>2.76733333333333*((1/1.1341))</f>
        <v>2.4401140405020105</v>
      </c>
      <c r="BE55" s="1">
        <f>1.12933333333333*((1/1.1341))</f>
        <v>0.99579696087940206</v>
      </c>
      <c r="BF55" s="1">
        <f>2.95866666666667*((1/1.1341))</f>
        <v>2.6088234429650559</v>
      </c>
      <c r="BG55" s="1">
        <f>2.1*((1/1.1341))</f>
        <v>1.8516885636187284</v>
      </c>
      <c r="BH55" s="1">
        <f>6.29066666666667*((1/1.1341))</f>
        <v>5.5468359639067719</v>
      </c>
      <c r="BI55" s="1">
        <f>7.86333333333333*((1/1.1341))</f>
        <v>6.9335449548834571</v>
      </c>
      <c r="BJ55" s="1">
        <f t="shared" si="48"/>
        <v>0</v>
      </c>
      <c r="BK55" s="1">
        <f t="shared" si="59"/>
        <v>0</v>
      </c>
      <c r="BN55" s="1">
        <f t="shared" si="60"/>
        <v>2.6088234429650559</v>
      </c>
      <c r="BO55" s="1">
        <f t="shared" si="58"/>
        <v>1.8516885636187284</v>
      </c>
      <c r="BP55" s="1">
        <f t="shared" si="61"/>
        <v>0</v>
      </c>
      <c r="BQ55" s="1">
        <f t="shared" si="62"/>
        <v>0</v>
      </c>
      <c r="BR55" s="1">
        <f t="shared" si="63"/>
        <v>0</v>
      </c>
      <c r="BS55" s="1">
        <f t="shared" si="64"/>
        <v>0</v>
      </c>
      <c r="BT55" s="1">
        <f t="shared" si="33"/>
        <v>2.4401140405020105</v>
      </c>
      <c r="BU55" s="17">
        <f t="shared" si="34"/>
        <v>0.99579696087940206</v>
      </c>
      <c r="BV55" s="23" t="s">
        <v>11</v>
      </c>
      <c r="BW55" s="23" t="s">
        <v>13</v>
      </c>
      <c r="BX55" s="23" t="s">
        <v>11</v>
      </c>
      <c r="BY55" s="23" t="s">
        <v>11</v>
      </c>
      <c r="BZ55" s="23" t="s">
        <v>13</v>
      </c>
      <c r="CA55" s="23" t="s">
        <v>13</v>
      </c>
      <c r="CB55" s="23"/>
      <c r="CC55" s="23"/>
      <c r="CF55" s="1">
        <f>1.288*(1/1.1341)</f>
        <v>1.1357023190194868</v>
      </c>
      <c r="CG55" s="1">
        <f>2.2295*(1/1.1341)</f>
        <v>1.9658760250418832</v>
      </c>
      <c r="CH55" s="1">
        <f>3.11266666666667*(1/1.1341)</f>
        <v>2.744613937630429</v>
      </c>
      <c r="CI55" s="1">
        <f>5.49266666666667*(1/1.1341)</f>
        <v>4.843194309731655</v>
      </c>
      <c r="CJ55" s="1">
        <f>7.52733333333333*(1/1.1341)</f>
        <v>6.6372747847044611</v>
      </c>
      <c r="CK55" s="1">
        <f>6.734*(1/1.1341)</f>
        <v>5.9377479940040558</v>
      </c>
      <c r="CL55" s="1">
        <f t="shared" si="49"/>
        <v>0</v>
      </c>
      <c r="CM55" s="1">
        <f t="shared" si="65"/>
        <v>0</v>
      </c>
      <c r="CN55" s="1">
        <f t="shared" si="47"/>
        <v>0</v>
      </c>
      <c r="CO55" s="1">
        <f t="shared" si="46"/>
        <v>0</v>
      </c>
      <c r="CP55" s="1">
        <f t="shared" si="50"/>
        <v>1.1357023190194868</v>
      </c>
      <c r="CQ55" s="1">
        <f t="shared" si="51"/>
        <v>4.843194309731655</v>
      </c>
      <c r="CR55" s="1">
        <f t="shared" si="52"/>
        <v>0</v>
      </c>
      <c r="CS55" s="1">
        <f t="shared" si="53"/>
        <v>0</v>
      </c>
      <c r="CT55" s="1">
        <f t="shared" si="54"/>
        <v>0</v>
      </c>
      <c r="CU55" s="1">
        <f t="shared" si="55"/>
        <v>0</v>
      </c>
      <c r="CV55" s="1">
        <f t="shared" si="56"/>
        <v>6.6372747847044611</v>
      </c>
      <c r="CW55" s="1">
        <f t="shared" si="57"/>
        <v>1.9658760250418832</v>
      </c>
    </row>
    <row r="56" spans="1:101" x14ac:dyDescent="0.35">
      <c r="A56" s="1">
        <v>12</v>
      </c>
      <c r="B56" s="1">
        <v>4</v>
      </c>
      <c r="C56" s="1">
        <v>1</v>
      </c>
      <c r="D56" s="2">
        <v>1</v>
      </c>
      <c r="E56" s="2">
        <v>23</v>
      </c>
      <c r="F56" s="2">
        <v>1.89</v>
      </c>
      <c r="G56" s="2">
        <v>75</v>
      </c>
      <c r="H56" s="3">
        <v>20.99605274208449</v>
      </c>
      <c r="I56" s="1">
        <v>0</v>
      </c>
      <c r="J56" s="4">
        <v>0</v>
      </c>
      <c r="AR56" s="15">
        <f>8.876*((1/1.1341))</f>
        <v>7.8264703288951578</v>
      </c>
      <c r="AS56" s="17">
        <f>12.054*((1/1.1341))</f>
        <v>10.628692355171502</v>
      </c>
      <c r="AT56" s="10" t="s">
        <v>13</v>
      </c>
      <c r="AU56" s="10" t="s">
        <v>13</v>
      </c>
      <c r="AV56" s="10" t="s">
        <v>12</v>
      </c>
      <c r="AW56" s="10" t="s">
        <v>11</v>
      </c>
      <c r="AX56" s="10"/>
      <c r="AY56" s="10"/>
      <c r="BA56" s="10"/>
      <c r="BD56" s="1">
        <f>0.746666666666667*((1/1.1341))</f>
        <v>0.65837815595332594</v>
      </c>
      <c r="BE56" s="1">
        <f>1.31133333333333*((1/1.1341))</f>
        <v>1.1562766363930252</v>
      </c>
      <c r="BF56" s="1">
        <f>2.002*((1/1.1341))</f>
        <v>1.7652764306498543</v>
      </c>
      <c r="BG56" s="1">
        <f>1.92266666666667*((1/1.1341))</f>
        <v>1.6953237515798165</v>
      </c>
      <c r="BH56" s="1">
        <f>0*((1/1.1341))</f>
        <v>0</v>
      </c>
      <c r="BI56" s="1">
        <f>0*((1/1.1341))</f>
        <v>0</v>
      </c>
      <c r="BJ56" s="1">
        <f t="shared" si="48"/>
        <v>0</v>
      </c>
      <c r="BK56" s="1">
        <f t="shared" si="59"/>
        <v>0</v>
      </c>
      <c r="BN56" s="1">
        <f t="shared" si="60"/>
        <v>0</v>
      </c>
      <c r="BO56" s="1">
        <f t="shared" si="58"/>
        <v>1.6953237515798165</v>
      </c>
      <c r="BP56" s="1">
        <f t="shared" si="61"/>
        <v>1.7652764306498543</v>
      </c>
      <c r="BQ56" s="1">
        <f t="shared" si="62"/>
        <v>0</v>
      </c>
      <c r="BR56" s="1">
        <f t="shared" si="63"/>
        <v>0</v>
      </c>
      <c r="BS56" s="1">
        <f t="shared" si="64"/>
        <v>0</v>
      </c>
      <c r="BT56" s="1">
        <f t="shared" si="33"/>
        <v>0.65837815595332594</v>
      </c>
      <c r="BU56" s="17">
        <f t="shared" si="34"/>
        <v>1.1562766363930252</v>
      </c>
      <c r="BV56" s="23" t="s">
        <v>13</v>
      </c>
      <c r="BW56" s="23" t="s">
        <v>13</v>
      </c>
      <c r="BX56" s="23" t="s">
        <v>12</v>
      </c>
      <c r="BY56" s="23" t="s">
        <v>11</v>
      </c>
      <c r="BZ56" s="23"/>
      <c r="CA56" s="23"/>
      <c r="CB56" s="23"/>
      <c r="CC56" s="23"/>
      <c r="CF56" s="1">
        <f>0.784*(1/1.1341)</f>
        <v>0.69129706375099198</v>
      </c>
      <c r="CG56" s="1">
        <f>0.872666666666667*(1/1.1341)</f>
        <v>0.76947946977044968</v>
      </c>
      <c r="CH56" s="1">
        <f>1.652*(1/1.1341)</f>
        <v>1.456661670046733</v>
      </c>
      <c r="CI56" s="1">
        <f>1.64266666666667*(1/1.1341)</f>
        <v>1.4484319430973194</v>
      </c>
      <c r="CJ56" s="1">
        <f>0*(1/1.1341)</f>
        <v>0</v>
      </c>
      <c r="CK56" s="1">
        <f>0*(1/1.1341)</f>
        <v>0</v>
      </c>
      <c r="CL56" s="1">
        <f t="shared" si="49"/>
        <v>0</v>
      </c>
      <c r="CM56" s="1">
        <f t="shared" si="65"/>
        <v>0</v>
      </c>
      <c r="CN56" s="1">
        <f t="shared" si="47"/>
        <v>0</v>
      </c>
      <c r="CO56" s="1">
        <f t="shared" si="46"/>
        <v>0</v>
      </c>
      <c r="CP56" s="1">
        <f t="shared" si="50"/>
        <v>0</v>
      </c>
      <c r="CQ56" s="1">
        <f t="shared" si="51"/>
        <v>1.4484319430973194</v>
      </c>
      <c r="CR56" s="1">
        <f t="shared" si="52"/>
        <v>1.456661670046733</v>
      </c>
      <c r="CS56" s="1">
        <f t="shared" si="53"/>
        <v>0</v>
      </c>
      <c r="CT56" s="1">
        <f t="shared" si="54"/>
        <v>0</v>
      </c>
      <c r="CU56" s="1">
        <f t="shared" si="55"/>
        <v>0</v>
      </c>
      <c r="CV56" s="1">
        <f t="shared" si="56"/>
        <v>0.69129706375099198</v>
      </c>
      <c r="CW56" s="1">
        <f t="shared" si="57"/>
        <v>0.76947946977044968</v>
      </c>
    </row>
    <row r="57" spans="1:101" x14ac:dyDescent="0.35">
      <c r="A57" s="1">
        <v>13</v>
      </c>
      <c r="B57" s="1">
        <v>4</v>
      </c>
      <c r="C57" s="1">
        <v>1</v>
      </c>
      <c r="D57" s="2">
        <v>1</v>
      </c>
      <c r="E57" s="2">
        <v>19</v>
      </c>
      <c r="F57" s="2">
        <v>1.81</v>
      </c>
      <c r="G57" s="2">
        <v>71</v>
      </c>
      <c r="H57" s="3">
        <v>21.672110130948383</v>
      </c>
      <c r="I57" s="1">
        <v>0</v>
      </c>
      <c r="J57" s="4">
        <v>0</v>
      </c>
      <c r="AR57" s="15">
        <f>19.992*((1/1.1341))</f>
        <v>17.628075125650295</v>
      </c>
      <c r="AS57" s="17">
        <f>19.992*((1/1.1341))</f>
        <v>17.628075125650295</v>
      </c>
      <c r="AT57" s="10" t="s">
        <v>12</v>
      </c>
      <c r="AU57" s="10" t="s">
        <v>12</v>
      </c>
      <c r="AV57" s="10" t="s">
        <v>11</v>
      </c>
      <c r="AW57" s="10" t="s">
        <v>11</v>
      </c>
      <c r="AX57" s="10"/>
      <c r="AY57" s="10" t="s">
        <v>14</v>
      </c>
      <c r="BA57" s="10"/>
      <c r="BD57" s="1">
        <f>4.074*((1/1.1341))</f>
        <v>3.5922758134203328</v>
      </c>
      <c r="BE57" s="1">
        <f>3.21066666666667*((1/1.1341))</f>
        <v>2.8310260705993033</v>
      </c>
      <c r="BF57" s="1">
        <f>4.774*((1/1.1341))</f>
        <v>4.2095053346265763</v>
      </c>
      <c r="BG57" s="1">
        <f>4.96533333333333*((1/1.1341))</f>
        <v>4.3782147370896123</v>
      </c>
      <c r="BH57" s="1">
        <f>0*((1/1.1341))</f>
        <v>0</v>
      </c>
      <c r="BI57" s="1">
        <f>10.4335*((1/1.1341))</f>
        <v>9.1998060135790496</v>
      </c>
      <c r="BJ57" s="1">
        <f t="shared" si="48"/>
        <v>0</v>
      </c>
      <c r="BK57" s="1">
        <f t="shared" si="59"/>
        <v>0</v>
      </c>
      <c r="BN57" s="1">
        <f t="shared" si="60"/>
        <v>4.2095053346265763</v>
      </c>
      <c r="BO57" s="1">
        <f t="shared" si="58"/>
        <v>4.3782147370896123</v>
      </c>
      <c r="BP57" s="1">
        <f t="shared" si="61"/>
        <v>3.5922758134203328</v>
      </c>
      <c r="BQ57" s="1">
        <f t="shared" si="62"/>
        <v>2.8310260705993033</v>
      </c>
      <c r="BR57" s="1">
        <f t="shared" si="63"/>
        <v>0</v>
      </c>
      <c r="BS57" s="1">
        <f t="shared" si="64"/>
        <v>9.1998060135790496</v>
      </c>
      <c r="BT57" s="1">
        <f t="shared" si="33"/>
        <v>0</v>
      </c>
      <c r="BU57" s="17">
        <f t="shared" si="34"/>
        <v>0</v>
      </c>
      <c r="BV57" s="23" t="s">
        <v>12</v>
      </c>
      <c r="BW57" s="23" t="s">
        <v>12</v>
      </c>
      <c r="BX57" s="23" t="s">
        <v>11</v>
      </c>
      <c r="BY57" s="23" t="s">
        <v>11</v>
      </c>
      <c r="BZ57" s="23"/>
      <c r="CA57" s="23" t="s">
        <v>14</v>
      </c>
      <c r="CB57" s="23"/>
      <c r="CC57" s="23"/>
      <c r="CF57" s="1">
        <f>3.752*(1/1.1341)</f>
        <v>3.3083502336654611</v>
      </c>
      <c r="CG57" s="1">
        <f>3.88733333333333*(1/1.1341)</f>
        <v>3.4276812744319987</v>
      </c>
      <c r="CH57" s="1">
        <f>3.71933333333333*(1/1.1341)</f>
        <v>3.2795461893425006</v>
      </c>
      <c r="CI57" s="1">
        <f>4.55933333333333*(1/1.1341)</f>
        <v>4.0202216147899925</v>
      </c>
      <c r="CJ57" s="1">
        <f>0*(1/1.1341)</f>
        <v>0</v>
      </c>
      <c r="CK57" s="1">
        <f>5.376*(1/1.1341)</f>
        <v>4.7403227228639446</v>
      </c>
      <c r="CL57" s="1">
        <f t="shared" si="49"/>
        <v>0</v>
      </c>
      <c r="CM57" s="1">
        <f t="shared" si="65"/>
        <v>0</v>
      </c>
      <c r="CN57" s="1">
        <f t="shared" si="47"/>
        <v>0</v>
      </c>
      <c r="CO57" s="1">
        <f t="shared" si="46"/>
        <v>0</v>
      </c>
      <c r="CP57" s="1">
        <f t="shared" si="50"/>
        <v>3.2795461893425006</v>
      </c>
      <c r="CQ57" s="1">
        <f t="shared" si="51"/>
        <v>4.0202216147899925</v>
      </c>
      <c r="CR57" s="1">
        <f t="shared" si="52"/>
        <v>3.3083502336654611</v>
      </c>
      <c r="CS57" s="1">
        <f t="shared" si="53"/>
        <v>3.4276812744319987</v>
      </c>
      <c r="CT57" s="1">
        <f t="shared" si="54"/>
        <v>0</v>
      </c>
      <c r="CU57" s="1">
        <f t="shared" si="55"/>
        <v>4.7403227228639446</v>
      </c>
      <c r="CV57" s="1">
        <f t="shared" si="56"/>
        <v>0</v>
      </c>
      <c r="CW57" s="1">
        <f t="shared" si="57"/>
        <v>0</v>
      </c>
    </row>
    <row r="58" spans="1:101" x14ac:dyDescent="0.35">
      <c r="A58" s="1">
        <v>14</v>
      </c>
      <c r="B58" s="1">
        <v>4</v>
      </c>
      <c r="C58" s="1">
        <v>1</v>
      </c>
      <c r="D58" s="2">
        <v>0</v>
      </c>
      <c r="E58" s="2">
        <v>27</v>
      </c>
      <c r="F58" s="2">
        <v>1.78</v>
      </c>
      <c r="G58" s="2">
        <v>64</v>
      </c>
      <c r="H58" s="3">
        <v>20.199469763918696</v>
      </c>
      <c r="I58" s="1">
        <v>0</v>
      </c>
      <c r="J58" s="4">
        <v>0</v>
      </c>
      <c r="AR58" s="15">
        <f>19.992*((1/1.1341))</f>
        <v>17.628075125650295</v>
      </c>
      <c r="AS58" s="17">
        <f>19.992*((1/1.1341))</f>
        <v>17.628075125650295</v>
      </c>
      <c r="AT58" s="10" t="s">
        <v>11</v>
      </c>
      <c r="AU58" s="10" t="s">
        <v>11</v>
      </c>
      <c r="AV58" s="10" t="s">
        <v>12</v>
      </c>
      <c r="AW58" s="10" t="s">
        <v>12</v>
      </c>
      <c r="AX58" s="10" t="s">
        <v>13</v>
      </c>
      <c r="AY58" s="10"/>
      <c r="BA58" s="10"/>
      <c r="BD58" s="1">
        <f>4.28866666666667*((1/1.1341))</f>
        <v>3.7815595332569174</v>
      </c>
      <c r="BE58" s="1">
        <f>4.61066666666667*((1/1.1341))</f>
        <v>4.0654851130117882</v>
      </c>
      <c r="BF58" s="1">
        <f>5.53466666666667*((1/1.1341))</f>
        <v>4.8802280810040291</v>
      </c>
      <c r="BG58" s="1">
        <f>8.372*((1/1.1341))</f>
        <v>7.3820650736266638</v>
      </c>
      <c r="BH58" s="1">
        <f>16.5526666666667*((1/1.1341))</f>
        <v>14.595420744790317</v>
      </c>
      <c r="BI58" s="1">
        <f>0*((1/1.1341))</f>
        <v>0</v>
      </c>
      <c r="BJ58" s="1">
        <f t="shared" si="48"/>
        <v>0</v>
      </c>
      <c r="BK58" s="1">
        <f t="shared" si="59"/>
        <v>0</v>
      </c>
      <c r="BN58" s="1">
        <f t="shared" si="60"/>
        <v>3.7815595332569174</v>
      </c>
      <c r="BO58" s="1">
        <f t="shared" si="58"/>
        <v>4.0654851130117882</v>
      </c>
      <c r="BP58" s="1">
        <f t="shared" si="61"/>
        <v>4.8802280810040291</v>
      </c>
      <c r="BQ58" s="1">
        <f t="shared" si="62"/>
        <v>7.3820650736266638</v>
      </c>
      <c r="BR58" s="1">
        <f t="shared" si="63"/>
        <v>0</v>
      </c>
      <c r="BS58" s="1">
        <f t="shared" si="64"/>
        <v>0</v>
      </c>
      <c r="BT58" s="1">
        <f t="shared" si="33"/>
        <v>14.595420744790317</v>
      </c>
      <c r="BU58" s="17">
        <f t="shared" si="34"/>
        <v>0</v>
      </c>
      <c r="BV58" s="23" t="s">
        <v>11</v>
      </c>
      <c r="BW58" s="23" t="s">
        <v>11</v>
      </c>
      <c r="BX58" s="23" t="s">
        <v>12</v>
      </c>
      <c r="BY58" s="23" t="s">
        <v>12</v>
      </c>
      <c r="BZ58" s="23" t="s">
        <v>13</v>
      </c>
      <c r="CA58" s="23"/>
      <c r="CB58" s="23"/>
      <c r="CC58" s="23"/>
      <c r="CF58" s="1">
        <f>4.72733333333333*(1/1.1341)</f>
        <v>4.1683566998794896</v>
      </c>
      <c r="CG58" s="1">
        <f>3.96666666666667*(1/1.1341)</f>
        <v>3.4976339535020453</v>
      </c>
      <c r="CH58" s="1">
        <f>5.98733333333333*(1/1.1341)</f>
        <v>5.2793698380507275</v>
      </c>
      <c r="CI58" s="1">
        <f>7.28466666666667*(1/1.1341)</f>
        <v>6.4233018840196365</v>
      </c>
      <c r="CJ58" s="1">
        <f>17.906*(1/1.1341)</f>
        <v>15.788731152455689</v>
      </c>
      <c r="CK58" s="1">
        <f>0*(1/1.1341)</f>
        <v>0</v>
      </c>
      <c r="CL58" s="1">
        <f t="shared" si="49"/>
        <v>0</v>
      </c>
      <c r="CM58" s="1">
        <f t="shared" si="65"/>
        <v>0</v>
      </c>
      <c r="CN58" s="1">
        <f t="shared" si="47"/>
        <v>0</v>
      </c>
      <c r="CO58" s="1">
        <f t="shared" si="46"/>
        <v>0</v>
      </c>
      <c r="CP58" s="1">
        <f t="shared" si="50"/>
        <v>4.1683566998794896</v>
      </c>
      <c r="CQ58" s="1">
        <f t="shared" si="51"/>
        <v>3.4976339535020453</v>
      </c>
      <c r="CR58" s="1">
        <f t="shared" si="52"/>
        <v>5.2793698380507275</v>
      </c>
      <c r="CS58" s="1">
        <f t="shared" si="53"/>
        <v>6.4233018840196365</v>
      </c>
      <c r="CT58" s="1">
        <f t="shared" si="54"/>
        <v>0</v>
      </c>
      <c r="CU58" s="1">
        <f t="shared" si="55"/>
        <v>0</v>
      </c>
      <c r="CV58" s="1">
        <f t="shared" si="56"/>
        <v>15.788731152455689</v>
      </c>
      <c r="CW58" s="1">
        <f t="shared" si="57"/>
        <v>0</v>
      </c>
    </row>
    <row r="59" spans="1:101" x14ac:dyDescent="0.35">
      <c r="A59" s="1">
        <v>15</v>
      </c>
      <c r="B59" s="1">
        <v>4</v>
      </c>
      <c r="C59" s="1">
        <v>1</v>
      </c>
      <c r="D59" s="2">
        <v>1</v>
      </c>
      <c r="E59" s="2">
        <v>23</v>
      </c>
      <c r="F59" s="2">
        <v>1.89</v>
      </c>
      <c r="G59" s="2">
        <v>70</v>
      </c>
      <c r="H59" s="3">
        <v>19.596315892612189</v>
      </c>
      <c r="I59" s="1">
        <v>0</v>
      </c>
      <c r="J59" s="4">
        <v>0</v>
      </c>
      <c r="AR59" s="15">
        <f>12.194*((1/1.1341))</f>
        <v>10.752138259412749</v>
      </c>
      <c r="AS59" s="17">
        <f>19.992*((1/1.1341))</f>
        <v>17.628075125650295</v>
      </c>
      <c r="AT59" s="10" t="s">
        <v>13</v>
      </c>
      <c r="AU59" s="10" t="s">
        <v>13</v>
      </c>
      <c r="AV59" s="10" t="s">
        <v>14</v>
      </c>
      <c r="AW59" s="10" t="s">
        <v>14</v>
      </c>
      <c r="AX59" s="10"/>
      <c r="AY59" s="10" t="s">
        <v>13</v>
      </c>
      <c r="BA59" s="10"/>
      <c r="BD59" s="1">
        <f>1.03133333333333*((1/1.1341))</f>
        <v>0.90938482791052822</v>
      </c>
      <c r="BE59" s="1">
        <f>2.422*((1/1.1341))</f>
        <v>2.1356141433736</v>
      </c>
      <c r="BF59" s="1">
        <f>5.34333333333333*((1/1.1341))</f>
        <v>4.7115186785409842</v>
      </c>
      <c r="BG59" s="1">
        <f>4.34933333333333*((1/1.1341))</f>
        <v>3.8350527584281191</v>
      </c>
      <c r="BH59" s="1">
        <f>0*((1/1.1341))</f>
        <v>0</v>
      </c>
      <c r="BI59" s="1">
        <f>7.46666666666667*((1/1.1341))</f>
        <v>6.5837815595332598</v>
      </c>
      <c r="BJ59" s="1">
        <f t="shared" si="48"/>
        <v>0</v>
      </c>
      <c r="BK59" s="1">
        <f t="shared" si="59"/>
        <v>0</v>
      </c>
      <c r="BN59" s="1">
        <f t="shared" si="60"/>
        <v>0</v>
      </c>
      <c r="BO59" s="1">
        <f t="shared" si="58"/>
        <v>0</v>
      </c>
      <c r="BP59" s="1">
        <f t="shared" si="61"/>
        <v>0</v>
      </c>
      <c r="BQ59" s="1">
        <f t="shared" si="62"/>
        <v>0</v>
      </c>
      <c r="BR59" s="1">
        <f t="shared" si="63"/>
        <v>4.7115186785409842</v>
      </c>
      <c r="BS59" s="1">
        <f t="shared" si="64"/>
        <v>3.8350527584281191</v>
      </c>
      <c r="BT59" s="1">
        <f t="shared" si="33"/>
        <v>0.90938482791052822</v>
      </c>
      <c r="BU59" s="17">
        <f t="shared" si="34"/>
        <v>2.1356141433736</v>
      </c>
      <c r="BV59" s="23" t="s">
        <v>13</v>
      </c>
      <c r="BW59" s="23" t="s">
        <v>13</v>
      </c>
      <c r="BX59" s="23" t="s">
        <v>14</v>
      </c>
      <c r="BY59" s="23" t="s">
        <v>14</v>
      </c>
      <c r="BZ59" s="23"/>
      <c r="CA59" s="23" t="s">
        <v>13</v>
      </c>
      <c r="CB59" s="23"/>
      <c r="CC59" s="23"/>
      <c r="CF59" s="1">
        <f>1.358*(1/1.1341)</f>
        <v>1.197425271140111</v>
      </c>
      <c r="CG59" s="1">
        <f>1.61*(1/1.1341)</f>
        <v>1.4196278987743585</v>
      </c>
      <c r="CH59" s="1">
        <f>5.194*(1/1.1341)</f>
        <v>4.5798430473503213</v>
      </c>
      <c r="CI59" s="1">
        <f>4.96066666666667*(1/1.1341)</f>
        <v>4.3740998736149104</v>
      </c>
      <c r="CJ59" s="1">
        <f>0*(1/1.1341)</f>
        <v>0</v>
      </c>
      <c r="CK59" s="1">
        <f>6.426*(1/1.1341)</f>
        <v>5.6661670046733086</v>
      </c>
      <c r="CL59" s="1">
        <f t="shared" si="49"/>
        <v>0</v>
      </c>
      <c r="CM59" s="1">
        <f t="shared" si="65"/>
        <v>0</v>
      </c>
      <c r="CN59" s="1">
        <f t="shared" si="47"/>
        <v>0</v>
      </c>
      <c r="CO59" s="1">
        <f t="shared" si="46"/>
        <v>0</v>
      </c>
      <c r="CP59" s="1">
        <f t="shared" si="50"/>
        <v>0</v>
      </c>
      <c r="CQ59" s="1">
        <f t="shared" si="51"/>
        <v>0</v>
      </c>
      <c r="CR59" s="1">
        <f t="shared" si="52"/>
        <v>0</v>
      </c>
      <c r="CS59" s="1">
        <f t="shared" si="53"/>
        <v>0</v>
      </c>
      <c r="CT59" s="1">
        <f t="shared" si="54"/>
        <v>4.5798430473503213</v>
      </c>
      <c r="CU59" s="1">
        <f t="shared" si="55"/>
        <v>4.3740998736149104</v>
      </c>
      <c r="CV59" s="1">
        <f t="shared" si="56"/>
        <v>1.197425271140111</v>
      </c>
      <c r="CW59" s="1">
        <f t="shared" si="57"/>
        <v>1.4196278987743585</v>
      </c>
    </row>
    <row r="60" spans="1:101" s="5" customFormat="1" ht="13" x14ac:dyDescent="0.3">
      <c r="A60" s="5">
        <v>16</v>
      </c>
      <c r="B60" s="5">
        <v>4</v>
      </c>
      <c r="C60" s="5">
        <v>1</v>
      </c>
      <c r="D60" s="6">
        <v>0</v>
      </c>
      <c r="E60" s="6">
        <v>21</v>
      </c>
      <c r="F60" s="6">
        <v>1.65</v>
      </c>
      <c r="G60" s="6">
        <v>52</v>
      </c>
      <c r="H60" s="7">
        <v>19.100091827364558</v>
      </c>
      <c r="I60" s="5">
        <v>0</v>
      </c>
      <c r="J60" s="8">
        <v>0</v>
      </c>
      <c r="L60" s="16"/>
      <c r="AA60" s="18"/>
      <c r="AB60" s="16"/>
      <c r="AQ60" s="18"/>
      <c r="AR60" s="16">
        <f>7.308*((1/1.1341))</f>
        <v>6.4438762013931745</v>
      </c>
      <c r="AS60" s="18">
        <f>7.91*((1/1.1341))</f>
        <v>6.9746935896305438</v>
      </c>
      <c r="AT60" s="14" t="s">
        <v>12</v>
      </c>
      <c r="AU60" s="14" t="s">
        <v>12</v>
      </c>
      <c r="AV60" s="14" t="s">
        <v>11</v>
      </c>
      <c r="AW60" s="14"/>
      <c r="AY60" s="14"/>
      <c r="BA60" s="14"/>
      <c r="BC60" s="18"/>
      <c r="BD60" s="5">
        <f>4.61533333333333*((1/1.1341))</f>
        <v>4.0695999764864919</v>
      </c>
      <c r="BE60" s="5">
        <f>3.374*((1/1.1341))</f>
        <v>2.9750462922140906</v>
      </c>
      <c r="BF60" s="5">
        <f>6.86466666666667*((1/1.1341))</f>
        <v>6.0529641712958906</v>
      </c>
      <c r="BG60" s="5">
        <f>0*((1/1.1341))</f>
        <v>0</v>
      </c>
      <c r="BH60" s="5">
        <f>0*((1/1.1341))</f>
        <v>0</v>
      </c>
      <c r="BI60" s="5">
        <f>0*((1/1.1341))</f>
        <v>0</v>
      </c>
      <c r="BJ60" s="5">
        <f t="shared" si="48"/>
        <v>0</v>
      </c>
      <c r="BK60" s="5">
        <f t="shared" si="59"/>
        <v>0</v>
      </c>
      <c r="BM60" s="18"/>
      <c r="BN60" s="5">
        <f t="shared" si="60"/>
        <v>6.0529641712958906</v>
      </c>
      <c r="BO60" s="5">
        <f t="shared" si="58"/>
        <v>0</v>
      </c>
      <c r="BP60" s="5">
        <f t="shared" si="61"/>
        <v>4.0695999764864919</v>
      </c>
      <c r="BQ60" s="5">
        <f t="shared" si="62"/>
        <v>2.9750462922140906</v>
      </c>
      <c r="BR60" s="5">
        <f t="shared" si="63"/>
        <v>0</v>
      </c>
      <c r="BS60" s="5">
        <f t="shared" si="64"/>
        <v>0</v>
      </c>
      <c r="BT60" s="5">
        <f t="shared" si="33"/>
        <v>0</v>
      </c>
      <c r="BU60" s="18">
        <f t="shared" si="34"/>
        <v>0</v>
      </c>
      <c r="BV60" s="23" t="s">
        <v>12</v>
      </c>
      <c r="BW60" s="23" t="s">
        <v>12</v>
      </c>
      <c r="BX60" s="23" t="s">
        <v>11</v>
      </c>
      <c r="BY60" s="23"/>
      <c r="BZ60" s="23"/>
      <c r="CA60" s="23"/>
      <c r="CB60" s="23"/>
      <c r="CC60" s="23"/>
      <c r="CF60" s="1">
        <f>5.03066666666667*(1/1.1341)</f>
        <v>4.435822825735535</v>
      </c>
      <c r="CG60" s="1">
        <f>3.62066666666667*(1/1.1341)</f>
        <v>3.192546218734388</v>
      </c>
      <c r="CH60" s="1">
        <f>8.58666666666667*(1/1.1341)</f>
        <v>7.5713487934632475</v>
      </c>
      <c r="CI60" s="1">
        <f>0*(1/1.1341)</f>
        <v>0</v>
      </c>
      <c r="CJ60" s="1">
        <f>0*(1/1.1341)</f>
        <v>0</v>
      </c>
      <c r="CK60" s="1">
        <f>0*(1/1.1341)</f>
        <v>0</v>
      </c>
      <c r="CL60" s="1">
        <f t="shared" si="49"/>
        <v>0</v>
      </c>
      <c r="CM60" s="1">
        <f t="shared" si="65"/>
        <v>0</v>
      </c>
      <c r="CN60" s="1">
        <f t="shared" si="47"/>
        <v>0</v>
      </c>
      <c r="CO60" s="1">
        <f t="shared" si="46"/>
        <v>0</v>
      </c>
      <c r="CP60" s="1">
        <f t="shared" si="50"/>
        <v>7.5713487934632475</v>
      </c>
      <c r="CQ60" s="1">
        <f t="shared" si="51"/>
        <v>0</v>
      </c>
      <c r="CR60" s="1">
        <f t="shared" si="52"/>
        <v>4.435822825735535</v>
      </c>
      <c r="CS60" s="1">
        <f t="shared" si="53"/>
        <v>3.192546218734388</v>
      </c>
      <c r="CT60" s="1">
        <f t="shared" si="54"/>
        <v>0</v>
      </c>
      <c r="CU60" s="1">
        <f t="shared" si="55"/>
        <v>0</v>
      </c>
      <c r="CV60" s="1">
        <f t="shared" si="56"/>
        <v>0</v>
      </c>
      <c r="CW60" s="1">
        <f t="shared" si="57"/>
        <v>0</v>
      </c>
    </row>
    <row r="61" spans="1:101" x14ac:dyDescent="0.35">
      <c r="CG61" s="24"/>
    </row>
    <row r="62" spans="1:101" x14ac:dyDescent="0.35">
      <c r="AR62" s="31"/>
    </row>
    <row r="65" spans="12:28" x14ac:dyDescent="0.35">
      <c r="L65" s="15">
        <f>(1/1.1341)</f>
        <v>0.88175645886606113</v>
      </c>
      <c r="AB65" s="15">
        <f>(1/1.1341)</f>
        <v>0.88175645886606113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2023-08-09T05:10:45Z</dcterms:modified>
</cp:coreProperties>
</file>