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comments4.xml" ContentType="application/vnd.openxmlformats-officedocument.spreadsheetml.comments+xml"/>
  <Override PartName="/xl/threadedComments/threadedComment2.xml" ContentType="application/vnd.ms-excel.threadedcomments+xml"/>
  <Override PartName="/xl/comments5.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WURNET.NL\Homes\visse248\My Documents\Documents PhD\Data management plan\2021.06.28_FoodProtectsPaper3(Vissers)DMF_BEC\Intermediate data and syntax\"/>
    </mc:Choice>
  </mc:AlternateContent>
  <xr:revisionPtr revIDLastSave="0" documentId="13_ncr:1_{CA9C6CA8-1D5C-42EC-8EB2-BA70A998BA11}" xr6:coauthVersionLast="45" xr6:coauthVersionMax="45" xr10:uidLastSave="{00000000-0000-0000-0000-000000000000}"/>
  <bookViews>
    <workbookView xWindow="-120" yWindow="-120" windowWidth="29040" windowHeight="15840" firstSheet="3" activeTab="4" xr2:uid="{00000000-000D-0000-FFFF-FFFF00000000}"/>
  </bookViews>
  <sheets>
    <sheet name="Input prices producer prices" sheetId="9" state="veryHidden" r:id="rId1"/>
    <sheet name="RiskSerializationData" sheetId="23" state="hidden" r:id="rId2"/>
    <sheet name="Emission factors" sheetId="17" state="veryHidden" r:id="rId3"/>
    <sheet name="Default scenario" sheetId="65" r:id="rId4"/>
    <sheet name="Scenario feed price + 1 SD" sheetId="105" r:id="rId5"/>
    <sheet name="Scenario producer price + 1 SD" sheetId="104" r:id="rId6"/>
  </sheets>
  <definedNames>
    <definedName name="_AtRisk_SimSetting_AutomaticallyGenerateReports" hidden="1">FALSE</definedName>
    <definedName name="_AtRisk_SimSetting_AutomaticResultsDisplayMode" hidden="1">1</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528</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528</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'Input prices producer prices'!$B$227:$B$227</definedName>
    <definedName name="_xlnm._FilterDatabase" localSheetId="4" hidden="1">'Input prices producer prices'!$E$228:$E$228</definedName>
    <definedName name="_xlnm._FilterDatabase" localSheetId="5" hidden="1">'Input prices producer prices'!$H$229:$H$229</definedName>
    <definedName name="_ftn1" localSheetId="2">'Emission factors'!#REF!</definedName>
    <definedName name="_ftnref1" localSheetId="2">'Emission factors'!#REF!</definedName>
    <definedName name="ExtraNewMatrix42">#REF!</definedName>
    <definedName name="MatrixCorr">#REF!</definedName>
    <definedName name="Mycorr1">#REF!</definedName>
    <definedName name="Mycorrelation">#REF!</definedName>
    <definedName name="NewMatrix41" localSheetId="3">#REF!</definedName>
    <definedName name="NewMatrix41" localSheetId="4">#REF!</definedName>
    <definedName name="NewMatrix41" localSheetId="5">#REF!</definedName>
    <definedName name="NewMatrix41">#REF!</definedName>
    <definedName name="NewMatrix42">#REF!</definedName>
    <definedName name="Pal_Workbook_GUID" hidden="1">"ZSRGG7KXQ4EHKV5CWZ8VM64U"</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0.5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el" hidden="1">"$E$140"</definedName>
    <definedName name="Riskselcell1" hidden="1">"$G$58"</definedName>
    <definedName name="RiskSelectedCell" hidden="1">"$B$181"</definedName>
    <definedName name="RiskSelectedNameCell1" hidden="1">"$A$181"</definedName>
    <definedName name="RiskSelectedNameCell2" hidden="1">"$B$129"</definedName>
    <definedName name="RiskSelectedNCell1" hidden="1">"$A$165"</definedName>
    <definedName name="RiskSelNameCell2" hidden="1">"$E$133"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TheMatrix4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32" i="9" l="1"/>
  <c r="E231" i="9"/>
  <c r="H233" i="9"/>
  <c r="H232" i="9"/>
  <c r="H100" i="104"/>
  <c r="H100" i="65"/>
  <c r="I100" i="65" s="1"/>
  <c r="J100" i="65" s="1"/>
  <c r="B186" i="104"/>
  <c r="B186" i="105"/>
  <c r="B186" i="65"/>
  <c r="B183" i="104"/>
  <c r="B183" i="105"/>
  <c r="B183" i="65"/>
  <c r="B58" i="104"/>
  <c r="B58" i="105"/>
  <c r="H102" i="105"/>
  <c r="H103" i="105"/>
  <c r="H103" i="65"/>
  <c r="H102" i="65"/>
  <c r="H101" i="105"/>
  <c r="I101" i="105" s="1"/>
  <c r="H101" i="65"/>
  <c r="I101" i="65" s="1"/>
  <c r="H100" i="105"/>
  <c r="H102" i="104"/>
  <c r="I101" i="104" s="1"/>
  <c r="B51" i="104"/>
  <c r="B51" i="105"/>
  <c r="B51" i="65"/>
  <c r="B15" i="104"/>
  <c r="C98" i="104" s="1"/>
  <c r="D98" i="104" s="1"/>
  <c r="B15" i="105"/>
  <c r="C98" i="105" s="1"/>
  <c r="D98" i="105" s="1"/>
  <c r="B15" i="65"/>
  <c r="C98" i="65" s="1"/>
  <c r="D98" i="65" s="1"/>
  <c r="B18" i="104"/>
  <c r="B18" i="105"/>
  <c r="B18" i="65"/>
  <c r="B17" i="104"/>
  <c r="B17" i="105"/>
  <c r="B17" i="65"/>
  <c r="C100" i="104"/>
  <c r="D100" i="104" s="1"/>
  <c r="E100" i="104" s="1"/>
  <c r="C100" i="105"/>
  <c r="D100" i="105" s="1"/>
  <c r="C100" i="65"/>
  <c r="D100" i="65" s="1"/>
  <c r="C99" i="104"/>
  <c r="D99" i="104" s="1"/>
  <c r="C99" i="105"/>
  <c r="D99" i="105" s="1"/>
  <c r="C99" i="65"/>
  <c r="D99" i="65" s="1"/>
  <c r="H104" i="104"/>
  <c r="H103" i="104"/>
  <c r="H101" i="104"/>
  <c r="I100" i="104" s="1"/>
  <c r="B100" i="105"/>
  <c r="B99" i="105"/>
  <c r="B100" i="104"/>
  <c r="B99" i="104"/>
  <c r="B98" i="104"/>
  <c r="B98" i="105"/>
  <c r="B98" i="65"/>
  <c r="B46" i="104"/>
  <c r="B46" i="65"/>
  <c r="B57" i="104"/>
  <c r="B57" i="105"/>
  <c r="B57" i="65"/>
  <c r="B56" i="104"/>
  <c r="B56" i="65"/>
  <c r="B56" i="105"/>
  <c r="B46" i="105"/>
  <c r="B55" i="104"/>
  <c r="B55" i="105"/>
  <c r="B255" i="9"/>
  <c r="D257" i="9"/>
  <c r="D261" i="9" s="1"/>
  <c r="D262" i="9" s="1"/>
  <c r="B259" i="9"/>
  <c r="C259" i="9"/>
  <c r="D259" i="9"/>
  <c r="E259" i="9"/>
  <c r="E260" i="9" s="1"/>
  <c r="C261" i="9"/>
  <c r="E261" i="9"/>
  <c r="E262" i="9" s="1"/>
  <c r="B262" i="9"/>
  <c r="C262" i="9"/>
  <c r="C271" i="9"/>
  <c r="H229" i="9"/>
  <c r="H230" i="9"/>
  <c r="H231" i="9"/>
  <c r="H238" i="9"/>
  <c r="H239" i="9"/>
  <c r="H240" i="9"/>
  <c r="H241" i="9"/>
  <c r="H242" i="9"/>
  <c r="E228" i="9"/>
  <c r="E229" i="9"/>
  <c r="E230" i="9"/>
  <c r="E237" i="9"/>
  <c r="E238" i="9"/>
  <c r="E239" i="9"/>
  <c r="E241" i="9"/>
  <c r="B240" i="9"/>
  <c r="B239" i="9"/>
  <c r="B238" i="9"/>
  <c r="B237" i="9"/>
  <c r="B236" i="9"/>
  <c r="B231" i="9"/>
  <c r="B230" i="9"/>
  <c r="B229" i="9"/>
  <c r="B228" i="9"/>
  <c r="B227" i="9"/>
  <c r="B198" i="104"/>
  <c r="B198" i="105"/>
  <c r="B198" i="65"/>
  <c r="I214" i="9"/>
  <c r="B177" i="104"/>
  <c r="B177" i="105"/>
  <c r="B177" i="65"/>
  <c r="B180" i="65" s="1"/>
  <c r="B170" i="104"/>
  <c r="B170" i="105"/>
  <c r="B170" i="65"/>
  <c r="C13" i="17"/>
  <c r="D13" i="17"/>
  <c r="B85" i="65"/>
  <c r="B179" i="65"/>
  <c r="B84" i="65"/>
  <c r="D214" i="9"/>
  <c r="F3" i="9" s="1"/>
  <c r="B225" i="105"/>
  <c r="B224" i="105"/>
  <c r="G222" i="105"/>
  <c r="B179" i="105"/>
  <c r="B172" i="105"/>
  <c r="B174" i="105" s="1"/>
  <c r="B159" i="105"/>
  <c r="B85" i="105"/>
  <c r="B84" i="105"/>
  <c r="B82" i="105"/>
  <c r="B81" i="105"/>
  <c r="B80" i="105"/>
  <c r="B78" i="105"/>
  <c r="B76" i="105"/>
  <c r="B75" i="105"/>
  <c r="B74" i="105"/>
  <c r="B73" i="105"/>
  <c r="B69" i="105"/>
  <c r="B49" i="105"/>
  <c r="B39" i="105"/>
  <c r="B28" i="105"/>
  <c r="B23" i="105"/>
  <c r="B221" i="104"/>
  <c r="B220" i="104"/>
  <c r="G218" i="104"/>
  <c r="B179" i="104"/>
  <c r="B172" i="104"/>
  <c r="B159" i="104"/>
  <c r="B85" i="104"/>
  <c r="B84" i="104"/>
  <c r="B82" i="104"/>
  <c r="B81" i="104"/>
  <c r="B80" i="104"/>
  <c r="B78" i="104"/>
  <c r="B76" i="104"/>
  <c r="B75" i="104"/>
  <c r="B74" i="104"/>
  <c r="B73" i="104"/>
  <c r="B69" i="104"/>
  <c r="B59" i="104"/>
  <c r="B49" i="104"/>
  <c r="B39" i="104"/>
  <c r="B28" i="104"/>
  <c r="B23" i="104"/>
  <c r="B159" i="65"/>
  <c r="B69" i="65"/>
  <c r="B74" i="65"/>
  <c r="B58" i="65"/>
  <c r="B80" i="65"/>
  <c r="B76" i="65"/>
  <c r="B49" i="65"/>
  <c r="G215" i="65"/>
  <c r="B218" i="65"/>
  <c r="B217" i="65"/>
  <c r="E134" i="9"/>
  <c r="B78" i="65"/>
  <c r="B172" i="65"/>
  <c r="C20" i="9"/>
  <c r="B70" i="65" s="1"/>
  <c r="C19" i="9"/>
  <c r="C5" i="9"/>
  <c r="B104" i="105" s="1"/>
  <c r="B144" i="105" s="1"/>
  <c r="C14" i="9"/>
  <c r="B100" i="65"/>
  <c r="B99" i="65"/>
  <c r="B81" i="65"/>
  <c r="B39" i="65"/>
  <c r="B28" i="65"/>
  <c r="B23" i="65"/>
  <c r="D21" i="17"/>
  <c r="B178" i="65"/>
  <c r="D20" i="17"/>
  <c r="B178" i="105"/>
  <c r="D15" i="17"/>
  <c r="D14" i="17"/>
  <c r="C21" i="17"/>
  <c r="B171" i="65"/>
  <c r="C20" i="17"/>
  <c r="B171" i="105"/>
  <c r="C17" i="17"/>
  <c r="C16" i="17"/>
  <c r="C15" i="17"/>
  <c r="C14" i="17"/>
  <c r="C11" i="17"/>
  <c r="C10" i="17"/>
  <c r="D16" i="17"/>
  <c r="C83" i="9"/>
  <c r="B75" i="65"/>
  <c r="C89" i="9"/>
  <c r="B82" i="65"/>
  <c r="C28" i="9"/>
  <c r="C34" i="9"/>
  <c r="C42" i="9"/>
  <c r="C58" i="9"/>
  <c r="H244" i="9" s="1"/>
  <c r="D17" i="17"/>
  <c r="D11" i="17"/>
  <c r="D10" i="17"/>
  <c r="C46" i="9"/>
  <c r="B72" i="104" s="1"/>
  <c r="C48" i="9"/>
  <c r="B55" i="65"/>
  <c r="C77" i="9"/>
  <c r="I116" i="9"/>
  <c r="C101" i="9" s="1"/>
  <c r="I117" i="9"/>
  <c r="C102" i="9" s="1"/>
  <c r="C55" i="9"/>
  <c r="B73" i="65"/>
  <c r="B111" i="65" s="1"/>
  <c r="E111" i="65" s="1"/>
  <c r="I118" i="9"/>
  <c r="C103" i="9" s="1"/>
  <c r="C72" i="9"/>
  <c r="B178" i="104"/>
  <c r="B180" i="104" s="1"/>
  <c r="B104" i="65"/>
  <c r="B171" i="104"/>
  <c r="B174" i="104" s="1"/>
  <c r="B174" i="65"/>
  <c r="B70" i="105"/>
  <c r="B70" i="104"/>
  <c r="H99" i="105" l="1"/>
  <c r="I99" i="105" s="1"/>
  <c r="B42" i="104"/>
  <c r="H98" i="105"/>
  <c r="I98" i="105" s="1"/>
  <c r="C45" i="9"/>
  <c r="H99" i="104"/>
  <c r="I98" i="104" s="1"/>
  <c r="H99" i="65"/>
  <c r="I99" i="65" s="1"/>
  <c r="B72" i="105"/>
  <c r="B112" i="105" s="1"/>
  <c r="E112" i="105" s="1"/>
  <c r="F4" i="9"/>
  <c r="B104" i="104" s="1"/>
  <c r="B144" i="104" s="1"/>
  <c r="B242" i="9"/>
  <c r="B72" i="65"/>
  <c r="B112" i="65" s="1"/>
  <c r="E112" i="65" s="1"/>
  <c r="C70" i="9"/>
  <c r="B110" i="65"/>
  <c r="E110" i="65" s="1"/>
  <c r="B50" i="65"/>
  <c r="E243" i="9"/>
  <c r="I100" i="105"/>
  <c r="J100" i="105" s="1"/>
  <c r="C272" i="9"/>
  <c r="H98" i="65"/>
  <c r="I98" i="65" s="1"/>
  <c r="J101" i="104"/>
  <c r="H234" i="9"/>
  <c r="J99" i="105"/>
  <c r="B180" i="105"/>
  <c r="B62" i="104"/>
  <c r="B40" i="104" s="1"/>
  <c r="B50" i="104"/>
  <c r="B121" i="104"/>
  <c r="E121" i="104" s="1"/>
  <c r="B120" i="104"/>
  <c r="E120" i="104" s="1"/>
  <c r="B112" i="104"/>
  <c r="E112" i="104" s="1"/>
  <c r="B111" i="104"/>
  <c r="E111" i="104" s="1"/>
  <c r="B119" i="104"/>
  <c r="E119" i="104" s="1"/>
  <c r="B109" i="104"/>
  <c r="E109" i="104" s="1"/>
  <c r="B115" i="104"/>
  <c r="E115" i="104" s="1"/>
  <c r="B114" i="104"/>
  <c r="E114" i="104" s="1"/>
  <c r="B119" i="105"/>
  <c r="E119" i="105" s="1"/>
  <c r="B110" i="105"/>
  <c r="E110" i="105" s="1"/>
  <c r="B108" i="105"/>
  <c r="E108" i="105" s="1"/>
  <c r="B233" i="9"/>
  <c r="H235" i="9"/>
  <c r="B108" i="65"/>
  <c r="B59" i="65"/>
  <c r="B42" i="65" s="1"/>
  <c r="H98" i="104"/>
  <c r="B111" i="105"/>
  <c r="E111" i="105" s="1"/>
  <c r="B110" i="104"/>
  <c r="E110" i="104" s="1"/>
  <c r="I99" i="104"/>
  <c r="J99" i="104" s="1"/>
  <c r="B115" i="105"/>
  <c r="E115" i="105" s="1"/>
  <c r="B59" i="105"/>
  <c r="B62" i="105" s="1"/>
  <c r="B120" i="105"/>
  <c r="E120" i="105" s="1"/>
  <c r="B50" i="105"/>
  <c r="B77" i="105"/>
  <c r="B121" i="105"/>
  <c r="E121" i="105" s="1"/>
  <c r="B109" i="105"/>
  <c r="E109" i="105" s="1"/>
  <c r="B114" i="105"/>
  <c r="E114" i="105" s="1"/>
  <c r="E234" i="9"/>
  <c r="B115" i="65"/>
  <c r="E115" i="65" s="1"/>
  <c r="B120" i="65"/>
  <c r="E120" i="65" s="1"/>
  <c r="B119" i="65"/>
  <c r="E119" i="65" s="1"/>
  <c r="B121" i="65"/>
  <c r="E121" i="65" s="1"/>
  <c r="B109" i="65"/>
  <c r="E109" i="65" s="1"/>
  <c r="E104" i="65"/>
  <c r="B145" i="65" s="1"/>
  <c r="B114" i="65"/>
  <c r="E114" i="65" s="1"/>
  <c r="B144" i="65"/>
  <c r="C75" i="9"/>
  <c r="B108" i="104"/>
  <c r="E233" i="9"/>
  <c r="E98" i="65"/>
  <c r="E104" i="105"/>
  <c r="B145" i="105" s="1"/>
  <c r="B232" i="9"/>
  <c r="E99" i="65"/>
  <c r="J101" i="105"/>
  <c r="J101" i="65"/>
  <c r="E98" i="104"/>
  <c r="B77" i="104"/>
  <c r="B77" i="65"/>
  <c r="E98" i="105"/>
  <c r="E99" i="105"/>
  <c r="E100" i="65"/>
  <c r="E99" i="104"/>
  <c r="J100" i="104"/>
  <c r="E100" i="105"/>
  <c r="E104" i="104" l="1"/>
  <c r="B145" i="104" s="1"/>
  <c r="B21" i="104"/>
  <c r="B131" i="104"/>
  <c r="E131" i="104" s="1"/>
  <c r="B125" i="105"/>
  <c r="E125" i="105" s="1"/>
  <c r="B40" i="105"/>
  <c r="B83" i="104"/>
  <c r="B86" i="104" s="1"/>
  <c r="B116" i="104" s="1"/>
  <c r="E116" i="104" s="1"/>
  <c r="B42" i="105"/>
  <c r="B63" i="104"/>
  <c r="B128" i="104" s="1"/>
  <c r="E128" i="104" s="1"/>
  <c r="B117" i="104"/>
  <c r="E117" i="104" s="1"/>
  <c r="B117" i="105"/>
  <c r="E117" i="105" s="1"/>
  <c r="B43" i="104"/>
  <c r="E108" i="65"/>
  <c r="B22" i="105"/>
  <c r="B125" i="104"/>
  <c r="E125" i="104" s="1"/>
  <c r="B64" i="104"/>
  <c r="B22" i="104"/>
  <c r="B14" i="104" s="1"/>
  <c r="B25" i="104" s="1"/>
  <c r="B117" i="65"/>
  <c r="E117" i="65" s="1"/>
  <c r="B113" i="65"/>
  <c r="E113" i="65" s="1"/>
  <c r="E108" i="104"/>
  <c r="B21" i="105"/>
  <c r="B63" i="105"/>
  <c r="B128" i="105" s="1"/>
  <c r="E128" i="105" s="1"/>
  <c r="B131" i="105"/>
  <c r="E131" i="105" s="1"/>
  <c r="B62" i="65"/>
  <c r="B40" i="65" s="1"/>
  <c r="B124" i="65"/>
  <c r="E124" i="65" s="1"/>
  <c r="B126" i="104"/>
  <c r="E126" i="104" s="1"/>
  <c r="B223" i="104"/>
  <c r="B210" i="104" s="1"/>
  <c r="B113" i="104"/>
  <c r="E113" i="104" s="1"/>
  <c r="B43" i="105"/>
  <c r="B64" i="105"/>
  <c r="B83" i="105"/>
  <c r="B86" i="105" s="1"/>
  <c r="B116" i="105" s="1"/>
  <c r="E116" i="105" s="1"/>
  <c r="B227" i="105"/>
  <c r="B221" i="105" s="1"/>
  <c r="B113" i="105"/>
  <c r="E113" i="105" s="1"/>
  <c r="J98" i="104"/>
  <c r="J98" i="105"/>
  <c r="J99" i="65"/>
  <c r="B124" i="105"/>
  <c r="E124" i="105" s="1"/>
  <c r="B220" i="65"/>
  <c r="J98" i="65"/>
  <c r="B127" i="104" l="1"/>
  <c r="B118" i="104"/>
  <c r="E118" i="104" s="1"/>
  <c r="B146" i="104"/>
  <c r="B147" i="104" s="1"/>
  <c r="B129" i="104"/>
  <c r="E129" i="104" s="1"/>
  <c r="B118" i="105"/>
  <c r="E118" i="105" s="1"/>
  <c r="B211" i="104"/>
  <c r="B217" i="104"/>
  <c r="B212" i="104"/>
  <c r="B209" i="104"/>
  <c r="B213" i="104"/>
  <c r="B216" i="104"/>
  <c r="B215" i="104"/>
  <c r="B14" i="105"/>
  <c r="B25" i="105" s="1"/>
  <c r="B27" i="105" s="1"/>
  <c r="B34" i="105" s="1"/>
  <c r="B127" i="105"/>
  <c r="E127" i="105" s="1"/>
  <c r="B146" i="105"/>
  <c r="B147" i="105" s="1"/>
  <c r="B218" i="105"/>
  <c r="B129" i="105"/>
  <c r="E129" i="105" s="1"/>
  <c r="B212" i="105"/>
  <c r="B217" i="105"/>
  <c r="B216" i="105"/>
  <c r="B29" i="104"/>
  <c r="B134" i="104"/>
  <c r="E134" i="104" s="1"/>
  <c r="B133" i="104"/>
  <c r="E133" i="104" s="1"/>
  <c r="B132" i="104"/>
  <c r="B219" i="105"/>
  <c r="B211" i="105"/>
  <c r="B215" i="105"/>
  <c r="B83" i="65"/>
  <c r="B86" i="65" s="1"/>
  <c r="B116" i="65" s="1"/>
  <c r="E116" i="65" s="1"/>
  <c r="B125" i="65"/>
  <c r="E125" i="65" s="1"/>
  <c r="B131" i="65"/>
  <c r="E131" i="65" s="1"/>
  <c r="B43" i="65"/>
  <c r="B118" i="65" s="1"/>
  <c r="E118" i="65" s="1"/>
  <c r="B21" i="65"/>
  <c r="B22" i="65"/>
  <c r="B63" i="65"/>
  <c r="B124" i="104"/>
  <c r="E124" i="104" s="1"/>
  <c r="C206" i="104"/>
  <c r="G206" i="104" s="1"/>
  <c r="B214" i="104"/>
  <c r="B207" i="104"/>
  <c r="B206" i="104"/>
  <c r="B208" i="104"/>
  <c r="B133" i="105"/>
  <c r="E133" i="105" s="1"/>
  <c r="B134" i="105"/>
  <c r="E134" i="105" s="1"/>
  <c r="B132" i="105"/>
  <c r="B126" i="105"/>
  <c r="E126" i="105" s="1"/>
  <c r="B213" i="105"/>
  <c r="C210" i="105"/>
  <c r="G210" i="105" s="1"/>
  <c r="B220" i="105"/>
  <c r="B214" i="105"/>
  <c r="B210" i="105"/>
  <c r="E127" i="104"/>
  <c r="B127" i="65"/>
  <c r="E127" i="65" s="1"/>
  <c r="B128" i="65"/>
  <c r="E128" i="65" s="1"/>
  <c r="B212" i="65"/>
  <c r="B213" i="65"/>
  <c r="B208" i="65"/>
  <c r="B209" i="65"/>
  <c r="B206" i="65"/>
  <c r="B204" i="65"/>
  <c r="B205" i="65"/>
  <c r="B207" i="65"/>
  <c r="B210" i="65"/>
  <c r="B211" i="65"/>
  <c r="B203" i="65"/>
  <c r="B214" i="65"/>
  <c r="C203" i="65"/>
  <c r="G203" i="65" s="1"/>
  <c r="B27" i="104"/>
  <c r="B34" i="104" s="1"/>
  <c r="B130" i="104" l="1"/>
  <c r="E130" i="104" s="1"/>
  <c r="E137" i="104"/>
  <c r="E138" i="104" s="1"/>
  <c r="B141" i="104" s="1"/>
  <c r="B153" i="104" s="1"/>
  <c r="E137" i="105"/>
  <c r="B14" i="65"/>
  <c r="B29" i="65" s="1"/>
  <c r="B26" i="105"/>
  <c r="B33" i="105" s="1"/>
  <c r="B29" i="105"/>
  <c r="E132" i="104"/>
  <c r="B135" i="104"/>
  <c r="E135" i="104" s="1"/>
  <c r="F217" i="104"/>
  <c r="F206" i="104"/>
  <c r="H205" i="104" s="1"/>
  <c r="F210" i="104"/>
  <c r="F214" i="104"/>
  <c r="F215" i="104"/>
  <c r="F211" i="104"/>
  <c r="F208" i="104"/>
  <c r="F209" i="104"/>
  <c r="F218" i="104"/>
  <c r="H217" i="104" s="1"/>
  <c r="F213" i="104"/>
  <c r="F216" i="104"/>
  <c r="F207" i="104"/>
  <c r="F212" i="104"/>
  <c r="B140" i="104"/>
  <c r="B130" i="105"/>
  <c r="E130" i="105" s="1"/>
  <c r="B137" i="105"/>
  <c r="B138" i="105" s="1"/>
  <c r="B151" i="105" s="1"/>
  <c r="D206" i="104"/>
  <c r="E206" i="104" s="1"/>
  <c r="C207" i="104" s="1"/>
  <c r="B157" i="104"/>
  <c r="B158" i="104" s="1"/>
  <c r="I218" i="104" s="1"/>
  <c r="B165" i="104"/>
  <c r="B166" i="104" s="1"/>
  <c r="B137" i="104"/>
  <c r="B138" i="104" s="1"/>
  <c r="B151" i="104" s="1"/>
  <c r="B64" i="65"/>
  <c r="B129" i="65"/>
  <c r="E129" i="65" s="1"/>
  <c r="B146" i="65"/>
  <c r="B147" i="65" s="1"/>
  <c r="B152" i="104"/>
  <c r="B140" i="105"/>
  <c r="E138" i="105"/>
  <c r="B141" i="105" s="1"/>
  <c r="B153" i="105" s="1"/>
  <c r="B152" i="105" s="1"/>
  <c r="E132" i="105"/>
  <c r="B135" i="105"/>
  <c r="E135" i="105" s="1"/>
  <c r="F219" i="105"/>
  <c r="F214" i="105"/>
  <c r="F210" i="105"/>
  <c r="H210" i="105" s="1"/>
  <c r="F217" i="105"/>
  <c r="F211" i="105"/>
  <c r="F218" i="105"/>
  <c r="F216" i="105"/>
  <c r="F222" i="105"/>
  <c r="H222" i="105" s="1"/>
  <c r="F221" i="105"/>
  <c r="F212" i="105"/>
  <c r="F215" i="105"/>
  <c r="F220" i="105"/>
  <c r="F213" i="105"/>
  <c r="D210" i="105"/>
  <c r="E210" i="105" s="1"/>
  <c r="C211" i="105" s="1"/>
  <c r="G211" i="105" s="1"/>
  <c r="D203" i="65"/>
  <c r="E203" i="65" s="1"/>
  <c r="B26" i="104"/>
  <c r="B33" i="104" s="1"/>
  <c r="B25" i="65" l="1"/>
  <c r="B27" i="65" s="1"/>
  <c r="B34" i="65" s="1"/>
  <c r="I206" i="104"/>
  <c r="H211" i="105"/>
  <c r="B165" i="105"/>
  <c r="B166" i="105" s="1"/>
  <c r="B157" i="105"/>
  <c r="B158" i="105" s="1"/>
  <c r="I210" i="105" s="1"/>
  <c r="D211" i="105"/>
  <c r="E211" i="105" s="1"/>
  <c r="C212" i="105" s="1"/>
  <c r="D212" i="105" s="1"/>
  <c r="E212" i="105" s="1"/>
  <c r="B126" i="65"/>
  <c r="B133" i="65"/>
  <c r="E133" i="65" s="1"/>
  <c r="B134" i="65"/>
  <c r="E134" i="65" s="1"/>
  <c r="F212" i="65" s="1"/>
  <c r="B132" i="65"/>
  <c r="C204" i="65"/>
  <c r="B26" i="65"/>
  <c r="B33" i="65" s="1"/>
  <c r="G207" i="104"/>
  <c r="H206" i="104" s="1"/>
  <c r="I207" i="104" s="1"/>
  <c r="D207" i="104"/>
  <c r="E207" i="104" s="1"/>
  <c r="G212" i="105" l="1"/>
  <c r="H212" i="105" s="1"/>
  <c r="I212" i="105" s="1"/>
  <c r="I211" i="105"/>
  <c r="I222" i="105"/>
  <c r="E126" i="65"/>
  <c r="E137" i="65" s="1"/>
  <c r="B137" i="65"/>
  <c r="B138" i="65" s="1"/>
  <c r="B151" i="65" s="1"/>
  <c r="B130" i="65"/>
  <c r="E130" i="65" s="1"/>
  <c r="E132" i="65"/>
  <c r="B135" i="65"/>
  <c r="E135" i="65" s="1"/>
  <c r="F203" i="65"/>
  <c r="H203" i="65" s="1"/>
  <c r="F209" i="65"/>
  <c r="F215" i="65"/>
  <c r="H215" i="65" s="1"/>
  <c r="F208" i="65"/>
  <c r="F204" i="65"/>
  <c r="F205" i="65"/>
  <c r="F213" i="65"/>
  <c r="F211" i="65"/>
  <c r="F207" i="65"/>
  <c r="F210" i="65"/>
  <c r="F206" i="65"/>
  <c r="F214" i="65"/>
  <c r="C208" i="104"/>
  <c r="C213" i="105"/>
  <c r="G204" i="65"/>
  <c r="D204" i="65"/>
  <c r="E204" i="65" s="1"/>
  <c r="H204" i="65" l="1"/>
  <c r="E138" i="65"/>
  <c r="B140" i="65"/>
  <c r="C205" i="65"/>
  <c r="G213" i="105"/>
  <c r="H213" i="105" s="1"/>
  <c r="I213" i="105" s="1"/>
  <c r="D213" i="105"/>
  <c r="E213" i="105" s="1"/>
  <c r="G208" i="104"/>
  <c r="H207" i="104" s="1"/>
  <c r="I208" i="104" s="1"/>
  <c r="D208" i="104"/>
  <c r="E208" i="104" s="1"/>
  <c r="B141" i="65" l="1"/>
  <c r="C214" i="105"/>
  <c r="C209" i="104"/>
  <c r="G205" i="65"/>
  <c r="H205" i="65" s="1"/>
  <c r="D205" i="65"/>
  <c r="E205" i="65" s="1"/>
  <c r="B153" i="65" l="1"/>
  <c r="G209" i="104"/>
  <c r="H208" i="104" s="1"/>
  <c r="I209" i="104" s="1"/>
  <c r="D209" i="104"/>
  <c r="E209" i="104" s="1"/>
  <c r="G214" i="105"/>
  <c r="H214" i="105" s="1"/>
  <c r="I214" i="105" s="1"/>
  <c r="D214" i="105"/>
  <c r="E214" i="105" s="1"/>
  <c r="C206" i="65"/>
  <c r="B152" i="65" l="1"/>
  <c r="B165" i="65"/>
  <c r="B166" i="65" s="1"/>
  <c r="B157" i="65"/>
  <c r="B158" i="65" s="1"/>
  <c r="G206" i="65"/>
  <c r="H206" i="65" s="1"/>
  <c r="D206" i="65"/>
  <c r="E206" i="65" s="1"/>
  <c r="C210" i="104"/>
  <c r="C215" i="105"/>
  <c r="I204" i="65" l="1"/>
  <c r="I203" i="65"/>
  <c r="I215" i="65"/>
  <c r="I205" i="65"/>
  <c r="I206" i="65"/>
  <c r="G210" i="104"/>
  <c r="H209" i="104" s="1"/>
  <c r="I210" i="104" s="1"/>
  <c r="D210" i="104"/>
  <c r="E210" i="104" s="1"/>
  <c r="G215" i="105"/>
  <c r="H215" i="105" s="1"/>
  <c r="I215" i="105" s="1"/>
  <c r="D215" i="105"/>
  <c r="E215" i="105" s="1"/>
  <c r="C207" i="65"/>
  <c r="G207" i="65" l="1"/>
  <c r="H207" i="65" s="1"/>
  <c r="I207" i="65" s="1"/>
  <c r="D207" i="65"/>
  <c r="E207" i="65" s="1"/>
  <c r="C216" i="105"/>
  <c r="C211" i="104"/>
  <c r="G216" i="105" l="1"/>
  <c r="H216" i="105" s="1"/>
  <c r="I216" i="105" s="1"/>
  <c r="D216" i="105"/>
  <c r="E216" i="105" s="1"/>
  <c r="G211" i="104"/>
  <c r="H210" i="104" s="1"/>
  <c r="I211" i="104" s="1"/>
  <c r="D211" i="104"/>
  <c r="E211" i="104" s="1"/>
  <c r="C208" i="65"/>
  <c r="C212" i="104" l="1"/>
  <c r="G208" i="65"/>
  <c r="H208" i="65" s="1"/>
  <c r="I208" i="65" s="1"/>
  <c r="D208" i="65"/>
  <c r="E208" i="65" s="1"/>
  <c r="C217" i="105"/>
  <c r="G217" i="105" l="1"/>
  <c r="H217" i="105" s="1"/>
  <c r="I217" i="105" s="1"/>
  <c r="D217" i="105"/>
  <c r="E217" i="105" s="1"/>
  <c r="C209" i="65"/>
  <c r="G212" i="104"/>
  <c r="H211" i="104" s="1"/>
  <c r="I212" i="104" s="1"/>
  <c r="D212" i="104"/>
  <c r="E212" i="104" s="1"/>
  <c r="C213" i="104" l="1"/>
  <c r="C218" i="105"/>
  <c r="G209" i="65"/>
  <c r="H209" i="65" s="1"/>
  <c r="I209" i="65" s="1"/>
  <c r="D209" i="65"/>
  <c r="E209" i="65" s="1"/>
  <c r="G218" i="105" l="1"/>
  <c r="H218" i="105" s="1"/>
  <c r="I218" i="105" s="1"/>
  <c r="D218" i="105"/>
  <c r="E218" i="105" s="1"/>
  <c r="G213" i="104"/>
  <c r="H212" i="104" s="1"/>
  <c r="I213" i="104" s="1"/>
  <c r="D213" i="104"/>
  <c r="E213" i="104" s="1"/>
  <c r="C210" i="65"/>
  <c r="C214" i="104" l="1"/>
  <c r="G210" i="65"/>
  <c r="H210" i="65" s="1"/>
  <c r="I210" i="65" s="1"/>
  <c r="D210" i="65"/>
  <c r="E210" i="65" s="1"/>
  <c r="C219" i="105"/>
  <c r="G214" i="104" l="1"/>
  <c r="H213" i="104" s="1"/>
  <c r="I214" i="104" s="1"/>
  <c r="D214" i="104"/>
  <c r="E214" i="104" s="1"/>
  <c r="G219" i="105"/>
  <c r="H219" i="105" s="1"/>
  <c r="I219" i="105" s="1"/>
  <c r="D219" i="105"/>
  <c r="E219" i="105" s="1"/>
  <c r="C211" i="65"/>
  <c r="C215" i="104" l="1"/>
  <c r="G211" i="65"/>
  <c r="H211" i="65" s="1"/>
  <c r="I211" i="65" s="1"/>
  <c r="D211" i="65"/>
  <c r="E211" i="65" s="1"/>
  <c r="C220" i="105"/>
  <c r="G220" i="105" l="1"/>
  <c r="H220" i="105" s="1"/>
  <c r="I220" i="105" s="1"/>
  <c r="D220" i="105"/>
  <c r="E220" i="105" s="1"/>
  <c r="G215" i="104"/>
  <c r="H214" i="104" s="1"/>
  <c r="I215" i="104" s="1"/>
  <c r="D215" i="104"/>
  <c r="E215" i="104" s="1"/>
  <c r="C212" i="65"/>
  <c r="C221" i="105" l="1"/>
  <c r="G212" i="65"/>
  <c r="H212" i="65" s="1"/>
  <c r="I212" i="65" s="1"/>
  <c r="D212" i="65"/>
  <c r="E212" i="65" s="1"/>
  <c r="C216" i="104"/>
  <c r="G216" i="104" l="1"/>
  <c r="H215" i="104" s="1"/>
  <c r="I216" i="104" s="1"/>
  <c r="D216" i="104"/>
  <c r="E216" i="104" s="1"/>
  <c r="G221" i="105"/>
  <c r="H221" i="105" s="1"/>
  <c r="I221" i="105" s="1"/>
  <c r="B161" i="105" s="1"/>
  <c r="D221" i="105"/>
  <c r="E221" i="105" s="1"/>
  <c r="C213" i="65"/>
  <c r="C217" i="104" l="1"/>
  <c r="G213" i="65"/>
  <c r="H213" i="65" s="1"/>
  <c r="I213" i="65" s="1"/>
  <c r="D213" i="65"/>
  <c r="E213" i="65" s="1"/>
  <c r="C214" i="65" l="1"/>
  <c r="G217" i="104"/>
  <c r="H216" i="104" s="1"/>
  <c r="I217" i="104" s="1"/>
  <c r="B161" i="104" s="1"/>
  <c r="D217" i="104"/>
  <c r="E217" i="104" s="1"/>
  <c r="G214" i="65" l="1"/>
  <c r="H214" i="65" s="1"/>
  <c r="I214" i="65" s="1"/>
  <c r="B161" i="65" s="1"/>
  <c r="D214" i="65"/>
  <c r="E214" i="6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Vissers, Luuk</author>
  </authors>
  <commentList>
    <comment ref="C4" authorId="0" shapeId="0" xr:uid="{A0CE88C9-8DA7-4F7E-A36A-3115348608DA}">
      <text>
        <r>
          <rPr>
            <b/>
            <sz val="9"/>
            <color indexed="81"/>
            <rFont val="Tahoma"/>
            <family val="2"/>
          </rPr>
          <t>Vissers, Luuk:</t>
        </r>
        <r>
          <rPr>
            <sz val="9"/>
            <color indexed="81"/>
            <rFont val="Tahoma"/>
            <family val="2"/>
          </rPr>
          <t xml:space="preserve">
KWIN 2019-2020</t>
        </r>
      </text>
    </comment>
    <comment ref="C5" authorId="0" shapeId="0" xr:uid="{6C905BA6-9980-47C4-A8BC-9D044C8025C1}">
      <text>
        <r>
          <rPr>
            <b/>
            <sz val="9"/>
            <color indexed="81"/>
            <rFont val="Tahoma"/>
            <family val="2"/>
          </rPr>
          <t>Vissers, Luuk:</t>
        </r>
        <r>
          <rPr>
            <sz val="9"/>
            <color indexed="81"/>
            <rFont val="Tahoma"/>
            <family val="2"/>
          </rPr>
          <t xml:space="preserve">
KWIN 2019-2020</t>
        </r>
      </text>
    </comment>
    <comment ref="C6" authorId="0" shapeId="0" xr:uid="{F5528203-6D2B-4E9F-A7E4-837E7186D262}">
      <text>
        <r>
          <rPr>
            <b/>
            <sz val="9"/>
            <color indexed="81"/>
            <rFont val="Tahoma"/>
            <family val="2"/>
          </rPr>
          <t>Vissers, Luuk:</t>
        </r>
        <r>
          <rPr>
            <sz val="9"/>
            <color indexed="81"/>
            <rFont val="Tahoma"/>
            <family val="2"/>
          </rPr>
          <t xml:space="preserve">
KWIN 2019-2020</t>
        </r>
      </text>
    </comment>
    <comment ref="C19" authorId="0" shapeId="0" xr:uid="{5C19F545-D6FC-4889-B49F-8BA489B948BB}">
      <text>
        <r>
          <rPr>
            <b/>
            <sz val="9"/>
            <color indexed="81"/>
            <rFont val="Tahoma"/>
            <family val="2"/>
          </rPr>
          <t>Vissers, Luuk:</t>
        </r>
        <r>
          <rPr>
            <sz val="9"/>
            <color indexed="81"/>
            <rFont val="Tahoma"/>
            <family val="2"/>
          </rPr>
          <t xml:space="preserve">
KWIN 2019-2020</t>
        </r>
      </text>
    </comment>
    <comment ref="C20" authorId="0" shapeId="0" xr:uid="{5D2F1DB7-E00F-42F9-A676-75F9CA7736C9}">
      <text>
        <r>
          <rPr>
            <b/>
            <sz val="9"/>
            <color indexed="81"/>
            <rFont val="Tahoma"/>
            <family val="2"/>
          </rPr>
          <t>Vissers, Luuk:</t>
        </r>
        <r>
          <rPr>
            <sz val="9"/>
            <color indexed="81"/>
            <rFont val="Tahoma"/>
            <family val="2"/>
          </rPr>
          <t xml:space="preserve">
KWIN 2019-2020</t>
        </r>
      </text>
    </comment>
    <comment ref="C21" authorId="0" shapeId="0" xr:uid="{8A98E393-0ADF-4360-A525-25B00C7A9E19}">
      <text>
        <r>
          <rPr>
            <b/>
            <sz val="9"/>
            <color indexed="81"/>
            <rFont val="Tahoma"/>
            <family val="2"/>
          </rPr>
          <t>Vissers, Luuk:</t>
        </r>
        <r>
          <rPr>
            <sz val="9"/>
            <color indexed="81"/>
            <rFont val="Tahoma"/>
            <family val="2"/>
          </rPr>
          <t xml:space="preserve">
KWIN 2019-2020</t>
        </r>
      </text>
    </comment>
    <comment ref="C25" authorId="0" shapeId="0" xr:uid="{00000000-0006-0000-0200-00000C000000}">
      <text>
        <r>
          <rPr>
            <b/>
            <sz val="9"/>
            <color indexed="81"/>
            <rFont val="Tahoma"/>
            <family val="2"/>
          </rPr>
          <t>Vissers, Luuk:</t>
        </r>
        <r>
          <rPr>
            <sz val="9"/>
            <color indexed="81"/>
            <rFont val="Tahoma"/>
            <family val="2"/>
          </rPr>
          <t xml:space="preserve">
KWIN 2019-2020 p. 343</t>
        </r>
      </text>
    </comment>
    <comment ref="C26" authorId="0" shapeId="0" xr:uid="{00000000-0006-0000-0200-00000D000000}">
      <text>
        <r>
          <rPr>
            <b/>
            <sz val="9"/>
            <color indexed="81"/>
            <rFont val="Tahoma"/>
            <family val="2"/>
          </rPr>
          <t>Vissers, Luuk:</t>
        </r>
        <r>
          <rPr>
            <sz val="9"/>
            <color indexed="81"/>
            <rFont val="Tahoma"/>
            <family val="2"/>
          </rPr>
          <t xml:space="preserve">
KWIN 2019-2020 p. 345</t>
        </r>
      </text>
    </comment>
    <comment ref="C27" authorId="0" shapeId="0" xr:uid="{00000000-0006-0000-0200-00000E000000}">
      <text>
        <r>
          <rPr>
            <b/>
            <sz val="9"/>
            <color indexed="81"/>
            <rFont val="Tahoma"/>
            <family val="2"/>
          </rPr>
          <t>Vissers, Luuk:</t>
        </r>
        <r>
          <rPr>
            <sz val="9"/>
            <color indexed="81"/>
            <rFont val="Tahoma"/>
            <family val="2"/>
          </rPr>
          <t xml:space="preserve">
KWIN 2019-2020 p. 346</t>
        </r>
      </text>
    </comment>
    <comment ref="C28" authorId="0" shapeId="0" xr:uid="{00000000-0006-0000-0200-00000F000000}">
      <text>
        <r>
          <rPr>
            <b/>
            <sz val="9"/>
            <color indexed="81"/>
            <rFont val="Tahoma"/>
            <family val="2"/>
          </rPr>
          <t>Vissers, Luuk:</t>
        </r>
        <r>
          <rPr>
            <sz val="9"/>
            <color indexed="81"/>
            <rFont val="Tahoma"/>
            <family val="2"/>
          </rPr>
          <t xml:space="preserve">
KWIN 2019-2020 p. 345</t>
        </r>
      </text>
    </comment>
    <comment ref="C31" authorId="0" shapeId="0" xr:uid="{00000000-0006-0000-0200-000010000000}">
      <text>
        <r>
          <rPr>
            <b/>
            <sz val="9"/>
            <color indexed="81"/>
            <rFont val="Tahoma"/>
            <family val="2"/>
          </rPr>
          <t>Vissers, Luuk:</t>
        </r>
        <r>
          <rPr>
            <sz val="9"/>
            <color indexed="81"/>
            <rFont val="Tahoma"/>
            <family val="2"/>
          </rPr>
          <t xml:space="preserve">
KWIN 2019-2020 p. 343</t>
        </r>
      </text>
    </comment>
    <comment ref="C32" authorId="0" shapeId="0" xr:uid="{00000000-0006-0000-0200-000011000000}">
      <text>
        <r>
          <rPr>
            <b/>
            <sz val="9"/>
            <color indexed="81"/>
            <rFont val="Tahoma"/>
            <family val="2"/>
          </rPr>
          <t>Vissers, Luuk:</t>
        </r>
        <r>
          <rPr>
            <sz val="9"/>
            <color indexed="81"/>
            <rFont val="Tahoma"/>
            <family val="2"/>
          </rPr>
          <t xml:space="preserve">
KWIN 2019-2020 p.345</t>
        </r>
      </text>
    </comment>
    <comment ref="C39" authorId="0" shapeId="0" xr:uid="{00000000-0006-0000-0200-000012000000}">
      <text>
        <r>
          <rPr>
            <b/>
            <sz val="9"/>
            <color indexed="81"/>
            <rFont val="Tahoma"/>
            <family val="2"/>
          </rPr>
          <t>Vissers, Luuk:</t>
        </r>
        <r>
          <rPr>
            <sz val="9"/>
            <color indexed="81"/>
            <rFont val="Tahoma"/>
            <family val="2"/>
          </rPr>
          <t xml:space="preserve">
KWIN 2018-2019 </t>
        </r>
      </text>
    </comment>
    <comment ref="C40" authorId="0" shapeId="0" xr:uid="{00000000-0006-0000-0200-000013000000}">
      <text>
        <r>
          <rPr>
            <b/>
            <sz val="9"/>
            <color indexed="81"/>
            <rFont val="Tahoma"/>
            <family val="2"/>
          </rPr>
          <t>Vissers, Luuk:</t>
        </r>
        <r>
          <rPr>
            <sz val="9"/>
            <color indexed="81"/>
            <rFont val="Tahoma"/>
            <family val="2"/>
          </rPr>
          <t xml:space="preserve">
KWIN 2019-2020 p. 345</t>
        </r>
      </text>
    </comment>
    <comment ref="C41" authorId="0" shapeId="0" xr:uid="{00000000-0006-0000-0200-000014000000}">
      <text>
        <r>
          <rPr>
            <b/>
            <sz val="9"/>
            <color indexed="81"/>
            <rFont val="Tahoma"/>
            <family val="2"/>
          </rPr>
          <t>Vissers, Luuk:</t>
        </r>
        <r>
          <rPr>
            <sz val="9"/>
            <color indexed="81"/>
            <rFont val="Tahoma"/>
            <family val="2"/>
          </rPr>
          <t xml:space="preserve">
KWIN 2019-2020 p.346</t>
        </r>
      </text>
    </comment>
    <comment ref="C48" authorId="0" shapeId="0" xr:uid="{00000000-0006-0000-0200-000017000000}">
      <text>
        <r>
          <rPr>
            <b/>
            <sz val="9"/>
            <color indexed="81"/>
            <rFont val="Tahoma"/>
            <family val="2"/>
          </rPr>
          <t>Vissers, Luuk:</t>
        </r>
        <r>
          <rPr>
            <sz val="9"/>
            <color indexed="81"/>
            <rFont val="Tahoma"/>
            <family val="2"/>
          </rPr>
          <t xml:space="preserve">
Oosterkamp et al., 2010
Grains 14 euro/100kg</t>
        </r>
      </text>
    </comment>
    <comment ref="C52" authorId="0" shapeId="0" xr:uid="{00000000-0006-0000-0200-000018000000}">
      <text>
        <r>
          <rPr>
            <b/>
            <sz val="9"/>
            <color indexed="81"/>
            <rFont val="Tahoma"/>
            <family val="2"/>
          </rPr>
          <t>Vissers, Luuk:</t>
        </r>
        <r>
          <rPr>
            <sz val="9"/>
            <color indexed="81"/>
            <rFont val="Tahoma"/>
            <family val="2"/>
          </rPr>
          <t xml:space="preserve">
WKIN 2019-2020 p. 344</t>
        </r>
      </text>
    </comment>
    <comment ref="C53" authorId="0" shapeId="0" xr:uid="{00000000-0006-0000-0200-000019000000}">
      <text>
        <r>
          <rPr>
            <b/>
            <sz val="9"/>
            <color indexed="81"/>
            <rFont val="Tahoma"/>
            <family val="2"/>
          </rPr>
          <t>Vissers, Luuk:</t>
        </r>
        <r>
          <rPr>
            <sz val="9"/>
            <color indexed="81"/>
            <rFont val="Tahoma"/>
            <family val="2"/>
          </rPr>
          <t xml:space="preserve">
KWIN 2019-2020 p.345</t>
        </r>
      </text>
    </comment>
    <comment ref="C55" authorId="0" shapeId="0" xr:uid="{00000000-0006-0000-0200-00001A000000}">
      <text>
        <r>
          <rPr>
            <b/>
            <sz val="9"/>
            <color indexed="81"/>
            <rFont val="Tahoma"/>
            <family val="2"/>
          </rPr>
          <t>Vissers, Luuk:</t>
        </r>
        <r>
          <rPr>
            <sz val="9"/>
            <color indexed="81"/>
            <rFont val="Tahoma"/>
            <family val="2"/>
          </rPr>
          <t xml:space="preserve">
Kosten per euro per kg droge stof
verkoop op stam: 0.103 euro per kg droge stof
Oogst 0.028 euro per kg droge stof
Transport 0.007 euro per kg droge stof
KWIN 2019-2020 p. 130
Advies: 1.5 - 2 kg per m2 staloppervlak
Proeftuin Natura 2000
https://agriconnect.nl/system/files/documenten/boek/wetenschappelijke_factsheet_snijmais_als_strooisel.pdf
Kosten snijmais per eurocents/m2/round:
=((0.138+0.103+0.028+0.007)*1.75)*100= 48.30</t>
        </r>
      </text>
    </comment>
    <comment ref="C58" authorId="0" shapeId="0" xr:uid="{00000000-0006-0000-0200-00001B000000}">
      <text>
        <r>
          <rPr>
            <b/>
            <sz val="9"/>
            <color indexed="81"/>
            <rFont val="Tahoma"/>
            <family val="2"/>
          </rPr>
          <t>Vissers, Luuk:</t>
        </r>
        <r>
          <rPr>
            <sz val="9"/>
            <color indexed="81"/>
            <rFont val="Tahoma"/>
            <family val="2"/>
          </rPr>
          <t xml:space="preserve">
KWIN 2019-2020 (pag. 62)
Bruto loonkosten ondernemer = 65.226 euro
arbeidsuren = 2349 uur
Uurloon = 65225/2349=27.77</t>
        </r>
      </text>
    </comment>
    <comment ref="C59" authorId="0" shapeId="0" xr:uid="{00000000-0006-0000-0200-00001C000000}">
      <text>
        <r>
          <rPr>
            <b/>
            <sz val="9"/>
            <color indexed="81"/>
            <rFont val="Tahoma"/>
            <family val="2"/>
          </rPr>
          <t>Vissers, Luuk:</t>
        </r>
        <r>
          <rPr>
            <sz val="9"/>
            <color indexed="81"/>
            <rFont val="Tahoma"/>
            <family val="2"/>
          </rPr>
          <t xml:space="preserve">
KWIN 2019-2020 (pag. 90)
Arbeidskosten loonwerker is 37,72 per uur</t>
        </r>
      </text>
    </comment>
    <comment ref="C62" authorId="0" shapeId="0" xr:uid="{00000000-0006-0000-0200-00001D000000}">
      <text>
        <r>
          <rPr>
            <b/>
            <sz val="9"/>
            <color indexed="81"/>
            <rFont val="Tahoma"/>
            <family val="2"/>
          </rPr>
          <t>Vissers, Luuk:</t>
        </r>
        <r>
          <rPr>
            <sz val="9"/>
            <color indexed="81"/>
            <rFont val="Tahoma"/>
            <family val="2"/>
          </rPr>
          <t xml:space="preserve">
KWIN 2018-2019 p. 342</t>
        </r>
      </text>
    </comment>
    <comment ref="C63" authorId="0" shapeId="0" xr:uid="{00000000-0006-0000-0200-00001E000000}">
      <text>
        <r>
          <rPr>
            <b/>
            <sz val="9"/>
            <color indexed="81"/>
            <rFont val="Tahoma"/>
            <family val="2"/>
          </rPr>
          <t>Vissers, Luuk:</t>
        </r>
        <r>
          <rPr>
            <sz val="9"/>
            <color indexed="81"/>
            <rFont val="Tahoma"/>
            <family val="2"/>
          </rPr>
          <t xml:space="preserve">
KWIN 2018-2019 p.344</t>
        </r>
      </text>
    </comment>
    <comment ref="C64" authorId="0" shapeId="0" xr:uid="{00000000-0006-0000-0200-00001F000000}">
      <text>
        <r>
          <rPr>
            <b/>
            <sz val="9"/>
            <color indexed="81"/>
            <rFont val="Tahoma"/>
            <family val="2"/>
          </rPr>
          <t>Vissers, Luuk:</t>
        </r>
        <r>
          <rPr>
            <sz val="9"/>
            <color indexed="81"/>
            <rFont val="Tahoma"/>
            <family val="2"/>
          </rPr>
          <t xml:space="preserve">
gebaseerd op extensive indoor+ systeem, KWIN 2018-2019</t>
        </r>
      </text>
    </comment>
    <comment ref="C65" authorId="0" shapeId="0" xr:uid="{00000000-0006-0000-0200-000020000000}">
      <text>
        <r>
          <rPr>
            <b/>
            <sz val="9"/>
            <color indexed="81"/>
            <rFont val="Tahoma"/>
            <family val="2"/>
          </rPr>
          <t>Vissers, Luuk:</t>
        </r>
        <r>
          <rPr>
            <sz val="9"/>
            <color indexed="81"/>
            <rFont val="Tahoma"/>
            <family val="2"/>
          </rPr>
          <t xml:space="preserve">
gebaseerd op extensive indoor+ systeem, KWIN 2018-2019</t>
        </r>
      </text>
    </comment>
    <comment ref="C66" authorId="0" shapeId="0" xr:uid="{00000000-0006-0000-0200-000021000000}">
      <text>
        <r>
          <rPr>
            <b/>
            <sz val="9"/>
            <color indexed="81"/>
            <rFont val="Tahoma"/>
            <family val="2"/>
          </rPr>
          <t>Vissers, Luuk:</t>
        </r>
        <r>
          <rPr>
            <sz val="9"/>
            <color indexed="81"/>
            <rFont val="Tahoma"/>
            <family val="2"/>
          </rPr>
          <t xml:space="preserve">
KWIN 2019-2020</t>
        </r>
      </text>
    </comment>
    <comment ref="A68" authorId="0" shapeId="0" xr:uid="{00000000-0006-0000-0200-000022000000}">
      <text>
        <r>
          <rPr>
            <b/>
            <sz val="9"/>
            <color indexed="81"/>
            <rFont val="Tahoma"/>
            <family val="2"/>
          </rPr>
          <t>Vissers, Luuk:</t>
        </r>
        <r>
          <rPr>
            <sz val="9"/>
            <color indexed="81"/>
            <rFont val="Tahoma"/>
            <family val="2"/>
          </rPr>
          <t xml:space="preserve">
KWIN 2018-2019
Formula:
DOC price + (0.5*feed costs)) * interest % * (length growth period /365)</t>
        </r>
      </text>
    </comment>
    <comment ref="C71" authorId="0" shapeId="0" xr:uid="{00000000-0006-0000-0200-000024000000}">
      <text>
        <r>
          <rPr>
            <b/>
            <sz val="9"/>
            <color indexed="81"/>
            <rFont val="Tahoma"/>
            <family val="2"/>
          </rPr>
          <t>Vissers, Luuk:</t>
        </r>
        <r>
          <rPr>
            <sz val="9"/>
            <color indexed="81"/>
            <rFont val="Tahoma"/>
            <family val="2"/>
          </rPr>
          <t xml:space="preserve">
KWIN 2019-2020</t>
        </r>
      </text>
    </comment>
    <comment ref="C76" authorId="0" shapeId="0" xr:uid="{00000000-0006-0000-0200-000026000000}">
      <text>
        <r>
          <rPr>
            <b/>
            <sz val="9"/>
            <color indexed="81"/>
            <rFont val="Tahoma"/>
            <family val="2"/>
          </rPr>
          <t>Vissers, Luuk:</t>
        </r>
        <r>
          <rPr>
            <sz val="9"/>
            <color indexed="81"/>
            <rFont val="Tahoma"/>
            <family val="2"/>
          </rPr>
          <t xml:space="preserve">
KWIN 2019-2020</t>
        </r>
      </text>
    </comment>
    <comment ref="C80" authorId="0" shapeId="0" xr:uid="{00000000-0006-0000-0200-000027000000}">
      <text>
        <r>
          <rPr>
            <b/>
            <sz val="9"/>
            <color indexed="81"/>
            <rFont val="Tahoma"/>
            <family val="2"/>
          </rPr>
          <t>Vissers, Luuk:</t>
        </r>
        <r>
          <rPr>
            <sz val="9"/>
            <color indexed="81"/>
            <rFont val="Tahoma"/>
            <family val="2"/>
          </rPr>
          <t xml:space="preserve">
KWIN 2019-2012 p. 343</t>
        </r>
      </text>
    </comment>
    <comment ref="C81" authorId="0" shapeId="0" xr:uid="{00000000-0006-0000-0200-000028000000}">
      <text>
        <r>
          <rPr>
            <b/>
            <sz val="9"/>
            <color indexed="81"/>
            <rFont val="Tahoma"/>
            <family val="2"/>
          </rPr>
          <t>Vissers, Luuk:</t>
        </r>
        <r>
          <rPr>
            <sz val="9"/>
            <color indexed="81"/>
            <rFont val="Tahoma"/>
            <family val="2"/>
          </rPr>
          <t xml:space="preserve">
KWIN 2019-2020</t>
        </r>
      </text>
    </comment>
    <comment ref="C82" authorId="0" shapeId="0" xr:uid="{00000000-0006-0000-0200-000029000000}">
      <text>
        <r>
          <rPr>
            <b/>
            <sz val="9"/>
            <color indexed="81"/>
            <rFont val="Tahoma"/>
            <family val="2"/>
          </rPr>
          <t>Vissers, Luuk:</t>
        </r>
        <r>
          <rPr>
            <sz val="9"/>
            <color indexed="81"/>
            <rFont val="Tahoma"/>
            <family val="2"/>
          </rPr>
          <t xml:space="preserve">
KWIN 2018-2019</t>
        </r>
      </text>
    </comment>
    <comment ref="C86" authorId="0" shapeId="0" xr:uid="{00000000-0006-0000-0200-00002A000000}">
      <text>
        <r>
          <rPr>
            <b/>
            <sz val="9"/>
            <color indexed="81"/>
            <rFont val="Tahoma"/>
            <family val="2"/>
          </rPr>
          <t>Vissers, Luuk:</t>
        </r>
        <r>
          <rPr>
            <sz val="9"/>
            <color indexed="81"/>
            <rFont val="Tahoma"/>
            <family val="2"/>
          </rPr>
          <t xml:space="preserve">
KWIN 2019-2020 p. 342</t>
        </r>
      </text>
    </comment>
    <comment ref="C87" authorId="0" shapeId="0" xr:uid="{00000000-0006-0000-0200-00002B000000}">
      <text>
        <r>
          <rPr>
            <b/>
            <sz val="9"/>
            <color indexed="81"/>
            <rFont val="Tahoma"/>
            <family val="2"/>
          </rPr>
          <t>Vissers, Luuk:</t>
        </r>
        <r>
          <rPr>
            <sz val="9"/>
            <color indexed="81"/>
            <rFont val="Tahoma"/>
            <family val="2"/>
          </rPr>
          <t xml:space="preserve">
KWIN 2019-2020 p.344</t>
        </r>
      </text>
    </comment>
    <comment ref="C88" authorId="0" shapeId="0" xr:uid="{00000000-0006-0000-0200-00002C000000}">
      <text>
        <r>
          <rPr>
            <b/>
            <sz val="9"/>
            <color indexed="81"/>
            <rFont val="Tahoma"/>
            <family val="2"/>
          </rPr>
          <t>Vissers, Luuk:</t>
        </r>
        <r>
          <rPr>
            <sz val="9"/>
            <color indexed="81"/>
            <rFont val="Tahoma"/>
            <family val="2"/>
          </rPr>
          <t xml:space="preserve">
KWIN 2019-2020 p.346</t>
        </r>
      </text>
    </comment>
    <comment ref="C89" authorId="0" shapeId="0" xr:uid="{00000000-0006-0000-0200-00002D000000}">
      <text>
        <r>
          <rPr>
            <b/>
            <sz val="9"/>
            <color indexed="81"/>
            <rFont val="Tahoma"/>
            <family val="2"/>
          </rPr>
          <t>Vissers, Luuk:</t>
        </r>
        <r>
          <rPr>
            <sz val="9"/>
            <color indexed="81"/>
            <rFont val="Tahoma"/>
            <family val="2"/>
          </rPr>
          <t xml:space="preserve">
Zelfde aangenomen als NDRS en conv.</t>
        </r>
      </text>
    </comment>
    <comment ref="C92" authorId="0" shapeId="0" xr:uid="{00000000-0006-0000-0200-00002E000000}">
      <text>
        <r>
          <rPr>
            <b/>
            <sz val="9"/>
            <color indexed="81"/>
            <rFont val="Tahoma"/>
            <family val="2"/>
          </rPr>
          <t>Vissers, Luuk:</t>
        </r>
        <r>
          <rPr>
            <sz val="9"/>
            <color indexed="81"/>
            <rFont val="Tahoma"/>
            <family val="2"/>
          </rPr>
          <t xml:space="preserve">
KWIN 2019-2020</t>
        </r>
      </text>
    </comment>
    <comment ref="C93" authorId="0" shapeId="0" xr:uid="{00000000-0006-0000-0200-00002F000000}">
      <text>
        <r>
          <rPr>
            <b/>
            <sz val="9"/>
            <color indexed="81"/>
            <rFont val="Tahoma"/>
            <family val="2"/>
          </rPr>
          <t>Vissers, Luuk:</t>
        </r>
        <r>
          <rPr>
            <sz val="9"/>
            <color indexed="81"/>
            <rFont val="Tahoma"/>
            <family val="2"/>
          </rPr>
          <t xml:space="preserve">
KWIN 2019-2020 pag. 344</t>
        </r>
      </text>
    </comment>
    <comment ref="C94" authorId="0" shapeId="0" xr:uid="{00000000-0006-0000-0200-000030000000}">
      <text>
        <r>
          <rPr>
            <b/>
            <sz val="9"/>
            <color indexed="81"/>
            <rFont val="Tahoma"/>
            <family val="2"/>
          </rPr>
          <t>Vissers, Luuk:</t>
        </r>
        <r>
          <rPr>
            <sz val="9"/>
            <color indexed="81"/>
            <rFont val="Tahoma"/>
            <family val="2"/>
          </rPr>
          <t xml:space="preserve">
KWIN 2019-2020 p.346</t>
        </r>
      </text>
    </comment>
    <comment ref="C95" authorId="0" shapeId="0" xr:uid="{00000000-0006-0000-0200-000031000000}">
      <text>
        <r>
          <rPr>
            <b/>
            <sz val="9"/>
            <color indexed="81"/>
            <rFont val="Tahoma"/>
            <family val="2"/>
          </rPr>
          <t>Vissers, Luuk:</t>
        </r>
        <r>
          <rPr>
            <sz val="9"/>
            <color indexed="81"/>
            <rFont val="Tahoma"/>
            <family val="2"/>
          </rPr>
          <t xml:space="preserve">
Zelfde aangenomen als Ext. Indoor+</t>
        </r>
      </text>
    </comment>
    <comment ref="C97" authorId="0" shapeId="0" xr:uid="{00000000-0006-0000-0200-000032000000}">
      <text>
        <r>
          <rPr>
            <b/>
            <sz val="9"/>
            <color indexed="81"/>
            <rFont val="Tahoma"/>
            <family val="2"/>
          </rPr>
          <t>Vissers, Luuk:</t>
        </r>
        <r>
          <rPr>
            <sz val="9"/>
            <color indexed="81"/>
            <rFont val="Tahoma"/>
            <family val="2"/>
          </rPr>
          <t xml:space="preserve">
KWIN 2018-2019
p. 349</t>
        </r>
      </text>
    </comment>
    <comment ref="C100" authorId="0" shapeId="0" xr:uid="{00000000-0006-0000-0200-000033000000}">
      <text>
        <r>
          <rPr>
            <b/>
            <sz val="9"/>
            <color indexed="81"/>
            <rFont val="Tahoma"/>
            <family val="2"/>
          </rPr>
          <t>Vissers, Luuk:</t>
        </r>
        <r>
          <rPr>
            <sz val="9"/>
            <color indexed="81"/>
            <rFont val="Tahoma"/>
            <family val="2"/>
          </rPr>
          <t xml:space="preserve">
KWIN 2019-2020
3 eurocent per kg</t>
        </r>
      </text>
    </comment>
    <comment ref="C101" authorId="0" shapeId="0" xr:uid="{00000000-0006-0000-0200-000034000000}">
      <text>
        <r>
          <rPr>
            <b/>
            <sz val="9"/>
            <color indexed="81"/>
            <rFont val="Tahoma"/>
            <family val="2"/>
          </rPr>
          <t>Vissers, Luuk:</t>
        </r>
        <r>
          <rPr>
            <sz val="9"/>
            <color indexed="81"/>
            <rFont val="Tahoma"/>
            <family val="2"/>
          </rPr>
          <t xml:space="preserve">
KWIN 2019-2020
3 eurocent per kg</t>
        </r>
      </text>
    </comment>
    <comment ref="C102" authorId="0" shapeId="0" xr:uid="{00000000-0006-0000-0200-000035000000}">
      <text>
        <r>
          <rPr>
            <b/>
            <sz val="9"/>
            <color indexed="81"/>
            <rFont val="Tahoma"/>
            <family val="2"/>
          </rPr>
          <t>Vissers, Luuk:</t>
        </r>
        <r>
          <rPr>
            <sz val="9"/>
            <color indexed="81"/>
            <rFont val="Tahoma"/>
            <family val="2"/>
          </rPr>
          <t xml:space="preserve">
KWIN 2019-2020
3 eurocent per kg</t>
        </r>
      </text>
    </comment>
    <comment ref="C103" authorId="0" shapeId="0" xr:uid="{00000000-0006-0000-0200-000036000000}">
      <text>
        <r>
          <rPr>
            <b/>
            <sz val="9"/>
            <color indexed="81"/>
            <rFont val="Tahoma"/>
            <family val="2"/>
          </rPr>
          <t>Vissers, Luuk:</t>
        </r>
        <r>
          <rPr>
            <sz val="9"/>
            <color indexed="81"/>
            <rFont val="Tahoma"/>
            <family val="2"/>
          </rPr>
          <t xml:space="preserve">
KWIN 2019-2020
3 eurocent per kg</t>
        </r>
      </text>
    </comment>
    <comment ref="C106" authorId="0" shapeId="0" xr:uid="{00000000-0006-0000-0200-000037000000}">
      <text>
        <r>
          <rPr>
            <b/>
            <sz val="9"/>
            <color indexed="81"/>
            <rFont val="Tahoma"/>
            <family val="2"/>
          </rPr>
          <t>Vissers, Luuk:</t>
        </r>
        <r>
          <rPr>
            <sz val="9"/>
            <color indexed="81"/>
            <rFont val="Tahoma"/>
            <family val="2"/>
          </rPr>
          <t xml:space="preserve">
KWIN 2019-2020</t>
        </r>
      </text>
    </comment>
    <comment ref="C107" authorId="0" shapeId="0" xr:uid="{00000000-0006-0000-0200-000038000000}">
      <text>
        <r>
          <rPr>
            <b/>
            <sz val="9"/>
            <color indexed="81"/>
            <rFont val="Tahoma"/>
            <family val="2"/>
          </rPr>
          <t>Vissers, Luuk:</t>
        </r>
        <r>
          <rPr>
            <sz val="9"/>
            <color indexed="81"/>
            <rFont val="Tahoma"/>
            <family val="2"/>
          </rPr>
          <t xml:space="preserve">
KWIN 2019-2020</t>
        </r>
      </text>
    </comment>
    <comment ref="C108" authorId="0" shapeId="0" xr:uid="{00000000-0006-0000-0200-000039000000}">
      <text>
        <r>
          <rPr>
            <b/>
            <sz val="9"/>
            <color indexed="81"/>
            <rFont val="Tahoma"/>
            <family val="2"/>
          </rPr>
          <t>Vissers, Luuk:</t>
        </r>
        <r>
          <rPr>
            <sz val="9"/>
            <color indexed="81"/>
            <rFont val="Tahoma"/>
            <family val="2"/>
          </rPr>
          <t xml:space="preserve">
KWIN 2018-2019</t>
        </r>
      </text>
    </comment>
    <comment ref="C111" authorId="0" shapeId="0" xr:uid="{00000000-0006-0000-0200-00003A000000}">
      <text>
        <r>
          <rPr>
            <b/>
            <sz val="9"/>
            <color indexed="81"/>
            <rFont val="Tahoma"/>
            <family val="2"/>
          </rPr>
          <t>Vissers, Luuk:</t>
        </r>
        <r>
          <rPr>
            <sz val="9"/>
            <color indexed="81"/>
            <rFont val="Tahoma"/>
            <family val="2"/>
          </rPr>
          <t xml:space="preserve">
KWIN 2019-2020</t>
        </r>
      </text>
    </comment>
    <comment ref="C112" authorId="0" shapeId="0" xr:uid="{00000000-0006-0000-0200-00003B000000}">
      <text>
        <r>
          <rPr>
            <b/>
            <sz val="9"/>
            <color indexed="81"/>
            <rFont val="Tahoma"/>
            <family val="2"/>
          </rPr>
          <t>Vissers, Luuk:</t>
        </r>
        <r>
          <rPr>
            <sz val="9"/>
            <color indexed="81"/>
            <rFont val="Tahoma"/>
            <family val="2"/>
          </rPr>
          <t xml:space="preserve">
KWIN 2018-2019
p.350
Levenduur is 25 jaar</t>
        </r>
      </text>
    </comment>
    <comment ref="C113" authorId="0" shapeId="0" xr:uid="{00000000-0006-0000-0200-00003C000000}">
      <text>
        <r>
          <rPr>
            <b/>
            <sz val="9"/>
            <color indexed="81"/>
            <rFont val="Tahoma"/>
            <family val="2"/>
          </rPr>
          <t>Vissers, Luuk:</t>
        </r>
        <r>
          <rPr>
            <sz val="9"/>
            <color indexed="81"/>
            <rFont val="Tahoma"/>
            <family val="2"/>
          </rPr>
          <t xml:space="preserve">
KWIN 2018-2019</t>
        </r>
      </text>
    </comment>
    <comment ref="C116" authorId="0" shapeId="0" xr:uid="{00000000-0006-0000-0200-00003E000000}">
      <text>
        <r>
          <rPr>
            <b/>
            <sz val="9"/>
            <color indexed="81"/>
            <rFont val="Tahoma"/>
            <family val="2"/>
          </rPr>
          <t>Vissers, Luuk:</t>
        </r>
        <r>
          <rPr>
            <sz val="9"/>
            <color indexed="81"/>
            <rFont val="Tahoma"/>
            <family val="2"/>
          </rPr>
          <t xml:space="preserve">
Zie model Global Prospects of the Cost-Efficiency of Broiler
Welfare in Middle-Segment Production Systems</t>
        </r>
      </text>
    </comment>
    <comment ref="D122" authorId="0" shapeId="0" xr:uid="{00000000-0006-0000-0200-00003F000000}">
      <text>
        <r>
          <rPr>
            <b/>
            <sz val="9"/>
            <color indexed="81"/>
            <rFont val="Tahoma"/>
            <family val="2"/>
          </rPr>
          <t>Vissers, Luuk:</t>
        </r>
        <r>
          <rPr>
            <sz val="9"/>
            <color indexed="81"/>
            <rFont val="Tahoma"/>
            <family val="2"/>
          </rPr>
          <t xml:space="preserve">
Bestaan uit afschrijving, rente en onderhoud</t>
        </r>
      </text>
    </comment>
    <comment ref="A123" authorId="0" shapeId="0" xr:uid="{00000000-0006-0000-0200-000040000000}">
      <text>
        <r>
          <rPr>
            <b/>
            <sz val="9"/>
            <color indexed="81"/>
            <rFont val="Tahoma"/>
            <family val="2"/>
          </rPr>
          <t>Vissers, Luuk:</t>
        </r>
        <r>
          <rPr>
            <sz val="9"/>
            <color indexed="81"/>
            <rFont val="Tahoma"/>
            <family val="2"/>
          </rPr>
          <t xml:space="preserve">
Standaard stal</t>
        </r>
      </text>
    </comment>
    <comment ref="D152" authorId="0" shapeId="0" xr:uid="{3602F97A-AFC6-44AE-B426-5EF9EF6286AC}">
      <text>
        <r>
          <rPr>
            <b/>
            <sz val="9"/>
            <color indexed="81"/>
            <rFont val="Tahoma"/>
            <family val="2"/>
          </rPr>
          <t>Vissers, Luuk:</t>
        </r>
        <r>
          <rPr>
            <sz val="9"/>
            <color indexed="81"/>
            <rFont val="Tahoma"/>
            <family val="2"/>
          </rPr>
          <t xml:space="preserve">
Vleeskuikenkorrel geconcentreerd 35% tarwe 65% concentraat</t>
        </r>
      </text>
    </comment>
    <comment ref="A227" authorId="0" shapeId="0" xr:uid="{E1057452-1B7C-4690-9A76-F5810D40E9B1}">
      <text>
        <r>
          <rPr>
            <b/>
            <sz val="9"/>
            <color indexed="81"/>
            <rFont val="Tahoma"/>
            <family val="2"/>
          </rPr>
          <t>Vissers, Luuk:</t>
        </r>
        <r>
          <rPr>
            <sz val="9"/>
            <color indexed="81"/>
            <rFont val="Tahoma"/>
            <family val="2"/>
          </rPr>
          <t xml:space="preserve">
This includes fire safety equipment. Sinds 2014 geldt dat bij niewubouw tmoet de technishce ruimte minimaal 60 minuten brandwerend zijn. Bij nieuwbouw en verbouw moeten constructieonderdelen van en aankelding in stallen tenminste voldoen aan brandklasse B. (KWIN 2018-2019 p. 349)</t>
        </r>
      </text>
    </comment>
    <comment ref="B227" authorId="0" shapeId="0" xr:uid="{CA57B83E-B765-4DA8-AF06-26E1B9444970}">
      <text>
        <r>
          <rPr>
            <b/>
            <sz val="9"/>
            <color indexed="81"/>
            <rFont val="Tahoma"/>
            <family val="2"/>
          </rPr>
          <t>Vissers, Luuk:</t>
        </r>
        <r>
          <rPr>
            <sz val="9"/>
            <color indexed="81"/>
            <rFont val="Tahoma"/>
            <family val="2"/>
          </rPr>
          <t xml:space="preserve">
includes equipment</t>
        </r>
      </text>
    </comment>
    <comment ref="D228" authorId="0" shapeId="0" xr:uid="{A32CB9AD-0DAC-47A0-B915-E0D21EAB9C5B}">
      <text>
        <r>
          <rPr>
            <b/>
            <sz val="9"/>
            <color indexed="81"/>
            <rFont val="Tahoma"/>
            <family val="2"/>
          </rPr>
          <t>Vissers, Luuk:</t>
        </r>
        <r>
          <rPr>
            <sz val="9"/>
            <color indexed="81"/>
            <rFont val="Tahoma"/>
            <family val="2"/>
          </rPr>
          <t xml:space="preserve">
This includes fire safety equipment. Sinds 2014 geldt dat bij niewubouw tmoet de technishce ruimte minimaal 60 minuten brandwerend zijn. Bij nieuwbouw en verbouw moeten constructieonderdelen van en aankelding in stallen tenminste voldoen aan brandklasse B. (KWIN 2018-2019 p. 349)</t>
        </r>
      </text>
    </comment>
    <comment ref="E228" authorId="0" shapeId="0" xr:uid="{3A95FF50-FC3E-469F-A668-9113E65FDBFC}">
      <text>
        <r>
          <rPr>
            <b/>
            <sz val="9"/>
            <color indexed="81"/>
            <rFont val="Tahoma"/>
            <family val="2"/>
          </rPr>
          <t>Vissers, Luuk:</t>
        </r>
        <r>
          <rPr>
            <sz val="9"/>
            <color indexed="81"/>
            <rFont val="Tahoma"/>
            <family val="2"/>
          </rPr>
          <t xml:space="preserve">
includes equipment</t>
        </r>
      </text>
    </comment>
    <comment ref="G229" authorId="0" shapeId="0" xr:uid="{70A1C8AF-6DC3-4F1B-BCB1-0596F4EA045F}">
      <text>
        <r>
          <rPr>
            <b/>
            <sz val="9"/>
            <color indexed="81"/>
            <rFont val="Tahoma"/>
            <family val="2"/>
          </rPr>
          <t>Vissers, Luuk:</t>
        </r>
        <r>
          <rPr>
            <sz val="9"/>
            <color indexed="81"/>
            <rFont val="Tahoma"/>
            <family val="2"/>
          </rPr>
          <t xml:space="preserve">
This includes fire safety equipment. Sinds 2014 geldt dat bij niewubouw tmoet de technishce ruimte minimaal 60 minuten brandwerend zijn. Bij nieuwbouw en verbouw moeten constructieonderdelen van en aankelding in stallen tenminste voldoen aan brandklasse B. (KWIN 2018-2019 p. 349)</t>
        </r>
      </text>
    </comment>
    <comment ref="H229" authorId="0" shapeId="0" xr:uid="{FA591860-C929-458D-9E2C-A4B9BEB3D5D8}">
      <text>
        <r>
          <rPr>
            <b/>
            <sz val="9"/>
            <color indexed="81"/>
            <rFont val="Tahoma"/>
            <family val="2"/>
          </rPr>
          <t>Vissers, Luuk:</t>
        </r>
        <r>
          <rPr>
            <sz val="9"/>
            <color indexed="81"/>
            <rFont val="Tahoma"/>
            <family val="2"/>
          </rPr>
          <t xml:space="preserve">
includes equipment</t>
        </r>
      </text>
    </comment>
    <comment ref="B230" authorId="0" shapeId="0" xr:uid="{C62CAFCB-E6AA-474D-A4D7-FE4AF242F26D}">
      <text>
        <r>
          <rPr>
            <b/>
            <sz val="9"/>
            <color indexed="81"/>
            <rFont val="Tahoma"/>
            <family val="2"/>
          </rPr>
          <t>Vissers, Luuk:</t>
        </r>
        <r>
          <rPr>
            <sz val="9"/>
            <color indexed="81"/>
            <rFont val="Tahoma"/>
            <family val="2"/>
          </rPr>
          <t xml:space="preserve">
Van Peter van Horne verkregen dat de investments costs van covered veranda 136 euro per m2 bedragen en onderhoud 9 euro per m2, 
zie economisch model van gebruikt voor kostenberekening artikel WAP</t>
        </r>
      </text>
    </comment>
    <comment ref="E231" authorId="0" shapeId="0" xr:uid="{C4AE9E59-37D3-43F0-B09C-047C34B69612}">
      <text>
        <r>
          <rPr>
            <b/>
            <sz val="9"/>
            <color indexed="81"/>
            <rFont val="Tahoma"/>
            <family val="2"/>
          </rPr>
          <t>Vissers, Luuk:</t>
        </r>
        <r>
          <rPr>
            <sz val="9"/>
            <color indexed="81"/>
            <rFont val="Tahoma"/>
            <family val="2"/>
          </rPr>
          <t xml:space="preserve">
Van Peter van Horne verkregen dat de investments costs van covered veranda 136 euro per m2 bedragen en onderhoud 9 euro per m2, 
zie economisch model van gebruikt voor kostenberekening artikel WAP</t>
        </r>
      </text>
    </comment>
    <comment ref="H232" authorId="0" shapeId="0" xr:uid="{B365A857-FE34-4FF0-A50E-4BFB82DDF763}">
      <text>
        <r>
          <rPr>
            <b/>
            <sz val="9"/>
            <color indexed="81"/>
            <rFont val="Tahoma"/>
            <family val="2"/>
          </rPr>
          <t>Vissers, Luuk:</t>
        </r>
        <r>
          <rPr>
            <sz val="9"/>
            <color indexed="81"/>
            <rFont val="Tahoma"/>
            <family val="2"/>
          </rPr>
          <t xml:space="preserve">
Van Peter van Horne verkregen dat de investments costs van covered veranda 136 euro per m2 bedragen en onderhoud 9 euro per m2, 
zie economisch model van gebruikt voor kostenberekening artikel WAP</t>
        </r>
      </text>
    </comment>
    <comment ref="B243" authorId="0" shapeId="0" xr:uid="{68D5093D-0287-4C57-A3B3-6BFA73CEA4A1}">
      <text>
        <r>
          <rPr>
            <b/>
            <sz val="9"/>
            <color indexed="81"/>
            <rFont val="Tahoma"/>
            <family val="2"/>
          </rPr>
          <t>Vissers, Luuk:</t>
        </r>
        <r>
          <rPr>
            <sz val="9"/>
            <color indexed="81"/>
            <rFont val="Tahoma"/>
            <family val="2"/>
          </rPr>
          <t xml:space="preserve">
KWIN 2018-2019</t>
        </r>
      </text>
    </comment>
    <comment ref="B244" authorId="0" shapeId="0" xr:uid="{97B66E6F-92D8-41D3-B96E-F05C22467195}">
      <text>
        <r>
          <rPr>
            <b/>
            <sz val="9"/>
            <color indexed="81"/>
            <rFont val="Tahoma"/>
            <family val="2"/>
          </rPr>
          <t>Vissers, Luuk:</t>
        </r>
        <r>
          <rPr>
            <sz val="9"/>
            <color indexed="81"/>
            <rFont val="Tahoma"/>
            <family val="2"/>
          </rPr>
          <t xml:space="preserve">
Peter van Horne, competitiveness EU broiler sector 2015</t>
        </r>
      </text>
    </comment>
    <comment ref="E244" authorId="0" shapeId="0" xr:uid="{8C0F622F-5537-45D0-A6D5-92F0BE543163}">
      <text>
        <r>
          <rPr>
            <b/>
            <sz val="9"/>
            <color indexed="81"/>
            <rFont val="Tahoma"/>
            <family val="2"/>
          </rPr>
          <t>Vissers, Luuk:</t>
        </r>
        <r>
          <rPr>
            <sz val="9"/>
            <color indexed="81"/>
            <rFont val="Tahoma"/>
            <family val="2"/>
          </rPr>
          <t xml:space="preserve">
KWIN 2018-2019</t>
        </r>
      </text>
    </comment>
    <comment ref="B245" authorId="0" shapeId="0" xr:uid="{B550F27A-2704-4789-AF5E-9EC1A7B85B63}">
      <text>
        <r>
          <rPr>
            <b/>
            <sz val="9"/>
            <color indexed="81"/>
            <rFont val="Tahoma"/>
            <family val="2"/>
          </rPr>
          <t>Vissers, Luuk:</t>
        </r>
        <r>
          <rPr>
            <sz val="9"/>
            <color indexed="81"/>
            <rFont val="Tahoma"/>
            <family val="2"/>
          </rPr>
          <t xml:space="preserve">
KWIN 2018-2019</t>
        </r>
      </text>
    </comment>
    <comment ref="E245" authorId="0" shapeId="0" xr:uid="{3012D608-4FA2-4606-B591-D2B0E0AE23BA}">
      <text>
        <r>
          <rPr>
            <b/>
            <sz val="9"/>
            <color indexed="81"/>
            <rFont val="Tahoma"/>
            <family val="2"/>
          </rPr>
          <t>Vissers, Luuk:</t>
        </r>
        <r>
          <rPr>
            <sz val="9"/>
            <color indexed="81"/>
            <rFont val="Tahoma"/>
            <family val="2"/>
          </rPr>
          <t xml:space="preserve">
Peter van Horne, competitiveness EU broiler sector 2015</t>
        </r>
      </text>
    </comment>
    <comment ref="H245" authorId="0" shapeId="0" xr:uid="{5C417897-CEB5-4CDE-B924-A4CA290F9BBB}">
      <text>
        <r>
          <rPr>
            <b/>
            <sz val="9"/>
            <color indexed="81"/>
            <rFont val="Tahoma"/>
            <family val="2"/>
          </rPr>
          <t>Vissers, Luuk:</t>
        </r>
        <r>
          <rPr>
            <sz val="9"/>
            <color indexed="81"/>
            <rFont val="Tahoma"/>
            <family val="2"/>
          </rPr>
          <t xml:space="preserve">
KWIN 2018-2019</t>
        </r>
      </text>
    </comment>
    <comment ref="B246" authorId="0" shapeId="0" xr:uid="{A3180299-7335-4E92-AA86-0BA6C1410BAD}">
      <text>
        <r>
          <rPr>
            <b/>
            <sz val="9"/>
            <color indexed="81"/>
            <rFont val="Tahoma"/>
            <family val="2"/>
          </rPr>
          <t>Vissers, Luuk:</t>
        </r>
        <r>
          <rPr>
            <sz val="9"/>
            <color indexed="81"/>
            <rFont val="Tahoma"/>
            <family val="2"/>
          </rPr>
          <t xml:space="preserve">
KWIN 2018-2019</t>
        </r>
      </text>
    </comment>
    <comment ref="E246" authorId="0" shapeId="0" xr:uid="{331C414A-3F64-4F94-AC75-057416AF3E9C}">
      <text>
        <r>
          <rPr>
            <b/>
            <sz val="9"/>
            <color indexed="81"/>
            <rFont val="Tahoma"/>
            <family val="2"/>
          </rPr>
          <t>Vissers, Luuk:</t>
        </r>
        <r>
          <rPr>
            <sz val="9"/>
            <color indexed="81"/>
            <rFont val="Tahoma"/>
            <family val="2"/>
          </rPr>
          <t xml:space="preserve">
KWIN 2018-2019</t>
        </r>
      </text>
    </comment>
    <comment ref="H246" authorId="0" shapeId="0" xr:uid="{EDD71BA5-DC48-4812-A0AC-97DF8A75BD7F}">
      <text>
        <r>
          <rPr>
            <b/>
            <sz val="9"/>
            <color indexed="81"/>
            <rFont val="Tahoma"/>
            <family val="2"/>
          </rPr>
          <t>Vissers, Luuk:</t>
        </r>
        <r>
          <rPr>
            <sz val="9"/>
            <color indexed="81"/>
            <rFont val="Tahoma"/>
            <family val="2"/>
          </rPr>
          <t xml:space="preserve">
Peter van Horne, competitiveness EU broiler sector 2015</t>
        </r>
      </text>
    </comment>
    <comment ref="B247" authorId="0" shapeId="0" xr:uid="{F8428F8B-24B2-43F7-AF74-BEAABE12C38B}">
      <text>
        <r>
          <rPr>
            <b/>
            <sz val="9"/>
            <color indexed="81"/>
            <rFont val="Tahoma"/>
            <family val="2"/>
          </rPr>
          <t>Vissers, Luuk:</t>
        </r>
        <r>
          <rPr>
            <sz val="9"/>
            <color indexed="81"/>
            <rFont val="Tahoma"/>
            <family val="2"/>
          </rPr>
          <t xml:space="preserve">
Peter van Horne, competitiveness EU broiler sector 2015</t>
        </r>
      </text>
    </comment>
    <comment ref="E247" authorId="0" shapeId="0" xr:uid="{96CB5602-9DFA-4B24-B099-198081C0E4F0}">
      <text>
        <r>
          <rPr>
            <b/>
            <sz val="9"/>
            <color indexed="81"/>
            <rFont val="Tahoma"/>
            <family val="2"/>
          </rPr>
          <t>Vissers, Luuk:</t>
        </r>
        <r>
          <rPr>
            <sz val="9"/>
            <color indexed="81"/>
            <rFont val="Tahoma"/>
            <family val="2"/>
          </rPr>
          <t xml:space="preserve">
KWIN 2018-2019</t>
        </r>
      </text>
    </comment>
    <comment ref="H247" authorId="0" shapeId="0" xr:uid="{8BD33AF9-A69E-40B6-9DD3-18E520EC5ADB}">
      <text>
        <r>
          <rPr>
            <b/>
            <sz val="9"/>
            <color indexed="81"/>
            <rFont val="Tahoma"/>
            <family val="2"/>
          </rPr>
          <t>Vissers, Luuk:</t>
        </r>
        <r>
          <rPr>
            <sz val="9"/>
            <color indexed="81"/>
            <rFont val="Tahoma"/>
            <family val="2"/>
          </rPr>
          <t xml:space="preserve">
KWIN 2018-2019</t>
        </r>
      </text>
    </comment>
    <comment ref="E248" authorId="0" shapeId="0" xr:uid="{DCD18CC9-7092-45DA-AB10-32FABF4390D5}">
      <text>
        <r>
          <rPr>
            <b/>
            <sz val="9"/>
            <color indexed="81"/>
            <rFont val="Tahoma"/>
            <family val="2"/>
          </rPr>
          <t>Vissers, Luuk:</t>
        </r>
        <r>
          <rPr>
            <sz val="9"/>
            <color indexed="81"/>
            <rFont val="Tahoma"/>
            <family val="2"/>
          </rPr>
          <t xml:space="preserve">
Peter van Horne, competitiveness EU broiler sector 2015</t>
        </r>
      </text>
    </comment>
    <comment ref="H248" authorId="0" shapeId="0" xr:uid="{C0F1853F-A2F8-4A4D-80D4-E10CB915DCD5}">
      <text>
        <r>
          <rPr>
            <b/>
            <sz val="9"/>
            <color indexed="81"/>
            <rFont val="Tahoma"/>
            <family val="2"/>
          </rPr>
          <t>Vissers, Luuk:</t>
        </r>
        <r>
          <rPr>
            <sz val="9"/>
            <color indexed="81"/>
            <rFont val="Tahoma"/>
            <family val="2"/>
          </rPr>
          <t xml:space="preserve">
KWIN 2018-2019</t>
        </r>
      </text>
    </comment>
    <comment ref="H249" authorId="0" shapeId="0" xr:uid="{2B7DC7FC-30D0-404B-849D-7CC2018896BA}">
      <text>
        <r>
          <rPr>
            <b/>
            <sz val="9"/>
            <color indexed="81"/>
            <rFont val="Tahoma"/>
            <family val="2"/>
          </rPr>
          <t>Vissers, Luuk:</t>
        </r>
        <r>
          <rPr>
            <sz val="9"/>
            <color indexed="81"/>
            <rFont val="Tahoma"/>
            <family val="2"/>
          </rPr>
          <t xml:space="preserve">
Peter van Horne, competitiveness EU broiler sector 2015</t>
        </r>
      </text>
    </comment>
    <comment ref="B253" authorId="0" shapeId="0" xr:uid="{06059C8A-326D-4957-BE67-EE7FC2C18225}">
      <text>
        <r>
          <rPr>
            <b/>
            <sz val="9"/>
            <color indexed="81"/>
            <rFont val="Tahoma"/>
            <family val="2"/>
          </rPr>
          <t>Vissers, Luuk:</t>
        </r>
        <r>
          <rPr>
            <sz val="9"/>
            <color indexed="81"/>
            <rFont val="Tahoma"/>
            <family val="2"/>
          </rPr>
          <t xml:space="preserve">
KWIN 2019-2020
Standaard deviatie van model Eva Gocsik mid-term financial impact</t>
        </r>
      </text>
    </comment>
    <comment ref="C253" authorId="0" shapeId="0" xr:uid="{241F27DA-3358-4F29-8536-34CE47BFE5BE}">
      <text>
        <r>
          <rPr>
            <b/>
            <sz val="9"/>
            <color indexed="81"/>
            <rFont val="Tahoma"/>
            <family val="2"/>
          </rPr>
          <t>Vissers, Luuk:</t>
        </r>
        <r>
          <rPr>
            <sz val="9"/>
            <color indexed="81"/>
            <rFont val="Tahoma"/>
            <family val="2"/>
          </rPr>
          <t xml:space="preserve">
KWIN 2019-2020
Standaard deviatie van model Eva Gocsik mid-term financial impact</t>
        </r>
      </text>
    </comment>
    <comment ref="D253" authorId="0" shapeId="0" xr:uid="{B10DCBB4-3A33-4C66-979A-A55E2B2F2DBF}">
      <text>
        <r>
          <rPr>
            <b/>
            <sz val="9"/>
            <color indexed="81"/>
            <rFont val="Tahoma"/>
            <family val="2"/>
          </rPr>
          <t>Vissers, Luuk:</t>
        </r>
        <r>
          <rPr>
            <sz val="9"/>
            <color indexed="81"/>
            <rFont val="Tahoma"/>
            <family val="2"/>
          </rPr>
          <t xml:space="preserve">
Standaard deviatie van model Eva Gocsik mid-term financial impact</t>
        </r>
      </text>
    </comment>
    <comment ref="E253" authorId="0" shapeId="0" xr:uid="{AEF1A6A3-E38E-4D7A-80D1-23B4B42B1BA1}">
      <text>
        <r>
          <rPr>
            <b/>
            <sz val="9"/>
            <color indexed="81"/>
            <rFont val="Tahoma"/>
            <family val="2"/>
          </rPr>
          <t>Vissers, Luuk:</t>
        </r>
        <r>
          <rPr>
            <sz val="9"/>
            <color indexed="81"/>
            <rFont val="Tahoma"/>
            <family val="2"/>
          </rPr>
          <t xml:space="preserve">
Standaard deviatie van model Eva Gocsik mid-term financial impact</t>
        </r>
      </text>
    </comment>
    <comment ref="B254" authorId="0" shapeId="0" xr:uid="{243DE8C0-2BE3-444A-93E5-E8E47DB086A7}">
      <text>
        <r>
          <rPr>
            <b/>
            <sz val="9"/>
            <color indexed="81"/>
            <rFont val="Tahoma"/>
            <family val="2"/>
          </rPr>
          <t>Vissers, Luuk:</t>
        </r>
        <r>
          <rPr>
            <sz val="9"/>
            <color indexed="81"/>
            <rFont val="Tahoma"/>
            <family val="2"/>
          </rPr>
          <t xml:space="preserve">
KWIN 2019-2020
standaard deviatie is berekend van dierenwelzijnsdata die Ingrid de Jong heeft geleverd voor WAP artikel</t>
        </r>
      </text>
    </comment>
    <comment ref="C254" authorId="0" shapeId="0" xr:uid="{AAAF3084-6B74-4BCB-B28E-178A8EC7F12C}">
      <text>
        <r>
          <rPr>
            <b/>
            <sz val="9"/>
            <color indexed="81"/>
            <rFont val="Tahoma"/>
            <family val="2"/>
          </rPr>
          <t>Vissers, Luuk:</t>
        </r>
        <r>
          <rPr>
            <sz val="9"/>
            <color indexed="81"/>
            <rFont val="Tahoma"/>
            <family val="2"/>
          </rPr>
          <t xml:space="preserve">
KWIN 2019-2020
van dierenwelzijnsdata die Ingrid de Jong heeft geleverd voor WAP artikel</t>
        </r>
      </text>
    </comment>
    <comment ref="D254" authorId="0" shapeId="0" xr:uid="{03CC5690-D8AE-45CF-AE6B-1DC2A17EBF7F}">
      <text>
        <r>
          <rPr>
            <b/>
            <sz val="9"/>
            <color indexed="81"/>
            <rFont val="Tahoma"/>
            <family val="2"/>
          </rPr>
          <t>Vissers, Luuk:</t>
        </r>
        <r>
          <rPr>
            <sz val="9"/>
            <color indexed="81"/>
            <rFont val="Tahoma"/>
            <family val="2"/>
          </rPr>
          <t xml:space="preserve">
van dierenwelzijnsdata die Ingrid de Jong heeft geleverd voor WAP artikel</t>
        </r>
      </text>
    </comment>
    <comment ref="E254" authorId="0" shapeId="0" xr:uid="{ABF3925D-1A29-4244-A868-47F7004D23CE}">
      <text>
        <r>
          <rPr>
            <b/>
            <sz val="9"/>
            <color indexed="81"/>
            <rFont val="Tahoma"/>
            <family val="2"/>
          </rPr>
          <t>Vissers, Luuk:</t>
        </r>
        <r>
          <rPr>
            <sz val="9"/>
            <color indexed="81"/>
            <rFont val="Tahoma"/>
            <family val="2"/>
          </rPr>
          <t xml:space="preserve">
van dierenwelzijnsdata die Ingrid de Jong heeft geleverd voor WAP artikel</t>
        </r>
      </text>
    </comment>
    <comment ref="B255" authorId="0" shapeId="0" xr:uid="{55B870CF-1AEE-4951-9C37-664304D1D9CA}">
      <text>
        <r>
          <rPr>
            <b/>
            <sz val="9"/>
            <color indexed="81"/>
            <rFont val="Tahoma"/>
            <family val="2"/>
          </rPr>
          <t>Vissers, Luuk:</t>
        </r>
        <r>
          <rPr>
            <sz val="9"/>
            <color indexed="81"/>
            <rFont val="Tahoma"/>
            <family val="2"/>
          </rPr>
          <t xml:space="preserve">
KWIN 2019-2020</t>
        </r>
      </text>
    </comment>
    <comment ref="B256" authorId="0" shapeId="0" xr:uid="{85A89588-F8D1-466E-9827-8712B319A6B8}">
      <text>
        <r>
          <rPr>
            <b/>
            <sz val="9"/>
            <color indexed="81"/>
            <rFont val="Tahoma"/>
            <family val="2"/>
          </rPr>
          <t>Vissers, Luuk:</t>
        </r>
        <r>
          <rPr>
            <sz val="9"/>
            <color indexed="81"/>
            <rFont val="Tahoma"/>
            <family val="2"/>
          </rPr>
          <t xml:space="preserve">
KWIN 2019-2020
Standaard deviatie van model Eva Gocsik mid-term financial impact</t>
        </r>
      </text>
    </comment>
    <comment ref="C256" authorId="0" shapeId="0" xr:uid="{EF90ED6B-A6CE-4B4B-BED4-7ECD3A3098F6}">
      <text>
        <r>
          <rPr>
            <b/>
            <sz val="9"/>
            <color indexed="81"/>
            <rFont val="Tahoma"/>
            <family val="2"/>
          </rPr>
          <t>Vissers, Luuk:</t>
        </r>
        <r>
          <rPr>
            <sz val="9"/>
            <color indexed="81"/>
            <rFont val="Tahoma"/>
            <family val="2"/>
          </rPr>
          <t xml:space="preserve">
KWIN 2019-2020
Standaard deviatie van model Eva Gocsik mid-term financial impact</t>
        </r>
      </text>
    </comment>
    <comment ref="D256" authorId="0" shapeId="0" xr:uid="{3BAED0F1-F2BB-4885-8A24-3F65EE2AC678}">
      <text>
        <r>
          <rPr>
            <b/>
            <sz val="9"/>
            <color indexed="81"/>
            <rFont val="Tahoma"/>
            <family val="2"/>
          </rPr>
          <t>Vissers, Luuk:</t>
        </r>
        <r>
          <rPr>
            <sz val="9"/>
            <color indexed="81"/>
            <rFont val="Tahoma"/>
            <family val="2"/>
          </rPr>
          <t xml:space="preserve">
Standaard deviatie van model Eva Gocsik mid-term financial impact</t>
        </r>
      </text>
    </comment>
    <comment ref="E256" authorId="0" shapeId="0" xr:uid="{BF434EAB-5D4D-49CC-A321-DA3B6036CC98}">
      <text>
        <r>
          <rPr>
            <b/>
            <sz val="9"/>
            <color indexed="81"/>
            <rFont val="Tahoma"/>
            <family val="2"/>
          </rPr>
          <t>Vissers, Luuk:</t>
        </r>
        <r>
          <rPr>
            <sz val="9"/>
            <color indexed="81"/>
            <rFont val="Tahoma"/>
            <family val="2"/>
          </rPr>
          <t xml:space="preserve">
Standaard deviatie van model Eva Gocsik mid-term financial impact</t>
        </r>
      </text>
    </comment>
    <comment ref="B257" authorId="0" shapeId="0" xr:uid="{2D95142E-D75D-45D6-B52F-04D2E1ED1D91}">
      <text>
        <r>
          <rPr>
            <b/>
            <sz val="9"/>
            <color indexed="81"/>
            <rFont val="Tahoma"/>
            <family val="2"/>
          </rPr>
          <t>Vissers, Luuk:</t>
        </r>
        <r>
          <rPr>
            <sz val="9"/>
            <color indexed="81"/>
            <rFont val="Tahoma"/>
            <family val="2"/>
          </rPr>
          <t xml:space="preserve">
KWIN 2019-2020</t>
        </r>
      </text>
    </comment>
    <comment ref="C257" authorId="0" shapeId="0" xr:uid="{9407EC94-A71C-48F7-9E0A-3DB68E4D5C29}">
      <text>
        <r>
          <rPr>
            <b/>
            <sz val="9"/>
            <color indexed="81"/>
            <rFont val="Tahoma"/>
            <family val="2"/>
          </rPr>
          <t>Vissers, Luuk:</t>
        </r>
        <r>
          <rPr>
            <sz val="9"/>
            <color indexed="81"/>
            <rFont val="Tahoma"/>
            <family val="2"/>
          </rPr>
          <t xml:space="preserve">
KWIN 2019-2020</t>
        </r>
      </text>
    </comment>
    <comment ref="D257" authorId="0" shapeId="0" xr:uid="{E1C67EDD-6662-43EF-88AB-F93B614915F7}">
      <text>
        <r>
          <rPr>
            <b/>
            <sz val="9"/>
            <color indexed="81"/>
            <rFont val="Tahoma"/>
            <family val="2"/>
          </rPr>
          <t>Vissers, Luuk:</t>
        </r>
        <r>
          <rPr>
            <sz val="9"/>
            <color indexed="81"/>
            <rFont val="Tahoma"/>
            <family val="2"/>
          </rPr>
          <t xml:space="preserve">
KWIN 2019-2020</t>
        </r>
      </text>
    </comment>
    <comment ref="B258" authorId="0" shapeId="0" xr:uid="{00000000-0006-0000-0000-000003000000}">
      <text>
        <r>
          <rPr>
            <b/>
            <sz val="9"/>
            <color indexed="81"/>
            <rFont val="Tahoma"/>
            <family val="2"/>
          </rPr>
          <t>Vissers, Luuk:</t>
        </r>
        <r>
          <rPr>
            <sz val="9"/>
            <color indexed="81"/>
            <rFont val="Tahoma"/>
            <family val="2"/>
          </rPr>
          <t xml:space="preserve">
KWIN-2018-2019</t>
        </r>
      </text>
    </comment>
    <comment ref="C258" authorId="0" shapeId="0" xr:uid="{00000000-0006-0000-0000-000004000000}">
      <text>
        <r>
          <rPr>
            <b/>
            <sz val="9"/>
            <color indexed="81"/>
            <rFont val="Tahoma"/>
            <family val="2"/>
          </rPr>
          <t>Vissers, Luuk:</t>
        </r>
        <r>
          <rPr>
            <sz val="9"/>
            <color indexed="81"/>
            <rFont val="Tahoma"/>
            <family val="2"/>
          </rPr>
          <t xml:space="preserve">
KWIN 2018-2019</t>
        </r>
      </text>
    </comment>
    <comment ref="B260" authorId="0" shapeId="0" xr:uid="{5A475DE4-8E72-4D7A-99BB-988C3031D8E8}">
      <text>
        <r>
          <rPr>
            <b/>
            <sz val="9"/>
            <color indexed="81"/>
            <rFont val="Tahoma"/>
            <family val="2"/>
          </rPr>
          <t>Vissers, Luuk:</t>
        </r>
        <r>
          <rPr>
            <sz val="9"/>
            <color indexed="81"/>
            <rFont val="Tahoma"/>
            <family val="2"/>
          </rPr>
          <t xml:space="preserve">
KWIN 2019-2020</t>
        </r>
      </text>
    </comment>
    <comment ref="C260" authorId="0" shapeId="0" xr:uid="{5804D459-00A7-4BD7-9CCC-64A3BD89D5A1}">
      <text>
        <r>
          <rPr>
            <b/>
            <sz val="9"/>
            <color indexed="81"/>
            <rFont val="Tahoma"/>
            <family val="2"/>
          </rPr>
          <t>Vissers, Luuk:</t>
        </r>
        <r>
          <rPr>
            <sz val="9"/>
            <color indexed="81"/>
            <rFont val="Tahoma"/>
            <family val="2"/>
          </rPr>
          <t xml:space="preserve">
KWIN 2019-2020</t>
        </r>
      </text>
    </comment>
    <comment ref="B261" authorId="0" shapeId="0" xr:uid="{00000000-0006-0000-0000-000001000000}">
      <text>
        <r>
          <rPr>
            <b/>
            <sz val="9"/>
            <color indexed="81"/>
            <rFont val="Tahoma"/>
            <family val="2"/>
          </rPr>
          <t>Vissers, Luuk:</t>
        </r>
        <r>
          <rPr>
            <sz val="9"/>
            <color indexed="81"/>
            <rFont val="Tahoma"/>
            <family val="2"/>
          </rPr>
          <t xml:space="preserve">
KWIN 2019-2020</t>
        </r>
      </text>
    </comment>
    <comment ref="C261" authorId="0" shapeId="0" xr:uid="{00000000-0006-0000-0000-000002000000}">
      <text>
        <r>
          <rPr>
            <b/>
            <sz val="9"/>
            <color indexed="81"/>
            <rFont val="Tahoma"/>
            <family val="2"/>
          </rPr>
          <t>Vissers, Luuk:</t>
        </r>
        <r>
          <rPr>
            <sz val="9"/>
            <color indexed="81"/>
            <rFont val="Tahoma"/>
            <family val="2"/>
          </rPr>
          <t xml:space="preserve">
KWIN 2019-2020</t>
        </r>
      </text>
    </comment>
    <comment ref="D261" authorId="0" shapeId="0" xr:uid="{4FF9109B-1DB6-499B-88FB-E67D5862FA76}">
      <text>
        <r>
          <rPr>
            <b/>
            <sz val="9"/>
            <color indexed="81"/>
            <rFont val="Tahoma"/>
            <family val="2"/>
          </rPr>
          <t>Vissers, Luuk:</t>
        </r>
        <r>
          <rPr>
            <sz val="9"/>
            <color indexed="81"/>
            <rFont val="Tahoma"/>
            <family val="2"/>
          </rPr>
          <t xml:space="preserve">
minimale slachtleeftijd is 56 dagen, zie Beter Leven 1 ster</t>
        </r>
      </text>
    </comment>
    <comment ref="B263" authorId="0" shapeId="0" xr:uid="{5AF85257-A9E9-40C0-AD27-939230CA7A21}">
      <text>
        <r>
          <rPr>
            <b/>
            <sz val="9"/>
            <color indexed="81"/>
            <rFont val="Tahoma"/>
            <family val="2"/>
          </rPr>
          <t>Vissers, Luuk:</t>
        </r>
        <r>
          <rPr>
            <sz val="9"/>
            <color indexed="81"/>
            <rFont val="Tahoma"/>
            <family val="2"/>
          </rPr>
          <t xml:space="preserve">
KWIN 2019-2020</t>
        </r>
      </text>
    </comment>
    <comment ref="C263" authorId="0" shapeId="0" xr:uid="{820798F3-CF42-45EB-A8AF-A81022C8DBD4}">
      <text>
        <r>
          <rPr>
            <b/>
            <sz val="9"/>
            <color indexed="81"/>
            <rFont val="Tahoma"/>
            <family val="2"/>
          </rPr>
          <t>Vissers, Luuk:</t>
        </r>
        <r>
          <rPr>
            <sz val="9"/>
            <color indexed="81"/>
            <rFont val="Tahoma"/>
            <family val="2"/>
          </rPr>
          <t xml:space="preserve">
KWIN 2019-2020</t>
        </r>
      </text>
    </comment>
    <comment ref="B264" authorId="0" shapeId="0" xr:uid="{00000000-0006-0000-0000-000005000000}">
      <text>
        <r>
          <rPr>
            <b/>
            <sz val="9"/>
            <color indexed="81"/>
            <rFont val="Tahoma"/>
            <family val="2"/>
          </rPr>
          <t>Vissers, Luuk:</t>
        </r>
        <r>
          <rPr>
            <sz val="9"/>
            <color indexed="81"/>
            <rFont val="Tahoma"/>
            <family val="2"/>
          </rPr>
          <t xml:space="preserve">
Verkregen van Cost-efficiency animal welfare. Zie Gocsik et al. 2017</t>
        </r>
      </text>
    </comment>
    <comment ref="C270" authorId="0" shapeId="0" xr:uid="{DC1ED46B-709D-4790-9CB4-217E9354A0DA}">
      <text>
        <r>
          <rPr>
            <b/>
            <sz val="9"/>
            <color indexed="81"/>
            <rFont val="Tahoma"/>
            <family val="2"/>
          </rPr>
          <t>Vissers, Luuk:</t>
        </r>
        <r>
          <rPr>
            <sz val="9"/>
            <color indexed="81"/>
            <rFont val="Tahoma"/>
            <family val="2"/>
          </rPr>
          <t xml:space="preserve">
KWIN 2019-2020: Een volwaardige arbiedskracht kan 90,000 vleeskuikens per ronde verzorgen.
Een arbeidskracht is 2349 uur per jaar (KWIN 2019-2020)
Dus arbeidsuur per 10,000 kippen per ronde is 
2349/aantal rondes/9 (omdat het per 10,000 kippen is)
aantal rondes = 365/ (lengte groeiperiode + leegstand)</t>
        </r>
      </text>
    </comment>
    <comment ref="C271" authorId="0" shapeId="0" xr:uid="{8A61354B-AA47-44F9-983A-B0C6743BEFD9}">
      <text>
        <r>
          <rPr>
            <b/>
            <sz val="9"/>
            <color indexed="81"/>
            <rFont val="Tahoma"/>
            <family val="2"/>
          </rPr>
          <t>Vissers, Luuk:</t>
        </r>
        <r>
          <rPr>
            <sz val="9"/>
            <color indexed="81"/>
            <rFont val="Tahoma"/>
            <family val="2"/>
          </rPr>
          <t xml:space="preserve">
Oosterkamp et al., 2010</t>
        </r>
      </text>
    </comment>
    <comment ref="C272" authorId="0" shapeId="0" xr:uid="{53889E88-EA1B-4CEB-BA37-CA7059263791}">
      <text>
        <r>
          <rPr>
            <b/>
            <sz val="9"/>
            <color indexed="81"/>
            <rFont val="Tahoma"/>
            <family val="2"/>
          </rPr>
          <t>Vissers, Luuk:</t>
        </r>
        <r>
          <rPr>
            <sz val="9"/>
            <color indexed="81"/>
            <rFont val="Tahoma"/>
            <family val="2"/>
          </rPr>
          <t xml:space="preserve">
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Vissers, Luuk</author>
  </authors>
  <commentList>
    <comment ref="C3" authorId="0" shapeId="0" xr:uid="{00000000-0006-0000-0300-000002000000}">
      <text>
        <r>
          <rPr>
            <b/>
            <sz val="9"/>
            <color indexed="81"/>
            <rFont val="Tahoma"/>
            <family val="2"/>
          </rPr>
          <t>Vissers, Luuk:</t>
        </r>
        <r>
          <rPr>
            <sz val="9"/>
            <color indexed="81"/>
            <rFont val="Tahoma"/>
            <family val="2"/>
          </rPr>
          <t xml:space="preserve">
Zie emissiefactoren ammoniak Rav (regeling ammoniak en veehouderij)
Bron:
https://www.infomil.nl/onderwerpen/landbouw/stalsystemen/emissiefactoren-per/map-staltypen/5-diercategorie/</t>
        </r>
      </text>
    </comment>
    <comment ref="D3" authorId="0" shapeId="0" xr:uid="{00000000-0006-0000-0300-000003000000}">
      <text>
        <r>
          <rPr>
            <b/>
            <sz val="9"/>
            <color indexed="81"/>
            <rFont val="Tahoma"/>
            <family val="2"/>
          </rPr>
          <t>Vissers, Luuk:</t>
        </r>
        <r>
          <rPr>
            <sz val="9"/>
            <color indexed="81"/>
            <rFont val="Tahoma"/>
            <family val="2"/>
          </rPr>
          <t xml:space="preserve">
Boven wettelijke grens van 16g, daarom ook warmtewisselaar toegevoegd
Zie emissiefactoren ammoniak, of emissiefactoren fijnstof
https://www.infomil.nl/onderwerpen/landbouw/stalsystemen/emissiefactoren-per/map-staltypen/5-diercategorie/</t>
        </r>
      </text>
    </comment>
    <comment ref="B9" authorId="0" shapeId="0" xr:uid="{00000000-0006-0000-0300-000004000000}">
      <text>
        <r>
          <rPr>
            <b/>
            <sz val="9"/>
            <color indexed="81"/>
            <rFont val="Tahoma"/>
            <family val="2"/>
          </rPr>
          <t>Vissers, Luuk:</t>
        </r>
        <r>
          <rPr>
            <sz val="9"/>
            <color indexed="81"/>
            <rFont val="Tahoma"/>
            <family val="2"/>
          </rPr>
          <t xml:space="preserve">
buiten stal techniek</t>
        </r>
      </text>
    </comment>
    <comment ref="C9" authorId="0" shapeId="0" xr:uid="{00000000-0006-0000-0300-000005000000}">
      <text>
        <r>
          <rPr>
            <b/>
            <sz val="9"/>
            <color indexed="81"/>
            <rFont val="Tahoma"/>
            <family val="2"/>
          </rPr>
          <t>Vissers, Luuk:</t>
        </r>
        <r>
          <rPr>
            <sz val="9"/>
            <color indexed="81"/>
            <rFont val="Tahoma"/>
            <family val="2"/>
          </rPr>
          <t xml:space="preserve">
Overzicht van maatregelen om de ammoniakemissie uit de veehouderij te beperken</t>
        </r>
      </text>
    </comment>
    <comment ref="D9" authorId="0" shapeId="0" xr:uid="{00000000-0006-0000-0300-000006000000}">
      <text>
        <r>
          <rPr>
            <b/>
            <sz val="9"/>
            <color indexed="81"/>
            <rFont val="Tahoma"/>
            <family val="2"/>
          </rPr>
          <t>Vissers, Luuk:</t>
        </r>
        <r>
          <rPr>
            <sz val="9"/>
            <color indexed="81"/>
            <rFont val="Tahoma"/>
            <family val="2"/>
          </rPr>
          <t xml:space="preserve">
Vissers, Luuk:
Emissiefactoren voor fijnstof veehouderij
zie: 
https://www.rijksoverheid.nl/documenten/publicaties/2018/03/15/emissiefactoren-fijn-stof-voor-veehouderij-201</t>
        </r>
      </text>
    </comment>
    <comment ref="B10" authorId="0" shapeId="0" xr:uid="{00000000-0006-0000-0300-000009000000}">
      <text>
        <r>
          <rPr>
            <b/>
            <sz val="9"/>
            <color indexed="81"/>
            <rFont val="Tahoma"/>
            <family val="2"/>
          </rPr>
          <t>Vissers, Luuk:</t>
        </r>
        <r>
          <rPr>
            <sz val="9"/>
            <color indexed="81"/>
            <rFont val="Tahoma"/>
            <family val="2"/>
          </rPr>
          <t xml:space="preserve">
in stal techniek</t>
        </r>
      </text>
    </comment>
    <comment ref="C10" authorId="0" shapeId="0" xr:uid="{00000000-0006-0000-0300-00000A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D10" authorId="0" shapeId="0" xr:uid="{00000000-0006-0000-0300-00000B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B11" authorId="0" shapeId="0" xr:uid="{00000000-0006-0000-0300-00000F000000}">
      <text>
        <r>
          <rPr>
            <b/>
            <sz val="9"/>
            <color indexed="81"/>
            <rFont val="Tahoma"/>
            <family val="2"/>
          </rPr>
          <t>Vissers, Luuk:</t>
        </r>
        <r>
          <rPr>
            <sz val="9"/>
            <color indexed="81"/>
            <rFont val="Tahoma"/>
            <family val="2"/>
          </rPr>
          <t xml:space="preserve">
in stal techniek</t>
        </r>
      </text>
    </comment>
    <comment ref="C11" authorId="0" shapeId="0" xr:uid="{00000000-0006-0000-0300-000010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D11" authorId="0" shapeId="0" xr:uid="{00000000-0006-0000-0300-000011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B12" authorId="0" shapeId="0" xr:uid="{00000000-0006-0000-0300-000017000000}">
      <text>
        <r>
          <rPr>
            <b/>
            <sz val="9"/>
            <color indexed="81"/>
            <rFont val="Tahoma"/>
            <family val="2"/>
          </rPr>
          <t>Vissers, Luuk:</t>
        </r>
        <r>
          <rPr>
            <sz val="9"/>
            <color indexed="81"/>
            <rFont val="Tahoma"/>
            <family val="2"/>
          </rPr>
          <t xml:space="preserve">
uit stal techniek</t>
        </r>
      </text>
    </comment>
    <comment ref="C12" authorId="0" shapeId="0" xr:uid="{00000000-0006-0000-0300-000018000000}">
      <text>
        <r>
          <rPr>
            <b/>
            <sz val="9"/>
            <color indexed="81"/>
            <rFont val="Tahoma"/>
            <family val="2"/>
          </rPr>
          <t>Vissers, Luuk:</t>
        </r>
        <r>
          <rPr>
            <sz val="9"/>
            <color indexed="81"/>
            <rFont val="Tahoma"/>
            <family val="2"/>
          </rPr>
          <t xml:space="preserve">
Overzicht van maatregelen om de ammoniakemissie uit de veehouderij te beperken</t>
        </r>
      </text>
    </comment>
    <comment ref="D12" authorId="0" shapeId="0" xr:uid="{00000000-0006-0000-0300-000019000000}">
      <text>
        <r>
          <rPr>
            <b/>
            <sz val="9"/>
            <color indexed="81"/>
            <rFont val="Tahoma"/>
            <family val="2"/>
          </rPr>
          <t>Vissers, Luuk:</t>
        </r>
        <r>
          <rPr>
            <sz val="9"/>
            <color indexed="81"/>
            <rFont val="Tahoma"/>
            <family val="2"/>
          </rPr>
          <t xml:space="preserve">
Vissers, Luuk:
60% of 75% fijnstofemissiereductie
Emissiefactoren voor fijnstof veehouderij
zie: 
https://www.rijksoverheid.nl/documenten/publicaties/2018/03/15/emissiefactoren-fijn-stof-voor-veehouderij-201</t>
        </r>
      </text>
    </comment>
    <comment ref="B13" authorId="0" shapeId="0" xr:uid="{00000000-0006-0000-0300-00001C000000}">
      <text>
        <r>
          <rPr>
            <b/>
            <sz val="9"/>
            <color indexed="81"/>
            <rFont val="Tahoma"/>
            <family val="2"/>
          </rPr>
          <t>Vissers, Luuk:</t>
        </r>
        <r>
          <rPr>
            <sz val="9"/>
            <color indexed="81"/>
            <rFont val="Tahoma"/>
            <family val="2"/>
          </rPr>
          <t xml:space="preserve">
in stal techniek</t>
        </r>
      </text>
    </comment>
    <comment ref="C13" authorId="0" shapeId="0" xr:uid="{00000000-0006-0000-0300-00001D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D13" authorId="0" shapeId="0" xr:uid="{00000000-0006-0000-0300-00001E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B16" authorId="0" shapeId="0" xr:uid="{00000000-0006-0000-0300-00001F000000}">
      <text>
        <r>
          <rPr>
            <b/>
            <sz val="9"/>
            <color indexed="81"/>
            <rFont val="Tahoma"/>
            <family val="2"/>
          </rPr>
          <t>Vissers, Luuk:</t>
        </r>
        <r>
          <rPr>
            <sz val="9"/>
            <color indexed="81"/>
            <rFont val="Tahoma"/>
            <family val="2"/>
          </rPr>
          <t xml:space="preserve">
in stal techniek</t>
        </r>
      </text>
    </comment>
    <comment ref="C16" authorId="0" shapeId="0" xr:uid="{00000000-0006-0000-0300-000020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https://www.infomil.nl/onderwerpen/landbouw/stalsystemen/emissiefactoren-per/map-staltypen/5-diercategorie/Zie: 
Emissiefactoren per diercatergorie InfoMil
-&gt; E5 diercategorie vleeskuikens
https://www.infomil.nl/onderwerpen/landbouw/stalsystemen/emissiefactoren-per/map-staltypen/5-diercategorie/</t>
        </r>
      </text>
    </comment>
    <comment ref="D16" authorId="0" shapeId="0" xr:uid="{00000000-0006-0000-0300-000021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B17" authorId="0" shapeId="0" xr:uid="{00000000-0006-0000-0300-000027000000}">
      <text>
        <r>
          <rPr>
            <b/>
            <sz val="9"/>
            <color indexed="81"/>
            <rFont val="Tahoma"/>
            <family val="2"/>
          </rPr>
          <t>Vissers, Luuk:</t>
        </r>
        <r>
          <rPr>
            <sz val="9"/>
            <color indexed="81"/>
            <rFont val="Tahoma"/>
            <family val="2"/>
          </rPr>
          <t xml:space="preserve">
in stal techniek</t>
        </r>
      </text>
    </comment>
    <comment ref="C17" authorId="0" shapeId="0" xr:uid="{00000000-0006-0000-0300-000028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D17" authorId="0" shapeId="0" xr:uid="{00000000-0006-0000-0300-000029000000}">
      <text>
        <r>
          <rPr>
            <b/>
            <sz val="9"/>
            <color indexed="81"/>
            <rFont val="Tahoma"/>
            <family val="2"/>
          </rPr>
          <t>Vissers, Luuk:</t>
        </r>
        <r>
          <rPr>
            <sz val="9"/>
            <color indexed="81"/>
            <rFont val="Tahoma"/>
            <family val="2"/>
          </rPr>
          <t xml:space="preserve">
In combinatie met 13% warmtewisselaar: 19g
In combinatie met 31% warmtewisselaar: 15g
In combinatie met 50% warmtewisselaar: 11g</t>
        </r>
      </text>
    </comment>
    <comment ref="B18" authorId="0" shapeId="0" xr:uid="{00000000-0006-0000-0300-00002F000000}">
      <text>
        <r>
          <rPr>
            <b/>
            <sz val="9"/>
            <color indexed="81"/>
            <rFont val="Tahoma"/>
            <family val="2"/>
          </rPr>
          <t>Vissers, Luuk:</t>
        </r>
        <r>
          <rPr>
            <sz val="9"/>
            <color indexed="81"/>
            <rFont val="Tahoma"/>
            <family val="2"/>
          </rPr>
          <t xml:space="preserve">
uit stal techniek</t>
        </r>
      </text>
    </comment>
    <comment ref="C18" authorId="0" shapeId="0" xr:uid="{00000000-0006-0000-0300-000030000000}">
      <text>
        <r>
          <rPr>
            <b/>
            <sz val="9"/>
            <color indexed="81"/>
            <rFont val="Tahoma"/>
            <family val="2"/>
          </rPr>
          <t>Vissers, Luuk:</t>
        </r>
        <r>
          <rPr>
            <sz val="9"/>
            <color indexed="81"/>
            <rFont val="Tahoma"/>
            <family val="2"/>
          </rPr>
          <t xml:space="preserve">
Overzicht van maatregelen om de ammoniakemissie uit de veehouderij te beperken</t>
        </r>
      </text>
    </comment>
    <comment ref="D18" authorId="0" shapeId="0" xr:uid="{00000000-0006-0000-0300-000031000000}">
      <text>
        <r>
          <rPr>
            <b/>
            <sz val="9"/>
            <color indexed="81"/>
            <rFont val="Tahoma"/>
            <family val="2"/>
          </rPr>
          <t>Vissers, Luuk:</t>
        </r>
        <r>
          <rPr>
            <sz val="9"/>
            <color indexed="81"/>
            <rFont val="Tahoma"/>
            <family val="2"/>
          </rPr>
          <t xml:space="preserve">
Vissers, Luuk:
Emissiefactoren voor fijnstof veehouderij
zie: 
https://www.rijksoverheid.nl/documenten/publicaties/2018/03/15/emissiefactoren-fijn-stof-voor-veehouderij-201</t>
        </r>
      </text>
    </comment>
    <comment ref="B19" authorId="0" shapeId="0" xr:uid="{00000000-0006-0000-0300-000034000000}">
      <text>
        <r>
          <rPr>
            <b/>
            <sz val="9"/>
            <color indexed="81"/>
            <rFont val="Tahoma"/>
            <family val="2"/>
          </rPr>
          <t>Vissers, Luuk:</t>
        </r>
        <r>
          <rPr>
            <sz val="9"/>
            <color indexed="81"/>
            <rFont val="Tahoma"/>
            <family val="2"/>
          </rPr>
          <t xml:space="preserve">
uit stal techniek</t>
        </r>
      </text>
    </comment>
    <comment ref="B20" authorId="0" shapeId="0" xr:uid="{00000000-0006-0000-0300-000037000000}">
      <text>
        <r>
          <rPr>
            <b/>
            <sz val="9"/>
            <color indexed="81"/>
            <rFont val="Tahoma"/>
            <family val="2"/>
          </rPr>
          <t>Vissers, Luuk:</t>
        </r>
        <r>
          <rPr>
            <sz val="9"/>
            <color indexed="81"/>
            <rFont val="Tahoma"/>
            <family val="2"/>
          </rPr>
          <t xml:space="preserve">
in stal techniek</t>
        </r>
      </text>
    </comment>
    <comment ref="C20" authorId="0" shapeId="0" xr:uid="{00000000-0006-0000-0300-000038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D20" authorId="0" shapeId="0" xr:uid="{00000000-0006-0000-0300-000039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B21" authorId="0" shapeId="0" xr:uid="{00000000-0006-0000-0300-00003F000000}">
      <text>
        <r>
          <rPr>
            <b/>
            <sz val="9"/>
            <color indexed="81"/>
            <rFont val="Tahoma"/>
            <family val="2"/>
          </rPr>
          <t>Vissers, Luuk:</t>
        </r>
        <r>
          <rPr>
            <sz val="9"/>
            <color indexed="81"/>
            <rFont val="Tahoma"/>
            <family val="2"/>
          </rPr>
          <t xml:space="preserve">
in stal techniek</t>
        </r>
      </text>
    </comment>
    <comment ref="C21" authorId="0" shapeId="0" xr:uid="{00000000-0006-0000-0300-000040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D21" authorId="0" shapeId="0" xr:uid="{00000000-0006-0000-0300-000041000000}">
      <text>
        <r>
          <rPr>
            <b/>
            <sz val="9"/>
            <color indexed="81"/>
            <rFont val="Tahoma"/>
            <family val="2"/>
          </rPr>
          <t>Vissers, Luuk:</t>
        </r>
        <r>
          <rPr>
            <sz val="9"/>
            <color indexed="81"/>
            <rFont val="Tahoma"/>
            <family val="2"/>
          </rPr>
          <t xml:space="preserve">
Zie: 
Emissiefactoren per diercatergorie InfoMil
-&gt; E5 diercategorie vleeskuikens
https://www.infomil.nl/onderwerpen/landbouw/stalsystemen/emissiefactoren-per/map-staltypen/5-diercategorie/</t>
        </r>
      </text>
    </comment>
    <comment ref="C22" authorId="0" shapeId="0" xr:uid="{AA2D1864-476E-49BD-A6C1-F7D3FF3F828F}">
      <text>
        <r>
          <rPr>
            <b/>
            <sz val="9"/>
            <color indexed="81"/>
            <rFont val="Tahoma"/>
            <family val="2"/>
          </rPr>
          <t>Vissers, Luuk:</t>
        </r>
        <r>
          <rPr>
            <sz val="9"/>
            <color indexed="81"/>
            <rFont val="Tahoma"/>
            <family val="2"/>
          </rPr>
          <t xml:space="preserve">
Ik neem aan dat een chemische luchtwasser wordt gebruikt bij Terrasea.
Zie: TerraSea energiezuinig stalconcept voor
vleeskuikens.
biologische of chemische luchtwasser kan gebruikt worden. 
Reductie ammoniak: 90% of 70%, geurreductie 30% en 45% en reductie fijnstof tussen 35% en 75%. 
Rapport Nevenvoordelen duurzame stalconcepten:
De combinatie van luchtconditionering met een
luchtwasser zorgt voor een reductie van 70 tot 90 procent van de emissies. Daarnaast wordt door warmteterugwinning in dit systeem een besparing op de
verwarmingskosten van 50 tot 60 procent bereikt.
Let op: Bijna alle ondernemers gaven aan dat de gewenningsperiode heeft gezorgd voor mindere goede technische resultaten.</t>
        </r>
      </text>
    </comment>
    <comment ref="B27" authorId="0" shapeId="0" xr:uid="{00000000-0006-0000-0300-000048000000}">
      <text>
        <r>
          <rPr>
            <b/>
            <sz val="9"/>
            <color indexed="81"/>
            <rFont val="Tahoma"/>
            <family val="2"/>
          </rPr>
          <t>Vissers, Luuk:</t>
        </r>
        <r>
          <rPr>
            <sz val="9"/>
            <color indexed="81"/>
            <rFont val="Tahoma"/>
            <family val="2"/>
          </rPr>
          <t xml:space="preserve">
in stal techniek</t>
        </r>
      </text>
    </comment>
    <comment ref="C27" authorId="0" shapeId="0" xr:uid="{00000000-0006-0000-0300-000049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t>
        </r>
      </text>
    </comment>
    <comment ref="D27" authorId="0" shapeId="0" xr:uid="{00000000-0006-0000-0300-00004A000000}">
      <text>
        <r>
          <rPr>
            <b/>
            <sz val="9"/>
            <color indexed="81"/>
            <rFont val="Tahoma"/>
            <family val="2"/>
          </rPr>
          <t>Vissers, Luuk:</t>
        </r>
        <r>
          <rPr>
            <sz val="9"/>
            <color indexed="81"/>
            <rFont val="Tahoma"/>
            <family val="2"/>
          </rPr>
          <t xml:space="preserve">
Vissers, Luuk:
Emissiefactoren voor fijnstof veehouderij
zie: 
https://www.rijksoverheid.nl/documenten/publicaties/2018/03/15/emissiefactoren-fijn-stof-voor-veehouderij-201</t>
        </r>
      </text>
    </comment>
    <comment ref="B28" authorId="0" shapeId="0" xr:uid="{00000000-0006-0000-0300-00004C000000}">
      <text>
        <r>
          <rPr>
            <b/>
            <sz val="9"/>
            <color indexed="81"/>
            <rFont val="Tahoma"/>
            <family val="2"/>
          </rPr>
          <t>Vissers, Luuk:</t>
        </r>
        <r>
          <rPr>
            <sz val="9"/>
            <color indexed="81"/>
            <rFont val="Tahoma"/>
            <family val="2"/>
          </rPr>
          <t xml:space="preserve">
Techniek in stal</t>
        </r>
      </text>
    </comment>
    <comment ref="C28" authorId="0" shapeId="0" xr:uid="{00000000-0006-0000-0300-00004D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t>
        </r>
      </text>
    </comment>
    <comment ref="D28" authorId="0" shapeId="0" xr:uid="{00000000-0006-0000-0300-00004E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t>
        </r>
      </text>
    </comment>
    <comment ref="B29" authorId="0" shapeId="0" xr:uid="{00000000-0006-0000-0300-00004F000000}">
      <text>
        <r>
          <rPr>
            <b/>
            <sz val="9"/>
            <color indexed="81"/>
            <rFont val="Tahoma"/>
            <family val="2"/>
          </rPr>
          <t>Vissers, Luuk:</t>
        </r>
        <r>
          <rPr>
            <sz val="9"/>
            <color indexed="81"/>
            <rFont val="Tahoma"/>
            <family val="2"/>
          </rPr>
          <t xml:space="preserve">
uit stal techniek</t>
        </r>
      </text>
    </comment>
    <comment ref="C29" authorId="0" shapeId="0" xr:uid="{00000000-0006-0000-0300-000050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t>
        </r>
      </text>
    </comment>
    <comment ref="D29" authorId="0" shapeId="0" xr:uid="{00000000-0006-0000-0300-000051000000}">
      <text>
        <r>
          <rPr>
            <b/>
            <sz val="9"/>
            <color indexed="81"/>
            <rFont val="Tahoma"/>
            <family val="2"/>
          </rPr>
          <t>Vissers, Luuk:</t>
        </r>
        <r>
          <rPr>
            <sz val="9"/>
            <color indexed="81"/>
            <rFont val="Tahoma"/>
            <family val="2"/>
          </rPr>
          <t xml:space="preserve">
Vissers, Luuk:
Emissiefactoren voor fijnstof veehouderij
zie: 
https://www.rijksoverheid.nl/documenten/publicaties/2018/03/15/emissiefactoren-fijn-stof-voor-veehouderij-201</t>
        </r>
      </text>
    </comment>
    <comment ref="B30" authorId="0" shapeId="0" xr:uid="{00000000-0006-0000-0300-000061000000}">
      <text>
        <r>
          <rPr>
            <b/>
            <sz val="9"/>
            <color indexed="81"/>
            <rFont val="Tahoma"/>
            <family val="2"/>
          </rPr>
          <t>Vissers, Luuk:</t>
        </r>
        <r>
          <rPr>
            <sz val="9"/>
            <color indexed="81"/>
            <rFont val="Tahoma"/>
            <family val="2"/>
          </rPr>
          <t xml:space="preserve">
uit stal techniek</t>
        </r>
      </text>
    </comment>
    <comment ref="C30" authorId="0" shapeId="0" xr:uid="{00000000-0006-0000-0300-000062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https://www.infomil.nl/onderwerpen/landbouw/stalsystemen/emissiefactoren-per/map-staltypen/7-additionele/eductie NH3 emissie??</t>
        </r>
      </text>
    </comment>
    <comment ref="D30" authorId="0" shapeId="0" xr:uid="{00000000-0006-0000-0300-000063000000}">
      <text>
        <r>
          <rPr>
            <b/>
            <sz val="9"/>
            <color indexed="81"/>
            <rFont val="Tahoma"/>
            <family val="2"/>
          </rPr>
          <t>Vissers, Luuk:</t>
        </r>
        <r>
          <rPr>
            <sz val="9"/>
            <color indexed="81"/>
            <rFont val="Tahoma"/>
            <family val="2"/>
          </rPr>
          <t xml:space="preserve">
Vissers, Luuk:
Emissiefactoren voor fijnstof veehouderij
zie: 
https://www.rijksoverheid.nl/documenten/publicaties/2018/03/15/emissiefactoren-fijn-stof-voor-veehouderij-201</t>
        </r>
      </text>
    </comment>
    <comment ref="B31" authorId="0" shapeId="0" xr:uid="{00000000-0006-0000-0300-000066000000}">
      <text>
        <r>
          <rPr>
            <b/>
            <sz val="9"/>
            <color indexed="81"/>
            <rFont val="Tahoma"/>
            <family val="2"/>
          </rPr>
          <t>Vissers, Luuk:</t>
        </r>
        <r>
          <rPr>
            <sz val="9"/>
            <color indexed="81"/>
            <rFont val="Tahoma"/>
            <family val="2"/>
          </rPr>
          <t xml:space="preserve">
uit stal techniek</t>
        </r>
      </text>
    </comment>
    <comment ref="C31" authorId="0" shapeId="0" xr:uid="{00000000-0006-0000-0300-000067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t>
        </r>
      </text>
    </comment>
    <comment ref="D31" authorId="0" shapeId="0" xr:uid="{00000000-0006-0000-0300-000068000000}">
      <text>
        <r>
          <rPr>
            <b/>
            <sz val="9"/>
            <color indexed="81"/>
            <rFont val="Tahoma"/>
            <family val="2"/>
          </rPr>
          <t>Vissers, Luuk:</t>
        </r>
        <r>
          <rPr>
            <sz val="9"/>
            <color indexed="81"/>
            <rFont val="Tahoma"/>
            <family val="2"/>
          </rPr>
          <t xml:space="preserve">
Vissers, Luuk:
Emissiefactoren voor fijnstof veehouderij
zie: 
https://www.rijksoverheid.nl/documenten/publicaties/2018/03/15/emissiefactoren-fijn-stof-voor-veehouderij-201</t>
        </r>
      </text>
    </comment>
    <comment ref="B32" authorId="0" shapeId="0" xr:uid="{00000000-0006-0000-0300-00006B000000}">
      <text>
        <r>
          <rPr>
            <b/>
            <sz val="9"/>
            <color indexed="81"/>
            <rFont val="Tahoma"/>
            <family val="2"/>
          </rPr>
          <t>Vissers, Luuk:</t>
        </r>
        <r>
          <rPr>
            <sz val="9"/>
            <color indexed="81"/>
            <rFont val="Tahoma"/>
            <family val="2"/>
          </rPr>
          <t xml:space="preserve">
uit stal techniek</t>
        </r>
      </text>
    </comment>
    <comment ref="C32" authorId="0" shapeId="0" xr:uid="{00000000-0006-0000-0300-00006C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t>
        </r>
      </text>
    </comment>
    <comment ref="D32" authorId="0" shapeId="0" xr:uid="{00000000-0006-0000-0300-00006D000000}">
      <text>
        <r>
          <rPr>
            <b/>
            <sz val="9"/>
            <color indexed="81"/>
            <rFont val="Tahoma"/>
            <family val="2"/>
          </rPr>
          <t>Vissers, Luuk:</t>
        </r>
        <r>
          <rPr>
            <sz val="9"/>
            <color indexed="81"/>
            <rFont val="Tahoma"/>
            <family val="2"/>
          </rPr>
          <t xml:space="preserve">
Emissiefactoren voor fijnstof veehouderij
zie: 
https://www.rijksoverheid.nl/documenten/publicaties/2018/03/15/emissiefactoren-fijn-stof-voor-veehouderij-201</t>
        </r>
      </text>
    </comment>
    <comment ref="B33" authorId="0" shapeId="0" xr:uid="{61CF88DE-54C0-4DCD-8C83-D24A7C21F894}">
      <text>
        <r>
          <rPr>
            <b/>
            <sz val="9"/>
            <color indexed="81"/>
            <rFont val="Tahoma"/>
            <family val="2"/>
          </rPr>
          <t>Vissers, Luuk:</t>
        </r>
        <r>
          <rPr>
            <sz val="9"/>
            <color indexed="81"/>
            <rFont val="Tahoma"/>
            <family val="2"/>
          </rPr>
          <t xml:space="preserve">
uit stal techniek</t>
        </r>
      </text>
    </comment>
    <comment ref="C33" authorId="0" shapeId="0" xr:uid="{00000000-0006-0000-0300-000072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t>
        </r>
      </text>
    </comment>
    <comment ref="D33" authorId="0" shapeId="0" xr:uid="{00000000-0006-0000-0300-000073000000}">
      <text>
        <r>
          <rPr>
            <b/>
            <sz val="9"/>
            <color indexed="81"/>
            <rFont val="Tahoma"/>
            <family val="2"/>
          </rPr>
          <t>Vissers, Luuk:</t>
        </r>
        <r>
          <rPr>
            <sz val="9"/>
            <color indexed="81"/>
            <rFont val="Tahoma"/>
            <family val="2"/>
          </rPr>
          <t xml:space="preserve">
Vissers, Luuk:
Emissiefactoren voor fijnstof veehouderij
zie: 
https://www.rijksoverheid.nl/documenten/publicaties/2018/03/15/emissiefactoren-fijn-stof-voor-veehouderij-201</t>
        </r>
      </text>
    </comment>
    <comment ref="B34" authorId="0" shapeId="0" xr:uid="{E15C3DEE-823F-4CCC-B3E0-3AE1C8A8B636}">
      <text>
        <r>
          <rPr>
            <b/>
            <sz val="9"/>
            <color indexed="81"/>
            <rFont val="Tahoma"/>
            <family val="2"/>
          </rPr>
          <t>Vissers, Luuk:</t>
        </r>
        <r>
          <rPr>
            <sz val="9"/>
            <color indexed="81"/>
            <rFont val="Tahoma"/>
            <family val="2"/>
          </rPr>
          <t xml:space="preserve">
uit stal techniek</t>
        </r>
      </text>
    </comment>
    <comment ref="C34" authorId="0" shapeId="0" xr:uid="{00000000-0006-0000-0300-000078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t>
        </r>
      </text>
    </comment>
    <comment ref="B35" authorId="0" shapeId="0" xr:uid="{900B0B3D-78C4-48B5-9FBB-377424AC8413}">
      <text>
        <r>
          <rPr>
            <b/>
            <sz val="9"/>
            <color indexed="81"/>
            <rFont val="Tahoma"/>
            <family val="2"/>
          </rPr>
          <t>Vissers, Luuk:</t>
        </r>
        <r>
          <rPr>
            <sz val="9"/>
            <color indexed="81"/>
            <rFont val="Tahoma"/>
            <family val="2"/>
          </rPr>
          <t xml:space="preserve">
uit stal techniek</t>
        </r>
      </text>
    </comment>
    <comment ref="C35" authorId="0" shapeId="0" xr:uid="{00000000-0006-0000-0300-00007B000000}">
      <text>
        <r>
          <rPr>
            <b/>
            <sz val="9"/>
            <color indexed="81"/>
            <rFont val="Tahoma"/>
            <family val="2"/>
          </rPr>
          <t>Vissers, Luuk:</t>
        </r>
        <r>
          <rPr>
            <sz val="9"/>
            <color indexed="81"/>
            <rFont val="Tahoma"/>
            <family val="2"/>
          </rPr>
          <t xml:space="preserve">
Emissiefactoren diercategorieën
-&gt; klik dan verder op 
E 7 additionele technieken voor emissiereductie van fijnstof
Bron: 
https://www.infomil.nl/onderwerpen/landbouw/stalsystemen/emissiefactoren-per/map-staltypen/7-additionele/</t>
        </r>
      </text>
    </comment>
    <comment ref="D35" authorId="0" shapeId="0" xr:uid="{00000000-0006-0000-0300-00007C000000}">
      <text>
        <r>
          <rPr>
            <b/>
            <sz val="9"/>
            <color indexed="81"/>
            <rFont val="Tahoma"/>
            <family val="2"/>
          </rPr>
          <t>Vissers, Luuk:</t>
        </r>
        <r>
          <rPr>
            <sz val="9"/>
            <color indexed="81"/>
            <rFont val="Tahoma"/>
            <family val="2"/>
          </rPr>
          <t xml:space="preserve">
Vissers, Luuk:
Emissiefactoren voor fijnstof veehouderij
zie: 
https://www.rijksoverheid.nl/documenten/publicaties/2018/03/15/emissiefactoren-fijn-stof-voor-veehouderij-201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Vissers, Luuk</author>
    <author>tc={11A0C441-5FC2-4B79-B590-68CCEED741A5}</author>
    <author>tc={8CE2390E-93B4-40DD-89EF-7C6EEE69790B}</author>
    <author>tc={B70E953A-3CF3-45D1-9090-63CC767420A2}</author>
    <author>tc={0C495179-CA2C-4824-93B3-604C2D086A52}</author>
    <author>tc={269A3F2A-16E4-4FFB-BE5D-455C42EF6B86}</author>
  </authors>
  <commentList>
    <comment ref="B7" authorId="0" shapeId="0" xr:uid="{D1E6B689-F2DC-4BA3-8ACE-01DC4E5C3EEA}">
      <text>
        <r>
          <rPr>
            <b/>
            <sz val="9"/>
            <color indexed="81"/>
            <rFont val="Tahoma"/>
            <family val="2"/>
          </rPr>
          <t>Vissers, Luuk:</t>
        </r>
        <r>
          <rPr>
            <sz val="9"/>
            <color indexed="81"/>
            <rFont val="Tahoma"/>
            <family val="2"/>
          </rPr>
          <t xml:space="preserve">
empty in case of having no new investment</t>
        </r>
      </text>
    </comment>
    <comment ref="B8" authorId="0" shapeId="0" xr:uid="{6091C4BB-3640-4EC2-B21A-5C6A30E59C56}">
      <text>
        <r>
          <rPr>
            <b/>
            <sz val="9"/>
            <color indexed="81"/>
            <rFont val="Tahoma"/>
            <family val="2"/>
          </rPr>
          <t>Vissers, Luuk:</t>
        </r>
        <r>
          <rPr>
            <sz val="9"/>
            <color indexed="81"/>
            <rFont val="Tahoma"/>
            <family val="2"/>
          </rPr>
          <t xml:space="preserve">
empty in case of having no new investment</t>
        </r>
      </text>
    </comment>
    <comment ref="B9" authorId="0" shapeId="0" xr:uid="{DF380BAF-4469-40D3-8670-4EF915EB2F0E}">
      <text>
        <r>
          <rPr>
            <b/>
            <sz val="9"/>
            <color indexed="81"/>
            <rFont val="Tahoma"/>
            <family val="2"/>
          </rPr>
          <t>Vissers, Luuk:</t>
        </r>
        <r>
          <rPr>
            <sz val="9"/>
            <color indexed="81"/>
            <rFont val="Tahoma"/>
            <family val="2"/>
          </rPr>
          <t xml:space="preserve">
empty in case of having no new investment</t>
        </r>
      </text>
    </comment>
    <comment ref="B24" authorId="0" shapeId="0" xr:uid="{BB96449E-4D77-49D9-B003-6F95658FF7E7}">
      <text>
        <r>
          <rPr>
            <b/>
            <sz val="9"/>
            <color indexed="81"/>
            <rFont val="Tahoma"/>
            <family val="2"/>
          </rPr>
          <t>Vissers, Luuk:</t>
        </r>
        <r>
          <rPr>
            <sz val="9"/>
            <color indexed="81"/>
            <rFont val="Tahoma"/>
            <family val="2"/>
          </rPr>
          <t xml:space="preserve">
Same assumption as Gocsik</t>
        </r>
      </text>
    </comment>
    <comment ref="B30" authorId="0" shapeId="0" xr:uid="{FE3C73BC-01D7-4C68-B3A9-B259AB4E7AAE}">
      <text>
        <r>
          <rPr>
            <b/>
            <sz val="9"/>
            <color indexed="81"/>
            <rFont val="Tahoma"/>
            <family val="2"/>
          </rPr>
          <t xml:space="preserve">Vissers, Luuk:
</t>
        </r>
        <r>
          <rPr>
            <sz val="9"/>
            <color indexed="81"/>
            <rFont val="Tahoma"/>
            <family val="2"/>
          </rPr>
          <t>Average 3-month Euribor period 2015-2019.
Source: https://www.euribor-rates.eu/en/current-euribor-rates/2/euribor-rate-3-months/</t>
        </r>
      </text>
    </comment>
    <comment ref="B31" authorId="0" shapeId="0" xr:uid="{0B585FB8-8395-4262-BD44-2CB3FDA12C61}">
      <text>
        <r>
          <rPr>
            <b/>
            <sz val="9"/>
            <color indexed="81"/>
            <rFont val="Tahoma"/>
            <family val="2"/>
          </rPr>
          <t>Vissers, Luuk:</t>
        </r>
        <r>
          <rPr>
            <sz val="9"/>
            <color indexed="81"/>
            <rFont val="Tahoma"/>
            <family val="2"/>
          </rPr>
          <t xml:space="preserve">
KWIN 2018-2019</t>
        </r>
      </text>
    </comment>
    <comment ref="B32" authorId="1" shapeId="0" xr:uid="{11A0C441-5FC2-4B79-B590-68CCEED741A5}">
      <text>
        <t>[Threaded comment]
Your version of Excel allows you to read this threaded comment; however, any edits to it will get removed if the file is opened in a newer version of Excel. Learn more: https://go.microsoft.com/fwlink/?linkid=870924
Comment:
    10-years Dutch government bond yield for the period 2015-2020</t>
      </text>
    </comment>
    <comment ref="A38" authorId="0" shapeId="0" xr:uid="{AA6F4A7E-C21F-4965-ABD5-C2FE6CB8874D}">
      <text>
        <r>
          <rPr>
            <b/>
            <sz val="9"/>
            <color indexed="81"/>
            <rFont val="Tahoma"/>
            <family val="2"/>
          </rPr>
          <t>Vissers, Luuk:</t>
        </r>
        <r>
          <rPr>
            <sz val="9"/>
            <color indexed="81"/>
            <rFont val="Tahoma"/>
            <family val="2"/>
          </rPr>
          <t xml:space="preserve">
1 FTE = 2349 hours/year (Mid-term financial impact Gocsik)</t>
        </r>
      </text>
    </comment>
    <comment ref="A40" authorId="0" shapeId="0" xr:uid="{15670EF7-3B90-4B35-BC94-918B38F3BCEB}">
      <text>
        <r>
          <rPr>
            <b/>
            <sz val="9"/>
            <color indexed="81"/>
            <rFont val="Tahoma"/>
            <family val="2"/>
          </rPr>
          <t>Vissers, Luuk:</t>
        </r>
        <r>
          <rPr>
            <sz val="9"/>
            <color indexed="81"/>
            <rFont val="Tahoma"/>
            <family val="2"/>
          </rPr>
          <t xml:space="preserve">
Includes management:
Feed and water management
Temperature schedule
Thinning
Cleaning and disinfecting
</t>
        </r>
      </text>
    </comment>
    <comment ref="B42" authorId="0" shapeId="0" xr:uid="{85FCB298-B683-4A95-95C9-C24D587746A7}">
      <text>
        <r>
          <rPr>
            <b/>
            <sz val="9"/>
            <color indexed="81"/>
            <rFont val="Tahoma"/>
            <family val="2"/>
          </rPr>
          <t>Vissers, Luuk:</t>
        </r>
        <r>
          <rPr>
            <sz val="9"/>
            <color indexed="81"/>
            <rFont val="Tahoma"/>
            <family val="2"/>
          </rPr>
          <t xml:space="preserve">
provide grain and straw after 8 days
See Beter Leven keurmerk 1 ster: https://beterleven.dierenbescherming.nl/fileupload/zakelijk/criteria/vleeskuikens/Vleeskuikens_1_ster_-_Versie_5.1._ZW_d.d._01.09.2016.pdf</t>
        </r>
      </text>
    </comment>
    <comment ref="B46" authorId="0" shapeId="0" xr:uid="{0E169184-C739-4274-A1FA-F4EFCE1FA5B7}">
      <text>
        <r>
          <rPr>
            <b/>
            <sz val="9"/>
            <color indexed="81"/>
            <rFont val="Tahoma"/>
            <family val="2"/>
          </rPr>
          <t>Vissers, Luuk:</t>
        </r>
        <r>
          <rPr>
            <sz val="9"/>
            <color indexed="81"/>
            <rFont val="Tahoma"/>
            <family val="2"/>
          </rPr>
          <t xml:space="preserve">
Bij Extensive Indoor+: covered veranda (20% van grondoppervlak) mag je meerekenen tot beschikbaar staloppervlak, dus in totaal mag je staloppervlak neemt met 20% toe.</t>
        </r>
      </text>
    </comment>
    <comment ref="A54" authorId="0" shapeId="0" xr:uid="{89B25516-3468-4CC7-B93F-3F48ECEE3D7F}">
      <text>
        <r>
          <rPr>
            <b/>
            <sz val="9"/>
            <color indexed="81"/>
            <rFont val="Tahoma"/>
            <family val="2"/>
          </rPr>
          <t>Vissers, Luuk:</t>
        </r>
        <r>
          <rPr>
            <sz val="9"/>
            <color indexed="81"/>
            <rFont val="Tahoma"/>
            <family val="2"/>
          </rPr>
          <t xml:space="preserve">
Bij conventioneel: Ross 308
Bij NDRS en WAP: Hubbard JA 987
Bij Extensive Indoor+: JA 757</t>
        </r>
      </text>
    </comment>
    <comment ref="B60" authorId="0" shapeId="0" xr:uid="{8AC2218E-6330-4F45-BBA5-6D919F013616}">
      <text>
        <r>
          <rPr>
            <b/>
            <sz val="9"/>
            <color indexed="81"/>
            <rFont val="Tahoma"/>
            <family val="2"/>
          </rPr>
          <t>Vissers, Luuk:</t>
        </r>
        <r>
          <rPr>
            <sz val="9"/>
            <color indexed="81"/>
            <rFont val="Tahoma"/>
            <family val="2"/>
          </rPr>
          <t xml:space="preserve">
De bezetting is gecorrigeerd voor uitval. Zie cijfers bij production parameters</t>
        </r>
      </text>
    </comment>
    <comment ref="A83" authorId="0" shapeId="0" xr:uid="{25BAFA23-2E01-4E90-B235-569B43E42446}">
      <text>
        <r>
          <rPr>
            <b/>
            <sz val="9"/>
            <color indexed="81"/>
            <rFont val="Tahoma"/>
            <family val="2"/>
          </rPr>
          <t>Vissers, Luuk:</t>
        </r>
        <r>
          <rPr>
            <sz val="9"/>
            <color indexed="81"/>
            <rFont val="Tahoma"/>
            <family val="2"/>
          </rPr>
          <t xml:space="preserve">
Energy costs = heating costs + electricity costs</t>
        </r>
      </text>
    </comment>
    <comment ref="F90" authorId="0" shapeId="0" xr:uid="{E8431304-B341-49D8-97D9-3C35D1D61650}">
      <text>
        <r>
          <rPr>
            <b/>
            <sz val="9"/>
            <color indexed="81"/>
            <rFont val="Tahoma"/>
            <family val="2"/>
          </rPr>
          <t>Vissers, Luuk:</t>
        </r>
        <r>
          <rPr>
            <sz val="9"/>
            <color indexed="81"/>
            <rFont val="Tahoma"/>
            <family val="2"/>
          </rPr>
          <t xml:space="preserve">
Wap en Ext. Indoor hebben transparant roof slate (lichtplaat), conventioneel en NDRS niet.</t>
        </r>
      </text>
    </comment>
    <comment ref="G93" authorId="0" shapeId="0" xr:uid="{081272E2-D439-48B4-BAA5-A4FAD7D4C2CF}">
      <text>
        <r>
          <rPr>
            <b/>
            <sz val="9"/>
            <color indexed="81"/>
            <rFont val="Tahoma"/>
            <family val="2"/>
          </rPr>
          <t>Vissers, Luuk:</t>
        </r>
        <r>
          <rPr>
            <sz val="9"/>
            <color indexed="81"/>
            <rFont val="Tahoma"/>
            <family val="2"/>
          </rPr>
          <t xml:space="preserve">
E5.100 = overige huisvestingssysteem (basisstal)
E5.4 = chemisch luchtwassysteem 90% emissiereducite, grondhuisvesting
E5.5 = Grondhuisvesting met vloerverwarming en vloerkoeling
E5.6 = Mixluchtventilatie
E5.7 = biologisch luchtwassysteem 70% emissiereducite, grondhuisvesting
E5.8 = Etageysteem met strooiseldroging
E 5.9 = Uitbroeden eieren plus vervolghuisvesting
5.9.1.2.2 Vanaf 19 dagen in E5.6
5.9.1.2.4 Vanaf 19 dagen leeftijd in E5.10
E5.10 = Warmteheaters, ventilatoren
E5.11= Luchtmengkast voor strooiseldroging i.c.m. warmtewisselaar
E5.12 = Biofilter
E5.13 Chemische luchtwasser 70%
E5.14 = Warmteheaters
E5.15 = Stal met buizenverwarming
E7.1 = Oliefilm met drukleidingen
E7.2 = Negatieve ionisatie
E7.3 = Waterwasser
E7.4 = Droogfilterwand
E7.5 = Ionisatiefilter
E7.6 = Warmtewisselaar; 31% reductie
E7.7 = Warmtewisselaar 13% reductie
E7.11 = Warmtewisselaar 37% reductie
E7.12 = Warmtewisselaar 50% reductie</t>
        </r>
      </text>
    </comment>
    <comment ref="B97" authorId="0" shapeId="0" xr:uid="{EC8E3436-DB83-4189-A687-48225E58962B}">
      <text>
        <r>
          <rPr>
            <b/>
            <sz val="9"/>
            <color indexed="81"/>
            <rFont val="Tahoma"/>
            <family val="2"/>
          </rPr>
          <t>Vissers, Luuk:</t>
        </r>
        <r>
          <rPr>
            <sz val="9"/>
            <color indexed="81"/>
            <rFont val="Tahoma"/>
            <family val="2"/>
          </rPr>
          <t xml:space="preserve">
Value of poultry house and equipment when they were build (so ten years ago).</t>
        </r>
      </text>
    </comment>
    <comment ref="B109" authorId="0" shapeId="0" xr:uid="{2103B2DE-5740-4743-A414-122204E98B86}">
      <text>
        <r>
          <rPr>
            <b/>
            <sz val="9"/>
            <color indexed="81"/>
            <rFont val="Tahoma"/>
            <family val="2"/>
          </rPr>
          <t>Vissers, Luuk:</t>
        </r>
        <r>
          <rPr>
            <sz val="9"/>
            <color indexed="81"/>
            <rFont val="Tahoma"/>
            <family val="2"/>
          </rPr>
          <t xml:space="preserve">
Bij KWIN zit bij day-old-chicks ook mortality kosten verrekend. Ik splits ze uit.</t>
        </r>
      </text>
    </comment>
    <comment ref="E119" authorId="0" shapeId="0" xr:uid="{850FF6A1-8AB1-497D-AB9A-4125E51174EE}">
      <text>
        <r>
          <rPr>
            <b/>
            <sz val="9"/>
            <color indexed="81"/>
            <rFont val="Tahoma"/>
            <family val="2"/>
          </rPr>
          <t>Vissers, Luuk:</t>
        </r>
        <r>
          <rPr>
            <sz val="9"/>
            <color indexed="81"/>
            <rFont val="Tahoma"/>
            <family val="2"/>
          </rPr>
          <t xml:space="preserve">
KWIN rekent deze als vaste kosten</t>
        </r>
      </text>
    </comment>
    <comment ref="A124" authorId="0" shapeId="0" xr:uid="{EE7A4F37-389F-456A-855B-1AB4A9F0D77B}">
      <text>
        <r>
          <rPr>
            <b/>
            <sz val="9"/>
            <color indexed="81"/>
            <rFont val="Tahoma"/>
            <family val="2"/>
          </rPr>
          <t>Vissers, Luuk:</t>
        </r>
        <r>
          <rPr>
            <sz val="9"/>
            <color indexed="81"/>
            <rFont val="Tahoma"/>
            <family val="2"/>
          </rPr>
          <t xml:space="preserve">
includes manure disposal</t>
        </r>
      </text>
    </comment>
    <comment ref="B124" authorId="0" shapeId="0" xr:uid="{EAA847CF-C768-4B57-84DB-95823FC2EF1A}">
      <text>
        <r>
          <rPr>
            <b/>
            <sz val="9"/>
            <color indexed="81"/>
            <rFont val="Tahoma"/>
            <family val="2"/>
          </rPr>
          <t>Vissers, Luuk:</t>
        </r>
        <r>
          <rPr>
            <sz val="9"/>
            <color indexed="81"/>
            <rFont val="Tahoma"/>
            <family val="2"/>
          </rPr>
          <t xml:space="preserve">
In KWIN 2019-2020, General includes bookkeeping, insurances, internet ... AND mortality and manure disposal (see page 355). I put mortality and manure disposal in variable costs. Therefore I subtract mortallity and manure disposal from general costs (=3 eurocents/kg live weight, see p. 345 KWIN 2019-2020)</t>
        </r>
      </text>
    </comment>
    <comment ref="A125" authorId="0" shapeId="0" xr:uid="{788EE9F8-EE59-468A-85F7-17CE1B1F6E67}">
      <text>
        <r>
          <rPr>
            <b/>
            <sz val="9"/>
            <color indexed="81"/>
            <rFont val="Tahoma"/>
            <family val="2"/>
          </rPr>
          <t>Vissers, Luuk:</t>
        </r>
        <r>
          <rPr>
            <sz val="9"/>
            <color indexed="81"/>
            <rFont val="Tahoma"/>
            <family val="2"/>
          </rPr>
          <t xml:space="preserve">
Includes management (feed and water management, temperature schedule, vaccination schedule, thinning, cleaning and disinfecting, catching), grain and straw bale provision and controlling outdoor access</t>
        </r>
      </text>
    </comment>
    <comment ref="B125" authorId="0" shapeId="0" xr:uid="{0F6CE4BA-1575-409B-8FB3-96B9648A8C19}">
      <text>
        <r>
          <rPr>
            <b/>
            <sz val="9"/>
            <color indexed="81"/>
            <rFont val="Tahoma"/>
            <family val="2"/>
          </rPr>
          <t>Vissers, Luuk:</t>
        </r>
        <r>
          <rPr>
            <sz val="9"/>
            <color indexed="81"/>
            <rFont val="Tahoma"/>
            <family val="2"/>
          </rPr>
          <t xml:space="preserve">
KWIN 2019-2020</t>
        </r>
      </text>
    </comment>
    <comment ref="B151" authorId="0" shapeId="0" xr:uid="{31C4945B-BCBA-49D1-8C9D-8137A0CEFE56}">
      <text>
        <r>
          <rPr>
            <b/>
            <sz val="9"/>
            <color indexed="81"/>
            <rFont val="Tahoma"/>
            <family val="2"/>
          </rPr>
          <t>Vissers, Luuk:</t>
        </r>
        <r>
          <rPr>
            <sz val="9"/>
            <color indexed="81"/>
            <rFont val="Tahoma"/>
            <family val="2"/>
          </rPr>
          <t xml:space="preserve">
Dit is exclusief labour costs</t>
        </r>
      </text>
    </comment>
    <comment ref="B170" authorId="2" shapeId="0" xr:uid="{8CE2390E-93B4-40DD-89EF-7C6EEE69790B}">
      <text>
        <t>[Threaded comment]
Your version of Excel allows you to read this threaded comment; however, any edits to it will get removed if the file is opened in a newer version of Excel. Learn more: https://go.microsoft.com/fwlink/?linkid=870924
Comment:
    See article: Vissers, L. S. M., et al. (2021). Analysis of synergies and trade-offs between animal welfare, ammonia emission, particulate matter emission and antibiotic use in Dutch broiler production systems. Agricultural Systems, 189, 103070. doi:https://doi.org/10.1016/j.agsy.2021.103070</t>
      </text>
    </comment>
    <comment ref="B177" authorId="3" shapeId="0" xr:uid="{B70E953A-3CF3-45D1-9090-63CC767420A2}">
      <text>
        <t>[Threaded comment]
Your version of Excel allows you to read this threaded comment; however, any edits to it will get removed if the file is opened in a newer version of Excel. Learn more: https://go.microsoft.com/fwlink/?linkid=870924
Comment:
    See article: Vissers, L. S. M., et al. (2021). Analysis of synergies and trade-offs between animal welfare, ammonia emission, particulate matter emission and antibiotic use in Dutch broiler production systems. Agricultural Systems, 189, 103070. doi:https://doi.org/10.1016/j.agsy.2021.103070</t>
      </text>
    </comment>
    <comment ref="B190" authorId="4" shapeId="0" xr:uid="{0C495179-CA2C-4824-93B3-604C2D086A52}">
      <text>
        <t>[Threaded comment]
Your version of Excel allows you to read this threaded comment; however, any edits to it will get removed if the file is opened in a newer version of Excel. Learn more: https://go.microsoft.com/fwlink/?linkid=870924
Comment:
    Source: Vissers, L. S. M., et al. (2019). Global prospects of the cost-efficiency of broiler welfare in middle-segment production systems. Animals (Basel), 9(7). doi:https://doi.org/10.3390/ani9070473</t>
      </text>
    </comment>
    <comment ref="B191" authorId="5" shapeId="0" xr:uid="{269A3F2A-16E4-4FFB-BE5D-455C42EF6B86}">
      <text>
        <t>[Threaded comment]
Your version of Excel allows you to read this threaded comment; however, any edits to it will get removed if the file is opened in a newer version of Excel. Learn more: https://go.microsoft.com/fwlink/?linkid=870924
Comment:
    Source: Vissers, L. S. M., et al. (2019). Global prospects of the cost-efficiency of broiler welfare in middle-segment production systems. Animals (Basel), 9(7). doi:https://doi.org/10.3390/ani9070473</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Vissers, Luuk</author>
    <author>tc={08B616DB-32AA-4D8C-8290-14C97488AE99}</author>
    <author>tc={E277CA92-30A8-459A-AFAA-66BE2C640907}</author>
    <author>tc={9F323D36-D057-49CF-90BC-3828031E0B9A}</author>
    <author>tc={F4E63248-0E18-4177-A31E-3BEE62C7D3DC}</author>
    <author>tc={856D68AA-F59A-4396-A928-1AC1EFC417E8}</author>
  </authors>
  <commentList>
    <comment ref="B7" authorId="0" shapeId="0" xr:uid="{6E050488-FC36-4703-96EF-BEFA5E470F76}">
      <text>
        <r>
          <rPr>
            <b/>
            <sz val="9"/>
            <color indexed="81"/>
            <rFont val="Tahoma"/>
            <family val="2"/>
          </rPr>
          <t>Vissers, Luuk:</t>
        </r>
        <r>
          <rPr>
            <sz val="9"/>
            <color indexed="81"/>
            <rFont val="Tahoma"/>
            <family val="2"/>
          </rPr>
          <t xml:space="preserve">
empty in case of having no new investment</t>
        </r>
      </text>
    </comment>
    <comment ref="B8" authorId="0" shapeId="0" xr:uid="{662F7543-AA09-4970-B8CC-FE2527E3ADFF}">
      <text>
        <r>
          <rPr>
            <b/>
            <sz val="9"/>
            <color indexed="81"/>
            <rFont val="Tahoma"/>
            <family val="2"/>
          </rPr>
          <t>Vissers, Luuk:</t>
        </r>
        <r>
          <rPr>
            <sz val="9"/>
            <color indexed="81"/>
            <rFont val="Tahoma"/>
            <family val="2"/>
          </rPr>
          <t xml:space="preserve">
empty in case of having no new investment</t>
        </r>
      </text>
    </comment>
    <comment ref="B9" authorId="0" shapeId="0" xr:uid="{196CAAD5-7AD6-45D6-A927-8F96FE126255}">
      <text>
        <r>
          <rPr>
            <b/>
            <sz val="9"/>
            <color indexed="81"/>
            <rFont val="Tahoma"/>
            <family val="2"/>
          </rPr>
          <t>Vissers, Luuk:</t>
        </r>
        <r>
          <rPr>
            <sz val="9"/>
            <color indexed="81"/>
            <rFont val="Tahoma"/>
            <family val="2"/>
          </rPr>
          <t xml:space="preserve">
empty in case of having no new investment</t>
        </r>
      </text>
    </comment>
    <comment ref="B24" authorId="0" shapeId="0" xr:uid="{29A07F87-D760-4969-A4DE-398D7198918E}">
      <text>
        <r>
          <rPr>
            <b/>
            <sz val="9"/>
            <color indexed="81"/>
            <rFont val="Tahoma"/>
            <family val="2"/>
          </rPr>
          <t>Vissers, Luuk:</t>
        </r>
        <r>
          <rPr>
            <sz val="9"/>
            <color indexed="81"/>
            <rFont val="Tahoma"/>
            <family val="2"/>
          </rPr>
          <t xml:space="preserve">
Same assumption as Gocsik</t>
        </r>
      </text>
    </comment>
    <comment ref="B30" authorId="0" shapeId="0" xr:uid="{D86DFD44-B500-47A0-B7B7-01A0C106595B}">
      <text>
        <r>
          <rPr>
            <b/>
            <sz val="9"/>
            <color indexed="81"/>
            <rFont val="Tahoma"/>
            <family val="2"/>
          </rPr>
          <t xml:space="preserve">Vissers, Luuk:
</t>
        </r>
        <r>
          <rPr>
            <sz val="9"/>
            <color indexed="81"/>
            <rFont val="Tahoma"/>
            <family val="2"/>
          </rPr>
          <t>Average 3-month Euribor period 2015-2019.
Source: https://www.euribor-rates.eu/en/current-euribor-rates/2/euribor-rate-3-months/</t>
        </r>
      </text>
    </comment>
    <comment ref="B31" authorId="0" shapeId="0" xr:uid="{02E38839-DA38-4825-A396-53EBD782E53E}">
      <text>
        <r>
          <rPr>
            <b/>
            <sz val="9"/>
            <color indexed="81"/>
            <rFont val="Tahoma"/>
            <family val="2"/>
          </rPr>
          <t>Vissers, Luuk:</t>
        </r>
        <r>
          <rPr>
            <sz val="9"/>
            <color indexed="81"/>
            <rFont val="Tahoma"/>
            <family val="2"/>
          </rPr>
          <t xml:space="preserve">
KWIN 2018-2019</t>
        </r>
      </text>
    </comment>
    <comment ref="B32" authorId="1" shapeId="0" xr:uid="{08B616DB-32AA-4D8C-8290-14C97488AE99}">
      <text>
        <t>[Threaded comment]
Your version of Excel allows you to read this threaded comment; however, any edits to it will get removed if the file is opened in a newer version of Excel. Learn more: https://go.microsoft.com/fwlink/?linkid=870924
Comment:
    10-years Dutch government bond yield for the period 2015-2020</t>
      </text>
    </comment>
    <comment ref="A38" authorId="0" shapeId="0" xr:uid="{5F73DFC4-6D23-45C1-97CC-B3F8667CF9BE}">
      <text>
        <r>
          <rPr>
            <b/>
            <sz val="9"/>
            <color indexed="81"/>
            <rFont val="Tahoma"/>
            <family val="2"/>
          </rPr>
          <t>Vissers, Luuk:</t>
        </r>
        <r>
          <rPr>
            <sz val="9"/>
            <color indexed="81"/>
            <rFont val="Tahoma"/>
            <family val="2"/>
          </rPr>
          <t xml:space="preserve">
1 FTE = 2349 hours/year (Mid-term financial impact Gocsik)</t>
        </r>
      </text>
    </comment>
    <comment ref="A40" authorId="0" shapeId="0" xr:uid="{BF7293B4-63CE-447A-A644-FB20D5CC12EE}">
      <text>
        <r>
          <rPr>
            <b/>
            <sz val="9"/>
            <color indexed="81"/>
            <rFont val="Tahoma"/>
            <family val="2"/>
          </rPr>
          <t>Vissers, Luuk:</t>
        </r>
        <r>
          <rPr>
            <sz val="9"/>
            <color indexed="81"/>
            <rFont val="Tahoma"/>
            <family val="2"/>
          </rPr>
          <t xml:space="preserve">
Includes management:
Feed and water management
Temperature schedule
Thinning
Cleaning and disinfecting
</t>
        </r>
      </text>
    </comment>
    <comment ref="B42" authorId="0" shapeId="0" xr:uid="{85D18443-242C-499B-A397-8F5C3986C7E7}">
      <text>
        <r>
          <rPr>
            <b/>
            <sz val="9"/>
            <color indexed="81"/>
            <rFont val="Tahoma"/>
            <family val="2"/>
          </rPr>
          <t>Vissers, Luuk:</t>
        </r>
        <r>
          <rPr>
            <sz val="9"/>
            <color indexed="81"/>
            <rFont val="Tahoma"/>
            <family val="2"/>
          </rPr>
          <t xml:space="preserve">
provide grain and straw after 8 days
See Beter Leven keurmerk 1 ster: https://beterleven.dierenbescherming.nl/fileupload/zakelijk/criteria/vleeskuikens/Vleeskuikens_1_ster_-_Versie_5.1._ZW_d.d._01.09.2016.pdf</t>
        </r>
      </text>
    </comment>
    <comment ref="B46" authorId="0" shapeId="0" xr:uid="{29BC8ADC-96D0-4AC5-94C5-E240704B271D}">
      <text>
        <r>
          <rPr>
            <b/>
            <sz val="9"/>
            <color indexed="81"/>
            <rFont val="Tahoma"/>
            <family val="2"/>
          </rPr>
          <t>Vissers, Luuk:</t>
        </r>
        <r>
          <rPr>
            <sz val="9"/>
            <color indexed="81"/>
            <rFont val="Tahoma"/>
            <family val="2"/>
          </rPr>
          <t xml:space="preserve">
Bij Extensive Indoor+: covered veranda (20% van grondoppervlak) mag je meerekenen tot beschikbaar staloppervlak, dus in totaal mag je staloppervlak neemt met 20% toe.</t>
        </r>
      </text>
    </comment>
    <comment ref="A54" authorId="0" shapeId="0" xr:uid="{118AC177-8569-4722-B5CE-EF261BCCD20C}">
      <text>
        <r>
          <rPr>
            <b/>
            <sz val="9"/>
            <color indexed="81"/>
            <rFont val="Tahoma"/>
            <family val="2"/>
          </rPr>
          <t>Vissers, Luuk:</t>
        </r>
        <r>
          <rPr>
            <sz val="9"/>
            <color indexed="81"/>
            <rFont val="Tahoma"/>
            <family val="2"/>
          </rPr>
          <t xml:space="preserve">
Bij conventioneel: Ross 308
Bij NDRS en WAP: Hubbard JA 987
Bij Extensive Indoor+: JA 757</t>
        </r>
      </text>
    </comment>
    <comment ref="B60" authorId="0" shapeId="0" xr:uid="{51812287-83B3-47D2-91DF-692114A6EBED}">
      <text>
        <r>
          <rPr>
            <b/>
            <sz val="9"/>
            <color indexed="81"/>
            <rFont val="Tahoma"/>
            <family val="2"/>
          </rPr>
          <t>Vissers, Luuk:</t>
        </r>
        <r>
          <rPr>
            <sz val="9"/>
            <color indexed="81"/>
            <rFont val="Tahoma"/>
            <family val="2"/>
          </rPr>
          <t xml:space="preserve">
De bezetting is gecorrigeerd voor uitval. Zie cijfers bij production parameters</t>
        </r>
      </text>
    </comment>
    <comment ref="A83" authorId="0" shapeId="0" xr:uid="{6CC773E2-F6C2-494A-84FA-5B4026F53126}">
      <text>
        <r>
          <rPr>
            <b/>
            <sz val="9"/>
            <color indexed="81"/>
            <rFont val="Tahoma"/>
            <family val="2"/>
          </rPr>
          <t>Vissers, Luuk:</t>
        </r>
        <r>
          <rPr>
            <sz val="9"/>
            <color indexed="81"/>
            <rFont val="Tahoma"/>
            <family val="2"/>
          </rPr>
          <t xml:space="preserve">
Energy costs = heating costs + electricity costs</t>
        </r>
      </text>
    </comment>
    <comment ref="F90" authorId="0" shapeId="0" xr:uid="{7F1E3698-BF93-4709-955D-2504016C1A8A}">
      <text>
        <r>
          <rPr>
            <b/>
            <sz val="9"/>
            <color indexed="81"/>
            <rFont val="Tahoma"/>
            <family val="2"/>
          </rPr>
          <t>Vissers, Luuk:</t>
        </r>
        <r>
          <rPr>
            <sz val="9"/>
            <color indexed="81"/>
            <rFont val="Tahoma"/>
            <family val="2"/>
          </rPr>
          <t xml:space="preserve">
Wap en Ext. Indoor hebben transparant roof slate (lichtplaat), conventioneel en NDRS niet.</t>
        </r>
      </text>
    </comment>
    <comment ref="G93" authorId="0" shapeId="0" xr:uid="{6668D13D-B714-4E38-A18F-098D5B41873B}">
      <text>
        <r>
          <rPr>
            <b/>
            <sz val="9"/>
            <color indexed="81"/>
            <rFont val="Tahoma"/>
            <family val="2"/>
          </rPr>
          <t>Vissers, Luuk:</t>
        </r>
        <r>
          <rPr>
            <sz val="9"/>
            <color indexed="81"/>
            <rFont val="Tahoma"/>
            <family val="2"/>
          </rPr>
          <t xml:space="preserve">
E5.100 = overige huisvestingssysteem (basisstal)
E5.4 = chemisch luchtwassysteem 90% emissiereducite, grondhuisvesting
E5.5 = Grondhuisvesting met vloerverwarming en vloerkoeling
E5.6 = Mixluchtventilatie
E5.7 = biologisch luchtwassysteem 70% emissiereducite, grondhuisvesting
E5.8 = Etageysteem met strooiseldroging
E 5.9 = Uitbroeden eieren plus vervolghuisvesting
5.9.1.2.2 Vanaf 19 dagen in E5.6
5.9.1.2.4 Vanaf 19 dagen leeftijd in E5.10
E5.10 = Warmteheaters, ventilatoren
E5.11= Luchtmengkast voor strooiseldroging i.c.m. warmtewisselaar
E5.12 = Biofilter
E5.13 Chemische luchtwasser 70%
E5.14 = Warmteheaters
E5.15 = Stal met buizenverwarming
E7.1 = Oliefilm met drukleidingen
E7.2 = Negatieve ionisatie
E7.3 = Waterwasser
E7.4 = Droogfilterwand
E7.5 = Ionisatiefilter
E7.6 = Warmtewisselaar; 31% reductie
E7.7 = Warmtewisselaar 13% reductie
E7.11 = Warmtewisselaar 37% reductie
E7.12 = Warmtewisselaar 50% reductie</t>
        </r>
      </text>
    </comment>
    <comment ref="B97" authorId="0" shapeId="0" xr:uid="{DB62767E-468E-46A7-8D89-38534187B0E6}">
      <text>
        <r>
          <rPr>
            <b/>
            <sz val="9"/>
            <color indexed="81"/>
            <rFont val="Tahoma"/>
            <family val="2"/>
          </rPr>
          <t>Vissers, Luuk:</t>
        </r>
        <r>
          <rPr>
            <sz val="9"/>
            <color indexed="81"/>
            <rFont val="Tahoma"/>
            <family val="2"/>
          </rPr>
          <t xml:space="preserve">
Value of poultry house and equipment when they were build (so ten years ago).</t>
        </r>
      </text>
    </comment>
    <comment ref="B109" authorId="0" shapeId="0" xr:uid="{1670015F-7CCA-42A1-9AD1-13628E3C977B}">
      <text>
        <r>
          <rPr>
            <b/>
            <sz val="9"/>
            <color indexed="81"/>
            <rFont val="Tahoma"/>
            <family val="2"/>
          </rPr>
          <t>Vissers, Luuk:</t>
        </r>
        <r>
          <rPr>
            <sz val="9"/>
            <color indexed="81"/>
            <rFont val="Tahoma"/>
            <family val="2"/>
          </rPr>
          <t xml:space="preserve">
Bij KWIN zit bij day-old-chicks ook mortality kosten verrekend. Ik splits ze uit.</t>
        </r>
      </text>
    </comment>
    <comment ref="E119" authorId="0" shapeId="0" xr:uid="{7BB27874-8878-490B-AC62-72C9BFA94628}">
      <text>
        <r>
          <rPr>
            <b/>
            <sz val="9"/>
            <color indexed="81"/>
            <rFont val="Tahoma"/>
            <family val="2"/>
          </rPr>
          <t>Vissers, Luuk:</t>
        </r>
        <r>
          <rPr>
            <sz val="9"/>
            <color indexed="81"/>
            <rFont val="Tahoma"/>
            <family val="2"/>
          </rPr>
          <t xml:space="preserve">
KWIN rekent deze als vaste kosten</t>
        </r>
      </text>
    </comment>
    <comment ref="A124" authorId="0" shapeId="0" xr:uid="{3989530E-7FF3-4144-AD25-4946A0C2762D}">
      <text>
        <r>
          <rPr>
            <b/>
            <sz val="9"/>
            <color indexed="81"/>
            <rFont val="Tahoma"/>
            <family val="2"/>
          </rPr>
          <t>Vissers, Luuk:</t>
        </r>
        <r>
          <rPr>
            <sz val="9"/>
            <color indexed="81"/>
            <rFont val="Tahoma"/>
            <family val="2"/>
          </rPr>
          <t xml:space="preserve">
includes manure disposal</t>
        </r>
      </text>
    </comment>
    <comment ref="B124" authorId="0" shapeId="0" xr:uid="{7BDEA347-FC72-4518-B8C6-CC7864E7BD32}">
      <text>
        <r>
          <rPr>
            <b/>
            <sz val="9"/>
            <color indexed="81"/>
            <rFont val="Tahoma"/>
            <family val="2"/>
          </rPr>
          <t>Vissers, Luuk:</t>
        </r>
        <r>
          <rPr>
            <sz val="9"/>
            <color indexed="81"/>
            <rFont val="Tahoma"/>
            <family val="2"/>
          </rPr>
          <t xml:space="preserve">
In KWIN 2019-2020, General includes bookkeeping, insurances, internet ... AND mortality and manure disposal (see page 355). I put mortality and manure disposal in variable costs. Therefore I subtract mortallity and manure disposal from general costs (=3 eurocents/kg live weight, see p. 345 KWIN 2019-2020)</t>
        </r>
      </text>
    </comment>
    <comment ref="A125" authorId="0" shapeId="0" xr:uid="{0C6E0965-814F-4313-BDDB-87993659EBF1}">
      <text>
        <r>
          <rPr>
            <b/>
            <sz val="9"/>
            <color indexed="81"/>
            <rFont val="Tahoma"/>
            <family val="2"/>
          </rPr>
          <t>Vissers, Luuk:</t>
        </r>
        <r>
          <rPr>
            <sz val="9"/>
            <color indexed="81"/>
            <rFont val="Tahoma"/>
            <family val="2"/>
          </rPr>
          <t xml:space="preserve">
Includes management (feed and water management, temperature schedule, vaccination schedule, thinning, cleaning and disinfecting, catching), grain and straw bale provision and controlling outdoor access</t>
        </r>
      </text>
    </comment>
    <comment ref="B125" authorId="0" shapeId="0" xr:uid="{8FACA0B4-2E55-4A3E-BA09-ACAF0CA82100}">
      <text>
        <r>
          <rPr>
            <b/>
            <sz val="9"/>
            <color indexed="81"/>
            <rFont val="Tahoma"/>
            <family val="2"/>
          </rPr>
          <t>Vissers, Luuk:</t>
        </r>
        <r>
          <rPr>
            <sz val="9"/>
            <color indexed="81"/>
            <rFont val="Tahoma"/>
            <family val="2"/>
          </rPr>
          <t xml:space="preserve">
KWIN 2019-2020</t>
        </r>
      </text>
    </comment>
    <comment ref="B151" authorId="0" shapeId="0" xr:uid="{B54FC4E9-B3D8-4CE9-902E-6552C7AAE55B}">
      <text>
        <r>
          <rPr>
            <b/>
            <sz val="9"/>
            <color indexed="81"/>
            <rFont val="Tahoma"/>
            <family val="2"/>
          </rPr>
          <t>Vissers, Luuk:</t>
        </r>
        <r>
          <rPr>
            <sz val="9"/>
            <color indexed="81"/>
            <rFont val="Tahoma"/>
            <family val="2"/>
          </rPr>
          <t xml:space="preserve">
Dit is exclusief labour costs</t>
        </r>
      </text>
    </comment>
    <comment ref="B170" authorId="2" shapeId="0" xr:uid="{E277CA92-30A8-459A-AFAA-66BE2C640907}">
      <text>
        <t>[Threaded comment]
Your version of Excel allows you to read this threaded comment; however, any edits to it will get removed if the file is opened in a newer version of Excel. Learn more: https://go.microsoft.com/fwlink/?linkid=870924
Comment:
    See article: Vissers, L. S. M., et al. (2021). Analysis of synergies and trade-offs between animal welfare, ammonia emission, particulate matter emission and antibiotic use in Dutch broiler production systems. Agricultural Systems, 189, 103070. doi:https://doi.org/10.1016/j.agsy.2021.103070</t>
      </text>
    </comment>
    <comment ref="B177" authorId="3" shapeId="0" xr:uid="{9F323D36-D057-49CF-90BC-3828031E0B9A}">
      <text>
        <t>[Threaded comment]
Your version of Excel allows you to read this threaded comment; however, any edits to it will get removed if the file is opened in a newer version of Excel. Learn more: https://go.microsoft.com/fwlink/?linkid=870924
Comment:
    See article: Vissers, L. S. M., et al. (2021). Analysis of synergies and trade-offs between animal welfare, ammonia emission, particulate matter emission and antibiotic use in Dutch broiler production systems. Agricultural Systems, 189, 103070. doi:https://doi.org/10.1016/j.agsy.2021.103070</t>
      </text>
    </comment>
    <comment ref="B190" authorId="4" shapeId="0" xr:uid="{F4E63248-0E18-4177-A31E-3BEE62C7D3DC}">
      <text>
        <t>[Threaded comment]
Your version of Excel allows you to read this threaded comment; however, any edits to it will get removed if the file is opened in a newer version of Excel. Learn more: https://go.microsoft.com/fwlink/?linkid=870924
Comment:
    Source: Vissers, L. S. M., et al. (2019). Global prospects of the cost-efficiency of broiler welfare in middle-segment production systems. Animals (Basel), 9(7). doi:https://doi.org/10.3390/ani9070473</t>
      </text>
    </comment>
    <comment ref="B191" authorId="5" shapeId="0" xr:uid="{856D68AA-F59A-4396-A928-1AC1EFC417E8}">
      <text>
        <t>[Threaded comment]
Your version of Excel allows you to read this threaded comment; however, any edits to it will get removed if the file is opened in a newer version of Excel. Learn more: https://go.microsoft.com/fwlink/?linkid=870924
Comment:
    Source: Vissers, L. S. M., et al. (2019). Global prospects of the cost-efficiency of broiler welfare in middle-segment production systems. Animals (Basel), 9(7). doi:https://doi.org/10.3390/ani9070473</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Vissers, Luuk</author>
    <author>tc={F543AFBD-3B11-45D6-B4D4-8147A96A726E}</author>
    <author>tc={2EE56FB4-422D-4EAE-BBDD-818C303A2F41}</author>
    <author>tc={54F279E2-C665-4FCA-8E64-A7E52A20B899}</author>
    <author>tc={CE542237-3150-4C40-A5C8-CC97362B795B}</author>
    <author>tc={035032A8-E19A-4D09-ADB8-01E015C183CC}</author>
  </authors>
  <commentList>
    <comment ref="B7" authorId="0" shapeId="0" xr:uid="{7BB4691B-6037-43D4-BAFD-E77A38B6FBFB}">
      <text>
        <r>
          <rPr>
            <b/>
            <sz val="9"/>
            <color indexed="81"/>
            <rFont val="Tahoma"/>
            <family val="2"/>
          </rPr>
          <t>Vissers, Luuk:</t>
        </r>
        <r>
          <rPr>
            <sz val="9"/>
            <color indexed="81"/>
            <rFont val="Tahoma"/>
            <family val="2"/>
          </rPr>
          <t xml:space="preserve">
empty in case of having no new investment</t>
        </r>
      </text>
    </comment>
    <comment ref="B8" authorId="0" shapeId="0" xr:uid="{47349C34-9CD6-480D-A589-3549220399E9}">
      <text>
        <r>
          <rPr>
            <b/>
            <sz val="9"/>
            <color indexed="81"/>
            <rFont val="Tahoma"/>
            <family val="2"/>
          </rPr>
          <t>Vissers, Luuk:</t>
        </r>
        <r>
          <rPr>
            <sz val="9"/>
            <color indexed="81"/>
            <rFont val="Tahoma"/>
            <family val="2"/>
          </rPr>
          <t xml:space="preserve">
empty in case of having no new investment</t>
        </r>
      </text>
    </comment>
    <comment ref="B9" authorId="0" shapeId="0" xr:uid="{F84E8D3A-4542-4890-BD40-9F0FA7EF68D8}">
      <text>
        <r>
          <rPr>
            <b/>
            <sz val="9"/>
            <color indexed="81"/>
            <rFont val="Tahoma"/>
            <family val="2"/>
          </rPr>
          <t>Vissers, Luuk:</t>
        </r>
        <r>
          <rPr>
            <sz val="9"/>
            <color indexed="81"/>
            <rFont val="Tahoma"/>
            <family val="2"/>
          </rPr>
          <t xml:space="preserve">
empty in case of having no new investment</t>
        </r>
      </text>
    </comment>
    <comment ref="B24" authorId="0" shapeId="0" xr:uid="{AC6188B6-91AC-4298-BD1F-24EB8441809D}">
      <text>
        <r>
          <rPr>
            <b/>
            <sz val="9"/>
            <color indexed="81"/>
            <rFont val="Tahoma"/>
            <family val="2"/>
          </rPr>
          <t>Vissers, Luuk:</t>
        </r>
        <r>
          <rPr>
            <sz val="9"/>
            <color indexed="81"/>
            <rFont val="Tahoma"/>
            <family val="2"/>
          </rPr>
          <t xml:space="preserve">
Same assumption as Gocsik</t>
        </r>
      </text>
    </comment>
    <comment ref="B30" authorId="0" shapeId="0" xr:uid="{70BB9028-87E3-46F6-8A3B-B78D613740ED}">
      <text>
        <r>
          <rPr>
            <b/>
            <sz val="9"/>
            <color indexed="81"/>
            <rFont val="Tahoma"/>
            <family val="2"/>
          </rPr>
          <t xml:space="preserve">Vissers, Luuk:
</t>
        </r>
        <r>
          <rPr>
            <sz val="9"/>
            <color indexed="81"/>
            <rFont val="Tahoma"/>
            <family val="2"/>
          </rPr>
          <t>Average 3-month Euribor period 2015-2019.
Source: https://www.euribor-rates.eu/en/current-euribor-rates/2/euribor-rate-3-months/</t>
        </r>
      </text>
    </comment>
    <comment ref="B31" authorId="0" shapeId="0" xr:uid="{79DFFD56-EE9B-45E5-A1E3-3AB0E418CB84}">
      <text>
        <r>
          <rPr>
            <b/>
            <sz val="9"/>
            <color indexed="81"/>
            <rFont val="Tahoma"/>
            <family val="2"/>
          </rPr>
          <t>Vissers, Luuk:</t>
        </r>
        <r>
          <rPr>
            <sz val="9"/>
            <color indexed="81"/>
            <rFont val="Tahoma"/>
            <family val="2"/>
          </rPr>
          <t xml:space="preserve">
KWIN 2018-2019</t>
        </r>
      </text>
    </comment>
    <comment ref="B32" authorId="1" shapeId="0" xr:uid="{F543AFBD-3B11-45D6-B4D4-8147A96A726E}">
      <text>
        <t>[Threaded comment]
Your version of Excel allows you to read this threaded comment; however, any edits to it will get removed if the file is opened in a newer version of Excel. Learn more: https://go.microsoft.com/fwlink/?linkid=870924
Comment:
    10-years Dutch government bond yield for the period 2015-2020</t>
      </text>
    </comment>
    <comment ref="A38" authorId="0" shapeId="0" xr:uid="{E29F118E-5E76-4BC4-865D-C718EFCF563F}">
      <text>
        <r>
          <rPr>
            <b/>
            <sz val="9"/>
            <color indexed="81"/>
            <rFont val="Tahoma"/>
            <family val="2"/>
          </rPr>
          <t>Vissers, Luuk:</t>
        </r>
        <r>
          <rPr>
            <sz val="9"/>
            <color indexed="81"/>
            <rFont val="Tahoma"/>
            <family val="2"/>
          </rPr>
          <t xml:space="preserve">
1 FTE = 2349 hours/year (Mid-term financial impact Gocsik)</t>
        </r>
      </text>
    </comment>
    <comment ref="A40" authorId="0" shapeId="0" xr:uid="{3011FEC2-6D0B-4547-9C32-AB3B61373606}">
      <text>
        <r>
          <rPr>
            <b/>
            <sz val="9"/>
            <color indexed="81"/>
            <rFont val="Tahoma"/>
            <family val="2"/>
          </rPr>
          <t>Vissers, Luuk:</t>
        </r>
        <r>
          <rPr>
            <sz val="9"/>
            <color indexed="81"/>
            <rFont val="Tahoma"/>
            <family val="2"/>
          </rPr>
          <t xml:space="preserve">
Includes management:
Feed and water management
Temperature schedule
Thinning
Cleaning and disinfecting
</t>
        </r>
      </text>
    </comment>
    <comment ref="B42" authorId="0" shapeId="0" xr:uid="{ED9B5C5A-E588-43AA-9E06-2FF6C548FF20}">
      <text>
        <r>
          <rPr>
            <b/>
            <sz val="9"/>
            <color indexed="81"/>
            <rFont val="Tahoma"/>
            <family val="2"/>
          </rPr>
          <t>Vissers, Luuk:</t>
        </r>
        <r>
          <rPr>
            <sz val="9"/>
            <color indexed="81"/>
            <rFont val="Tahoma"/>
            <family val="2"/>
          </rPr>
          <t xml:space="preserve">
provide grain and straw after 8 days
See Beter Leven keurmerk 1 ster: https://beterleven.dierenbescherming.nl/fileupload/zakelijk/criteria/vleeskuikens/Vleeskuikens_1_ster_-_Versie_5.1._ZW_d.d._01.09.2016.pdf</t>
        </r>
      </text>
    </comment>
    <comment ref="B46" authorId="0" shapeId="0" xr:uid="{37B5CD05-F135-46F6-BF53-574F6A77F594}">
      <text>
        <r>
          <rPr>
            <b/>
            <sz val="9"/>
            <color indexed="81"/>
            <rFont val="Tahoma"/>
            <family val="2"/>
          </rPr>
          <t>Vissers, Luuk:</t>
        </r>
        <r>
          <rPr>
            <sz val="9"/>
            <color indexed="81"/>
            <rFont val="Tahoma"/>
            <family val="2"/>
          </rPr>
          <t xml:space="preserve">
Bij Extensive Indoor+: covered veranda (20% van grondoppervlak) mag je meerekenen tot beschikbaar staloppervlak, dus in totaal mag je staloppervlak neemt met 20% toe.</t>
        </r>
      </text>
    </comment>
    <comment ref="A54" authorId="0" shapeId="0" xr:uid="{4CB54168-4337-4A8F-BFB8-1B7E3FE51FA8}">
      <text>
        <r>
          <rPr>
            <b/>
            <sz val="9"/>
            <color indexed="81"/>
            <rFont val="Tahoma"/>
            <family val="2"/>
          </rPr>
          <t>Vissers, Luuk:</t>
        </r>
        <r>
          <rPr>
            <sz val="9"/>
            <color indexed="81"/>
            <rFont val="Tahoma"/>
            <family val="2"/>
          </rPr>
          <t xml:space="preserve">
Bij conventioneel: Ross 308
Bij NDRS en WAP: Hubbard JA 987
Bij Extensive Indoor+: JA 757</t>
        </r>
      </text>
    </comment>
    <comment ref="B60" authorId="0" shapeId="0" xr:uid="{689224CB-8F01-4673-BC4C-8E2722B33EA3}">
      <text>
        <r>
          <rPr>
            <b/>
            <sz val="9"/>
            <color indexed="81"/>
            <rFont val="Tahoma"/>
            <family val="2"/>
          </rPr>
          <t>Vissers, Luuk:</t>
        </r>
        <r>
          <rPr>
            <sz val="9"/>
            <color indexed="81"/>
            <rFont val="Tahoma"/>
            <family val="2"/>
          </rPr>
          <t xml:space="preserve">
De bezetting is gecorrigeerd voor uitval. Zie cijfers bij production parameters</t>
        </r>
      </text>
    </comment>
    <comment ref="A83" authorId="0" shapeId="0" xr:uid="{D6334EBD-29A0-44AA-93C9-D3D367660D8D}">
      <text>
        <r>
          <rPr>
            <b/>
            <sz val="9"/>
            <color indexed="81"/>
            <rFont val="Tahoma"/>
            <family val="2"/>
          </rPr>
          <t>Vissers, Luuk:</t>
        </r>
        <r>
          <rPr>
            <sz val="9"/>
            <color indexed="81"/>
            <rFont val="Tahoma"/>
            <family val="2"/>
          </rPr>
          <t xml:space="preserve">
Energy costs = heating costs + electricity costs</t>
        </r>
      </text>
    </comment>
    <comment ref="F90" authorId="0" shapeId="0" xr:uid="{D48A42F5-86DE-47EF-9F14-EE03561B54B5}">
      <text>
        <r>
          <rPr>
            <b/>
            <sz val="9"/>
            <color indexed="81"/>
            <rFont val="Tahoma"/>
            <family val="2"/>
          </rPr>
          <t>Vissers, Luuk:</t>
        </r>
        <r>
          <rPr>
            <sz val="9"/>
            <color indexed="81"/>
            <rFont val="Tahoma"/>
            <family val="2"/>
          </rPr>
          <t xml:space="preserve">
Wap en Ext. Indoor hebben transparant roof slate (lichtplaat), conventioneel en NDRS niet.</t>
        </r>
      </text>
    </comment>
    <comment ref="G93" authorId="0" shapeId="0" xr:uid="{FDBF512C-B74C-47BB-BB17-0E4277C72B35}">
      <text>
        <r>
          <rPr>
            <b/>
            <sz val="9"/>
            <color indexed="81"/>
            <rFont val="Tahoma"/>
            <family val="2"/>
          </rPr>
          <t>Vissers, Luuk:</t>
        </r>
        <r>
          <rPr>
            <sz val="9"/>
            <color indexed="81"/>
            <rFont val="Tahoma"/>
            <family val="2"/>
          </rPr>
          <t xml:space="preserve">
E5.100 = overige huisvestingssysteem (basisstal)
E5.4 = chemisch luchtwassysteem 90% emissiereducite, grondhuisvesting
E5.5 = Grondhuisvesting met vloerverwarming en vloerkoeling
E5.6 = Mixluchtventilatie
E5.7 = biologisch luchtwassysteem 70% emissiereducite, grondhuisvesting
E5.8 = Etageysteem met strooiseldroging
E 5.9 = Uitbroeden eieren plus vervolghuisvesting
5.9.1.2.2 Vanaf 19 dagen in E5.6
5.9.1.2.4 Vanaf 19 dagen leeftijd in E5.10
E5.10 = Warmteheaters, ventilatoren
E5.11= Luchtmengkast voor strooiseldroging i.c.m. warmtewisselaar
E5.12 = Biofilter
E5.13 Chemische luchtwasser 70%
E5.14 = Warmteheaters
E5.15 = Stal met buizenverwarming
E7.1 = Oliefilm met drukleidingen
E7.2 = Negatieve ionisatie
E7.3 = Waterwasser
E7.4 = Droogfilterwand
E7.5 = Ionisatiefilter
E7.6 = Warmtewisselaar; 31% reductie
E7.7 = Warmtewisselaar 13% reductie
E7.11 = Warmtewisselaar 37% reductie
E7.12 = Warmtewisselaar 50% reductie</t>
        </r>
      </text>
    </comment>
    <comment ref="B97" authorId="0" shapeId="0" xr:uid="{7A98F572-8C82-4CBE-8E52-AFFCF09E55E3}">
      <text>
        <r>
          <rPr>
            <b/>
            <sz val="9"/>
            <color indexed="81"/>
            <rFont val="Tahoma"/>
            <family val="2"/>
          </rPr>
          <t>Vissers, Luuk:</t>
        </r>
        <r>
          <rPr>
            <sz val="9"/>
            <color indexed="81"/>
            <rFont val="Tahoma"/>
            <family val="2"/>
          </rPr>
          <t xml:space="preserve">
Value of poultry house and equipment when they were build (so ten years ago).</t>
        </r>
      </text>
    </comment>
    <comment ref="B109" authorId="0" shapeId="0" xr:uid="{D8EE1CF6-BC26-4ACB-8911-FF3C88627C04}">
      <text>
        <r>
          <rPr>
            <b/>
            <sz val="9"/>
            <color indexed="81"/>
            <rFont val="Tahoma"/>
            <family val="2"/>
          </rPr>
          <t>Vissers, Luuk:</t>
        </r>
        <r>
          <rPr>
            <sz val="9"/>
            <color indexed="81"/>
            <rFont val="Tahoma"/>
            <family val="2"/>
          </rPr>
          <t xml:space="preserve">
Bij KWIN zit bij day-old-chicks ook mortality kosten verrekend. Ik splits ze uit.</t>
        </r>
      </text>
    </comment>
    <comment ref="E119" authorId="0" shapeId="0" xr:uid="{1D364631-C22F-4E8F-BEC9-4C97238F66E1}">
      <text>
        <r>
          <rPr>
            <b/>
            <sz val="9"/>
            <color indexed="81"/>
            <rFont val="Tahoma"/>
            <family val="2"/>
          </rPr>
          <t>Vissers, Luuk:</t>
        </r>
        <r>
          <rPr>
            <sz val="9"/>
            <color indexed="81"/>
            <rFont val="Tahoma"/>
            <family val="2"/>
          </rPr>
          <t xml:space="preserve">
KWIN rekent deze als vaste kosten</t>
        </r>
      </text>
    </comment>
    <comment ref="A124" authorId="0" shapeId="0" xr:uid="{3F2FAD00-82EE-4BE5-AD5A-883E3E71DEA3}">
      <text>
        <r>
          <rPr>
            <b/>
            <sz val="9"/>
            <color indexed="81"/>
            <rFont val="Tahoma"/>
            <family val="2"/>
          </rPr>
          <t>Vissers, Luuk:</t>
        </r>
        <r>
          <rPr>
            <sz val="9"/>
            <color indexed="81"/>
            <rFont val="Tahoma"/>
            <family val="2"/>
          </rPr>
          <t xml:space="preserve">
includes manure disposal</t>
        </r>
      </text>
    </comment>
    <comment ref="B124" authorId="0" shapeId="0" xr:uid="{5D6FB891-CBE6-454D-B94A-1D067DDF8822}">
      <text>
        <r>
          <rPr>
            <b/>
            <sz val="9"/>
            <color indexed="81"/>
            <rFont val="Tahoma"/>
            <family val="2"/>
          </rPr>
          <t>Vissers, Luuk:</t>
        </r>
        <r>
          <rPr>
            <sz val="9"/>
            <color indexed="81"/>
            <rFont val="Tahoma"/>
            <family val="2"/>
          </rPr>
          <t xml:space="preserve">
In KWIN 2019-2020, General includes bookkeeping, insurances, internet ... AND mortality and manure disposal (see page 355). I put mortality and manure disposal in variable costs. Therefore I subtract mortallity and manure disposal from general costs (=3 eurocents/kg live weight, see p. 345 KWIN 2019-2020)</t>
        </r>
      </text>
    </comment>
    <comment ref="A125" authorId="0" shapeId="0" xr:uid="{6ED7E587-4B2F-4896-8796-36503B58B505}">
      <text>
        <r>
          <rPr>
            <b/>
            <sz val="9"/>
            <color indexed="81"/>
            <rFont val="Tahoma"/>
            <family val="2"/>
          </rPr>
          <t>Vissers, Luuk:</t>
        </r>
        <r>
          <rPr>
            <sz val="9"/>
            <color indexed="81"/>
            <rFont val="Tahoma"/>
            <family val="2"/>
          </rPr>
          <t xml:space="preserve">
Includes management (feed and water management, temperature schedule, vaccination schedule, thinning, cleaning and disinfecting, catching), grain and straw bale provision and controlling outdoor access</t>
        </r>
      </text>
    </comment>
    <comment ref="B125" authorId="0" shapeId="0" xr:uid="{F45A345A-21BA-4820-B53E-BECBE0AC05E6}">
      <text>
        <r>
          <rPr>
            <b/>
            <sz val="9"/>
            <color indexed="81"/>
            <rFont val="Tahoma"/>
            <family val="2"/>
          </rPr>
          <t>Vissers, Luuk:</t>
        </r>
        <r>
          <rPr>
            <sz val="9"/>
            <color indexed="81"/>
            <rFont val="Tahoma"/>
            <family val="2"/>
          </rPr>
          <t xml:space="preserve">
KWIN 2019-2020</t>
        </r>
      </text>
    </comment>
    <comment ref="B151" authorId="0" shapeId="0" xr:uid="{17DA6067-2847-4706-830C-924E353543AF}">
      <text>
        <r>
          <rPr>
            <b/>
            <sz val="9"/>
            <color indexed="81"/>
            <rFont val="Tahoma"/>
            <family val="2"/>
          </rPr>
          <t>Vissers, Luuk:</t>
        </r>
        <r>
          <rPr>
            <sz val="9"/>
            <color indexed="81"/>
            <rFont val="Tahoma"/>
            <family val="2"/>
          </rPr>
          <t xml:space="preserve">
Dit is exclusief labour costs</t>
        </r>
      </text>
    </comment>
    <comment ref="B170" authorId="2" shapeId="0" xr:uid="{2EE56FB4-422D-4EAE-BBDD-818C303A2F41}">
      <text>
        <t>[Threaded comment]
Your version of Excel allows you to read this threaded comment; however, any edits to it will get removed if the file is opened in a newer version of Excel. Learn more: https://go.microsoft.com/fwlink/?linkid=870924
Comment:
    See article: Vissers, L. S. M., et al. (2021). Analysis of synergies and trade-offs between animal welfare, ammonia emission, particulate matter emission and antibiotic use in Dutch broiler production systems. Agricultural Systems, 189, 103070. doi:https://doi.org/10.1016/j.agsy.2021.103070</t>
      </text>
    </comment>
    <comment ref="B177" authorId="3" shapeId="0" xr:uid="{54F279E2-C665-4FCA-8E64-A7E52A20B899}">
      <text>
        <t>[Threaded comment]
Your version of Excel allows you to read this threaded comment; however, any edits to it will get removed if the file is opened in a newer version of Excel. Learn more: https://go.microsoft.com/fwlink/?linkid=870924
Comment:
    See article: Vissers, L. S. M., et al. (2021). Analysis of synergies and trade-offs between animal welfare, ammonia emission, particulate matter emission and antibiotic use in Dutch broiler production systems. Agricultural Systems, 189, 103070. doi:https://doi.org/10.1016/j.agsy.2021.103070</t>
      </text>
    </comment>
    <comment ref="B190" authorId="4" shapeId="0" xr:uid="{CE542237-3150-4C40-A5C8-CC97362B795B}">
      <text>
        <t>[Threaded comment]
Your version of Excel allows you to read this threaded comment; however, any edits to it will get removed if the file is opened in a newer version of Excel. Learn more: https://go.microsoft.com/fwlink/?linkid=870924
Comment:
    Source: Vissers, L. S. M., et al. (2019). Global prospects of the cost-efficiency of broiler welfare in middle-segment production systems. Animals (Basel), 9(7). doi:https://doi.org/10.3390/ani9070473</t>
      </text>
    </comment>
    <comment ref="B191" authorId="5" shapeId="0" xr:uid="{035032A8-E19A-4D09-ADB8-01E015C183CC}">
      <text>
        <t>[Threaded comment]
Your version of Excel allows you to read this threaded comment; however, any edits to it will get removed if the file is opened in a newer version of Excel. Learn more: https://go.microsoft.com/fwlink/?linkid=870924
Comment:
    Source: Vissers, L. S. M., et al. (2019). Global prospects of the cost-efficiency of broiler welfare in middle-segment production systems. Animals (Basel), 9(7). doi:https://doi.org/10.3390/ani9070473</t>
      </text>
    </comment>
  </commentList>
</comments>
</file>

<file path=xl/sharedStrings.xml><?xml version="1.0" encoding="utf-8"?>
<sst xmlns="http://schemas.openxmlformats.org/spreadsheetml/2006/main" count="1089" uniqueCount="397">
  <si>
    <t>Conventional</t>
  </si>
  <si>
    <t>Length growth period</t>
  </si>
  <si>
    <t>Broiler type</t>
  </si>
  <si>
    <t>Stocking density</t>
  </si>
  <si>
    <t>Flock size</t>
  </si>
  <si>
    <t>No</t>
  </si>
  <si>
    <t>Equipment</t>
  </si>
  <si>
    <t>days</t>
  </si>
  <si>
    <t>Unit</t>
  </si>
  <si>
    <t>Empty barn period</t>
  </si>
  <si>
    <t>Mortality</t>
  </si>
  <si>
    <t>Litter</t>
  </si>
  <si>
    <t>NDRS</t>
  </si>
  <si>
    <t>Heating costs</t>
  </si>
  <si>
    <t>Labour requirement</t>
  </si>
  <si>
    <t>Provision of grains (2g/broiler and straw bales (2 bales/1,000 broilers)</t>
  </si>
  <si>
    <t>Provision of grains (2/ broiler) and straw bales (1 bale/1000 broilers)</t>
  </si>
  <si>
    <t>hrs/10,000 chicken/round</t>
  </si>
  <si>
    <t>hrs/10,000 chicken/day</t>
  </si>
  <si>
    <t>Day-old-chick price</t>
  </si>
  <si>
    <t>Electricity costs</t>
  </si>
  <si>
    <t>euro/100 kg</t>
  </si>
  <si>
    <t>Labour costs</t>
  </si>
  <si>
    <t>Own labour</t>
  </si>
  <si>
    <t>Hired labour</t>
  </si>
  <si>
    <t>eurocents/animal</t>
  </si>
  <si>
    <t>Input prices</t>
  </si>
  <si>
    <t>euro/hour</t>
  </si>
  <si>
    <t>Nr. Rav</t>
  </si>
  <si>
    <t>E5.100</t>
  </si>
  <si>
    <t>E5.4</t>
  </si>
  <si>
    <t>E5.5</t>
  </si>
  <si>
    <t>E5.6</t>
  </si>
  <si>
    <t>E5.7</t>
  </si>
  <si>
    <t>E5.8</t>
  </si>
  <si>
    <t>Etagesysteem met strooiseldroging</t>
  </si>
  <si>
    <t>E5.9</t>
  </si>
  <si>
    <t>Uitbroeden eieren plus vervolghuisvesting</t>
  </si>
  <si>
    <t>5.9.1.2.2</t>
  </si>
  <si>
    <t>5.9.1.2.4</t>
  </si>
  <si>
    <t>E 5.10</t>
  </si>
  <si>
    <t>E5.11</t>
  </si>
  <si>
    <t>Luchtmengkast voor strooiseldroging i.c.m. warmtewisselaar</t>
  </si>
  <si>
    <t>E 5.12</t>
  </si>
  <si>
    <t>Biofilter</t>
  </si>
  <si>
    <t>E 5.13</t>
  </si>
  <si>
    <t>E5.14</t>
  </si>
  <si>
    <t>E5.15</t>
  </si>
  <si>
    <t>Terrasea</t>
  </si>
  <si>
    <t>E7.1</t>
  </si>
  <si>
    <t>E7.3</t>
  </si>
  <si>
    <t>E7.4</t>
  </si>
  <si>
    <t>E7.5</t>
  </si>
  <si>
    <t>E7.6</t>
  </si>
  <si>
    <t>E7.7</t>
  </si>
  <si>
    <t>E 7.11</t>
  </si>
  <si>
    <t>E7.12</t>
  </si>
  <si>
    <t>Water costs</t>
  </si>
  <si>
    <t>Equity (%)</t>
  </si>
  <si>
    <t>Equity  (€)</t>
  </si>
  <si>
    <r>
      <t>Debt (</t>
    </r>
    <r>
      <rPr>
        <sz val="11"/>
        <color theme="1"/>
        <rFont val="Calibri"/>
        <family val="2"/>
      </rPr>
      <t>€)</t>
    </r>
  </si>
  <si>
    <t>Debt (%)</t>
  </si>
  <si>
    <t>Debt-to-equity-ratio</t>
  </si>
  <si>
    <t xml:space="preserve">     -animals</t>
  </si>
  <si>
    <t xml:space="preserve">     -feed</t>
  </si>
  <si>
    <t xml:space="preserve">     -housing</t>
  </si>
  <si>
    <t>Revenues</t>
  </si>
  <si>
    <t>Housing</t>
  </si>
  <si>
    <t>General</t>
  </si>
  <si>
    <t>Fixed</t>
  </si>
  <si>
    <t>Catching and loading</t>
  </si>
  <si>
    <t>Water</t>
  </si>
  <si>
    <t>Grain and straw</t>
  </si>
  <si>
    <t>Healthcare</t>
  </si>
  <si>
    <t>Day-old-chicks</t>
  </si>
  <si>
    <t>Feed</t>
  </si>
  <si>
    <t>Variable</t>
  </si>
  <si>
    <t>Sales price broiler</t>
  </si>
  <si>
    <t>Investments</t>
  </si>
  <si>
    <t>Fixed inputs</t>
  </si>
  <si>
    <t>Provision of grain and straw</t>
  </si>
  <si>
    <t>Variable inputs</t>
  </si>
  <si>
    <t>Kg of delivered broilers per year (kg)</t>
  </si>
  <si>
    <t>Number of delivered broilers per year (#)</t>
  </si>
  <si>
    <t>Production parameters</t>
  </si>
  <si>
    <t>Animal places</t>
  </si>
  <si>
    <t>Animals/m2 (#)</t>
  </si>
  <si>
    <t>Animals/m2 (kg/m2)</t>
  </si>
  <si>
    <t>Indoor</t>
  </si>
  <si>
    <t>Space allowance</t>
  </si>
  <si>
    <t>Total labour required</t>
  </si>
  <si>
    <t>Extra work required</t>
  </si>
  <si>
    <t>Extra activities due to AW</t>
  </si>
  <si>
    <t>Total working hours available (#)</t>
  </si>
  <si>
    <t>Working hours/FTE available</t>
  </si>
  <si>
    <t>Full labour equivalent available</t>
  </si>
  <si>
    <t>Farm parameters</t>
  </si>
  <si>
    <t xml:space="preserve">     -long term loans</t>
  </si>
  <si>
    <t xml:space="preserve">     -short term loans</t>
  </si>
  <si>
    <t>Total assets (€)</t>
  </si>
  <si>
    <t>Balance in the beginning of the 1st year</t>
  </si>
  <si>
    <t>Production system</t>
  </si>
  <si>
    <t>Year of investment for new equipment #2</t>
  </si>
  <si>
    <t>Year of investment for new equipment #1</t>
  </si>
  <si>
    <t>Year of investment for new buildings</t>
  </si>
  <si>
    <t>Year of investment for current buildings</t>
  </si>
  <si>
    <t>Year</t>
  </si>
  <si>
    <t>Characteristics broiler production farm</t>
  </si>
  <si>
    <t>Indicator</t>
  </si>
  <si>
    <t>%</t>
  </si>
  <si>
    <t>Interest</t>
  </si>
  <si>
    <t>Interest costs</t>
  </si>
  <si>
    <t>feed costs per chicken</t>
  </si>
  <si>
    <t>eurocents/animal/round</t>
  </si>
  <si>
    <t>Litter costs</t>
  </si>
  <si>
    <t>Healthcare costs</t>
  </si>
  <si>
    <t>Catching and loading costs</t>
  </si>
  <si>
    <t>Levy animal healthcare fund</t>
  </si>
  <si>
    <t>Collecting corpses (kadavers)</t>
  </si>
  <si>
    <t>Manure disposal</t>
  </si>
  <si>
    <t>euro/m2</t>
  </si>
  <si>
    <t>Depreciation</t>
  </si>
  <si>
    <t>Maintenance</t>
  </si>
  <si>
    <t>Investment costs - buildings</t>
  </si>
  <si>
    <t>Investment costs - inventory</t>
  </si>
  <si>
    <t>Total inventory</t>
  </si>
  <si>
    <t>Investment costs - emission reducing equipment</t>
  </si>
  <si>
    <t>General costs</t>
  </si>
  <si>
    <t>Note: additional electricity costs of equipment are included in Table emission reducing equipment (see below)</t>
  </si>
  <si>
    <t>Cost of grains and straw</t>
  </si>
  <si>
    <t>Straw bale</t>
  </si>
  <si>
    <t>Days to provide grain</t>
  </si>
  <si>
    <t>grains</t>
  </si>
  <si>
    <t>Feed price (euro/100kg)</t>
  </si>
  <si>
    <t>Feed type</t>
  </si>
  <si>
    <t xml:space="preserve">     - Litter (eurocents/animal)</t>
  </si>
  <si>
    <t xml:space="preserve">     - Grain and straw (eurocents/animal)</t>
  </si>
  <si>
    <t>Day-old-chick price (eurocents/animal)</t>
  </si>
  <si>
    <t>Water (eurocents/animal)</t>
  </si>
  <si>
    <t>Healthcare (eurocents/animal)</t>
  </si>
  <si>
    <t>Catching method (eurocents/animal)</t>
  </si>
  <si>
    <t>Manure disposal (eurocents/animal)</t>
  </si>
  <si>
    <t>Traditional practice</t>
  </si>
  <si>
    <t xml:space="preserve">     - Catching costs (eurocents/animal)</t>
  </si>
  <si>
    <t>Own labour (euro/hour)</t>
  </si>
  <si>
    <t>Feed conversion rate (g/g)</t>
  </si>
  <si>
    <t>Mortality rate (%)</t>
  </si>
  <si>
    <t>Daily weight gain (g/day)</t>
  </si>
  <si>
    <t>Final weight (g)</t>
  </si>
  <si>
    <t>Density at placement (kg/m2)</t>
  </si>
  <si>
    <t>Rounds per year (#)</t>
  </si>
  <si>
    <t>Interest animals</t>
  </si>
  <si>
    <t>Hired labour (euro/hour)</t>
  </si>
  <si>
    <t>Interest % livestock</t>
  </si>
  <si>
    <t>Sales price broiler (eurocents/kg live weight)</t>
  </si>
  <si>
    <t>eurocents/kg live weight</t>
  </si>
  <si>
    <t>Depreciation inventory (%)</t>
  </si>
  <si>
    <t>Maintenance buildings (%)</t>
  </si>
  <si>
    <t>Maintenance inventory (%)</t>
  </si>
  <si>
    <t>Return per kg live weight (eurocents/kg live weight)</t>
  </si>
  <si>
    <t>Production costs</t>
  </si>
  <si>
    <t>Woodshavings NDRS</t>
  </si>
  <si>
    <t>Woodshavings conventional</t>
  </si>
  <si>
    <t>Catching and loading conventional</t>
  </si>
  <si>
    <t>Catching and loading NDRS</t>
  </si>
  <si>
    <t>E7.2</t>
  </si>
  <si>
    <t>Energy costs equipment #1 (euro/animal place)</t>
  </si>
  <si>
    <t>Energy costs equipment #2 (euro/animal place)</t>
  </si>
  <si>
    <t>Collecting corpses</t>
  </si>
  <si>
    <t>Collecting corpses (eurocents/animal)</t>
  </si>
  <si>
    <t>Energy costs (=heating+electricity)</t>
  </si>
  <si>
    <t>General costs (eurocents/animal)</t>
  </si>
  <si>
    <t>Default</t>
  </si>
  <si>
    <t>Measures</t>
  </si>
  <si>
    <t>Techniques</t>
  </si>
  <si>
    <t>Grondhuisvesting met vloerverwarming en vloerkoeling</t>
  </si>
  <si>
    <t>Etagesysteem met mestband en strooiseldroging</t>
  </si>
  <si>
    <t>E5.9.1.1.2.2</t>
  </si>
  <si>
    <t>E5.9.1.2.4</t>
  </si>
  <si>
    <t>E5.10</t>
  </si>
  <si>
    <t>Stal met verwarmingssysteem met warmteheaters en ventilatoren</t>
  </si>
  <si>
    <t>E5.12</t>
  </si>
  <si>
    <t>E5.13</t>
  </si>
  <si>
    <t>Stal met indirect gestookte warmteheaters met luchtmengsysteem voor droging strooisellaag</t>
  </si>
  <si>
    <t>E7.11</t>
  </si>
  <si>
    <t>Stal met luchtmengsysteem voor droging strooisellaag in combinatie met een warmtewisselaar</t>
  </si>
  <si>
    <t>Extensive Indoor+</t>
  </si>
  <si>
    <t>Woodshavings Extensive Indoor+</t>
  </si>
  <si>
    <t>Catching and loading extensive indoor+</t>
  </si>
  <si>
    <t>Basic healthcare costs conventional</t>
  </si>
  <si>
    <t>Basic healthcare costs NDRS</t>
  </si>
  <si>
    <t>Basic healthcare costs Extensive Indoor+</t>
  </si>
  <si>
    <t>Traditional poultry house</t>
  </si>
  <si>
    <t>Extensive indoor+</t>
  </si>
  <si>
    <r>
      <t xml:space="preserve">Total costs </t>
    </r>
    <r>
      <rPr>
        <sz val="11"/>
        <color theme="1"/>
        <rFont val="Calibri"/>
        <family val="2"/>
      </rPr>
      <t xml:space="preserve">incl. labour (€) </t>
    </r>
  </si>
  <si>
    <r>
      <t>Total costs excl</t>
    </r>
    <r>
      <rPr>
        <sz val="11"/>
        <color theme="1"/>
        <rFont val="Calibri"/>
        <family val="2"/>
      </rPr>
      <t xml:space="preserve">. labour (€) </t>
    </r>
  </si>
  <si>
    <t>eurocents/kg/round</t>
  </si>
  <si>
    <t>Basic system requirement (# working hours)</t>
  </si>
  <si>
    <t>WAP</t>
  </si>
  <si>
    <t>Woodshavings WAP</t>
  </si>
  <si>
    <t>Basic healthcare costs WAP</t>
  </si>
  <si>
    <r>
      <t>Revenues from farm management (</t>
    </r>
    <r>
      <rPr>
        <sz val="11"/>
        <color theme="1"/>
        <rFont val="Calibri"/>
        <family val="2"/>
      </rPr>
      <t>€</t>
    </r>
    <r>
      <rPr>
        <sz val="11"/>
        <color theme="1"/>
        <rFont val="Calibri"/>
        <family val="2"/>
        <scheme val="minor"/>
      </rPr>
      <t>)</t>
    </r>
  </si>
  <si>
    <t>Total revenues</t>
  </si>
  <si>
    <t>Covered veranda</t>
  </si>
  <si>
    <t>Investment costs covered veranda (euro/animal/year) (on top of basic investment costs)</t>
  </si>
  <si>
    <t>Depreciation buildings (%)</t>
  </si>
  <si>
    <t>Transparent roof slate</t>
  </si>
  <si>
    <t>Transparent roof slate (lichtplaat) (euro/animal/year)</t>
  </si>
  <si>
    <t>Investment costs - transparent roof slate</t>
  </si>
  <si>
    <t>Year of investment for current equipment #1</t>
  </si>
  <si>
    <t>Year of investment for current equipment #2</t>
  </si>
  <si>
    <t>Emission factor traditional poultry house</t>
  </si>
  <si>
    <t>Extensive Indoor</t>
  </si>
  <si>
    <t>euro/100kg</t>
  </si>
  <si>
    <t>Rav lijst</t>
  </si>
  <si>
    <t>Length dark period (hrs/day)</t>
  </si>
  <si>
    <t>Interest rate long term loan (%)</t>
  </si>
  <si>
    <t>Interest rate short term loan (%)</t>
  </si>
  <si>
    <t>Interest paid on short term loan (€)</t>
  </si>
  <si>
    <t>Interest paid on long term loan (€)</t>
  </si>
  <si>
    <t>Costs incl. labour</t>
  </si>
  <si>
    <t>Costs  excl. labour</t>
  </si>
  <si>
    <t xml:space="preserve">    - Depreciation</t>
  </si>
  <si>
    <t xml:space="preserve">    - Maintenance</t>
  </si>
  <si>
    <t xml:space="preserve">    - Interest</t>
  </si>
  <si>
    <t>Book value begining of the year</t>
  </si>
  <si>
    <t>Book value at end of the year</t>
  </si>
  <si>
    <t>Poultry house</t>
  </si>
  <si>
    <t xml:space="preserve">    -covered veranda</t>
  </si>
  <si>
    <t>Net return</t>
  </si>
  <si>
    <t>Net return to labour and management (€/farm/year)</t>
  </si>
  <si>
    <t>Investment traditional poultry house</t>
  </si>
  <si>
    <t>Net return to labour and management (eurocents/kg)</t>
  </si>
  <si>
    <t>Return per broiler (eurocents/broiler)</t>
  </si>
  <si>
    <t>Total energy costs per concept (eurocents/animal)</t>
  </si>
  <si>
    <t>Current investments</t>
  </si>
  <si>
    <t>New investments</t>
  </si>
  <si>
    <t>New Investments</t>
  </si>
  <si>
    <t xml:space="preserve">Equipment #1 </t>
  </si>
  <si>
    <t>Equipment #2</t>
  </si>
  <si>
    <t>Transparant roof slate</t>
  </si>
  <si>
    <t>Book value beginning of year</t>
  </si>
  <si>
    <t>Book value end of year</t>
  </si>
  <si>
    <t>Current Investments</t>
  </si>
  <si>
    <t>Equipment #1</t>
  </si>
  <si>
    <t>Traditional poultry house (E5.100)</t>
  </si>
  <si>
    <t>Investment costs traditional poultry house (euro/animal/year)</t>
  </si>
  <si>
    <t>Investment costs equipment #1 (euro/animal/year)</t>
  </si>
  <si>
    <t>Investment equipment #1 (euro/animal/year)</t>
  </si>
  <si>
    <t>Investment costs equipment #2 (euro/animal/year)</t>
  </si>
  <si>
    <t>Total investment costs from housing (current + new) (euro/animal/year)</t>
  </si>
  <si>
    <t>Total investment costs from equipment (current + new) (euro/animal/year)</t>
  </si>
  <si>
    <t>Investments costs</t>
  </si>
  <si>
    <t>Investment equipment #2 (euro/animal/year)</t>
  </si>
  <si>
    <t>Investment covered veranda (euro/m2)</t>
  </si>
  <si>
    <t>Investment transparant roof slate (euro/m2)</t>
  </si>
  <si>
    <t>New equipment #1 (techique inside poultry house)</t>
  </si>
  <si>
    <t>New equipment #2 (technique outside poultry house)</t>
  </si>
  <si>
    <t>Current equipment #1</t>
  </si>
  <si>
    <t>Current equipment #2</t>
  </si>
  <si>
    <t xml:space="preserve">     -new equipment 1</t>
  </si>
  <si>
    <t xml:space="preserve">     -new equipment 2</t>
  </si>
  <si>
    <t>Time horizon (years)</t>
  </si>
  <si>
    <t xml:space="preserve">     -current equipment #1</t>
  </si>
  <si>
    <t xml:space="preserve">     -current equipment #2</t>
  </si>
  <si>
    <t>Replacement value</t>
  </si>
  <si>
    <t xml:space="preserve">    - Other</t>
  </si>
  <si>
    <t xml:space="preserve">     -Other</t>
  </si>
  <si>
    <t>Area of the poultry house (m2)</t>
  </si>
  <si>
    <t>Reduction factor technique 1</t>
  </si>
  <si>
    <t>Reduction factor technique 2</t>
  </si>
  <si>
    <t>Emission factor ammonia (kg NH3/animal/year)</t>
  </si>
  <si>
    <t>Emission factor particulate matter (g PM10/animal/year)</t>
  </si>
  <si>
    <t>Corrected emission factor</t>
  </si>
  <si>
    <t>Compound feed NDRS</t>
  </si>
  <si>
    <t xml:space="preserve">Conventional:Reduction crude protein content </t>
  </si>
  <si>
    <t>Hubbard JA 987</t>
  </si>
  <si>
    <t>Rejection rate (%)</t>
  </si>
  <si>
    <t>Density at placement (animals/m2)</t>
  </si>
  <si>
    <t>Length growth period (# days)</t>
  </si>
  <si>
    <t>Empty barn period (# days)</t>
  </si>
  <si>
    <t>Rounds per year (# days)</t>
  </si>
  <si>
    <t>Ammonia emission per farm per year (kg NH3/farm/year)</t>
  </si>
  <si>
    <t>Particulate matter emission per farm per year (kg PM10/farm/year)</t>
  </si>
  <si>
    <t>E5.16</t>
  </si>
  <si>
    <t>Net return to labour and management (eurocents/animal/year)</t>
  </si>
  <si>
    <t>Subsidies SBV equipment #2</t>
  </si>
  <si>
    <t>Subsidies SBV equipment #1</t>
  </si>
  <si>
    <t>Producer prices</t>
  </si>
  <si>
    <t>Provision of straw bales (1bale)</t>
  </si>
  <si>
    <t>1 bale/1000 broilers</t>
  </si>
  <si>
    <t>Energy costs basic poultry house (euro/animal place)</t>
  </si>
  <si>
    <t>Net present value</t>
  </si>
  <si>
    <t>Net cash inflow in baseline system (per year)</t>
  </si>
  <si>
    <t>Net cash inflow in alternative (per year)</t>
  </si>
  <si>
    <t>Discount rate</t>
  </si>
  <si>
    <t>Time period (years)</t>
  </si>
  <si>
    <t>Price premium</t>
  </si>
  <si>
    <t>Decrease in NRLM</t>
  </si>
  <si>
    <t>required price premium (eurocents/kg live weight)</t>
  </si>
  <si>
    <t>Difference in cash inflow</t>
  </si>
  <si>
    <t>10-years Dutch government bond yield (%)</t>
  </si>
  <si>
    <t>t</t>
  </si>
  <si>
    <t>Principal</t>
  </si>
  <si>
    <t>Annuity payment</t>
  </si>
  <si>
    <t>Loan at the end of the year</t>
  </si>
  <si>
    <t>long-term loan</t>
  </si>
  <si>
    <t>Annuity factor</t>
  </si>
  <si>
    <t>r</t>
  </si>
  <si>
    <t>calculated interest</t>
  </si>
  <si>
    <t>paid interest</t>
  </si>
  <si>
    <t>Difference</t>
  </si>
  <si>
    <t>Cash flows</t>
  </si>
  <si>
    <t>2019</t>
  </si>
  <si>
    <t>December</t>
  </si>
  <si>
    <t>November</t>
  </si>
  <si>
    <t>Oktober</t>
  </si>
  <si>
    <t>September</t>
  </si>
  <si>
    <t>Augustus</t>
  </si>
  <si>
    <t>Juli</t>
  </si>
  <si>
    <t>Juni</t>
  </si>
  <si>
    <t>Mei</t>
  </si>
  <si>
    <t>April</t>
  </si>
  <si>
    <t>Maart</t>
  </si>
  <si>
    <t>Februari</t>
  </si>
  <si>
    <t>Januari</t>
  </si>
  <si>
    <t>2018</t>
  </si>
  <si>
    <t>2017</t>
  </si>
  <si>
    <t>2016</t>
  </si>
  <si>
    <t>2015</t>
  </si>
  <si>
    <t>+1 standard deviation</t>
  </si>
  <si>
    <t>Producer price (vrij) euro/broiler</t>
  </si>
  <si>
    <t>Feed price (in euro/100 kg)</t>
  </si>
  <si>
    <t>Standard deviation</t>
  </si>
  <si>
    <t>Feed price (euro/100 kg)</t>
  </si>
  <si>
    <t>eurocents/animal/day</t>
  </si>
  <si>
    <t>required price premium (eurocents/broiler/round)</t>
  </si>
  <si>
    <t>Producer price (eurocents/broiler)</t>
  </si>
  <si>
    <t>NH3 emission reduction factor (kg NH3/animal place/year)</t>
  </si>
  <si>
    <t>PM10 emission reduction factor (g PM10/animal place/year)</t>
  </si>
  <si>
    <t>Techniques for reduction of fine dust</t>
  </si>
  <si>
    <t>Name</t>
  </si>
  <si>
    <t xml:space="preserve">Nr. Rav </t>
  </si>
  <si>
    <t>Chemical air scrubber 90% NH3 reduction, 35% PM10 reduction</t>
  </si>
  <si>
    <t>Tube heater system</t>
  </si>
  <si>
    <t>Chemical air scrubber 70% NH3 reduction, 35% PM10 reduction</t>
  </si>
  <si>
    <t>From 19 days in system E5.6</t>
  </si>
  <si>
    <t>From 19 days in system E5.10</t>
  </si>
  <si>
    <t>Biological air scrubber 70% NH3 reduction 75% PM10 reduction</t>
  </si>
  <si>
    <t>Air mixing system</t>
  </si>
  <si>
    <t xml:space="preserve">Negative air ionization system </t>
  </si>
  <si>
    <t>Ionization filter</t>
  </si>
  <si>
    <t>Heat exchanger 31% PM10 reduction</t>
  </si>
  <si>
    <t>Heat exchanger 13%  PM10 reduction</t>
  </si>
  <si>
    <t>Heat exchanger 37%  PM10 reduction</t>
  </si>
  <si>
    <t>Heat exchanger 50%  PM10 reduction</t>
  </si>
  <si>
    <t>Water scrubber</t>
  </si>
  <si>
    <t>Oil film system</t>
  </si>
  <si>
    <t>Dry filter</t>
  </si>
  <si>
    <t>NH3 emission factor</t>
  </si>
  <si>
    <t>PM10 emission factor</t>
  </si>
  <si>
    <t>Emission factor ammonia (g NH3/animal/year)</t>
  </si>
  <si>
    <t>Basic investment</t>
  </si>
  <si>
    <t>Yearly investment costs</t>
  </si>
  <si>
    <t>Yearly energy costs</t>
  </si>
  <si>
    <t>Yearly costs total</t>
  </si>
  <si>
    <t>System</t>
  </si>
  <si>
    <t>Negative air ionization system</t>
  </si>
  <si>
    <t>Heat exchanger 31% pm10 reduction</t>
  </si>
  <si>
    <t>Heat exchanger 13% pm10 reduction</t>
  </si>
  <si>
    <t>Heat exchanger 37% pm10 reduction</t>
  </si>
  <si>
    <t>Heat exchanger 50% pm10 reduction</t>
  </si>
  <si>
    <t>Basic system</t>
  </si>
  <si>
    <t>Organic air scrubber</t>
  </si>
  <si>
    <t>Heaters with ventilation</t>
  </si>
  <si>
    <t>Chemical air scrubber 70% NH3 reduction, 35% pm10 reduction</t>
  </si>
  <si>
    <t>Tube heater</t>
  </si>
  <si>
    <t>Indirect heaters with circulation</t>
  </si>
  <si>
    <t>Floor heating/cooling system</t>
  </si>
  <si>
    <t>Additional techniques pm10 reduction</t>
  </si>
  <si>
    <t>Extra investment and yearly  costs</t>
  </si>
  <si>
    <t>Source: KWIN 2019-2020, page 354</t>
  </si>
  <si>
    <t>Welfare Quality Index score</t>
  </si>
  <si>
    <t>New Dutch Retail Standard</t>
  </si>
  <si>
    <t>Conventional system (the score is set as starting point)</t>
  </si>
  <si>
    <t>Net return to labor and management</t>
  </si>
  <si>
    <t>Lower stocking density + daylight</t>
  </si>
  <si>
    <t>2 types of enrichment + daylight</t>
  </si>
  <si>
    <t>Lower stocking density + 2 types of enrichment</t>
  </si>
  <si>
    <t>Lower stocking density + daylight + enrichment</t>
  </si>
  <si>
    <t>Change in Welfare Quality Index score relative to conventional system</t>
  </si>
  <si>
    <t>Additional measures</t>
  </si>
  <si>
    <t>Transparant roof slate (daylight)</t>
  </si>
  <si>
    <t>In the pink cells in you can select the system changes</t>
  </si>
  <si>
    <t>Default scenario</t>
  </si>
  <si>
    <t>Scenario feed price + 1 SD</t>
  </si>
  <si>
    <t>Scenario producer price + 1 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</si>
</sst>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 #,##0.00_ ;_ * \-#,##0.00_ ;_ * &quot;-&quot;??_ ;_ @_ "/>
    <numFmt numFmtId="164" formatCode="_(* #,##0.00_);_(* \(#,##0.00\);_(* &quot;-&quot;??_);_(@_)"/>
    <numFmt numFmtId="165" formatCode="0.0%"/>
    <numFmt numFmtId="166" formatCode="0.000"/>
    <numFmt numFmtId="167" formatCode="0.0"/>
    <numFmt numFmtId="168" formatCode="_(* #,##0_);_(* \(#,##0\);_(* &quot;-&quot;??_);_(@_)"/>
    <numFmt numFmtId="169" formatCode="0.0000"/>
    <numFmt numFmtId="170" formatCode="_([$€-2]\ * #,##0.00_);_([$€-2]\ * \(#,##0.00\);_([$€-2]\ * &quot;-&quot;??_);_(@_)"/>
    <numFmt numFmtId="171" formatCode="_([$€-2]\ * #,##0_);_([$€-2]\ * \(#,##0\);_([$€-2]\ * &quot;-&quot;??_);_(@_)"/>
    <numFmt numFmtId="172" formatCode="_ [$€-2]\ * #,##0.00_ ;_ [$€-2]\ * \-#,##0.00_ ;_ [$€-2]\ * &quot;-&quot;??_ ;_ @_ "/>
    <numFmt numFmtId="173" formatCode="&quot;€&quot;\ #,##0.00"/>
    <numFmt numFmtId="174" formatCode="&quot;€&quot;\ #,##0"/>
    <numFmt numFmtId="175" formatCode="_ [$€-2]\ * #,##0_ ;_ [$€-2]\ * \-#,##0_ ;_ [$€-2]\ * &quot;-&quot;??_ ;_ @_ "/>
    <numFmt numFmtId="176" formatCode="&quot;€&quot;\ #,##0.0"/>
    <numFmt numFmtId="177" formatCode="&quot;€&quot;\ #,##0.000"/>
    <numFmt numFmtId="178" formatCode="#,##0.000"/>
    <numFmt numFmtId="179" formatCode="0.000000"/>
    <numFmt numFmtId="180" formatCode="0.00000"/>
    <numFmt numFmtId="181" formatCode="0.000000000000"/>
  </numFmts>
  <fonts count="19">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sz val="11"/>
      <color theme="1"/>
      <name val="Calibri"/>
      <family val="2"/>
    </font>
    <font>
      <sz val="9"/>
      <color indexed="81"/>
      <name val="Tahoma"/>
      <family val="2"/>
    </font>
    <font>
      <b/>
      <sz val="9"/>
      <color indexed="81"/>
      <name val="Tahoma"/>
      <family val="2"/>
    </font>
    <font>
      <sz val="11"/>
      <name val="Calibri"/>
      <family val="2"/>
      <scheme val="minor"/>
    </font>
    <font>
      <sz val="10"/>
      <name val="Arial"/>
      <family val="2"/>
    </font>
    <font>
      <b/>
      <i/>
      <sz val="11"/>
      <color theme="1"/>
      <name val="Calibri"/>
      <family val="2"/>
      <scheme val="minor"/>
    </font>
    <font>
      <u/>
      <sz val="11"/>
      <color theme="1"/>
      <name val="Calibri"/>
      <family val="2"/>
      <scheme val="minor"/>
    </font>
    <font>
      <sz val="11"/>
      <color rgb="FFFF0000"/>
      <name val="Calibri"/>
      <family val="2"/>
      <scheme val="minor"/>
    </font>
    <font>
      <sz val="10"/>
      <color theme="1"/>
      <name val="Arial"/>
      <family val="2"/>
    </font>
    <font>
      <b/>
      <sz val="11"/>
      <color rgb="FFFF0000"/>
      <name val="Calibri"/>
      <family val="2"/>
      <scheme val="minor"/>
    </font>
    <font>
      <b/>
      <i/>
      <sz val="11"/>
      <color rgb="FFFF0000"/>
      <name val="Calibri"/>
      <family val="2"/>
      <scheme val="minor"/>
    </font>
    <font>
      <sz val="11"/>
      <name val="Calibri "/>
    </font>
    <font>
      <b/>
      <sz val="14"/>
      <color theme="1"/>
      <name val="Calibri "/>
    </font>
    <font>
      <sz val="11"/>
      <color rgb="FF000000"/>
      <name val="Calibri"/>
      <family val="2"/>
      <scheme val="minor"/>
    </font>
    <font>
      <b/>
      <sz val="11"/>
      <name val="Calibri"/>
      <family val="2"/>
      <scheme val="minor"/>
    </font>
  </fonts>
  <fills count="4">
    <fill>
      <patternFill patternType="none"/>
    </fill>
    <fill>
      <patternFill patternType="gray125"/>
    </fill>
    <fill>
      <patternFill patternType="solid">
        <fgColor theme="5" tint="0.59999389629810485"/>
        <bgColor indexed="64"/>
      </patternFill>
    </fill>
    <fill>
      <patternFill patternType="solid">
        <fgColor rgb="FFFFB9B9"/>
        <bgColor indexed="64"/>
      </patternFill>
    </fill>
  </fills>
  <borders count="1">
    <border>
      <left/>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8" fillId="0" borderId="0"/>
  </cellStyleXfs>
  <cellXfs count="112">
    <xf numFmtId="0" fontId="0" fillId="0" borderId="0" xfId="0"/>
    <xf numFmtId="0" fontId="3" fillId="0" borderId="0" xfId="0" applyFont="1"/>
    <xf numFmtId="0" fontId="0" fillId="0" borderId="0" xfId="0" applyFont="1"/>
    <xf numFmtId="10" fontId="0" fillId="0" borderId="0" xfId="0" applyNumberFormat="1"/>
    <xf numFmtId="2" fontId="0" fillId="0" borderId="0" xfId="0" applyNumberFormat="1"/>
    <xf numFmtId="165" fontId="0" fillId="0" borderId="0" xfId="2" applyNumberFormat="1" applyFont="1"/>
    <xf numFmtId="1" fontId="0" fillId="0" borderId="0" xfId="0" applyNumberFormat="1"/>
    <xf numFmtId="0" fontId="0" fillId="0" borderId="0" xfId="0" applyNumberFormat="1"/>
    <xf numFmtId="167" fontId="0" fillId="0" borderId="0" xfId="0" applyNumberFormat="1"/>
    <xf numFmtId="0" fontId="7" fillId="0" borderId="0" xfId="0" applyFont="1"/>
    <xf numFmtId="9" fontId="7" fillId="0" borderId="0" xfId="2" applyFont="1"/>
    <xf numFmtId="9" fontId="7" fillId="0" borderId="0" xfId="0" applyNumberFormat="1" applyFont="1"/>
    <xf numFmtId="0" fontId="0" fillId="0" borderId="0" xfId="0" applyFill="1"/>
    <xf numFmtId="0" fontId="0" fillId="3" borderId="0" xfId="0" applyFill="1"/>
    <xf numFmtId="0" fontId="0" fillId="0" borderId="0" xfId="0" applyFont="1" applyFill="1"/>
    <xf numFmtId="0" fontId="0" fillId="0" borderId="0" xfId="0" quotePrefix="1"/>
    <xf numFmtId="9" fontId="0" fillId="0" borderId="0" xfId="0" applyNumberFormat="1"/>
    <xf numFmtId="0" fontId="2" fillId="0" borderId="0" xfId="0" applyFont="1"/>
    <xf numFmtId="0" fontId="0" fillId="0" borderId="0" xfId="0" applyFont="1" applyBorder="1"/>
    <xf numFmtId="0" fontId="7" fillId="0" borderId="0" xfId="3" applyFont="1" applyBorder="1" applyProtection="1">
      <protection locked="0"/>
    </xf>
    <xf numFmtId="0" fontId="0" fillId="0" borderId="0" xfId="2" applyNumberFormat="1" applyFont="1"/>
    <xf numFmtId="2" fontId="3" fillId="0" borderId="0" xfId="0" applyNumberFormat="1" applyFont="1"/>
    <xf numFmtId="0" fontId="9" fillId="2" borderId="0" xfId="0" applyFont="1" applyFill="1"/>
    <xf numFmtId="0" fontId="10" fillId="0" borderId="0" xfId="0" applyFont="1"/>
    <xf numFmtId="0" fontId="10" fillId="0" borderId="0" xfId="0" applyFont="1" applyFill="1"/>
    <xf numFmtId="0" fontId="0" fillId="0" borderId="0" xfId="0" applyBorder="1"/>
    <xf numFmtId="0" fontId="8" fillId="0" borderId="0" xfId="3" applyBorder="1"/>
    <xf numFmtId="0" fontId="0" fillId="0" borderId="0" xfId="0" applyFont="1" applyFill="1" applyBorder="1"/>
    <xf numFmtId="0" fontId="11" fillId="0" borderId="0" xfId="0" applyFont="1"/>
    <xf numFmtId="2" fontId="0" fillId="0" borderId="0" xfId="0" applyNumberFormat="1" applyFill="1"/>
    <xf numFmtId="168" fontId="0" fillId="0" borderId="0" xfId="1" applyNumberFormat="1" applyFont="1"/>
    <xf numFmtId="0" fontId="12" fillId="0" borderId="0" xfId="0" applyFont="1" applyBorder="1"/>
    <xf numFmtId="0" fontId="13" fillId="0" borderId="0" xfId="0" quotePrefix="1" applyFont="1" applyBorder="1"/>
    <xf numFmtId="0" fontId="9" fillId="0" borderId="0" xfId="0" applyFont="1" applyFill="1" applyBorder="1"/>
    <xf numFmtId="2" fontId="0" fillId="0" borderId="0" xfId="0" applyNumberFormat="1" applyBorder="1"/>
    <xf numFmtId="0" fontId="0" fillId="0" borderId="0" xfId="0" applyFill="1" applyBorder="1"/>
    <xf numFmtId="3" fontId="8" fillId="0" borderId="0" xfId="3" applyNumberFormat="1" applyFill="1" applyProtection="1">
      <protection locked="0"/>
    </xf>
    <xf numFmtId="2" fontId="0" fillId="0" borderId="0" xfId="0" applyNumberFormat="1" applyFill="1" applyBorder="1"/>
    <xf numFmtId="0" fontId="0" fillId="2" borderId="0" xfId="0" applyFill="1"/>
    <xf numFmtId="2" fontId="0" fillId="0" borderId="0" xfId="0" applyNumberFormat="1" applyAlignment="1">
      <alignment horizontal="right"/>
    </xf>
    <xf numFmtId="0" fontId="13" fillId="0" borderId="0" xfId="0" applyFont="1" applyBorder="1"/>
    <xf numFmtId="0" fontId="13" fillId="0" borderId="0" xfId="0" applyFont="1"/>
    <xf numFmtId="0" fontId="14" fillId="0" borderId="0" xfId="0" applyFont="1"/>
    <xf numFmtId="2" fontId="7" fillId="0" borderId="0" xfId="0" applyNumberFormat="1" applyFont="1"/>
    <xf numFmtId="166" fontId="0" fillId="0" borderId="0" xfId="0" applyNumberFormat="1"/>
    <xf numFmtId="0" fontId="15" fillId="0" borderId="0" xfId="0" applyFont="1"/>
    <xf numFmtId="0" fontId="16" fillId="0" borderId="0" xfId="0" applyFont="1"/>
    <xf numFmtId="9" fontId="0" fillId="0" borderId="0" xfId="2" applyFont="1"/>
    <xf numFmtId="9" fontId="0" fillId="2" borderId="0" xfId="0" applyNumberFormat="1" applyFill="1"/>
    <xf numFmtId="169" fontId="0" fillId="0" borderId="0" xfId="0" applyNumberFormat="1"/>
    <xf numFmtId="0" fontId="0" fillId="0" borderId="0" xfId="0" applyAlignment="1"/>
    <xf numFmtId="170" fontId="0" fillId="0" borderId="0" xfId="0" applyNumberFormat="1"/>
    <xf numFmtId="171" fontId="0" fillId="0" borderId="0" xfId="0" applyNumberFormat="1"/>
    <xf numFmtId="171" fontId="7" fillId="0" borderId="0" xfId="0" applyNumberFormat="1" applyFont="1"/>
    <xf numFmtId="164" fontId="0" fillId="0" borderId="0" xfId="0" applyNumberFormat="1"/>
    <xf numFmtId="0" fontId="0" fillId="0" borderId="0" xfId="0" applyNumberFormat="1" applyFill="1"/>
    <xf numFmtId="0" fontId="7" fillId="0" borderId="0" xfId="2" applyNumberFormat="1" applyFont="1"/>
    <xf numFmtId="0" fontId="7" fillId="0" borderId="0" xfId="2" applyNumberFormat="1" applyFont="1" applyFill="1"/>
    <xf numFmtId="167" fontId="0" fillId="0" borderId="0" xfId="0" applyNumberFormat="1" applyFill="1"/>
    <xf numFmtId="168" fontId="1" fillId="0" borderId="0" xfId="1" applyNumberFormat="1" applyFont="1" applyFill="1"/>
    <xf numFmtId="3" fontId="0" fillId="0" borderId="0" xfId="0" applyNumberFormat="1" applyFont="1"/>
    <xf numFmtId="3" fontId="0" fillId="0" borderId="0" xfId="0" applyNumberFormat="1" applyFont="1" applyFill="1"/>
    <xf numFmtId="0" fontId="7" fillId="3" borderId="0" xfId="0" applyFont="1" applyFill="1"/>
    <xf numFmtId="2" fontId="13" fillId="0" borderId="0" xfId="0" applyNumberFormat="1" applyFont="1" applyFill="1" applyBorder="1"/>
    <xf numFmtId="0" fontId="13" fillId="0" borderId="0" xfId="0" applyFont="1" applyBorder="1" applyAlignment="1">
      <alignment horizontal="left"/>
    </xf>
    <xf numFmtId="171" fontId="0" fillId="0" borderId="0" xfId="0" applyNumberFormat="1" applyFont="1"/>
    <xf numFmtId="170" fontId="7" fillId="0" borderId="0" xfId="0" applyNumberFormat="1" applyFont="1"/>
    <xf numFmtId="4" fontId="0" fillId="0" borderId="0" xfId="0" applyNumberFormat="1"/>
    <xf numFmtId="0" fontId="0" fillId="0" borderId="0" xfId="0"/>
    <xf numFmtId="167" fontId="0" fillId="0" borderId="0" xfId="0" applyNumberFormat="1" applyFont="1" applyFill="1"/>
    <xf numFmtId="2" fontId="0" fillId="3" borderId="0" xfId="0" applyNumberFormat="1" applyFill="1"/>
    <xf numFmtId="169" fontId="0" fillId="0" borderId="0" xfId="0" applyNumberFormat="1" applyBorder="1"/>
    <xf numFmtId="172" fontId="0" fillId="0" borderId="0" xfId="0" applyNumberFormat="1"/>
    <xf numFmtId="173" fontId="0" fillId="0" borderId="0" xfId="0" applyNumberFormat="1"/>
    <xf numFmtId="174" fontId="0" fillId="0" borderId="0" xfId="0" applyNumberFormat="1"/>
    <xf numFmtId="43" fontId="0" fillId="0" borderId="0" xfId="0" applyNumberFormat="1"/>
    <xf numFmtId="173" fontId="7" fillId="0" borderId="0" xfId="0" applyNumberFormat="1" applyFont="1"/>
    <xf numFmtId="3" fontId="7" fillId="0" borderId="0" xfId="0" applyNumberFormat="1" applyFont="1"/>
    <xf numFmtId="175" fontId="0" fillId="0" borderId="0" xfId="0" applyNumberFormat="1"/>
    <xf numFmtId="174" fontId="7" fillId="0" borderId="0" xfId="0" applyNumberFormat="1" applyFont="1"/>
    <xf numFmtId="174" fontId="7" fillId="0" borderId="0" xfId="0" applyNumberFormat="1" applyFont="1" applyBorder="1"/>
    <xf numFmtId="172" fontId="13" fillId="0" borderId="0" xfId="0" applyNumberFormat="1" applyFont="1"/>
    <xf numFmtId="173" fontId="0" fillId="0" borderId="0" xfId="0" applyNumberFormat="1" applyAlignment="1">
      <alignment horizontal="right" indent="1"/>
    </xf>
    <xf numFmtId="173" fontId="0" fillId="0" borderId="0" xfId="1" applyNumberFormat="1" applyFont="1"/>
    <xf numFmtId="0" fontId="0" fillId="0" borderId="0" xfId="0" quotePrefix="1" applyFill="1"/>
    <xf numFmtId="2" fontId="11" fillId="0" borderId="0" xfId="0" applyNumberFormat="1" applyFont="1"/>
    <xf numFmtId="9" fontId="0" fillId="0" borderId="0" xfId="2" applyNumberFormat="1" applyFont="1"/>
    <xf numFmtId="2" fontId="7" fillId="0" borderId="0" xfId="0" applyNumberFormat="1" applyFont="1" applyFill="1" applyBorder="1"/>
    <xf numFmtId="2" fontId="0" fillId="0" borderId="0" xfId="0" applyNumberFormat="1" applyFont="1" applyBorder="1"/>
    <xf numFmtId="169" fontId="0" fillId="0" borderId="0" xfId="0" applyNumberFormat="1" applyFont="1" applyFill="1"/>
    <xf numFmtId="10" fontId="0" fillId="0" borderId="0" xfId="2" applyNumberFormat="1" applyFont="1"/>
    <xf numFmtId="176" fontId="0" fillId="0" borderId="0" xfId="0" applyNumberFormat="1"/>
    <xf numFmtId="177" fontId="0" fillId="0" borderId="0" xfId="0" applyNumberFormat="1"/>
    <xf numFmtId="177" fontId="11" fillId="0" borderId="0" xfId="0" applyNumberFormat="1" applyFont="1" applyBorder="1"/>
    <xf numFmtId="174" fontId="0" fillId="0" borderId="0" xfId="0" applyNumberFormat="1" applyBorder="1"/>
    <xf numFmtId="176" fontId="0" fillId="0" borderId="0" xfId="0" quotePrefix="1" applyNumberFormat="1"/>
    <xf numFmtId="0" fontId="0" fillId="0" borderId="0" xfId="0" applyAlignment="1">
      <alignment horizontal="right"/>
    </xf>
    <xf numFmtId="0" fontId="17" fillId="0" borderId="0" xfId="0" applyFont="1"/>
    <xf numFmtId="0" fontId="0" fillId="0" borderId="0" xfId="0"/>
    <xf numFmtId="4" fontId="0" fillId="0" borderId="0" xfId="0" applyNumberFormat="1" applyFont="1" applyProtection="1"/>
    <xf numFmtId="178" fontId="0" fillId="0" borderId="0" xfId="0" applyNumberFormat="1" applyFont="1" applyProtection="1"/>
    <xf numFmtId="179" fontId="0" fillId="0" borderId="0" xfId="0" applyNumberFormat="1"/>
    <xf numFmtId="180" fontId="0" fillId="0" borderId="0" xfId="0" applyNumberFormat="1"/>
    <xf numFmtId="181" fontId="0" fillId="0" borderId="0" xfId="0" applyNumberFormat="1"/>
    <xf numFmtId="180" fontId="11" fillId="0" borderId="0" xfId="0" applyNumberFormat="1" applyFont="1"/>
    <xf numFmtId="180" fontId="7" fillId="0" borderId="0" xfId="0" applyNumberFormat="1" applyFont="1"/>
    <xf numFmtId="174" fontId="10" fillId="0" borderId="0" xfId="0" applyNumberFormat="1" applyFont="1" applyBorder="1"/>
    <xf numFmtId="173" fontId="18" fillId="0" borderId="0" xfId="0" applyNumberFormat="1" applyFont="1"/>
    <xf numFmtId="173" fontId="18" fillId="0" borderId="0" xfId="0" applyNumberFormat="1" applyFont="1" applyBorder="1"/>
    <xf numFmtId="2" fontId="13" fillId="0" borderId="0" xfId="0" applyNumberFormat="1" applyFont="1"/>
    <xf numFmtId="167" fontId="0" fillId="0" borderId="0" xfId="0" applyNumberFormat="1" applyAlignment="1">
      <alignment horizontal="right"/>
    </xf>
    <xf numFmtId="174" fontId="0" fillId="0" borderId="0" xfId="0" applyNumberFormat="1" applyFill="1" applyBorder="1"/>
  </cellXfs>
  <cellStyles count="4">
    <cellStyle name="Comma" xfId="1" builtinId="3"/>
    <cellStyle name="Normal" xfId="0" builtinId="0"/>
    <cellStyle name="Normal 2" xfId="3" xr:uid="{00000000-0005-0000-0000-000002000000}"/>
    <cellStyle name="Percent" xfId="2" builtinId="5"/>
  </cellStyles>
  <dxfs count="43">
    <dxf>
      <fill>
        <patternFill>
          <bgColor indexed="26"/>
        </patternFill>
      </fill>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6"/>
        </patternFill>
      </fill>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6"/>
        </patternFill>
      </fill>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fill>
        <patternFill>
          <bgColor indexed="27"/>
        </patternFill>
      </fill>
      <border>
        <left style="thin">
          <color rgb="FFFF0000"/>
        </left>
        <right style="thin">
          <color rgb="FFFF0000"/>
        </right>
        <top style="thin">
          <color rgb="FFFF0000"/>
        </top>
        <bottom style="thin">
          <color rgb="FFFF0000"/>
        </bottom>
      </border>
    </dxf>
    <dxf>
      <fill>
        <patternFill>
          <bgColor indexed="26"/>
        </patternFill>
      </fill>
    </dxf>
    <dxf>
      <numFmt numFmtId="2" formatCode="0.00"/>
    </dxf>
    <dxf>
      <numFmt numFmtId="2" formatCode="0.00"/>
    </dxf>
    <dxf>
      <numFmt numFmtId="2" formatCode="0.00"/>
    </dxf>
    <dxf>
      <numFmt numFmtId="2" formatCode="0.00"/>
    </dxf>
  </dxfs>
  <tableStyles count="0" defaultTableStyle="TableStyleMedium2" defaultPivotStyle="PivotStyleLight16"/>
  <colors>
    <mruColors>
      <color rgb="FFF1C4BD"/>
      <color rgb="FFEAA99E"/>
      <color rgb="FFFFB9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Vissers, Luuk" id="{DBEF4CC8-E4E9-4499-9B71-230B13E89FBC}" userId="Vissers, Luuk"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22:F149" totalsRowShown="0">
  <autoFilter ref="A122:F149" xr:uid="{00000000-0009-0000-0100-000001000000}"/>
  <tableColumns count="6">
    <tableColumn id="1" xr3:uid="{00000000-0010-0000-0000-000001000000}" name="Nr. Rav"/>
    <tableColumn id="2" xr3:uid="{00000000-0010-0000-0000-000002000000}" name="System"/>
    <tableColumn id="3" xr3:uid="{00000000-0010-0000-0000-000003000000}" name="Basic investment" dataDxfId="42"/>
    <tableColumn id="4" xr3:uid="{00000000-0010-0000-0000-000004000000}" name="Yearly investment costs" dataDxfId="41"/>
    <tableColumn id="5" xr3:uid="{00000000-0010-0000-0000-000005000000}" name="Yearly energy costs" dataDxfId="40"/>
    <tableColumn id="6" xr3:uid="{00000000-0010-0000-0000-000006000000}" name="Yearly costs total" dataDxfId="39"/>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32" dT="2021-02-10T12:38:50.28" personId="{DBEF4CC8-E4E9-4499-9B71-230B13E89FBC}" id="{11A0C441-5FC2-4B79-B590-68CCEED741A5}">
    <text>10-years Dutch government bond yield for the period 2015-2020</text>
  </threadedComment>
  <threadedComment ref="B170" dT="2021-06-28T16:05:35.43" personId="{DBEF4CC8-E4E9-4499-9B71-230B13E89FBC}" id="{8CE2390E-93B4-40DD-89EF-7C6EEE69790B}">
    <text>See article: Vissers, L. S. M., et al. (2021). Analysis of synergies and trade-offs between animal welfare, ammonia emission, particulate matter emission and antibiotic use in Dutch broiler production systems. Agricultural Systems, 189, 103070. doi:https://doi.org/10.1016/j.agsy.2021.103070</text>
  </threadedComment>
  <threadedComment ref="B177" dT="2021-06-28T16:08:37.66" personId="{DBEF4CC8-E4E9-4499-9B71-230B13E89FBC}" id="{B70E953A-3CF3-45D1-9090-63CC767420A2}">
    <text>See article: Vissers, L. S. M., et al. (2021). Analysis of synergies and trade-offs between animal welfare, ammonia emission, particulate matter emission and antibiotic use in Dutch broiler production systems. Agricultural Systems, 189, 103070. doi:https://doi.org/10.1016/j.agsy.2021.103070</text>
  </threadedComment>
  <threadedComment ref="B190" dT="2021-07-09T09:52:13.88" personId="{DBEF4CC8-E4E9-4499-9B71-230B13E89FBC}" id="{0C495179-CA2C-4824-93B3-604C2D086A52}">
    <text>Source: Vissers, L. S. M., et al. (2019). Global prospects of the cost-efficiency of broiler welfare in middle-segment production systems. Animals (Basel), 9(7). doi:https://doi.org/10.3390/ani9070473</text>
  </threadedComment>
  <threadedComment ref="B191" dT="2021-07-09T09:52:16.57" personId="{DBEF4CC8-E4E9-4499-9B71-230B13E89FBC}" id="{269A3F2A-16E4-4FFB-BE5D-455C42EF6B86}">
    <text>Source: Vissers, L. S. M., et al. (2019). Global prospects of the cost-efficiency of broiler welfare in middle-segment production systems. Animals (Basel), 9(7). doi:https://doi.org/10.3390/ani9070473</text>
  </threadedComment>
</ThreadedComments>
</file>

<file path=xl/threadedComments/threadedComment2.xml><?xml version="1.0" encoding="utf-8"?>
<ThreadedComments xmlns="http://schemas.microsoft.com/office/spreadsheetml/2018/threadedcomments" xmlns:x="http://schemas.openxmlformats.org/spreadsheetml/2006/main">
  <threadedComment ref="B32" dT="2021-02-10T12:38:50.28" personId="{DBEF4CC8-E4E9-4499-9B71-230B13E89FBC}" id="{08B616DB-32AA-4D8C-8290-14C97488AE99}">
    <text>10-years Dutch government bond yield for the period 2015-2020</text>
  </threadedComment>
  <threadedComment ref="B170" dT="2021-06-28T16:08:54.45" personId="{DBEF4CC8-E4E9-4499-9B71-230B13E89FBC}" id="{E277CA92-30A8-459A-AFAA-66BE2C640907}">
    <text>See article: Vissers, L. S. M., et al. (2021). Analysis of synergies and trade-offs between animal welfare, ammonia emission, particulate matter emission and antibiotic use in Dutch broiler production systems. Agricultural Systems, 189, 103070. doi:https://doi.org/10.1016/j.agsy.2021.103070</text>
  </threadedComment>
  <threadedComment ref="B177" dT="2021-06-28T16:08:41.57" personId="{DBEF4CC8-E4E9-4499-9B71-230B13E89FBC}" id="{9F323D36-D057-49CF-90BC-3828031E0B9A}">
    <text>See article: Vissers, L. S. M., et al. (2021). Analysis of synergies and trade-offs between animal welfare, ammonia emission, particulate matter emission and antibiotic use in Dutch broiler production systems. Agricultural Systems, 189, 103070. doi:https://doi.org/10.1016/j.agsy.2021.103070</text>
  </threadedComment>
  <threadedComment ref="B190" dT="2021-07-09T09:52:13.88" personId="{DBEF4CC8-E4E9-4499-9B71-230B13E89FBC}" id="{F4E63248-0E18-4177-A31E-3BEE62C7D3DC}">
    <text>Source: Vissers, L. S. M., et al. (2019). Global prospects of the cost-efficiency of broiler welfare in middle-segment production systems. Animals (Basel), 9(7). doi:https://doi.org/10.3390/ani9070473</text>
  </threadedComment>
  <threadedComment ref="B191" dT="2021-07-09T09:52:16.57" personId="{DBEF4CC8-E4E9-4499-9B71-230B13E89FBC}" id="{856D68AA-F59A-4396-A928-1AC1EFC417E8}">
    <text>Source: Vissers, L. S. M., et al. (2019). Global prospects of the cost-efficiency of broiler welfare in middle-segment production systems. Animals (Basel), 9(7). doi:https://doi.org/10.3390/ani9070473</text>
  </threadedComment>
</ThreadedComments>
</file>

<file path=xl/threadedComments/threadedComment3.xml><?xml version="1.0" encoding="utf-8"?>
<ThreadedComments xmlns="http://schemas.microsoft.com/office/spreadsheetml/2018/threadedcomments" xmlns:x="http://schemas.openxmlformats.org/spreadsheetml/2006/main">
  <threadedComment ref="B32" dT="2021-02-10T12:38:50.28" personId="{DBEF4CC8-E4E9-4499-9B71-230B13E89FBC}" id="{F543AFBD-3B11-45D6-B4D4-8147A96A726E}">
    <text>10-years Dutch government bond yield for the period 2015-2020</text>
  </threadedComment>
  <threadedComment ref="B170" dT="2021-06-28T16:08:50.54" personId="{DBEF4CC8-E4E9-4499-9B71-230B13E89FBC}" id="{2EE56FB4-422D-4EAE-BBDD-818C303A2F41}">
    <text>See article: Vissers, L. S. M., et al. (2021). Analysis of synergies and trade-offs between animal welfare, ammonia emission, particulate matter emission and antibiotic use in Dutch broiler production systems. Agricultural Systems, 189, 103070. doi:https://doi.org/10.1016/j.agsy.2021.103070</text>
  </threadedComment>
  <threadedComment ref="B177" dT="2021-06-28T16:08:46.65" personId="{DBEF4CC8-E4E9-4499-9B71-230B13E89FBC}" id="{54F279E2-C665-4FCA-8E64-A7E52A20B899}">
    <text>See article: Vissers, L. S. M., et al. (2021). Analysis of synergies and trade-offs between animal welfare, ammonia emission, particulate matter emission and antibiotic use in Dutch broiler production systems. Agricultural Systems, 189, 103070. doi:https://doi.org/10.1016/j.agsy.2021.103070</text>
  </threadedComment>
  <threadedComment ref="B190" dT="2021-07-09T09:52:13.88" personId="{DBEF4CC8-E4E9-4499-9B71-230B13E89FBC}" id="{CE542237-3150-4C40-A5C8-CC97362B795B}">
    <text>Source: Vissers, L. S. M., et al. (2019). Global prospects of the cost-efficiency of broiler welfare in middle-segment production systems. Animals (Basel), 9(7). doi:https://doi.org/10.3390/ani9070473</text>
  </threadedComment>
  <threadedComment ref="B191" dT="2021-07-09T09:52:16.57" personId="{DBEF4CC8-E4E9-4499-9B71-230B13E89FBC}" id="{035032A8-E19A-4D09-ADB8-01E015C183CC}">
    <text>Source: Vissers, L. S. M., et al. (2019). Global prospects of the cost-efficiency of broiler welfare in middle-segment production systems. Animals (Basel), 9(7). doi:https://doi.org/10.3390/ani9070473</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4" Type="http://schemas.microsoft.com/office/2017/10/relationships/threadedComment" Target="../threadedComments/threadedComment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CD275"/>
  <sheetViews>
    <sheetView topLeftCell="A247" workbookViewId="0">
      <selection activeCell="A267" sqref="A267:D273"/>
    </sheetView>
  </sheetViews>
  <sheetFormatPr defaultRowHeight="15"/>
  <cols>
    <col min="1" max="1" width="30.28515625" customWidth="1"/>
    <col min="2" max="2" width="33.7109375" customWidth="1"/>
    <col min="3" max="3" width="20.5703125" customWidth="1"/>
    <col min="4" max="4" width="23.7109375" customWidth="1"/>
    <col min="5" max="5" width="19.7109375" customWidth="1"/>
    <col min="6" max="6" width="21.5703125" customWidth="1"/>
    <col min="7" max="7" width="22" customWidth="1"/>
    <col min="9" max="9" width="22.140625" customWidth="1"/>
    <col min="10" max="10" width="23.140625" customWidth="1"/>
    <col min="11" max="11" width="17" customWidth="1"/>
    <col min="12" max="12" width="21" customWidth="1"/>
    <col min="13" max="13" width="19.85546875" customWidth="1"/>
    <col min="14" max="14" width="20.28515625" customWidth="1"/>
    <col min="15" max="15" width="28.7109375" customWidth="1"/>
    <col min="16" max="16" width="16.7109375" customWidth="1"/>
    <col min="17" max="17" width="17.85546875" customWidth="1"/>
    <col min="18" max="18" width="17.7109375" customWidth="1"/>
    <col min="19" max="19" width="15.140625" customWidth="1"/>
  </cols>
  <sheetData>
    <row r="1" spans="1:6" s="68" customFormat="1"/>
    <row r="2" spans="1:6" s="68" customFormat="1">
      <c r="A2" s="1" t="s">
        <v>288</v>
      </c>
      <c r="E2" s="15"/>
      <c r="F2" s="15" t="s">
        <v>330</v>
      </c>
    </row>
    <row r="3" spans="1:6" s="68" customFormat="1">
      <c r="A3" s="17" t="s">
        <v>288</v>
      </c>
      <c r="C3" s="68">
        <v>2019</v>
      </c>
      <c r="E3" s="68" t="s">
        <v>334</v>
      </c>
      <c r="F3" s="67">
        <f>C12+D214</f>
        <v>32.828565648763899</v>
      </c>
    </row>
    <row r="4" spans="1:6" s="68" customFormat="1">
      <c r="A4" s="68" t="s">
        <v>0</v>
      </c>
      <c r="B4" s="68" t="s">
        <v>25</v>
      </c>
      <c r="C4" s="6">
        <v>82</v>
      </c>
      <c r="E4" s="68" t="s">
        <v>337</v>
      </c>
      <c r="F4" s="44">
        <f>C5+(I214*100)</f>
        <v>105.07378885383827</v>
      </c>
    </row>
    <row r="5" spans="1:6" s="68" customFormat="1">
      <c r="A5" s="68" t="s">
        <v>12</v>
      </c>
      <c r="B5" s="68" t="s">
        <v>25</v>
      </c>
      <c r="C5" s="6">
        <f>1*100</f>
        <v>100</v>
      </c>
    </row>
    <row r="6" spans="1:6" s="68" customFormat="1">
      <c r="A6" s="68" t="s">
        <v>212</v>
      </c>
      <c r="B6" s="68" t="s">
        <v>25</v>
      </c>
      <c r="C6" s="6">
        <v>115</v>
      </c>
    </row>
    <row r="7" spans="1:6" s="68" customFormat="1"/>
    <row r="8" spans="1:6" s="68" customFormat="1"/>
    <row r="9" spans="1:6" s="68" customFormat="1">
      <c r="A9" s="1" t="s">
        <v>26</v>
      </c>
    </row>
    <row r="10" spans="1:6" s="68" customFormat="1">
      <c r="A10" s="17" t="s">
        <v>75</v>
      </c>
      <c r="C10" s="68">
        <v>2019</v>
      </c>
    </row>
    <row r="11" spans="1:6" s="68" customFormat="1">
      <c r="A11" s="68" t="s">
        <v>0</v>
      </c>
      <c r="B11" s="68" t="s">
        <v>213</v>
      </c>
      <c r="C11" s="67">
        <v>31.783333333333335</v>
      </c>
      <c r="E11" s="4"/>
    </row>
    <row r="12" spans="1:6" s="68" customFormat="1">
      <c r="A12" s="68" t="s">
        <v>12</v>
      </c>
      <c r="B12" s="68" t="s">
        <v>213</v>
      </c>
      <c r="C12" s="67">
        <v>31.783333333333335</v>
      </c>
      <c r="E12" s="4"/>
    </row>
    <row r="13" spans="1:6" s="68" customFormat="1">
      <c r="A13" s="68" t="s">
        <v>212</v>
      </c>
      <c r="B13" s="68" t="s">
        <v>213</v>
      </c>
      <c r="C13" s="67">
        <v>31.28</v>
      </c>
    </row>
    <row r="14" spans="1:6" s="68" customFormat="1">
      <c r="A14" s="68" t="s">
        <v>275</v>
      </c>
      <c r="B14" s="68" t="s">
        <v>21</v>
      </c>
      <c r="C14" s="4">
        <f>C11*1.19</f>
        <v>37.822166666666668</v>
      </c>
    </row>
    <row r="15" spans="1:6">
      <c r="A15" s="17"/>
    </row>
    <row r="18" spans="1:11">
      <c r="A18" s="17" t="s">
        <v>19</v>
      </c>
      <c r="C18">
        <v>2019</v>
      </c>
      <c r="H18" s="68"/>
      <c r="I18" s="68"/>
      <c r="J18" s="68"/>
      <c r="K18" s="68"/>
    </row>
    <row r="19" spans="1:11">
      <c r="A19" t="s">
        <v>0</v>
      </c>
      <c r="B19" t="s">
        <v>25</v>
      </c>
      <c r="C19" s="7">
        <f>0.33*100</f>
        <v>33</v>
      </c>
      <c r="H19" s="68"/>
      <c r="I19" s="68"/>
      <c r="J19" s="68"/>
      <c r="K19" s="68"/>
    </row>
    <row r="20" spans="1:11">
      <c r="A20" t="s">
        <v>12</v>
      </c>
      <c r="B20" t="s">
        <v>25</v>
      </c>
      <c r="C20" s="7">
        <f>0.355*100</f>
        <v>35.5</v>
      </c>
      <c r="H20" s="67"/>
      <c r="I20" s="67"/>
      <c r="J20" s="67"/>
      <c r="K20" s="67"/>
    </row>
    <row r="21" spans="1:11">
      <c r="A21" t="s">
        <v>186</v>
      </c>
      <c r="B21" t="s">
        <v>25</v>
      </c>
      <c r="C21" s="68">
        <v>35.5</v>
      </c>
      <c r="H21" s="67"/>
      <c r="I21" s="67"/>
      <c r="J21" s="67"/>
      <c r="K21" s="67"/>
    </row>
    <row r="22" spans="1:11">
      <c r="H22" s="67"/>
      <c r="I22" s="67"/>
      <c r="J22" s="67"/>
      <c r="K22" s="67"/>
    </row>
    <row r="23" spans="1:11">
      <c r="A23" s="17"/>
      <c r="H23" s="4"/>
      <c r="I23" s="4"/>
      <c r="J23" s="4"/>
      <c r="K23" s="4"/>
    </row>
    <row r="24" spans="1:11">
      <c r="A24" s="17" t="s">
        <v>57</v>
      </c>
      <c r="H24" s="4"/>
      <c r="I24" s="4"/>
      <c r="J24" s="4"/>
      <c r="K24" s="4"/>
    </row>
    <row r="25" spans="1:11">
      <c r="A25" t="s">
        <v>0</v>
      </c>
      <c r="B25" t="s">
        <v>113</v>
      </c>
      <c r="C25">
        <v>0.8</v>
      </c>
    </row>
    <row r="26" spans="1:11">
      <c r="A26" s="2" t="s">
        <v>12</v>
      </c>
      <c r="B26" t="s">
        <v>113</v>
      </c>
      <c r="C26">
        <v>0.95</v>
      </c>
    </row>
    <row r="27" spans="1:11">
      <c r="A27" s="2" t="s">
        <v>186</v>
      </c>
      <c r="B27" t="s">
        <v>113</v>
      </c>
      <c r="C27" s="4">
        <v>1.1000000000000001</v>
      </c>
      <c r="H27" s="4"/>
      <c r="I27" s="4"/>
      <c r="J27" s="4"/>
      <c r="K27" s="4"/>
    </row>
    <row r="28" spans="1:11">
      <c r="A28" s="2" t="s">
        <v>198</v>
      </c>
      <c r="B28" t="s">
        <v>113</v>
      </c>
      <c r="C28" s="4">
        <f>C26</f>
        <v>0.95</v>
      </c>
    </row>
    <row r="30" spans="1:11">
      <c r="A30" s="17" t="s">
        <v>20</v>
      </c>
    </row>
    <row r="31" spans="1:11">
      <c r="A31" t="s">
        <v>0</v>
      </c>
      <c r="B31" t="s">
        <v>113</v>
      </c>
      <c r="C31">
        <v>2.2000000000000002</v>
      </c>
    </row>
    <row r="32" spans="1:11">
      <c r="A32" s="2" t="s">
        <v>12</v>
      </c>
      <c r="B32" t="s">
        <v>113</v>
      </c>
      <c r="C32" s="8">
        <v>3</v>
      </c>
    </row>
    <row r="33" spans="1:6">
      <c r="A33" s="2" t="s">
        <v>186</v>
      </c>
      <c r="B33" t="s">
        <v>113</v>
      </c>
      <c r="C33" s="8">
        <v>3.6</v>
      </c>
    </row>
    <row r="34" spans="1:6">
      <c r="A34" s="2" t="s">
        <v>198</v>
      </c>
      <c r="B34" t="s">
        <v>113</v>
      </c>
      <c r="C34" s="8">
        <f>C32*('Input prices producer prices'!E258/'Input prices producer prices'!D258)</f>
        <v>3.5999999999999996</v>
      </c>
    </row>
    <row r="36" spans="1:6">
      <c r="A36" t="s">
        <v>128</v>
      </c>
      <c r="E36" s="68"/>
      <c r="F36" s="68"/>
    </row>
    <row r="37" spans="1:6">
      <c r="E37" s="68"/>
      <c r="F37" s="68"/>
    </row>
    <row r="38" spans="1:6">
      <c r="A38" s="17" t="s">
        <v>13</v>
      </c>
      <c r="E38" s="68"/>
      <c r="F38" s="68"/>
    </row>
    <row r="39" spans="1:6">
      <c r="A39" t="s">
        <v>0</v>
      </c>
      <c r="B39" t="s">
        <v>113</v>
      </c>
      <c r="C39">
        <v>4.3</v>
      </c>
    </row>
    <row r="40" spans="1:6">
      <c r="A40" t="s">
        <v>12</v>
      </c>
      <c r="B40" t="s">
        <v>113</v>
      </c>
      <c r="C40" s="8">
        <v>5.6</v>
      </c>
      <c r="E40" s="68"/>
    </row>
    <row r="41" spans="1:6">
      <c r="A41" t="s">
        <v>186</v>
      </c>
      <c r="B41" t="s">
        <v>113</v>
      </c>
      <c r="C41" s="4">
        <v>7</v>
      </c>
      <c r="E41" s="68"/>
    </row>
    <row r="42" spans="1:6">
      <c r="A42" s="2" t="s">
        <v>198</v>
      </c>
      <c r="B42" t="s">
        <v>113</v>
      </c>
      <c r="C42" s="8">
        <f>C40*('Input prices producer prices'!E258/'Input prices producer prices'!D258)</f>
        <v>6.72</v>
      </c>
      <c r="E42" s="8"/>
    </row>
    <row r="45" spans="1:6">
      <c r="A45" s="17" t="s">
        <v>129</v>
      </c>
      <c r="B45" t="s">
        <v>113</v>
      </c>
      <c r="C45" s="4">
        <f>C48*C47+C46</f>
        <v>1.7759999999999998</v>
      </c>
      <c r="E45" s="8"/>
    </row>
    <row r="46" spans="1:6">
      <c r="A46" s="2" t="s">
        <v>130</v>
      </c>
      <c r="B46" t="s">
        <v>25</v>
      </c>
      <c r="C46">
        <f>0.6</f>
        <v>0.6</v>
      </c>
    </row>
    <row r="47" spans="1:6">
      <c r="A47" s="2" t="s">
        <v>131</v>
      </c>
      <c r="B47" t="s">
        <v>7</v>
      </c>
      <c r="C47">
        <v>42</v>
      </c>
      <c r="E47" s="68"/>
    </row>
    <row r="48" spans="1:6">
      <c r="A48" s="2" t="s">
        <v>132</v>
      </c>
      <c r="B48" t="s">
        <v>335</v>
      </c>
      <c r="C48">
        <f>14/1000*2</f>
        <v>2.8000000000000001E-2</v>
      </c>
      <c r="E48" s="68"/>
    </row>
    <row r="49" spans="1:5">
      <c r="A49" s="2"/>
    </row>
    <row r="50" spans="1:5">
      <c r="A50" s="17"/>
    </row>
    <row r="51" spans="1:5">
      <c r="A51" s="17" t="s">
        <v>114</v>
      </c>
    </row>
    <row r="52" spans="1:5">
      <c r="A52" s="2" t="s">
        <v>162</v>
      </c>
      <c r="B52" t="s">
        <v>113</v>
      </c>
      <c r="C52">
        <v>1</v>
      </c>
      <c r="E52" s="4"/>
    </row>
    <row r="53" spans="1:5">
      <c r="A53" s="2" t="s">
        <v>161</v>
      </c>
      <c r="B53" t="s">
        <v>113</v>
      </c>
      <c r="C53">
        <v>1.25</v>
      </c>
      <c r="E53" s="4"/>
    </row>
    <row r="54" spans="1:5">
      <c r="A54" s="2" t="s">
        <v>187</v>
      </c>
      <c r="B54" t="s">
        <v>113</v>
      </c>
      <c r="C54" s="29">
        <v>2</v>
      </c>
      <c r="E54" s="4"/>
    </row>
    <row r="55" spans="1:5">
      <c r="A55" s="2" t="s">
        <v>199</v>
      </c>
      <c r="B55" t="s">
        <v>113</v>
      </c>
      <c r="C55" s="29">
        <f>C52*('Input prices producer prices'!B264/'Input prices producer prices'!D264)</f>
        <v>1.6390243902439026</v>
      </c>
      <c r="E55" s="4"/>
    </row>
    <row r="57" spans="1:5">
      <c r="A57" s="17" t="s">
        <v>22</v>
      </c>
    </row>
    <row r="58" spans="1:5">
      <c r="A58" t="s">
        <v>23</v>
      </c>
      <c r="B58" t="s">
        <v>27</v>
      </c>
      <c r="C58" s="4">
        <f>65225/2349</f>
        <v>27.767134951042998</v>
      </c>
      <c r="E58" s="8"/>
    </row>
    <row r="59" spans="1:5">
      <c r="A59" t="s">
        <v>24</v>
      </c>
      <c r="B59" t="s">
        <v>27</v>
      </c>
      <c r="C59">
        <v>37.72</v>
      </c>
      <c r="E59" s="8"/>
    </row>
    <row r="61" spans="1:5">
      <c r="A61" s="17" t="s">
        <v>116</v>
      </c>
    </row>
    <row r="62" spans="1:5">
      <c r="A62" t="s">
        <v>163</v>
      </c>
      <c r="B62" t="s">
        <v>113</v>
      </c>
      <c r="C62">
        <v>4.5</v>
      </c>
    </row>
    <row r="63" spans="1:5">
      <c r="A63" t="s">
        <v>164</v>
      </c>
      <c r="B63" t="s">
        <v>113</v>
      </c>
      <c r="C63">
        <v>4.8</v>
      </c>
      <c r="E63" s="68"/>
    </row>
    <row r="64" spans="1:5">
      <c r="A64" t="s">
        <v>186</v>
      </c>
      <c r="B64" t="s">
        <v>113</v>
      </c>
      <c r="C64">
        <v>5.2</v>
      </c>
      <c r="D64" s="28"/>
      <c r="E64" s="68"/>
    </row>
    <row r="65" spans="1:5">
      <c r="A65" t="s">
        <v>198</v>
      </c>
      <c r="B65" t="s">
        <v>113</v>
      </c>
      <c r="C65">
        <v>5.2</v>
      </c>
      <c r="D65" s="28"/>
      <c r="E65" s="68"/>
    </row>
    <row r="66" spans="1:5">
      <c r="A66" t="s">
        <v>188</v>
      </c>
      <c r="B66" t="s">
        <v>113</v>
      </c>
      <c r="C66">
        <v>5.2</v>
      </c>
      <c r="D66" s="28"/>
      <c r="E66" s="68"/>
    </row>
    <row r="68" spans="1:5">
      <c r="A68" s="17" t="s">
        <v>111</v>
      </c>
    </row>
    <row r="69" spans="1:5">
      <c r="A69" s="23" t="s">
        <v>12</v>
      </c>
    </row>
    <row r="70" spans="1:5">
      <c r="A70" t="s">
        <v>111</v>
      </c>
      <c r="B70" t="s">
        <v>113</v>
      </c>
      <c r="C70" s="4">
        <f>((C19+(0.5*C72))*(C71/100)*('Input prices producer prices'!C261/365))*100</f>
        <v>20.191581363992171</v>
      </c>
      <c r="E70" s="4"/>
    </row>
    <row r="71" spans="1:5">
      <c r="A71" t="s">
        <v>110</v>
      </c>
      <c r="B71" t="s">
        <v>109</v>
      </c>
      <c r="C71">
        <v>4.5</v>
      </c>
      <c r="E71" s="4"/>
    </row>
    <row r="72" spans="1:5">
      <c r="A72" t="s">
        <v>112</v>
      </c>
      <c r="C72" s="4">
        <f>('Input prices producer prices'!C257*'Input prices producer prices'!C253)/1000*('Input prices producer prices'!C12/100)</f>
        <v>1.4372423333333335</v>
      </c>
      <c r="E72" s="4"/>
    </row>
    <row r="74" spans="1:5">
      <c r="A74" s="23" t="s">
        <v>198</v>
      </c>
    </row>
    <row r="75" spans="1:5">
      <c r="A75" t="s">
        <v>111</v>
      </c>
      <c r="B75" t="s">
        <v>113</v>
      </c>
      <c r="C75" s="4">
        <f>((C19+(0.5*C72))*(C71/100)*('Input prices producer prices'!C261/365))*100</f>
        <v>20.191581363992171</v>
      </c>
      <c r="E75" s="8"/>
    </row>
    <row r="76" spans="1:5">
      <c r="A76" t="s">
        <v>110</v>
      </c>
      <c r="B76" t="s">
        <v>109</v>
      </c>
      <c r="C76">
        <v>4.5</v>
      </c>
      <c r="E76" s="8"/>
    </row>
    <row r="77" spans="1:5">
      <c r="A77" t="s">
        <v>112</v>
      </c>
      <c r="C77" s="4">
        <f>('Input prices producer prices'!E257*'Input prices producer prices'!E253)/1000*('Input prices producer prices'!C12/100)</f>
        <v>1.4372423333333335</v>
      </c>
      <c r="E77" s="8"/>
    </row>
    <row r="79" spans="1:5">
      <c r="A79" s="17" t="s">
        <v>115</v>
      </c>
    </row>
    <row r="80" spans="1:5">
      <c r="A80" t="s">
        <v>189</v>
      </c>
      <c r="B80" t="s">
        <v>113</v>
      </c>
      <c r="C80">
        <v>5</v>
      </c>
    </row>
    <row r="81" spans="1:5">
      <c r="A81" t="s">
        <v>190</v>
      </c>
      <c r="B81" t="s">
        <v>113</v>
      </c>
      <c r="C81">
        <v>4.5</v>
      </c>
      <c r="E81" s="68"/>
    </row>
    <row r="82" spans="1:5">
      <c r="A82" t="s">
        <v>191</v>
      </c>
      <c r="B82" t="s">
        <v>113</v>
      </c>
      <c r="C82">
        <v>4</v>
      </c>
      <c r="E82" s="68"/>
    </row>
    <row r="83" spans="1:5">
      <c r="A83" t="s">
        <v>200</v>
      </c>
      <c r="B83" t="s">
        <v>113</v>
      </c>
      <c r="C83">
        <f>C81</f>
        <v>4.5</v>
      </c>
      <c r="E83" s="68"/>
    </row>
    <row r="85" spans="1:5">
      <c r="A85" s="17" t="s">
        <v>117</v>
      </c>
    </row>
    <row r="86" spans="1:5">
      <c r="A86" s="2" t="s">
        <v>0</v>
      </c>
      <c r="B86" t="s">
        <v>113</v>
      </c>
      <c r="C86">
        <v>0.54</v>
      </c>
      <c r="E86" s="4"/>
    </row>
    <row r="87" spans="1:5">
      <c r="A87" s="2" t="s">
        <v>12</v>
      </c>
      <c r="B87" t="s">
        <v>113</v>
      </c>
      <c r="C87">
        <v>0.79</v>
      </c>
      <c r="E87" s="4"/>
    </row>
    <row r="88" spans="1:5">
      <c r="A88" s="2" t="s">
        <v>186</v>
      </c>
      <c r="B88" t="s">
        <v>113</v>
      </c>
      <c r="C88">
        <v>0.79</v>
      </c>
      <c r="E88" s="4"/>
    </row>
    <row r="89" spans="1:5">
      <c r="A89" s="2" t="s">
        <v>198</v>
      </c>
      <c r="B89" t="s">
        <v>113</v>
      </c>
      <c r="C89">
        <f>C88</f>
        <v>0.79</v>
      </c>
      <c r="E89" s="4"/>
    </row>
    <row r="91" spans="1:5">
      <c r="A91" s="17" t="s">
        <v>118</v>
      </c>
      <c r="D91" s="28"/>
    </row>
    <row r="92" spans="1:5">
      <c r="A92" s="2" t="s">
        <v>0</v>
      </c>
      <c r="B92" t="s">
        <v>113</v>
      </c>
      <c r="C92">
        <v>0.4</v>
      </c>
    </row>
    <row r="93" spans="1:5">
      <c r="A93" s="2" t="s">
        <v>12</v>
      </c>
      <c r="B93" t="s">
        <v>113</v>
      </c>
      <c r="C93">
        <v>0.6</v>
      </c>
      <c r="E93" s="68"/>
    </row>
    <row r="94" spans="1:5">
      <c r="A94" s="2" t="s">
        <v>186</v>
      </c>
      <c r="B94" t="s">
        <v>113</v>
      </c>
      <c r="C94">
        <v>0.6</v>
      </c>
      <c r="E94" s="68"/>
    </row>
    <row r="95" spans="1:5">
      <c r="A95" s="2" t="s">
        <v>198</v>
      </c>
      <c r="B95" t="s">
        <v>113</v>
      </c>
      <c r="C95">
        <v>0.6</v>
      </c>
      <c r="E95" s="68"/>
    </row>
    <row r="96" spans="1:5">
      <c r="A96" s="17"/>
    </row>
    <row r="97" spans="1:6">
      <c r="A97" s="17" t="s">
        <v>119</v>
      </c>
      <c r="B97" t="s">
        <v>113</v>
      </c>
      <c r="C97">
        <v>2</v>
      </c>
    </row>
    <row r="98" spans="1:6">
      <c r="A98" s="17"/>
    </row>
    <row r="99" spans="1:6">
      <c r="A99" s="17" t="s">
        <v>127</v>
      </c>
    </row>
    <row r="100" spans="1:6">
      <c r="A100" t="s">
        <v>0</v>
      </c>
      <c r="B100" t="s">
        <v>196</v>
      </c>
      <c r="C100">
        <v>3</v>
      </c>
      <c r="E100" s="8"/>
      <c r="F100" s="4"/>
    </row>
    <row r="101" spans="1:6">
      <c r="A101" s="2" t="s">
        <v>12</v>
      </c>
      <c r="B101" t="s">
        <v>196</v>
      </c>
      <c r="C101" s="4">
        <f>C100*I116</f>
        <v>3.3157894736842106</v>
      </c>
      <c r="E101" s="8"/>
      <c r="F101" s="4"/>
    </row>
    <row r="102" spans="1:6">
      <c r="A102" s="2" t="s">
        <v>186</v>
      </c>
      <c r="B102" t="s">
        <v>196</v>
      </c>
      <c r="C102" s="4">
        <f>C100*I117</f>
        <v>4.9170731707317081</v>
      </c>
      <c r="E102" s="8"/>
      <c r="F102" s="4"/>
    </row>
    <row r="103" spans="1:6">
      <c r="A103" s="2" t="s">
        <v>198</v>
      </c>
      <c r="B103" t="s">
        <v>196</v>
      </c>
      <c r="C103" s="4">
        <f>C100*I118</f>
        <v>4.1999999999999993</v>
      </c>
      <c r="E103" s="8"/>
      <c r="F103" s="4"/>
    </row>
    <row r="104" spans="1:6">
      <c r="A104" s="17"/>
    </row>
    <row r="105" spans="1:6">
      <c r="A105" s="17" t="s">
        <v>124</v>
      </c>
    </row>
    <row r="106" spans="1:6">
      <c r="A106" s="2" t="s">
        <v>125</v>
      </c>
      <c r="B106" t="s">
        <v>120</v>
      </c>
      <c r="C106">
        <v>100</v>
      </c>
    </row>
    <row r="107" spans="1:6">
      <c r="A107" s="2" t="s">
        <v>121</v>
      </c>
      <c r="B107" t="s">
        <v>109</v>
      </c>
      <c r="C107">
        <v>8</v>
      </c>
    </row>
    <row r="108" spans="1:6">
      <c r="A108" s="2" t="s">
        <v>122</v>
      </c>
      <c r="B108" t="s">
        <v>109</v>
      </c>
      <c r="C108">
        <v>2</v>
      </c>
    </row>
    <row r="109" spans="1:6">
      <c r="A109" s="2"/>
    </row>
    <row r="110" spans="1:6">
      <c r="A110" s="17" t="s">
        <v>123</v>
      </c>
    </row>
    <row r="111" spans="1:6">
      <c r="A111" s="2" t="s">
        <v>192</v>
      </c>
      <c r="B111" t="s">
        <v>120</v>
      </c>
      <c r="C111">
        <v>217.5</v>
      </c>
    </row>
    <row r="112" spans="1:6">
      <c r="A112" s="2" t="s">
        <v>121</v>
      </c>
      <c r="B112" t="s">
        <v>109</v>
      </c>
      <c r="C112">
        <v>4</v>
      </c>
    </row>
    <row r="113" spans="1:9">
      <c r="A113" s="2" t="s">
        <v>122</v>
      </c>
      <c r="B113" t="s">
        <v>109</v>
      </c>
      <c r="C113">
        <v>1</v>
      </c>
    </row>
    <row r="114" spans="1:9">
      <c r="A114" s="17"/>
    </row>
    <row r="115" spans="1:9">
      <c r="A115" s="17" t="s">
        <v>208</v>
      </c>
    </row>
    <row r="116" spans="1:9">
      <c r="A116" s="17" t="s">
        <v>206</v>
      </c>
      <c r="B116" t="s">
        <v>120</v>
      </c>
      <c r="C116">
        <v>11</v>
      </c>
      <c r="H116" t="s">
        <v>12</v>
      </c>
      <c r="I116" s="4">
        <f>'Input prices producer prices'!B264/'Input prices producer prices'!C264</f>
        <v>1.1052631578947369</v>
      </c>
    </row>
    <row r="117" spans="1:9">
      <c r="A117" s="17"/>
      <c r="H117" t="s">
        <v>186</v>
      </c>
      <c r="I117" s="4">
        <f>'Input prices producer prices'!B264/'Input prices producer prices'!D264</f>
        <v>1.6390243902439026</v>
      </c>
    </row>
    <row r="118" spans="1:9">
      <c r="A118" s="17" t="s">
        <v>126</v>
      </c>
      <c r="H118" t="s">
        <v>198</v>
      </c>
      <c r="I118" s="4">
        <f>'Input prices producer prices'!B264/'Input prices producer prices'!E264</f>
        <v>1.4</v>
      </c>
    </row>
    <row r="121" spans="1:9">
      <c r="A121" s="17"/>
      <c r="B121" t="s">
        <v>381</v>
      </c>
      <c r="C121" s="17"/>
      <c r="D121" s="17"/>
      <c r="E121" s="17"/>
      <c r="F121" s="17"/>
      <c r="G121" s="17"/>
    </row>
    <row r="122" spans="1:9">
      <c r="A122" t="s">
        <v>28</v>
      </c>
      <c r="B122" t="s">
        <v>366</v>
      </c>
      <c r="C122" t="s">
        <v>362</v>
      </c>
      <c r="D122" t="s">
        <v>363</v>
      </c>
      <c r="E122" t="s">
        <v>364</v>
      </c>
      <c r="F122" t="s">
        <v>365</v>
      </c>
    </row>
    <row r="123" spans="1:9">
      <c r="A123" t="s">
        <v>29</v>
      </c>
      <c r="B123" t="s">
        <v>372</v>
      </c>
      <c r="C123">
        <v>15</v>
      </c>
      <c r="D123" s="4">
        <v>1.3</v>
      </c>
      <c r="E123">
        <v>0.5</v>
      </c>
      <c r="F123" s="4">
        <v>1.8</v>
      </c>
    </row>
    <row r="124" spans="1:9">
      <c r="C124" s="1" t="s">
        <v>380</v>
      </c>
      <c r="D124" s="1"/>
      <c r="E124" s="1"/>
      <c r="F124" s="21"/>
    </row>
    <row r="125" spans="1:9">
      <c r="A125" t="s">
        <v>30</v>
      </c>
      <c r="B125" s="98" t="s">
        <v>343</v>
      </c>
      <c r="C125" s="4">
        <v>3.85</v>
      </c>
      <c r="D125" s="4">
        <v>0.5</v>
      </c>
      <c r="E125" s="4">
        <v>0.66</v>
      </c>
      <c r="F125" s="4">
        <v>1.1499999999999999</v>
      </c>
    </row>
    <row r="126" spans="1:9">
      <c r="A126" t="s">
        <v>31</v>
      </c>
      <c r="B126" t="s">
        <v>378</v>
      </c>
      <c r="C126" s="4">
        <v>2.4</v>
      </c>
      <c r="D126" s="4">
        <v>0.3</v>
      </c>
      <c r="E126" s="4">
        <v>-0.11</v>
      </c>
      <c r="F126" s="4">
        <v>0.19</v>
      </c>
    </row>
    <row r="127" spans="1:9">
      <c r="A127" t="s">
        <v>32</v>
      </c>
      <c r="B127" t="s">
        <v>349</v>
      </c>
      <c r="C127" s="4">
        <v>0.7</v>
      </c>
      <c r="D127" s="4">
        <v>0.1</v>
      </c>
      <c r="E127" s="4">
        <v>0</v>
      </c>
      <c r="F127" s="4">
        <v>0.1</v>
      </c>
    </row>
    <row r="128" spans="1:9">
      <c r="A128" t="s">
        <v>33</v>
      </c>
      <c r="B128" t="s">
        <v>373</v>
      </c>
      <c r="C128" s="4">
        <v>3.9</v>
      </c>
      <c r="D128" s="4">
        <v>0.54</v>
      </c>
      <c r="E128" s="4">
        <v>0.65</v>
      </c>
      <c r="F128" s="4">
        <v>1.19</v>
      </c>
    </row>
    <row r="129" spans="1:6">
      <c r="A129" t="s">
        <v>34</v>
      </c>
      <c r="B129" t="s">
        <v>35</v>
      </c>
      <c r="C129" s="4">
        <v>2.25</v>
      </c>
      <c r="D129" s="4">
        <v>0.56000000000000005</v>
      </c>
      <c r="E129" s="4">
        <v>-0.46</v>
      </c>
      <c r="F129" s="4">
        <v>0.1</v>
      </c>
    </row>
    <row r="130" spans="1:6">
      <c r="A130" t="s">
        <v>36</v>
      </c>
      <c r="B130" t="s">
        <v>37</v>
      </c>
      <c r="C130" s="4"/>
      <c r="D130" s="4"/>
      <c r="E130" s="4"/>
      <c r="F130" s="4"/>
    </row>
    <row r="131" spans="1:6">
      <c r="A131" t="s">
        <v>38</v>
      </c>
      <c r="B131" s="98" t="s">
        <v>346</v>
      </c>
      <c r="C131" s="4">
        <v>1.4</v>
      </c>
      <c r="D131" s="4">
        <v>0.34</v>
      </c>
      <c r="E131" s="4">
        <v>-0.43</v>
      </c>
      <c r="F131" s="4">
        <v>-0.09</v>
      </c>
    </row>
    <row r="132" spans="1:6">
      <c r="A132" t="s">
        <v>39</v>
      </c>
      <c r="B132" s="98" t="s">
        <v>347</v>
      </c>
      <c r="C132" s="4">
        <v>1.3</v>
      </c>
      <c r="D132" s="4">
        <v>0.33</v>
      </c>
      <c r="E132" s="4">
        <v>-0.46</v>
      </c>
      <c r="F132" s="4">
        <v>-0.13</v>
      </c>
    </row>
    <row r="133" spans="1:6">
      <c r="A133" t="s">
        <v>40</v>
      </c>
      <c r="B133" t="s">
        <v>374</v>
      </c>
      <c r="C133" s="4">
        <v>0.53</v>
      </c>
      <c r="D133" s="4">
        <v>7.0000000000000007E-2</v>
      </c>
      <c r="E133" s="4">
        <v>-0.06</v>
      </c>
      <c r="F133" s="4">
        <v>0.01</v>
      </c>
    </row>
    <row r="134" spans="1:6">
      <c r="A134" t="s">
        <v>41</v>
      </c>
      <c r="B134" t="s">
        <v>42</v>
      </c>
      <c r="C134" s="4">
        <v>0.93</v>
      </c>
      <c r="D134" s="4">
        <v>0.1</v>
      </c>
      <c r="E134" s="4">
        <f>-0.15</f>
        <v>-0.15</v>
      </c>
      <c r="F134" s="4">
        <v>-0.05</v>
      </c>
    </row>
    <row r="135" spans="1:6">
      <c r="A135" t="s">
        <v>43</v>
      </c>
      <c r="B135" t="s">
        <v>44</v>
      </c>
      <c r="C135" s="4">
        <v>2.65</v>
      </c>
      <c r="D135" s="4">
        <v>0.53</v>
      </c>
      <c r="E135" s="4">
        <v>0.56000000000000005</v>
      </c>
      <c r="F135" s="4">
        <v>1.0900000000000001</v>
      </c>
    </row>
    <row r="136" spans="1:6">
      <c r="A136" t="s">
        <v>45</v>
      </c>
      <c r="B136" t="s">
        <v>375</v>
      </c>
      <c r="C136" s="4">
        <v>3.45</v>
      </c>
      <c r="D136" s="4">
        <v>0.44</v>
      </c>
      <c r="E136" s="4">
        <v>0.44</v>
      </c>
      <c r="F136" s="4">
        <v>0.88</v>
      </c>
    </row>
    <row r="137" spans="1:6">
      <c r="A137" t="s">
        <v>46</v>
      </c>
      <c r="B137" t="s">
        <v>377</v>
      </c>
      <c r="C137" s="4">
        <v>0.21</v>
      </c>
      <c r="D137" s="4">
        <v>0.03</v>
      </c>
      <c r="E137" s="4">
        <v>-7.0000000000000007E-2</v>
      </c>
      <c r="F137" s="4">
        <v>-0.04</v>
      </c>
    </row>
    <row r="138" spans="1:6">
      <c r="A138" t="s">
        <v>47</v>
      </c>
      <c r="B138" t="s">
        <v>376</v>
      </c>
      <c r="C138" s="4">
        <v>0.61</v>
      </c>
      <c r="D138" s="4">
        <v>0.06</v>
      </c>
      <c r="E138" s="4">
        <v>-7.0000000000000007E-2</v>
      </c>
      <c r="F138" s="4">
        <v>-0.01</v>
      </c>
    </row>
    <row r="139" spans="1:6">
      <c r="A139" t="s">
        <v>284</v>
      </c>
      <c r="B139" t="s">
        <v>48</v>
      </c>
      <c r="C139" s="4">
        <v>5.2</v>
      </c>
      <c r="D139" s="4">
        <v>0.65</v>
      </c>
      <c r="E139" s="4">
        <v>-0.15</v>
      </c>
      <c r="F139" s="4">
        <v>0.5</v>
      </c>
    </row>
    <row r="140" spans="1:6">
      <c r="B140" s="17" t="s">
        <v>379</v>
      </c>
      <c r="C140" s="4"/>
      <c r="D140" s="4"/>
      <c r="E140" s="4"/>
      <c r="F140" s="4"/>
    </row>
    <row r="141" spans="1:6">
      <c r="A141" t="s">
        <v>49</v>
      </c>
      <c r="B141" t="s">
        <v>357</v>
      </c>
      <c r="C141" s="4">
        <v>0.5</v>
      </c>
      <c r="D141" s="4">
        <v>0.09</v>
      </c>
      <c r="E141" s="4">
        <v>0.11</v>
      </c>
      <c r="F141" s="4">
        <v>0.2</v>
      </c>
    </row>
    <row r="142" spans="1:6">
      <c r="A142" t="s">
        <v>165</v>
      </c>
      <c r="B142" t="s">
        <v>367</v>
      </c>
      <c r="C142" s="4">
        <v>0.68</v>
      </c>
      <c r="D142" s="4">
        <v>0.09</v>
      </c>
      <c r="E142" s="4">
        <v>0</v>
      </c>
      <c r="F142" s="4">
        <v>0.09</v>
      </c>
    </row>
    <row r="143" spans="1:6">
      <c r="A143" t="s">
        <v>50</v>
      </c>
      <c r="B143" t="s">
        <v>356</v>
      </c>
      <c r="C143" s="4">
        <v>3.25</v>
      </c>
      <c r="D143" s="4">
        <v>0.43</v>
      </c>
      <c r="E143" s="4">
        <v>0.47</v>
      </c>
      <c r="F143" s="4">
        <v>0.9</v>
      </c>
    </row>
    <row r="144" spans="1:6">
      <c r="A144" t="s">
        <v>51</v>
      </c>
      <c r="B144" t="s">
        <v>358</v>
      </c>
      <c r="C144" s="4">
        <v>0.5</v>
      </c>
      <c r="D144" s="4">
        <v>0.06</v>
      </c>
      <c r="E144" s="4">
        <v>0.06</v>
      </c>
      <c r="F144" s="4">
        <v>0.12</v>
      </c>
    </row>
    <row r="145" spans="1:82">
      <c r="A145" t="s">
        <v>52</v>
      </c>
      <c r="B145" t="s">
        <v>351</v>
      </c>
      <c r="C145" s="4">
        <v>2.9</v>
      </c>
      <c r="D145" s="4">
        <v>0.36</v>
      </c>
      <c r="E145" s="4">
        <v>0</v>
      </c>
      <c r="F145" s="4">
        <v>0.36</v>
      </c>
    </row>
    <row r="146" spans="1:82">
      <c r="A146" t="s">
        <v>53</v>
      </c>
      <c r="B146" t="s">
        <v>368</v>
      </c>
      <c r="C146" s="4">
        <v>2.1</v>
      </c>
      <c r="D146" s="4">
        <v>0.23</v>
      </c>
      <c r="E146" s="4">
        <v>-0.11</v>
      </c>
      <c r="F146" s="4">
        <v>0.11</v>
      </c>
    </row>
    <row r="147" spans="1:82">
      <c r="A147" t="s">
        <v>54</v>
      </c>
      <c r="B147" s="98" t="s">
        <v>369</v>
      </c>
      <c r="C147" s="4">
        <v>0.93</v>
      </c>
      <c r="D147" s="4">
        <v>0.1</v>
      </c>
      <c r="E147" s="4">
        <v>-0.15</v>
      </c>
      <c r="F147" s="4">
        <v>-0.05</v>
      </c>
      <c r="G147" s="4"/>
    </row>
    <row r="148" spans="1:82">
      <c r="A148" t="s">
        <v>55</v>
      </c>
      <c r="B148" s="98" t="s">
        <v>370</v>
      </c>
      <c r="C148" s="4">
        <v>2.5499999999999998</v>
      </c>
      <c r="D148" s="4">
        <v>0.33</v>
      </c>
      <c r="E148" s="4">
        <v>-0.1</v>
      </c>
      <c r="F148" s="4">
        <v>0.23</v>
      </c>
    </row>
    <row r="149" spans="1:82">
      <c r="A149" t="s">
        <v>56</v>
      </c>
      <c r="B149" s="98" t="s">
        <v>371</v>
      </c>
      <c r="C149" s="4">
        <v>3.5</v>
      </c>
      <c r="D149" s="4">
        <v>0.45</v>
      </c>
      <c r="E149" s="4">
        <v>-0.06</v>
      </c>
      <c r="F149" s="4">
        <v>0.39</v>
      </c>
    </row>
    <row r="151" spans="1:82">
      <c r="C151" s="4"/>
    </row>
    <row r="152" spans="1:82">
      <c r="B152" s="17"/>
      <c r="C152" s="68"/>
      <c r="D152" s="97" t="s">
        <v>332</v>
      </c>
      <c r="E152" s="98" t="s">
        <v>331</v>
      </c>
    </row>
    <row r="153" spans="1:82">
      <c r="B153" s="68" t="s">
        <v>313</v>
      </c>
      <c r="C153" s="68" t="s">
        <v>314</v>
      </c>
      <c r="D153" s="67">
        <v>30.7</v>
      </c>
      <c r="E153" s="99">
        <v>0.91999999999999993</v>
      </c>
      <c r="F153" s="67"/>
      <c r="G153" s="99"/>
      <c r="H153" s="99"/>
      <c r="J153" s="99"/>
      <c r="K153" s="99"/>
      <c r="L153" s="99"/>
      <c r="M153" s="99"/>
      <c r="N153" s="99"/>
      <c r="O153" s="99"/>
      <c r="P153" s="99"/>
      <c r="Q153" s="99"/>
      <c r="R153" s="98"/>
      <c r="S153" s="99"/>
      <c r="T153" s="99"/>
      <c r="U153" s="99"/>
      <c r="V153" s="99"/>
      <c r="W153" s="99"/>
      <c r="X153" s="99"/>
      <c r="Y153" s="99"/>
      <c r="Z153" s="99"/>
      <c r="AA153" s="99"/>
      <c r="AB153" s="99"/>
      <c r="AC153" s="99"/>
      <c r="AD153" s="99"/>
      <c r="AE153" s="98"/>
      <c r="AF153" s="99"/>
      <c r="AG153" s="99"/>
      <c r="AH153" s="99"/>
      <c r="AI153" s="99"/>
      <c r="AJ153" s="99"/>
      <c r="AK153" s="99"/>
      <c r="AL153" s="99"/>
      <c r="AM153" s="99"/>
      <c r="AN153" s="99"/>
      <c r="AO153" s="99"/>
      <c r="AP153" s="99"/>
      <c r="AQ153" s="99"/>
      <c r="AR153" s="98"/>
      <c r="AS153" s="99"/>
      <c r="AT153" s="99"/>
      <c r="AU153" s="99"/>
      <c r="AV153" s="99"/>
      <c r="AW153" s="99"/>
      <c r="AX153" s="99"/>
      <c r="AY153" s="99"/>
      <c r="AZ153" s="99"/>
      <c r="BA153" s="99"/>
      <c r="BB153" s="99"/>
      <c r="BC153" s="99"/>
      <c r="BD153" s="99"/>
      <c r="BE153" s="98"/>
      <c r="BF153" s="99"/>
      <c r="BG153" s="99"/>
      <c r="BH153" s="99"/>
      <c r="BI153" s="99"/>
      <c r="BJ153" s="99"/>
      <c r="BK153" s="99"/>
      <c r="BL153" s="99"/>
      <c r="BM153" s="99"/>
      <c r="BN153" s="99"/>
      <c r="BO153" s="99"/>
      <c r="BP153" s="99"/>
      <c r="BQ153" s="99"/>
      <c r="BR153" s="98"/>
      <c r="BS153" s="99"/>
      <c r="BT153" s="99"/>
      <c r="BU153" s="99"/>
      <c r="BV153" s="99"/>
      <c r="BW153" s="99"/>
      <c r="BX153" s="99"/>
      <c r="BY153" s="99"/>
      <c r="BZ153" s="99"/>
      <c r="CA153" s="99"/>
      <c r="CB153" s="99"/>
      <c r="CC153" s="99"/>
      <c r="CD153" s="99"/>
    </row>
    <row r="154" spans="1:82">
      <c r="A154" s="68"/>
      <c r="B154" s="68"/>
      <c r="C154" s="68" t="s">
        <v>315</v>
      </c>
      <c r="D154" s="67">
        <v>30.55</v>
      </c>
      <c r="E154" s="99">
        <v>0.8899999999999999</v>
      </c>
      <c r="F154" s="67"/>
    </row>
    <row r="155" spans="1:82">
      <c r="A155" s="68"/>
      <c r="B155" s="68"/>
      <c r="C155" s="68" t="s">
        <v>316</v>
      </c>
      <c r="D155" s="67">
        <v>30.3</v>
      </c>
      <c r="E155" s="99">
        <v>0.89999999999999991</v>
      </c>
      <c r="F155" s="67"/>
    </row>
    <row r="156" spans="1:82">
      <c r="A156" s="68"/>
      <c r="B156" s="68"/>
      <c r="C156" s="68" t="s">
        <v>317</v>
      </c>
      <c r="D156" s="67">
        <v>30.55</v>
      </c>
      <c r="E156" s="99">
        <v>0.94</v>
      </c>
      <c r="F156" s="67"/>
    </row>
    <row r="157" spans="1:82">
      <c r="A157" s="68"/>
      <c r="B157" s="68"/>
      <c r="C157" s="68" t="s">
        <v>318</v>
      </c>
      <c r="D157" s="67">
        <v>30.95</v>
      </c>
      <c r="E157" s="99">
        <v>0.95</v>
      </c>
      <c r="F157" s="67"/>
    </row>
    <row r="158" spans="1:82">
      <c r="A158" s="68"/>
      <c r="B158" s="68"/>
      <c r="C158" s="68" t="s">
        <v>319</v>
      </c>
      <c r="D158" s="67">
        <v>31.4</v>
      </c>
      <c r="E158" s="99">
        <v>0.98</v>
      </c>
      <c r="F158" s="67"/>
    </row>
    <row r="159" spans="1:82">
      <c r="A159" s="68"/>
      <c r="B159" s="68"/>
      <c r="C159" s="68" t="s">
        <v>320</v>
      </c>
      <c r="D159" s="67">
        <v>31.55</v>
      </c>
      <c r="E159" s="99">
        <v>1.01</v>
      </c>
      <c r="F159" s="67"/>
    </row>
    <row r="160" spans="1:82">
      <c r="A160" s="68"/>
      <c r="B160" s="68"/>
      <c r="C160" s="68" t="s">
        <v>321</v>
      </c>
      <c r="D160" s="67">
        <v>32.35</v>
      </c>
      <c r="E160" s="99">
        <v>1.04</v>
      </c>
      <c r="F160" s="67"/>
    </row>
    <row r="161" spans="1:6">
      <c r="A161" s="68"/>
      <c r="B161" s="68"/>
      <c r="C161" s="68" t="s">
        <v>322</v>
      </c>
      <c r="D161" s="67">
        <v>32.75</v>
      </c>
      <c r="E161" s="99">
        <v>1.05</v>
      </c>
      <c r="F161" s="67"/>
    </row>
    <row r="162" spans="1:6">
      <c r="A162" s="68"/>
      <c r="B162" s="68"/>
      <c r="C162" s="68" t="s">
        <v>323</v>
      </c>
      <c r="D162" s="67">
        <v>32.85</v>
      </c>
      <c r="E162" s="99">
        <v>1.02</v>
      </c>
      <c r="F162" s="67"/>
    </row>
    <row r="163" spans="1:6">
      <c r="A163" s="68"/>
      <c r="B163" s="68"/>
      <c r="C163" s="68" t="s">
        <v>324</v>
      </c>
      <c r="D163" s="67">
        <v>33.5</v>
      </c>
      <c r="E163" s="99">
        <v>1</v>
      </c>
      <c r="F163" s="67"/>
    </row>
    <row r="164" spans="1:6">
      <c r="A164" s="68"/>
      <c r="B164" s="68"/>
      <c r="C164" s="68" t="s">
        <v>325</v>
      </c>
      <c r="D164" s="67">
        <v>33.950000000000003</v>
      </c>
      <c r="E164" s="99">
        <v>0.92999999999999994</v>
      </c>
      <c r="F164" s="67"/>
    </row>
    <row r="165" spans="1:6">
      <c r="A165" s="68"/>
      <c r="B165" s="68" t="s">
        <v>326</v>
      </c>
      <c r="C165" s="68" t="s">
        <v>314</v>
      </c>
      <c r="D165" s="67">
        <v>33.950000000000003</v>
      </c>
      <c r="E165" s="99">
        <v>0.90999999999999992</v>
      </c>
      <c r="F165" s="67"/>
    </row>
    <row r="166" spans="1:6">
      <c r="A166" s="68"/>
      <c r="B166" s="68"/>
      <c r="C166" s="68" t="s">
        <v>315</v>
      </c>
      <c r="D166" s="67">
        <v>33.950000000000003</v>
      </c>
      <c r="E166" s="99">
        <v>0.91999999999999993</v>
      </c>
      <c r="F166" s="67"/>
    </row>
    <row r="167" spans="1:6">
      <c r="A167" s="68"/>
      <c r="B167" s="68"/>
      <c r="C167" s="68" t="s">
        <v>316</v>
      </c>
      <c r="D167" s="67">
        <v>33.950000000000003</v>
      </c>
      <c r="E167" s="99">
        <v>1.02</v>
      </c>
      <c r="F167" s="67"/>
    </row>
    <row r="168" spans="1:6">
      <c r="A168" s="68"/>
      <c r="B168" s="68"/>
      <c r="C168" s="68" t="s">
        <v>317</v>
      </c>
      <c r="D168" s="67">
        <v>33.9</v>
      </c>
      <c r="E168" s="99">
        <v>1.08</v>
      </c>
      <c r="F168" s="67"/>
    </row>
    <row r="169" spans="1:6">
      <c r="A169" s="68"/>
      <c r="B169" s="68"/>
      <c r="C169" s="68" t="s">
        <v>318</v>
      </c>
      <c r="D169" s="67">
        <v>33.65</v>
      </c>
      <c r="E169" s="99">
        <v>1.1100000000000001</v>
      </c>
      <c r="F169" s="67"/>
    </row>
    <row r="170" spans="1:6">
      <c r="A170" s="68"/>
      <c r="B170" s="68"/>
      <c r="C170" s="68" t="s">
        <v>319</v>
      </c>
      <c r="D170" s="67">
        <v>32.5</v>
      </c>
      <c r="E170" s="99">
        <v>1.1000000000000001</v>
      </c>
      <c r="F170" s="67"/>
    </row>
    <row r="171" spans="1:6">
      <c r="A171" s="68"/>
      <c r="B171" s="68"/>
      <c r="C171" s="68" t="s">
        <v>320</v>
      </c>
      <c r="D171" s="67">
        <v>32.549999999999997</v>
      </c>
      <c r="E171" s="99">
        <v>1.08</v>
      </c>
      <c r="F171" s="67"/>
    </row>
    <row r="172" spans="1:6">
      <c r="A172" s="68"/>
      <c r="B172" s="68"/>
      <c r="C172" s="68" t="s">
        <v>321</v>
      </c>
      <c r="D172" s="67">
        <v>32.299999999999997</v>
      </c>
      <c r="E172" s="99">
        <v>1.06</v>
      </c>
      <c r="F172" s="67"/>
    </row>
    <row r="173" spans="1:6">
      <c r="A173" s="68"/>
      <c r="B173" s="68"/>
      <c r="C173" s="68" t="s">
        <v>322</v>
      </c>
      <c r="D173" s="67">
        <v>31.95</v>
      </c>
      <c r="E173" s="99">
        <v>1.03</v>
      </c>
      <c r="F173" s="67"/>
    </row>
    <row r="174" spans="1:6">
      <c r="B174" s="68"/>
      <c r="C174" s="68" t="s">
        <v>323</v>
      </c>
      <c r="D174" s="67">
        <v>31.55</v>
      </c>
      <c r="E174" s="99">
        <v>1.03</v>
      </c>
      <c r="F174" s="67"/>
    </row>
    <row r="175" spans="1:6">
      <c r="B175" s="68"/>
      <c r="C175" s="68" t="s">
        <v>324</v>
      </c>
      <c r="D175" s="67">
        <v>31.1</v>
      </c>
      <c r="E175" s="99">
        <v>1.03</v>
      </c>
      <c r="F175" s="67"/>
    </row>
    <row r="176" spans="1:6">
      <c r="B176" s="68"/>
      <c r="C176" s="68" t="s">
        <v>325</v>
      </c>
      <c r="D176" s="67">
        <v>31.05</v>
      </c>
      <c r="E176" s="99">
        <v>0.98</v>
      </c>
      <c r="F176" s="67"/>
    </row>
    <row r="177" spans="1:6">
      <c r="B177" s="68" t="s">
        <v>327</v>
      </c>
      <c r="C177" s="68" t="s">
        <v>314</v>
      </c>
      <c r="D177" s="67">
        <v>30.95</v>
      </c>
      <c r="E177" s="99">
        <v>0.99</v>
      </c>
      <c r="F177" s="67"/>
    </row>
    <row r="178" spans="1:6">
      <c r="B178" s="68"/>
      <c r="C178" s="68" t="s">
        <v>315</v>
      </c>
      <c r="D178" s="67">
        <v>30.9</v>
      </c>
      <c r="E178" s="99">
        <v>1.01</v>
      </c>
      <c r="F178" s="67"/>
    </row>
    <row r="179" spans="1:6">
      <c r="B179" s="68"/>
      <c r="C179" s="68" t="s">
        <v>316</v>
      </c>
      <c r="D179" s="67">
        <v>30.95</v>
      </c>
      <c r="E179" s="99">
        <v>1</v>
      </c>
      <c r="F179" s="67"/>
    </row>
    <row r="180" spans="1:6">
      <c r="B180" s="68"/>
      <c r="C180" s="68" t="s">
        <v>317</v>
      </c>
      <c r="D180" s="67">
        <v>30.95</v>
      </c>
      <c r="E180" s="99">
        <v>1</v>
      </c>
      <c r="F180" s="67"/>
    </row>
    <row r="181" spans="1:6">
      <c r="B181" s="68"/>
      <c r="C181" s="68" t="s">
        <v>318</v>
      </c>
      <c r="D181" s="67">
        <v>31.2</v>
      </c>
      <c r="E181" s="99">
        <v>1</v>
      </c>
      <c r="F181" s="67"/>
    </row>
    <row r="182" spans="1:6">
      <c r="B182" s="68"/>
      <c r="C182" s="68" t="s">
        <v>319</v>
      </c>
      <c r="D182" s="67">
        <v>31.45</v>
      </c>
      <c r="E182" s="99">
        <v>1</v>
      </c>
      <c r="F182" s="67"/>
    </row>
    <row r="183" spans="1:6">
      <c r="A183" s="68"/>
      <c r="B183" s="68"/>
      <c r="C183" s="68" t="s">
        <v>320</v>
      </c>
      <c r="D183" s="67">
        <v>31.6</v>
      </c>
      <c r="E183" s="99">
        <v>1.01</v>
      </c>
      <c r="F183" s="67"/>
    </row>
    <row r="184" spans="1:6">
      <c r="A184" s="68"/>
      <c r="B184" s="68"/>
      <c r="C184" s="68" t="s">
        <v>321</v>
      </c>
      <c r="D184" s="67">
        <v>31.8</v>
      </c>
      <c r="E184" s="99">
        <v>0.99</v>
      </c>
      <c r="F184" s="67"/>
    </row>
    <row r="185" spans="1:6">
      <c r="A185" s="68"/>
      <c r="B185" s="68"/>
      <c r="C185" s="68" t="s">
        <v>322</v>
      </c>
      <c r="D185" s="67">
        <v>32</v>
      </c>
      <c r="E185" s="99">
        <v>1</v>
      </c>
      <c r="F185" s="67"/>
    </row>
    <row r="186" spans="1:6">
      <c r="A186" s="68"/>
      <c r="B186" s="68"/>
      <c r="C186" s="68" t="s">
        <v>323</v>
      </c>
      <c r="D186" s="67">
        <v>32</v>
      </c>
      <c r="E186" s="99">
        <v>1</v>
      </c>
      <c r="F186" s="67"/>
    </row>
    <row r="187" spans="1:6">
      <c r="A187" s="68"/>
      <c r="B187" s="68"/>
      <c r="C187" s="68" t="s">
        <v>324</v>
      </c>
      <c r="D187" s="67">
        <v>31.95</v>
      </c>
      <c r="E187" s="99">
        <v>0.99</v>
      </c>
      <c r="F187" s="67"/>
    </row>
    <row r="188" spans="1:6">
      <c r="A188" s="68"/>
      <c r="B188" s="68"/>
      <c r="C188" s="68" t="s">
        <v>325</v>
      </c>
      <c r="D188" s="67">
        <v>31.65</v>
      </c>
      <c r="E188" s="99">
        <v>0.99</v>
      </c>
      <c r="F188" s="67"/>
    </row>
    <row r="189" spans="1:6">
      <c r="A189" s="68"/>
      <c r="B189" s="68" t="s">
        <v>328</v>
      </c>
      <c r="C189" s="68" t="s">
        <v>314</v>
      </c>
      <c r="D189" s="67">
        <v>31.65</v>
      </c>
      <c r="E189" s="99">
        <v>0.97</v>
      </c>
      <c r="F189" s="67"/>
    </row>
    <row r="190" spans="1:6">
      <c r="A190" s="68"/>
      <c r="B190" s="68"/>
      <c r="C190" s="68" t="s">
        <v>315</v>
      </c>
      <c r="D190" s="67">
        <v>31.6</v>
      </c>
      <c r="E190" s="99">
        <v>0.96</v>
      </c>
      <c r="F190" s="67"/>
    </row>
    <row r="191" spans="1:6">
      <c r="A191" s="68"/>
      <c r="B191" s="68"/>
      <c r="C191" s="68" t="s">
        <v>316</v>
      </c>
      <c r="D191" s="67">
        <v>31.55</v>
      </c>
      <c r="E191" s="99">
        <v>1</v>
      </c>
      <c r="F191" s="67"/>
    </row>
    <row r="192" spans="1:6">
      <c r="A192" s="68"/>
      <c r="B192" s="68"/>
      <c r="C192" s="68" t="s">
        <v>317</v>
      </c>
      <c r="D192" s="67">
        <v>31.55</v>
      </c>
      <c r="E192" s="99">
        <v>1.03</v>
      </c>
      <c r="F192" s="67"/>
    </row>
    <row r="193" spans="1:7">
      <c r="A193" s="68"/>
      <c r="B193" s="68"/>
      <c r="C193" s="68" t="s">
        <v>318</v>
      </c>
      <c r="D193" s="67">
        <v>31.8</v>
      </c>
      <c r="E193" s="99">
        <v>1.02</v>
      </c>
      <c r="F193" s="67"/>
    </row>
    <row r="194" spans="1:7">
      <c r="A194" s="68"/>
      <c r="B194" s="68"/>
      <c r="C194" s="68" t="s">
        <v>319</v>
      </c>
      <c r="D194" s="67">
        <v>31.4</v>
      </c>
      <c r="E194" s="99">
        <v>1.01</v>
      </c>
      <c r="F194" s="67"/>
    </row>
    <row r="195" spans="1:7">
      <c r="A195" s="68"/>
      <c r="B195" s="68"/>
      <c r="C195" s="68" t="s">
        <v>320</v>
      </c>
      <c r="D195" s="67">
        <v>30.9</v>
      </c>
      <c r="E195" s="99">
        <v>1.06</v>
      </c>
      <c r="F195" s="67"/>
    </row>
    <row r="196" spans="1:7">
      <c r="A196" s="68"/>
      <c r="B196" s="68"/>
      <c r="C196" s="68" t="s">
        <v>321</v>
      </c>
      <c r="D196" s="67">
        <v>30.3</v>
      </c>
      <c r="E196" s="99">
        <v>1.03</v>
      </c>
      <c r="F196" s="67"/>
      <c r="G196" s="73"/>
    </row>
    <row r="197" spans="1:7">
      <c r="A197" s="68"/>
      <c r="B197" s="68"/>
      <c r="C197" s="68" t="s">
        <v>322</v>
      </c>
      <c r="D197" s="67">
        <v>30.25</v>
      </c>
      <c r="E197" s="99">
        <v>1.03</v>
      </c>
      <c r="F197" s="67"/>
    </row>
    <row r="198" spans="1:7">
      <c r="A198" s="68"/>
      <c r="B198" s="68"/>
      <c r="C198" s="68" t="s">
        <v>323</v>
      </c>
      <c r="D198" s="67">
        <v>30.65</v>
      </c>
      <c r="E198" s="99">
        <v>1.05</v>
      </c>
      <c r="F198" s="67"/>
    </row>
    <row r="199" spans="1:7">
      <c r="A199" s="68"/>
      <c r="B199" s="68"/>
      <c r="C199" s="68" t="s">
        <v>324</v>
      </c>
      <c r="D199" s="67">
        <v>31.1</v>
      </c>
      <c r="E199" s="99">
        <v>1.04</v>
      </c>
      <c r="F199" s="67"/>
    </row>
    <row r="200" spans="1:7">
      <c r="A200" s="68"/>
      <c r="B200" s="68"/>
      <c r="C200" s="68" t="s">
        <v>325</v>
      </c>
      <c r="D200" s="67">
        <v>31.7</v>
      </c>
      <c r="E200" s="99">
        <v>1</v>
      </c>
      <c r="F200" s="67"/>
    </row>
    <row r="201" spans="1:7">
      <c r="A201" s="68"/>
      <c r="B201" s="68" t="s">
        <v>329</v>
      </c>
      <c r="C201" s="68" t="s">
        <v>314</v>
      </c>
      <c r="D201" s="67">
        <v>32.200000000000003</v>
      </c>
      <c r="E201" s="99">
        <v>1.01</v>
      </c>
      <c r="F201" s="67"/>
    </row>
    <row r="202" spans="1:7">
      <c r="A202" s="68"/>
      <c r="B202" s="68"/>
      <c r="C202" s="68" t="s">
        <v>315</v>
      </c>
      <c r="D202" s="67">
        <v>32.35</v>
      </c>
      <c r="E202" s="99">
        <v>1.01</v>
      </c>
      <c r="F202" s="67"/>
    </row>
    <row r="203" spans="1:7">
      <c r="B203" s="68"/>
      <c r="C203" s="68" t="s">
        <v>316</v>
      </c>
      <c r="D203" s="67">
        <v>32.299999999999997</v>
      </c>
      <c r="E203" s="99">
        <v>0.98</v>
      </c>
      <c r="F203" s="67"/>
    </row>
    <row r="204" spans="1:7">
      <c r="A204" s="68"/>
      <c r="B204" s="68"/>
      <c r="C204" s="68" t="s">
        <v>317</v>
      </c>
      <c r="D204" s="67">
        <v>32.25</v>
      </c>
      <c r="E204" s="99">
        <v>1.06</v>
      </c>
      <c r="F204" s="67"/>
    </row>
    <row r="205" spans="1:7">
      <c r="A205" s="68"/>
      <c r="B205" s="68"/>
      <c r="C205" s="68" t="s">
        <v>318</v>
      </c>
      <c r="D205" s="67">
        <v>32.9</v>
      </c>
      <c r="E205" s="99">
        <v>1.08</v>
      </c>
      <c r="F205" s="67"/>
    </row>
    <row r="206" spans="1:7">
      <c r="A206" s="68"/>
      <c r="B206" s="68"/>
      <c r="C206" s="68" t="s">
        <v>319</v>
      </c>
      <c r="D206" s="67">
        <v>33.25</v>
      </c>
      <c r="E206" s="99">
        <v>1.1000000000000001</v>
      </c>
      <c r="F206" s="67"/>
    </row>
    <row r="207" spans="1:7">
      <c r="A207" s="68"/>
      <c r="B207" s="68"/>
      <c r="C207" s="68" t="s">
        <v>320</v>
      </c>
      <c r="D207" s="67">
        <v>33</v>
      </c>
      <c r="E207" s="99">
        <v>1.1199999999999999</v>
      </c>
      <c r="F207" s="67"/>
    </row>
    <row r="208" spans="1:7">
      <c r="A208" s="68"/>
      <c r="B208" s="68"/>
      <c r="C208" s="68" t="s">
        <v>321</v>
      </c>
      <c r="D208" s="67">
        <v>33</v>
      </c>
      <c r="E208" s="99">
        <v>1.03</v>
      </c>
      <c r="F208" s="67"/>
    </row>
    <row r="209" spans="1:9">
      <c r="B209" s="68"/>
      <c r="C209" s="68" t="s">
        <v>322</v>
      </c>
      <c r="D209" s="67">
        <v>33.25</v>
      </c>
      <c r="E209" s="99">
        <v>1.04</v>
      </c>
      <c r="F209" s="67"/>
    </row>
    <row r="210" spans="1:9">
      <c r="B210" s="68"/>
      <c r="C210" s="68" t="s">
        <v>323</v>
      </c>
      <c r="D210" s="67">
        <v>33.200000000000003</v>
      </c>
      <c r="E210" s="99">
        <v>1.07</v>
      </c>
      <c r="F210" s="67"/>
    </row>
    <row r="211" spans="1:9">
      <c r="B211" s="68"/>
      <c r="C211" s="68" t="s">
        <v>324</v>
      </c>
      <c r="D211" s="67">
        <v>33</v>
      </c>
      <c r="E211" s="99">
        <v>1.06</v>
      </c>
      <c r="F211" s="67"/>
    </row>
    <row r="212" spans="1:9">
      <c r="B212" s="68"/>
      <c r="C212" s="68" t="s">
        <v>325</v>
      </c>
      <c r="D212" s="67">
        <v>32.9</v>
      </c>
      <c r="E212" s="99">
        <v>1.06</v>
      </c>
      <c r="F212" s="67"/>
    </row>
    <row r="214" spans="1:9">
      <c r="C214" t="s">
        <v>333</v>
      </c>
      <c r="D214" s="4">
        <f>_xlfn.STDEV.S(D153:D212)</f>
        <v>1.0452323154305649</v>
      </c>
      <c r="E214" s="4"/>
      <c r="F214" s="44"/>
      <c r="I214" s="100">
        <f>_xlfn.STDEV.P(E153:E212)</f>
        <v>5.0737888538382597E-2</v>
      </c>
    </row>
    <row r="224" spans="1:9">
      <c r="A224" t="s">
        <v>394</v>
      </c>
      <c r="D224" s="2" t="s">
        <v>395</v>
      </c>
      <c r="G224" t="s">
        <v>396</v>
      </c>
    </row>
    <row r="226" spans="1:8">
      <c r="A226" s="24" t="s">
        <v>252</v>
      </c>
      <c r="B226" s="68"/>
      <c r="C226" s="68"/>
      <c r="D226" s="98"/>
      <c r="E226" s="98"/>
    </row>
    <row r="227" spans="1:8">
      <c r="A227" s="14" t="s">
        <v>246</v>
      </c>
      <c r="B227" s="39">
        <f>'Input prices producer prices'!D123</f>
        <v>1.3</v>
      </c>
      <c r="C227" s="68"/>
      <c r="D227" s="24" t="s">
        <v>252</v>
      </c>
      <c r="E227" s="98"/>
      <c r="G227" s="98"/>
      <c r="H227" s="98"/>
    </row>
    <row r="228" spans="1:8">
      <c r="A228" s="14" t="s">
        <v>247</v>
      </c>
      <c r="B228" s="68">
        <f>IF(AND('Default scenario'!F93="No",'Default scenario'!B91="E5.14"),'Input prices producer prices'!D137,IF(AND('Default scenario'!F93="No",'Default scenario'!B91="None"),0,IF('Default scenario'!F93="E5.5",'Input prices producer prices'!D126,IF('Default scenario'!F93="E5.6",'Input prices producer prices'!D127,IF('Default scenario'!F93="E5.8",'Input prices producer prices'!D129,IF('Default scenario'!F93="E5.9.1.2.2",'Input prices producer prices'!D131,IF('Default scenario'!F93="E5.9.1.2.4",'Input prices producer prices'!D132,IF('Default scenario'!F93="E5.10",'Input prices producer prices'!D133,IF('Default scenario'!F93="E5.11",'Input prices producer prices'!D134,IF('Default scenario'!F93="E5.14",'Input prices producer prices'!D137,IF('Default scenario'!F93="E5.15",'Input prices producer prices'!D138,IF('Default scenario'!F93="E7.1",'Input prices producer prices'!D141,IF('Default scenario'!F93="E7.2",'Input prices producer prices'!D142,IF('Default scenario'!F93="E5.13",'Input prices producer prices'!D136,IF('Default scenario'!F93="E5.16",'Input prices producer prices'!D136)))))))))))))))</f>
        <v>0.03</v>
      </c>
      <c r="C228" s="68"/>
      <c r="D228" s="14" t="s">
        <v>246</v>
      </c>
      <c r="E228" s="39">
        <f>'Input prices producer prices'!D123</f>
        <v>1.3</v>
      </c>
      <c r="G228" s="24" t="s">
        <v>252</v>
      </c>
      <c r="H228" s="98"/>
    </row>
    <row r="229" spans="1:8">
      <c r="A229" s="14" t="s">
        <v>249</v>
      </c>
      <c r="B229" s="68">
        <f>IF(AND('Default scenario'!F94="No",'Default scenario'!B92="E7.7"),'Input prices producer prices'!D147,IF(AND('Default scenario'!F94="No",'Default scenario'!B92="None"),0,IF('Default scenario'!F94="E5.4",'Input prices producer prices'!D125,IF('Default scenario'!F94="E5.7",'Input prices producer prices'!D128,IF('Default scenario'!F94="E5.12",'Input prices producer prices'!D135,IF('Default scenario'!F94="E5.13",'Input prices producer prices'!D136,IF('Default scenario'!F94="E7.3",'Input prices producer prices'!D143,IF('Default scenario'!F94="E7.4",'Input prices producer prices'!D144,IF('Default scenario'!F94="E7.5",'Input prices producer prices'!D145, IF('Default scenario'!F94="E7.6",'Input prices producer prices'!D146,IF('Default scenario'!F94="E7.7",'Input prices producer prices'!D147,IF('Default scenario'!F94="E7.11",'Input prices producer prices'!D148,IF('Default scenario'!F94="E7.12",'Input prices producer prices'!D149, IF('Default scenario'!F94="E5.16", 'Input prices producer prices'!D139, IF('Default scenario'!F94="E7.2", 'Input prices producer prices'!D142)))))))))))))))</f>
        <v>0.1</v>
      </c>
      <c r="C229" s="68"/>
      <c r="D229" s="14" t="s">
        <v>247</v>
      </c>
      <c r="E229" s="98">
        <f>IF(AND('Scenario feed price + 1 SD'!F93="No", 'Scenario feed price + 1 SD'!B91="E5.14"), 'Input prices producer prices'!D137, IF(AND('Scenario feed price + 1 SD'!F93="No", 'Scenario feed price + 1 SD'!B91="None"), 0, IF('Scenario feed price + 1 SD'!F93="E5.5",'Input prices producer prices'!D126, IF('Scenario feed price + 1 SD'!F93="E5.6",'Input prices producer prices'!D127,IF('Scenario feed price + 1 SD'!F93="E5.8",'Input prices producer prices'!D129,IF('Scenario feed price + 1 SD'!F93="E5.9.1.2.2",'Input prices producer prices'!D131,IF('Scenario feed price + 1 SD'!F93="E5.9.1.2.4",'Input prices producer prices'!D132,IF('Scenario feed price + 1 SD'!F93="E5.10",'Input prices producer prices'!D133, IF('Scenario feed price + 1 SD'!F93="E5.11",'Input prices producer prices'!D134, IF('Scenario feed price + 1 SD'!F93="E5.14",'Input prices producer prices'!D137, IF('Scenario feed price + 1 SD'!F93="E5.15",'Input prices producer prices'!D138, IF('Scenario feed price + 1 SD'!F93="E7.1",'Input prices producer prices'!D141, IF('Scenario feed price + 1 SD'!F93="E7.2",'Input prices producer prices'!D142,  IF('Scenario feed price + 1 SD'!F93="E5.13", 'Input prices producer prices'!D136))))))))))))))</f>
        <v>0.03</v>
      </c>
      <c r="G229" s="14" t="s">
        <v>246</v>
      </c>
      <c r="H229" s="39">
        <f>'Input prices producer prices'!D123</f>
        <v>1.3</v>
      </c>
    </row>
    <row r="230" spans="1:8">
      <c r="A230" s="12" t="s">
        <v>204</v>
      </c>
      <c r="B230" s="4">
        <f>IF('Default scenario'!F91="No",0,(0.2*'Default scenario'!B31*((B246+'Default scenario'!B31/2+B244)/100))/'Input prices producer prices'!D260)</f>
        <v>0</v>
      </c>
      <c r="C230" s="28"/>
      <c r="D230" s="14" t="s">
        <v>249</v>
      </c>
      <c r="E230" s="98">
        <f>IF(AND('Scenario feed price + 1 SD'!F94="No",'Scenario feed price + 1 SD'!B92="E7.7"),'Input prices producer prices'!D147,IF(AND('Scenario feed price + 1 SD'!F94="No",'Scenario feed price + 1 SD'!B92="None"),0,IF('Scenario feed price + 1 SD'!F94="E5.4",'Input prices producer prices'!D125,IF('Scenario feed price + 1 SD'!F94="E5.7",'Input prices producer prices'!D128,IF('Scenario feed price + 1 SD'!F94="E5.12",'Input prices producer prices'!D135,IF('Scenario feed price + 1 SD'!F94="E5.13",'Input prices producer prices'!D136,IF('Scenario feed price + 1 SD'!F94="E7.3",'Input prices producer prices'!D143,IF('Scenario feed price + 1 SD'!F94="E7.4",'Input prices producer prices'!D144,IF('Scenario feed price + 1 SD'!F94="E7.5",'Input prices producer prices'!D145, IF('Scenario feed price + 1 SD'!F94="E7.6",'Input prices producer prices'!D146,IF('Scenario feed price + 1 SD'!F94="E7.7",'Input prices producer prices'!D147,IF('Scenario feed price + 1 SD'!F94="E7.11",'Input prices producer prices'!D148,IF('Scenario feed price + 1 SD'!F94="E7.12",'Input prices producer prices'!D149, IF('Scenario feed price + 1 SD'!F94="E5.16", 'Input prices producer prices'!D139, IF('Scenario feed price + 1 SD'!F94="E7.2", 'Input prices producer prices'!D142)))))))))))))))</f>
        <v>0.1</v>
      </c>
      <c r="G230" s="14" t="s">
        <v>247</v>
      </c>
      <c r="H230" s="98">
        <f>IF(AND('Scenario producer price + 1 SD'!F93="No", 'Scenario producer price + 1 SD'!B91="E5.14"), 'Input prices producer prices'!D137, IF(AND('Scenario producer price + 1 SD'!F93="No", 'Scenario producer price + 1 SD'!B91="None"), 0, IF('Scenario producer price + 1 SD'!F93="E5.5",'Input prices producer prices'!D126, IF('Scenario producer price + 1 SD'!F93="E5.6",'Input prices producer prices'!D127,IF('Scenario producer price + 1 SD'!F93="E5.8",'Input prices producer prices'!D129,IF('Scenario producer price + 1 SD'!F93="E5.9.1.2.2",'Input prices producer prices'!D131,IF('Scenario producer price + 1 SD'!F93="E5.9.1.2.4",'Input prices producer prices'!D132,IF('Scenario producer price + 1 SD'!F93="E5.10",'Input prices producer prices'!D133, IF('Scenario producer price + 1 SD'!F93="E5.11",'Input prices producer prices'!D134, IF('Scenario producer price + 1 SD'!F93="E5.14",'Input prices producer prices'!D137, IF('Scenario producer price + 1 SD'!F93="E5.15",'Input prices producer prices'!D138, IF('Scenario producer price + 1 SD'!F93="E7.1",'Input prices producer prices'!D141, IF('Scenario producer price + 1 SD'!F93="E7.2",'Input prices producer prices'!D142,  IF('Scenario producer price + 1 SD'!F93="E5.13", 'Input prices producer prices'!D136))))))))))))))</f>
        <v>0.03</v>
      </c>
    </row>
    <row r="231" spans="1:8">
      <c r="A231" s="68" t="s">
        <v>207</v>
      </c>
      <c r="B231" s="4">
        <f>IF('Default scenario'!F90="No",0,'Input prices producer prices'!C116*((B246+'Default scenario'!B31/2+B244)/100)/'Input prices producer prices'!D260)</f>
        <v>0</v>
      </c>
      <c r="C231" s="68"/>
      <c r="D231" s="12" t="s">
        <v>204</v>
      </c>
      <c r="E231" s="4">
        <f>IF('Scenario feed price + 1 SD'!F91="No",0,(0.2*'Scenario feed price + 1 SD'!B31*((E247+'Scenario feed price + 1 SD'!B31/2+E245)/100))/'Input prices producer prices'!D260)</f>
        <v>0</v>
      </c>
      <c r="G231" s="14" t="s">
        <v>249</v>
      </c>
      <c r="H231" s="98">
        <f>IF(AND('Scenario producer price + 1 SD'!F94="No",'Scenario producer price + 1 SD'!B92="E7.7"),'Input prices producer prices'!D147,IF(AND('Scenario producer price + 1 SD'!F94="No",'Scenario producer price + 1 SD'!B92="None"),0,IF('Scenario producer price + 1 SD'!F94="E5.4",'Input prices producer prices'!D125,IF('Scenario producer price + 1 SD'!F94="E5.7",'Input prices producer prices'!D128,IF('Scenario producer price + 1 SD'!F94="E5.12",'Input prices producer prices'!D135,IF('Scenario producer price + 1 SD'!F94="E5.13",'Input prices producer prices'!D136,IF('Scenario producer price + 1 SD'!F94="E7.3",'Input prices producer prices'!D143,IF('Scenario producer price + 1 SD'!F94="E7.4",'Input prices producer prices'!D144,IF('Scenario producer price + 1 SD'!F94="E7.5",'Input prices producer prices'!D145, IF('Scenario producer price + 1 SD'!F94="E7.6",'Input prices producer prices'!D146,IF('Scenario producer price + 1 SD'!F94="E7.7",'Input prices producer prices'!D147,IF('Scenario producer price + 1 SD'!F94="E7.11",'Input prices producer prices'!D148,IF('Scenario producer price + 1 SD'!F94="E7.12",'Input prices producer prices'!D149, IF('Scenario producer price + 1 SD'!F94="E5.16", 'Input prices producer prices'!D139, IF('Scenario producer price + 1 SD'!F94="E7.2", 'Input prices producer prices'!D142)))))))))))))))</f>
        <v>0.1</v>
      </c>
    </row>
    <row r="232" spans="1:8">
      <c r="A232" s="12" t="s">
        <v>250</v>
      </c>
      <c r="B232" s="4">
        <f>B227+B230+B231</f>
        <v>1.3</v>
      </c>
      <c r="C232" s="68"/>
      <c r="D232" s="98" t="s">
        <v>207</v>
      </c>
      <c r="E232" s="4">
        <f>IF('Scenario feed price + 1 SD'!F90="No",0,'Input prices producer prices'!C116*((E247+'Scenario feed price + 1 SD'!B31/2+E245)/100)/'Input prices producer prices'!D260)</f>
        <v>0</v>
      </c>
      <c r="G232" s="12" t="s">
        <v>204</v>
      </c>
      <c r="H232" s="4">
        <f>IF('Scenario producer price + 1 SD'!F91="No",0,(0.2*'Scenario producer price + 1 SD'!B31*((H248+'Scenario producer price + 1 SD'!B31/2+H246)/100))/'Input prices producer prices'!D260)</f>
        <v>0</v>
      </c>
    </row>
    <row r="233" spans="1:8">
      <c r="A233" s="12" t="s">
        <v>251</v>
      </c>
      <c r="B233" s="4">
        <f>B228+B229</f>
        <v>0.13</v>
      </c>
      <c r="C233" s="68"/>
      <c r="D233" s="12" t="s">
        <v>250</v>
      </c>
      <c r="E233" s="4">
        <f>E228+E231+E232</f>
        <v>1.3</v>
      </c>
      <c r="G233" s="98" t="s">
        <v>207</v>
      </c>
      <c r="H233" s="4">
        <f>IF('Scenario producer price + 1 SD'!F90="No",0,'Input prices producer prices'!C116*((H248+'Scenario producer price + 1 SD'!B31/2+H246)/100)/'Input prices producer prices'!D260)</f>
        <v>0</v>
      </c>
    </row>
    <row r="234" spans="1:8">
      <c r="A234" s="68"/>
      <c r="B234" s="68"/>
      <c r="C234" s="68"/>
      <c r="D234" s="12" t="s">
        <v>251</v>
      </c>
      <c r="E234" s="4">
        <f>E229+E230</f>
        <v>0.13</v>
      </c>
      <c r="G234" s="12" t="s">
        <v>250</v>
      </c>
      <c r="H234" s="4">
        <f>H229+H232+H233</f>
        <v>1.3</v>
      </c>
    </row>
    <row r="235" spans="1:8">
      <c r="A235" s="23" t="s">
        <v>78</v>
      </c>
      <c r="B235" s="68"/>
      <c r="C235" s="68"/>
      <c r="D235" s="98"/>
      <c r="E235" s="98"/>
      <c r="G235" s="12" t="s">
        <v>251</v>
      </c>
      <c r="H235" s="4">
        <f>H230+H231</f>
        <v>0.13</v>
      </c>
    </row>
    <row r="236" spans="1:8">
      <c r="A236" s="14" t="s">
        <v>231</v>
      </c>
      <c r="B236" s="68">
        <f>'Input prices producer prices'!C123</f>
        <v>15</v>
      </c>
      <c r="C236" s="68"/>
      <c r="D236" s="23" t="s">
        <v>78</v>
      </c>
      <c r="E236" s="98"/>
      <c r="G236" s="98"/>
      <c r="H236" s="98"/>
    </row>
    <row r="237" spans="1:8">
      <c r="A237" s="14" t="s">
        <v>248</v>
      </c>
      <c r="B237" s="68">
        <f>IF('Default scenario'!F93="E5.5",'Input prices producer prices'!C126,IF('Default scenario'!F93="E5.6",'Input prices producer prices'!C127,IF('Default scenario'!F93="E5.8",'Input prices producer prices'!C129,IF('Default scenario'!F93="E5.9.1.2.2",'Input prices producer prices'!C131,IF('Default scenario'!F93="E5.9.1.2.4",'Input prices producer prices'!C132,IF('Default scenario'!F93="E5.10",'Input prices producer prices'!C133,IF('Default scenario'!F93="E5.11",'Input prices producer prices'!C134,IF(AND('Default scenario'!F93="No",'Default scenario'!B91="E5.14"),'Input prices producer prices'!C137,IF(AND('Default scenario'!F93="E5.14",'Default scenario'!B91="None"),'Input prices producer prices'!C137,IF(AND('Default scenario'!F93="No",'Default scenario'!B91="None"),0,IF('Default scenario'!F93="E5.15",'Input prices producer prices'!C138,IF('Default scenario'!F93="E7.1",'Input prices producer prices'!C141,IF('Default scenario'!F93="E7.2",'Input prices producer prices'!C142,IF('Default scenario'!F93="E5.13",'Input prices producer prices'!C136,IF('Default scenario'!F93="E5.16",'Input prices producer prices'!C139)))))))))))))))</f>
        <v>0.21</v>
      </c>
      <c r="C237" s="68"/>
      <c r="D237" s="14" t="s">
        <v>231</v>
      </c>
      <c r="E237" s="98">
        <f>'Input prices producer prices'!C123</f>
        <v>15</v>
      </c>
      <c r="G237" s="23" t="s">
        <v>78</v>
      </c>
      <c r="H237" s="98"/>
    </row>
    <row r="238" spans="1:8">
      <c r="A238" s="14" t="s">
        <v>253</v>
      </c>
      <c r="B238" s="68">
        <f>IF('Default scenario'!F94="E5.4",'Input prices producer prices'!C125,IF('Default scenario'!F94="E5.7",'Input prices producer prices'!C128, IF('Default scenario'!F94="E5.12",'Input prices producer prices'!C135, IF('Default scenario'!F94="E5.13",'Input prices producer prices'!C136, IF('Default scenario'!F94="E7.3",'Input prices producer prices'!C143, IF('Default scenario'!F94="E7.4",'Input prices producer prices'!C144, IF('Default scenario'!F94="E7.5",'Input prices producer prices'!C145, IF('Default scenario'!F94="E7.6",'Input prices producer prices'!C146, IF(AND('Default scenario'!F94="No", 'Default scenario'!B92="E7.7"), 'Input prices producer prices'!C147, IF(AND('Default scenario'!F94="E7.7", 'Default scenario'!B92="None"), 'Input prices producer prices'!C147, IF(AND('Default scenario'!F94="No", 'Default scenario'!B92="None"), 0, IF('Default scenario'!F94="E7.11",'Input prices producer prices'!C148, IF('Default scenario'!F94="E7.12",'Input prices producer prices'!C149, IF('Default scenario'!F94="E5.16", 'Input prices producer prices'!C139,  IF('Default scenario'!F94="E7.2", 'Input prices producer prices'!C142)))))))))))))))</f>
        <v>0.93</v>
      </c>
      <c r="C238" s="68"/>
      <c r="D238" s="14" t="s">
        <v>248</v>
      </c>
      <c r="E238" s="98">
        <f>IF('Scenario feed price + 1 SD'!F93="E5.5",'Input prices producer prices'!C126, IF('Scenario feed price + 1 SD'!F93="E5.6",'Input prices producer prices'!C127,IF('Scenario feed price + 1 SD'!F93="E5.8",'Input prices producer prices'!C129,IF('Scenario feed price + 1 SD'!F93="E5.9.1.2.2",'Input prices producer prices'!C131,IF('Scenario feed price + 1 SD'!F93="E5.9.1.2.4",'Input prices producer prices'!C132,IF('Scenario feed price + 1 SD'!F93="E5.10",'Input prices producer prices'!C133, IF('Scenario feed price + 1 SD'!F93="E5.11",'Input prices producer prices'!C134, IF(AND('Scenario feed price + 1 SD'!F93="No", 'Scenario feed price + 1 SD'!B91="E5.14"),'Input prices producer prices'!C137, IF(AND('Scenario feed price + 1 SD'!F93="E5.14", 'Scenario feed price + 1 SD'!B91="None"),'Input prices producer prices'!C137, IF(AND('Scenario feed price + 1 SD'!F93="No", 'Scenario feed price + 1 SD'!B91="None"), 0,IF('Scenario feed price + 1 SD'!F93="E5.15",'Input prices producer prices'!C138, IF('Scenario feed price + 1 SD'!F93="E7.1",'Input prices producer prices'!C141, IF('Scenario feed price + 1 SD'!F93="E7.2",'Input prices producer prices'!C142, IF('Scenario feed price + 1 SD'!F93="E5.13", 'Input prices producer prices'!C136))))))))))))))</f>
        <v>0.21</v>
      </c>
      <c r="G238" s="14" t="s">
        <v>231</v>
      </c>
      <c r="H238" s="98">
        <f>'Input prices producer prices'!C123</f>
        <v>15</v>
      </c>
    </row>
    <row r="239" spans="1:8">
      <c r="A239" s="14" t="s">
        <v>254</v>
      </c>
      <c r="B239" s="68">
        <f>IF('Default scenario'!F91="No", 0, IF('Default scenario'!F91="Yes", 'Input prices producer prices'!#REF!))</f>
        <v>0</v>
      </c>
      <c r="C239" s="68"/>
      <c r="D239" s="14" t="s">
        <v>253</v>
      </c>
      <c r="E239" s="98">
        <f>IF('Scenario feed price + 1 SD'!F94="E5.4",'Input prices producer prices'!C125,IF('Scenario feed price + 1 SD'!F94="E5.7",'Input prices producer prices'!C128, IF('Scenario feed price + 1 SD'!F94="E5.12",'Input prices producer prices'!C135, IF('Scenario feed price + 1 SD'!F94="E5.13",'Input prices producer prices'!C136, IF('Scenario feed price + 1 SD'!F94="E7.3",'Input prices producer prices'!C143, IF('Scenario feed price + 1 SD'!F94="E7.4",'Input prices producer prices'!C144, IF('Scenario feed price + 1 SD'!F94="E7.5",'Input prices producer prices'!C145, IF('Scenario feed price + 1 SD'!F94="E7.6",'Input prices producer prices'!C146, IF(AND('Scenario feed price + 1 SD'!F94="No", 'Scenario feed price + 1 SD'!B92="E7.7"), 'Input prices producer prices'!C147, IF(AND('Scenario feed price + 1 SD'!F94="E7.7", 'Scenario feed price + 1 SD'!B92="None"), 'Input prices producer prices'!C147, IF(AND('Scenario feed price + 1 SD'!F94="No", 'Scenario feed price + 1 SD'!B92="None"), 0, IF('Scenario feed price + 1 SD'!F94="E7.11",'Input prices producer prices'!C148, IF('Scenario feed price + 1 SD'!F94="E7.12",'Input prices producer prices'!C149, IF('Scenario feed price + 1 SD'!F94="E5.16", 'Input prices producer prices'!C139,  IF('Scenario feed price + 1 SD'!F94="E7.2", 'Input prices producer prices'!C142)))))))))))))))</f>
        <v>0.93</v>
      </c>
      <c r="G239" s="14" t="s">
        <v>248</v>
      </c>
      <c r="H239" s="98">
        <f>IF('Scenario producer price + 1 SD'!F93="E5.5",'Input prices producer prices'!C126, IF('Scenario producer price + 1 SD'!F93="E5.6",'Input prices producer prices'!C127,IF('Scenario producer price + 1 SD'!F93="E5.8",'Input prices producer prices'!C129,IF('Scenario producer price + 1 SD'!F93="E5.9.1.2.2",'Input prices producer prices'!C131,IF('Scenario producer price + 1 SD'!F93="E5.9.1.2.4",'Input prices producer prices'!C132,IF('Scenario producer price + 1 SD'!F93="E5.10",'Input prices producer prices'!C133, IF('Scenario producer price + 1 SD'!F93="E5.11",'Input prices producer prices'!C134, IF(AND('Scenario producer price + 1 SD'!F93="No", 'Scenario producer price + 1 SD'!B91="E5.14"),'Input prices producer prices'!C137, IF(AND('Scenario producer price + 1 SD'!F93="E5.14", 'Scenario producer price + 1 SD'!B91="None"),'Input prices producer prices'!C137, IF(AND('Scenario producer price + 1 SD'!F93="No", 'Scenario producer price + 1 SD'!B91="None"), 0,IF('Scenario producer price + 1 SD'!F93="E5.15",'Input prices producer prices'!C138, IF('Scenario producer price + 1 SD'!F93="E7.1",'Input prices producer prices'!C141, IF('Scenario producer price + 1 SD'!F93="E7.2",'Input prices producer prices'!C142, IF('Scenario producer price + 1 SD'!F93="E5.13", 'Input prices producer prices'!C136))))))))))))))</f>
        <v>0.21</v>
      </c>
    </row>
    <row r="240" spans="1:8">
      <c r="A240" s="14" t="s">
        <v>255</v>
      </c>
      <c r="B240" s="68">
        <f>IF('Default scenario'!F90="No", 0, IF('Default scenario'!F90="Yes", 'Input prices producer prices'!C116))</f>
        <v>0</v>
      </c>
      <c r="C240" s="68"/>
      <c r="D240" s="14" t="s">
        <v>254</v>
      </c>
      <c r="E240" s="98"/>
      <c r="G240" s="14" t="s">
        <v>253</v>
      </c>
      <c r="H240" s="98">
        <f>IF('Scenario producer price + 1 SD'!F94="E5.4",'Input prices producer prices'!C125,IF('Scenario producer price + 1 SD'!F94="E5.7",'Input prices producer prices'!C128, IF('Scenario producer price + 1 SD'!F94="E5.12",'Input prices producer prices'!C135, IF('Scenario producer price + 1 SD'!F94="E5.13",'Input prices producer prices'!C136, IF('Scenario producer price + 1 SD'!F94="E7.3",'Input prices producer prices'!C143, IF('Scenario producer price + 1 SD'!F94="E7.4",'Input prices producer prices'!C144, IF('Scenario producer price + 1 SD'!F94="E7.5",'Input prices producer prices'!C145, IF('Scenario producer price + 1 SD'!F94="E7.6",'Input prices producer prices'!C146, IF(AND('Scenario producer price + 1 SD'!F94="No", 'Scenario producer price + 1 SD'!B92="E7.7"), 'Input prices producer prices'!C147, IF(AND('Scenario producer price + 1 SD'!F94="E7.7", 'Scenario producer price + 1 SD'!B92="None"), 'Input prices producer prices'!C147, IF(AND('Scenario producer price + 1 SD'!F94="No", 'Scenario producer price + 1 SD'!B92="None"), 0, IF('Scenario producer price + 1 SD'!F94="E7.11",'Input prices producer prices'!C148, IF('Scenario producer price + 1 SD'!F94="E7.12",'Input prices producer prices'!C149, IF('Scenario producer price + 1 SD'!F94="E5.16", 'Input prices producer prices'!C139,  IF('Scenario producer price + 1 SD'!F94="E7.2", 'Input prices producer prices'!C142)))))))))))))))</f>
        <v>0.93</v>
      </c>
    </row>
    <row r="241" spans="1:8">
      <c r="A241" s="68"/>
      <c r="B241" s="68"/>
      <c r="C241" s="68"/>
      <c r="D241" s="14" t="s">
        <v>255</v>
      </c>
      <c r="E241" s="98">
        <f>IF('Scenario feed price + 1 SD'!F90="No", 0, IF('Scenario feed price + 1 SD'!F90="Yes", 'Input prices producer prices'!C116))</f>
        <v>0</v>
      </c>
      <c r="G241" s="14" t="s">
        <v>254</v>
      </c>
      <c r="H241" s="98">
        <f>IF('Scenario producer price + 1 SD'!F91="No", 0, IF('Scenario producer price + 1 SD'!F91="Yes", 'Input prices producer prices'!#REF!))</f>
        <v>0</v>
      </c>
    </row>
    <row r="242" spans="1:8">
      <c r="A242" s="68" t="s">
        <v>144</v>
      </c>
      <c r="B242" s="8">
        <f>'Input prices producer prices'!C58</f>
        <v>27.767134951042998</v>
      </c>
      <c r="C242" s="68"/>
      <c r="D242" s="98"/>
      <c r="E242" s="98"/>
      <c r="G242" s="14" t="s">
        <v>255</v>
      </c>
      <c r="H242" s="98">
        <f>IF('Scenario producer price + 1 SD'!F90="No", 0, IF('Scenario producer price + 1 SD'!F90="Yes", 'Input prices producer prices'!C116))</f>
        <v>0</v>
      </c>
    </row>
    <row r="243" spans="1:8">
      <c r="A243" s="68" t="s">
        <v>153</v>
      </c>
      <c r="B243" s="8">
        <v>4.5</v>
      </c>
      <c r="C243" s="68"/>
      <c r="D243" s="98" t="s">
        <v>144</v>
      </c>
      <c r="E243" s="8">
        <f>'Input prices producer prices'!C58</f>
        <v>27.767134951042998</v>
      </c>
      <c r="G243" s="98"/>
      <c r="H243" s="98"/>
    </row>
    <row r="244" spans="1:8">
      <c r="A244" s="68" t="s">
        <v>157</v>
      </c>
      <c r="B244" s="8">
        <v>1</v>
      </c>
      <c r="C244" s="28"/>
      <c r="D244" s="98" t="s">
        <v>153</v>
      </c>
      <c r="E244" s="8">
        <v>4.5</v>
      </c>
      <c r="G244" s="98" t="s">
        <v>144</v>
      </c>
      <c r="H244" s="8">
        <f>'Input prices producer prices'!C58</f>
        <v>27.767134951042998</v>
      </c>
    </row>
    <row r="245" spans="1:8">
      <c r="A245" s="68" t="s">
        <v>158</v>
      </c>
      <c r="B245" s="8">
        <v>2</v>
      </c>
      <c r="C245" s="28"/>
      <c r="D245" s="98" t="s">
        <v>157</v>
      </c>
      <c r="E245" s="8">
        <v>1</v>
      </c>
      <c r="G245" s="98" t="s">
        <v>153</v>
      </c>
      <c r="H245" s="8">
        <v>4.5</v>
      </c>
    </row>
    <row r="246" spans="1:8">
      <c r="A246" s="68" t="s">
        <v>205</v>
      </c>
      <c r="B246" s="8">
        <v>4</v>
      </c>
      <c r="C246" s="28"/>
      <c r="D246" s="98" t="s">
        <v>158</v>
      </c>
      <c r="E246" s="8">
        <v>2</v>
      </c>
      <c r="G246" s="98" t="s">
        <v>157</v>
      </c>
      <c r="H246" s="8">
        <v>1</v>
      </c>
    </row>
    <row r="247" spans="1:8">
      <c r="A247" s="68" t="s">
        <v>156</v>
      </c>
      <c r="B247" s="8">
        <v>8</v>
      </c>
      <c r="C247" s="28"/>
      <c r="D247" s="98" t="s">
        <v>205</v>
      </c>
      <c r="E247" s="8">
        <v>4</v>
      </c>
      <c r="G247" s="98" t="s">
        <v>158</v>
      </c>
      <c r="H247" s="8">
        <v>2</v>
      </c>
    </row>
    <row r="248" spans="1:8">
      <c r="A248" s="68"/>
      <c r="B248" s="68"/>
      <c r="C248" s="28"/>
      <c r="D248" s="98" t="s">
        <v>156</v>
      </c>
      <c r="E248" s="8">
        <v>8</v>
      </c>
      <c r="G248" s="98" t="s">
        <v>205</v>
      </c>
      <c r="H248" s="8">
        <v>4</v>
      </c>
    </row>
    <row r="249" spans="1:8">
      <c r="G249" s="98" t="s">
        <v>156</v>
      </c>
      <c r="H249" s="8">
        <v>8</v>
      </c>
    </row>
    <row r="250" spans="1:8">
      <c r="G250" s="98"/>
      <c r="H250" s="98"/>
    </row>
    <row r="251" spans="1:8">
      <c r="A251" s="1" t="s">
        <v>84</v>
      </c>
      <c r="B251" s="68"/>
      <c r="C251" s="68"/>
      <c r="D251" s="68"/>
      <c r="E251" s="68"/>
      <c r="G251" s="98"/>
      <c r="H251" s="4"/>
    </row>
    <row r="252" spans="1:8">
      <c r="A252" s="68" t="s">
        <v>108</v>
      </c>
      <c r="B252" s="1" t="s">
        <v>0</v>
      </c>
      <c r="C252" s="1" t="s">
        <v>12</v>
      </c>
      <c r="D252" s="1" t="s">
        <v>193</v>
      </c>
      <c r="E252" s="1" t="s">
        <v>198</v>
      </c>
    </row>
    <row r="253" spans="1:8">
      <c r="A253" s="68" t="s">
        <v>145</v>
      </c>
      <c r="B253" s="4">
        <v>1.6</v>
      </c>
      <c r="C253" s="4">
        <v>1.9</v>
      </c>
      <c r="D253" s="29">
        <v>2.1</v>
      </c>
      <c r="E253" s="68">
        <v>1.9</v>
      </c>
      <c r="F253" s="68"/>
    </row>
    <row r="254" spans="1:8">
      <c r="A254" s="68" t="s">
        <v>146</v>
      </c>
      <c r="B254" s="20">
        <v>3.5</v>
      </c>
      <c r="C254" s="8">
        <v>3</v>
      </c>
      <c r="D254" s="55">
        <v>2.5</v>
      </c>
      <c r="E254" s="8">
        <v>3</v>
      </c>
      <c r="G254" s="98"/>
      <c r="H254" s="98"/>
    </row>
    <row r="255" spans="1:8">
      <c r="A255" s="68" t="s">
        <v>277</v>
      </c>
      <c r="B255" s="56">
        <f>C255</f>
        <v>0.56000000000000005</v>
      </c>
      <c r="C255" s="56">
        <v>0.56000000000000005</v>
      </c>
      <c r="D255" s="57">
        <v>0.56000000000000005</v>
      </c>
      <c r="E255" s="68">
        <v>0.56000000000000005</v>
      </c>
      <c r="G255" s="98"/>
      <c r="H255" s="98"/>
    </row>
    <row r="256" spans="1:8">
      <c r="A256" s="68" t="s">
        <v>147</v>
      </c>
      <c r="B256" s="8">
        <v>60</v>
      </c>
      <c r="C256" s="4">
        <v>49</v>
      </c>
      <c r="D256" s="29">
        <v>42.5</v>
      </c>
      <c r="E256" s="68">
        <v>49</v>
      </c>
      <c r="G256" s="98"/>
      <c r="H256" s="98"/>
    </row>
    <row r="257" spans="1:11">
      <c r="A257" s="68" t="s">
        <v>148</v>
      </c>
      <c r="B257" s="8">
        <v>2380</v>
      </c>
      <c r="C257" s="8">
        <v>2380</v>
      </c>
      <c r="D257" s="58">
        <f>C257</f>
        <v>2380</v>
      </c>
      <c r="E257" s="8">
        <v>2380</v>
      </c>
      <c r="G257" s="98"/>
      <c r="H257" s="98"/>
    </row>
    <row r="258" spans="1:11">
      <c r="A258" s="68" t="s">
        <v>3</v>
      </c>
      <c r="B258" s="2">
        <v>42</v>
      </c>
      <c r="C258" s="14">
        <v>38</v>
      </c>
      <c r="D258" s="14">
        <v>25</v>
      </c>
      <c r="E258" s="14">
        <v>30</v>
      </c>
      <c r="G258" s="52"/>
      <c r="H258" s="98"/>
    </row>
    <row r="259" spans="1:11">
      <c r="A259" s="68" t="s">
        <v>149</v>
      </c>
      <c r="B259" s="4">
        <f>'Input prices producer prices'!B258*(1+B254/100)</f>
        <v>43.47</v>
      </c>
      <c r="C259" s="68">
        <f>'Input prices producer prices'!C258*(1+'Input prices producer prices'!C254/100)</f>
        <v>39.14</v>
      </c>
      <c r="D259" s="12">
        <f>'Input prices producer prices'!D258*(1+'Input prices producer prices'!D254/100)</f>
        <v>25.624999999999996</v>
      </c>
      <c r="E259" s="68">
        <f>'Input prices producer prices'!E258*(1+'Input prices producer prices'!E254/100)</f>
        <v>30.900000000000002</v>
      </c>
      <c r="G259" s="52"/>
      <c r="H259" s="98"/>
    </row>
    <row r="260" spans="1:11">
      <c r="A260" s="68" t="s">
        <v>278</v>
      </c>
      <c r="B260" s="4">
        <v>21</v>
      </c>
      <c r="C260" s="4">
        <v>15</v>
      </c>
      <c r="D260" s="29">
        <v>12</v>
      </c>
      <c r="E260" s="4">
        <f>E259/(E257/1000)</f>
        <v>12.983193277310926</v>
      </c>
      <c r="G260" s="98"/>
      <c r="H260" s="98"/>
    </row>
    <row r="261" spans="1:11">
      <c r="A261" s="68" t="s">
        <v>279</v>
      </c>
      <c r="B261" s="8">
        <v>41</v>
      </c>
      <c r="C261" s="89">
        <f>C257/C256</f>
        <v>48.571428571428569</v>
      </c>
      <c r="D261" s="69">
        <f>D257/D256</f>
        <v>56</v>
      </c>
      <c r="E261" s="69">
        <f>E257/E256</f>
        <v>48.571428571428569</v>
      </c>
      <c r="G261" s="98"/>
      <c r="H261" s="98"/>
    </row>
    <row r="262" spans="1:11">
      <c r="A262" s="68" t="s">
        <v>281</v>
      </c>
      <c r="B262" s="4">
        <f>365/('Input prices producer prices'!B261+'Input prices producer prices'!B263)</f>
        <v>7.4489795918367347</v>
      </c>
      <c r="C262" s="4">
        <f>365/(C261+'Input prices producer prices'!C263)</f>
        <v>6.5681233933161955</v>
      </c>
      <c r="D262" s="4">
        <f>365/(D261+'Input prices producer prices'!D263)</f>
        <v>5.7936507936507935</v>
      </c>
      <c r="E262" s="4">
        <f>365/(E261+'Input prices producer prices'!E263)</f>
        <v>6.5681233933161955</v>
      </c>
      <c r="G262" s="98"/>
      <c r="H262" s="98"/>
    </row>
    <row r="263" spans="1:11">
      <c r="A263" s="68" t="s">
        <v>280</v>
      </c>
      <c r="B263" s="68">
        <v>8</v>
      </c>
      <c r="C263" s="14">
        <v>7</v>
      </c>
      <c r="D263" s="12">
        <v>7</v>
      </c>
      <c r="E263" s="68">
        <v>7</v>
      </c>
      <c r="G263" s="98"/>
      <c r="H263" s="98"/>
    </row>
    <row r="264" spans="1:11">
      <c r="A264" s="68" t="s">
        <v>4</v>
      </c>
      <c r="B264" s="60">
        <v>90000</v>
      </c>
      <c r="C264" s="61">
        <v>81428.57142857142</v>
      </c>
      <c r="D264" s="59">
        <v>54910.714285714283</v>
      </c>
      <c r="E264" s="59">
        <v>64285.71428571429</v>
      </c>
      <c r="G264" s="98"/>
      <c r="H264" s="98"/>
    </row>
    <row r="265" spans="1:11">
      <c r="A265" s="68"/>
      <c r="B265" s="4"/>
      <c r="C265" s="68"/>
      <c r="D265" s="68"/>
      <c r="E265" s="68"/>
      <c r="G265" s="98"/>
      <c r="H265" s="98"/>
    </row>
    <row r="266" spans="1:11">
      <c r="A266" s="68"/>
      <c r="G266" s="98"/>
      <c r="H266" s="98"/>
    </row>
    <row r="267" spans="1:11">
      <c r="A267" s="68"/>
      <c r="B267" s="68"/>
      <c r="C267" s="68"/>
      <c r="D267" s="68"/>
      <c r="G267" s="98"/>
      <c r="H267" s="98"/>
    </row>
    <row r="268" spans="1:11">
      <c r="A268" s="2"/>
      <c r="B268" s="1" t="s">
        <v>14</v>
      </c>
      <c r="C268" s="2"/>
      <c r="D268" s="68"/>
      <c r="G268" s="98"/>
      <c r="H268" s="98"/>
    </row>
    <row r="269" spans="1:11">
      <c r="A269" s="18"/>
      <c r="B269" s="18" t="s">
        <v>8</v>
      </c>
      <c r="C269" s="18"/>
      <c r="D269" s="68"/>
      <c r="E269" s="68"/>
      <c r="F269" s="68"/>
      <c r="G269" s="98"/>
      <c r="H269" s="98"/>
      <c r="I269" s="98"/>
      <c r="J269" s="98"/>
      <c r="K269" s="98"/>
    </row>
    <row r="270" spans="1:11">
      <c r="A270" s="18" t="s">
        <v>0</v>
      </c>
      <c r="B270" s="19" t="s">
        <v>17</v>
      </c>
      <c r="C270" s="4">
        <v>34.084931506849301</v>
      </c>
      <c r="D270" s="25"/>
      <c r="E270" s="68"/>
      <c r="F270" s="68"/>
      <c r="G270" s="98"/>
      <c r="H270" s="2"/>
      <c r="I270" s="98"/>
      <c r="J270" s="98"/>
      <c r="K270" s="98"/>
    </row>
    <row r="271" spans="1:11">
      <c r="A271" s="18" t="s">
        <v>16</v>
      </c>
      <c r="B271" s="19" t="s">
        <v>18</v>
      </c>
      <c r="C271" s="26">
        <f>0.5</f>
        <v>0.5</v>
      </c>
      <c r="D271" s="25"/>
      <c r="E271" s="68"/>
      <c r="F271" s="68"/>
      <c r="G271" s="98"/>
      <c r="H271" s="18"/>
      <c r="I271" s="98"/>
      <c r="J271" s="98"/>
      <c r="K271" s="98"/>
    </row>
    <row r="272" spans="1:11">
      <c r="A272" s="18" t="s">
        <v>15</v>
      </c>
      <c r="B272" s="19" t="s">
        <v>18</v>
      </c>
      <c r="C272" s="31">
        <f>C271</f>
        <v>0.5</v>
      </c>
      <c r="D272" s="28"/>
      <c r="E272" s="68"/>
      <c r="F272" s="68"/>
      <c r="G272" s="98"/>
      <c r="H272" s="18"/>
      <c r="I272" s="25"/>
      <c r="J272" s="98"/>
      <c r="K272" s="98"/>
    </row>
    <row r="273" spans="1:11">
      <c r="A273" s="18"/>
      <c r="B273" s="19"/>
      <c r="C273" s="31"/>
      <c r="D273" s="28"/>
      <c r="E273" s="68"/>
      <c r="F273" s="68"/>
      <c r="G273" s="98"/>
      <c r="H273" s="18"/>
      <c r="I273" s="25"/>
      <c r="J273" s="98"/>
      <c r="K273" s="98"/>
    </row>
    <row r="274" spans="1:11">
      <c r="E274" s="68"/>
      <c r="F274" s="68"/>
      <c r="G274" s="98"/>
      <c r="H274" s="18"/>
      <c r="I274" s="28"/>
      <c r="J274" s="98"/>
      <c r="K274" s="98"/>
    </row>
    <row r="275" spans="1:11">
      <c r="E275" s="68"/>
      <c r="F275" s="68"/>
      <c r="G275" s="98"/>
      <c r="H275" s="18"/>
      <c r="I275" s="28"/>
      <c r="J275" s="98"/>
      <c r="K275" s="98"/>
    </row>
  </sheetData>
  <pageMargins left="0.7" right="0.7" top="0.75" bottom="0.75" header="0.3" footer="0.3"/>
  <pageSetup paperSize="9" orientation="portrait" horizontalDpi="1200" verticalDpi="120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B5B57-E3FA-4FD7-B8B0-036F9D3B56AB}">
  <sheetPr codeName="Sheet2"/>
  <dimension ref="A1:AG5"/>
  <sheetViews>
    <sheetView workbookViewId="0"/>
  </sheetViews>
  <sheetFormatPr defaultRowHeight="15"/>
  <sheetData>
    <row r="1" spans="1:33">
      <c r="A1">
        <v>0</v>
      </c>
      <c r="B1">
        <v>1</v>
      </c>
    </row>
    <row r="4" spans="1:33">
      <c r="A4" s="4"/>
      <c r="AG4" s="4"/>
    </row>
    <row r="5" spans="1:33">
      <c r="A5" s="4"/>
      <c r="AG5"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38"/>
  <sheetViews>
    <sheetView zoomScale="85" zoomScaleNormal="85" workbookViewId="0">
      <selection activeCell="A43" sqref="A43"/>
    </sheetView>
  </sheetViews>
  <sheetFormatPr defaultRowHeight="15"/>
  <cols>
    <col min="1" max="1" width="40.140625" customWidth="1"/>
    <col min="2" max="2" width="46.5703125" customWidth="1"/>
    <col min="3" max="3" width="43.42578125" customWidth="1"/>
    <col min="4" max="5" width="19.140625" customWidth="1"/>
    <col min="6" max="7" width="26.7109375" customWidth="1"/>
    <col min="8" max="16" width="17.140625" customWidth="1"/>
    <col min="17" max="18" width="19.42578125" customWidth="1"/>
    <col min="19" max="19" width="18.7109375" customWidth="1"/>
    <col min="20" max="22" width="12.140625" customWidth="1"/>
    <col min="23" max="23" width="12.42578125" customWidth="1"/>
    <col min="24" max="24" width="28.28515625" customWidth="1"/>
    <col min="25" max="25" width="27.7109375" customWidth="1"/>
  </cols>
  <sheetData>
    <row r="1" spans="1:12">
      <c r="A1" s="1"/>
      <c r="C1" s="50"/>
    </row>
    <row r="2" spans="1:12">
      <c r="C2" t="s">
        <v>359</v>
      </c>
      <c r="D2" t="s">
        <v>360</v>
      </c>
    </row>
    <row r="3" spans="1:12">
      <c r="A3" t="s">
        <v>29</v>
      </c>
      <c r="B3" s="9" t="s">
        <v>372</v>
      </c>
      <c r="C3" s="9">
        <v>6.8000000000000005E-2</v>
      </c>
      <c r="D3" s="9">
        <v>22</v>
      </c>
    </row>
    <row r="5" spans="1:12">
      <c r="A5" s="45"/>
      <c r="B5" s="9"/>
    </row>
    <row r="6" spans="1:12" ht="18">
      <c r="A6" s="46" t="s">
        <v>173</v>
      </c>
      <c r="B6" s="9"/>
      <c r="C6" s="9"/>
    </row>
    <row r="7" spans="1:12">
      <c r="A7" s="1" t="s">
        <v>174</v>
      </c>
      <c r="B7" s="28"/>
    </row>
    <row r="8" spans="1:12">
      <c r="A8" s="23" t="s">
        <v>342</v>
      </c>
      <c r="B8" s="23" t="s">
        <v>341</v>
      </c>
      <c r="C8" s="23" t="s">
        <v>338</v>
      </c>
      <c r="D8" s="23" t="s">
        <v>339</v>
      </c>
    </row>
    <row r="9" spans="1:12">
      <c r="A9" t="s">
        <v>30</v>
      </c>
      <c r="B9" t="s">
        <v>343</v>
      </c>
      <c r="C9" s="16">
        <v>0.9</v>
      </c>
      <c r="D9" s="16">
        <v>0.35</v>
      </c>
      <c r="K9" s="44"/>
      <c r="L9" s="44"/>
    </row>
    <row r="10" spans="1:12">
      <c r="A10" t="s">
        <v>31</v>
      </c>
      <c r="B10" t="s">
        <v>175</v>
      </c>
      <c r="C10" s="86">
        <f>((0.038-C3)/C3)*-1</f>
        <v>0.44117647058823534</v>
      </c>
      <c r="D10" s="47">
        <f>(22-D3)/D3</f>
        <v>0</v>
      </c>
    </row>
    <row r="11" spans="1:12">
      <c r="A11" t="s">
        <v>32</v>
      </c>
      <c r="B11" t="s">
        <v>349</v>
      </c>
      <c r="C11" s="47">
        <f>((0.031-C3)/C3)*-1</f>
        <v>0.54411764705882359</v>
      </c>
      <c r="D11" s="47">
        <f>(22-D3)/D3</f>
        <v>0</v>
      </c>
    </row>
    <row r="12" spans="1:12">
      <c r="A12" t="s">
        <v>33</v>
      </c>
      <c r="B12" t="s">
        <v>348</v>
      </c>
      <c r="C12" s="16">
        <v>0.7</v>
      </c>
      <c r="D12" s="48">
        <v>0.75</v>
      </c>
      <c r="K12" s="44"/>
      <c r="L12" s="44"/>
    </row>
    <row r="13" spans="1:12">
      <c r="A13" t="s">
        <v>34</v>
      </c>
      <c r="B13" t="s">
        <v>176</v>
      </c>
      <c r="C13" s="47">
        <f>((0.017-C3)/C3)*-1</f>
        <v>0.75</v>
      </c>
      <c r="D13" s="47">
        <f>(22-D3)/D3</f>
        <v>0</v>
      </c>
    </row>
    <row r="14" spans="1:12">
      <c r="A14" t="s">
        <v>177</v>
      </c>
      <c r="B14" t="s">
        <v>346</v>
      </c>
      <c r="C14" s="47">
        <f>((0.028-C3)/C3)*-1</f>
        <v>0.58823529411764708</v>
      </c>
      <c r="D14" s="47">
        <f>((20-D3)/D3)*-1</f>
        <v>9.0909090909090912E-2</v>
      </c>
    </row>
    <row r="15" spans="1:12">
      <c r="A15" t="s">
        <v>178</v>
      </c>
      <c r="B15" t="s">
        <v>347</v>
      </c>
      <c r="C15" s="47">
        <f>((0.015-C3)/C3)*-1</f>
        <v>0.77941176470588236</v>
      </c>
      <c r="D15" s="47">
        <f>((20-D3)/D3)*-1</f>
        <v>9.0909090909090912E-2</v>
      </c>
    </row>
    <row r="16" spans="1:12">
      <c r="A16" t="s">
        <v>179</v>
      </c>
      <c r="B16" t="s">
        <v>180</v>
      </c>
      <c r="C16" s="47">
        <f>((0.031-C3)/C3)*-1</f>
        <v>0.54411764705882359</v>
      </c>
      <c r="D16" s="47">
        <f>(22-D3)/D3</f>
        <v>0</v>
      </c>
    </row>
    <row r="17" spans="1:12">
      <c r="A17" t="s">
        <v>41</v>
      </c>
      <c r="B17" t="s">
        <v>185</v>
      </c>
      <c r="C17" s="47">
        <f>((0.021-C3)/C3)*-1</f>
        <v>0.69117647058823528</v>
      </c>
      <c r="D17" s="47">
        <f>(22-D3)/D3</f>
        <v>0</v>
      </c>
    </row>
    <row r="18" spans="1:12">
      <c r="A18" t="s">
        <v>181</v>
      </c>
      <c r="B18" t="s">
        <v>44</v>
      </c>
      <c r="C18" s="16">
        <v>0.7</v>
      </c>
      <c r="D18" s="16">
        <v>0.8</v>
      </c>
      <c r="K18" s="44"/>
      <c r="L18" s="44"/>
    </row>
    <row r="19" spans="1:12">
      <c r="A19" t="s">
        <v>182</v>
      </c>
      <c r="B19" t="s">
        <v>345</v>
      </c>
      <c r="C19" s="16">
        <v>0.7</v>
      </c>
      <c r="D19" s="16">
        <v>0.35</v>
      </c>
      <c r="K19" s="44"/>
      <c r="L19" s="44"/>
    </row>
    <row r="20" spans="1:12">
      <c r="A20" t="s">
        <v>46</v>
      </c>
      <c r="B20" t="s">
        <v>183</v>
      </c>
      <c r="C20" s="47">
        <f>((0.035-C3)/C3)*-1</f>
        <v>0.48529411764705882</v>
      </c>
      <c r="D20" s="47">
        <f>((22-D3)/D3)*-1</f>
        <v>0</v>
      </c>
    </row>
    <row r="21" spans="1:12">
      <c r="A21" t="s">
        <v>47</v>
      </c>
      <c r="B21" t="s">
        <v>344</v>
      </c>
      <c r="C21" s="47">
        <f>((0.012-C3)/C3)*-1</f>
        <v>0.82352941176470595</v>
      </c>
      <c r="D21" s="47">
        <f>((22-D3)/D3)*-1</f>
        <v>0</v>
      </c>
    </row>
    <row r="22" spans="1:12">
      <c r="A22" t="s">
        <v>284</v>
      </c>
      <c r="B22" s="9" t="s">
        <v>48</v>
      </c>
      <c r="C22" s="16">
        <v>0.7</v>
      </c>
      <c r="D22" s="16">
        <v>0.35</v>
      </c>
    </row>
    <row r="23" spans="1:12">
      <c r="B23" s="28"/>
      <c r="C23" s="44"/>
    </row>
    <row r="24" spans="1:12">
      <c r="B24" s="28"/>
    </row>
    <row r="25" spans="1:12">
      <c r="A25" s="1" t="s">
        <v>340</v>
      </c>
    </row>
    <row r="26" spans="1:12">
      <c r="A26" s="23" t="s">
        <v>28</v>
      </c>
      <c r="B26" s="23" t="s">
        <v>341</v>
      </c>
      <c r="C26" s="23" t="s">
        <v>338</v>
      </c>
      <c r="D26" s="23" t="s">
        <v>339</v>
      </c>
    </row>
    <row r="27" spans="1:12">
      <c r="A27" t="s">
        <v>49</v>
      </c>
      <c r="B27" s="27" t="s">
        <v>357</v>
      </c>
      <c r="C27" s="11">
        <v>0</v>
      </c>
      <c r="D27" s="16">
        <v>0.15</v>
      </c>
      <c r="K27" s="44"/>
      <c r="L27" s="44"/>
    </row>
    <row r="28" spans="1:12">
      <c r="A28" t="s">
        <v>165</v>
      </c>
      <c r="B28" t="s">
        <v>350</v>
      </c>
      <c r="C28" s="11">
        <v>0</v>
      </c>
      <c r="D28" s="11">
        <v>0.49</v>
      </c>
    </row>
    <row r="29" spans="1:12">
      <c r="A29" t="s">
        <v>50</v>
      </c>
      <c r="B29" t="s">
        <v>356</v>
      </c>
      <c r="C29" s="11">
        <v>0</v>
      </c>
      <c r="D29" s="16">
        <v>0.33</v>
      </c>
      <c r="K29" s="44"/>
      <c r="L29" s="44"/>
    </row>
    <row r="30" spans="1:12">
      <c r="A30" t="s">
        <v>51</v>
      </c>
      <c r="B30" t="s">
        <v>358</v>
      </c>
      <c r="C30" s="11">
        <v>0</v>
      </c>
      <c r="D30" s="16">
        <v>0.4</v>
      </c>
      <c r="K30" s="44"/>
      <c r="L30" s="44"/>
    </row>
    <row r="31" spans="1:12">
      <c r="A31" t="s">
        <v>52</v>
      </c>
      <c r="B31" t="s">
        <v>351</v>
      </c>
      <c r="C31" s="11">
        <v>0</v>
      </c>
      <c r="D31" s="16">
        <v>0.56999999999999995</v>
      </c>
      <c r="K31" s="44"/>
      <c r="L31" s="44"/>
    </row>
    <row r="32" spans="1:12">
      <c r="A32" t="s">
        <v>53</v>
      </c>
      <c r="B32" s="2" t="s">
        <v>352</v>
      </c>
      <c r="C32" s="10">
        <v>0</v>
      </c>
      <c r="D32" s="16">
        <v>0.31</v>
      </c>
      <c r="K32" s="44"/>
      <c r="L32" s="44"/>
    </row>
    <row r="33" spans="1:12">
      <c r="A33" t="s">
        <v>54</v>
      </c>
      <c r="B33" s="2" t="s">
        <v>353</v>
      </c>
      <c r="C33" s="10">
        <v>0</v>
      </c>
      <c r="D33" s="16">
        <v>0.13</v>
      </c>
      <c r="K33" s="44"/>
      <c r="L33" s="44"/>
    </row>
    <row r="34" spans="1:12">
      <c r="A34" t="s">
        <v>184</v>
      </c>
      <c r="B34" s="2" t="s">
        <v>354</v>
      </c>
      <c r="C34" s="10">
        <v>0</v>
      </c>
      <c r="D34" s="16">
        <v>0.37</v>
      </c>
      <c r="K34" s="44"/>
      <c r="L34" s="44"/>
    </row>
    <row r="35" spans="1:12">
      <c r="A35" t="s">
        <v>56</v>
      </c>
      <c r="B35" s="2" t="s">
        <v>355</v>
      </c>
      <c r="C35" s="10">
        <v>0</v>
      </c>
      <c r="D35" s="16">
        <v>0.5</v>
      </c>
      <c r="K35" s="44"/>
      <c r="L35" s="44"/>
    </row>
    <row r="37" spans="1:12">
      <c r="K37" s="44"/>
    </row>
    <row r="38" spans="1:12">
      <c r="E38" s="16"/>
      <c r="F38" s="16"/>
      <c r="G38" s="16"/>
    </row>
  </sheetData>
  <pageMargins left="0.7" right="0.7" top="0.75" bottom="0.75" header="0.3" footer="0.3"/>
  <pageSetup paperSize="9"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14714-88F6-439E-8D91-FFC343ADE4C8}">
  <sheetPr codeName="Sheet4"/>
  <dimension ref="A1:O220"/>
  <sheetViews>
    <sheetView topLeftCell="A121" zoomScaleNormal="100" workbookViewId="0">
      <selection activeCell="B191" sqref="B191"/>
    </sheetView>
  </sheetViews>
  <sheetFormatPr defaultRowHeight="15"/>
  <cols>
    <col min="1" max="1" width="50.5703125" style="68" customWidth="1"/>
    <col min="2" max="2" width="23.42578125" style="68" customWidth="1"/>
    <col min="3" max="3" width="18" style="68" customWidth="1"/>
    <col min="4" max="4" width="16" style="68" customWidth="1"/>
    <col min="5" max="5" width="29.28515625" style="68" customWidth="1"/>
    <col min="6" max="6" width="20.7109375" style="68" customWidth="1"/>
    <col min="7" max="7" width="33.85546875" style="68" customWidth="1"/>
    <col min="8" max="8" width="22.28515625" style="68" customWidth="1"/>
    <col min="9" max="9" width="16" style="68" customWidth="1"/>
    <col min="10" max="10" width="20.5703125" style="68" customWidth="1"/>
    <col min="11" max="11" width="15.85546875" style="68" customWidth="1"/>
    <col min="12" max="15" width="9.140625" style="68"/>
    <col min="16" max="16" width="19.140625" style="68" customWidth="1"/>
    <col min="17" max="17" width="17.7109375" style="68" customWidth="1"/>
    <col min="18" max="16384" width="9.140625" style="68"/>
  </cols>
  <sheetData>
    <row r="1" spans="1:13">
      <c r="A1" s="22" t="s">
        <v>107</v>
      </c>
      <c r="H1" s="25"/>
      <c r="I1" s="25"/>
      <c r="J1" s="33"/>
    </row>
    <row r="2" spans="1:13">
      <c r="A2" s="68" t="s">
        <v>262</v>
      </c>
      <c r="B2" s="68">
        <v>10</v>
      </c>
      <c r="H2" s="25"/>
      <c r="I2" s="25"/>
      <c r="J2" s="25"/>
    </row>
    <row r="3" spans="1:13">
      <c r="A3" s="68" t="s">
        <v>106</v>
      </c>
      <c r="B3" s="68">
        <v>1</v>
      </c>
      <c r="E3" s="13" t="s">
        <v>393</v>
      </c>
      <c r="F3" s="12"/>
      <c r="H3" s="25"/>
      <c r="I3" s="28"/>
      <c r="J3" s="32"/>
      <c r="K3" s="25"/>
      <c r="L3" s="25"/>
      <c r="M3" s="36"/>
    </row>
    <row r="4" spans="1:13">
      <c r="A4" s="68" t="s">
        <v>105</v>
      </c>
      <c r="B4" s="68">
        <v>10</v>
      </c>
      <c r="D4" s="41"/>
      <c r="H4" s="25"/>
      <c r="I4" s="25"/>
      <c r="J4" s="25"/>
    </row>
    <row r="5" spans="1:13">
      <c r="A5" s="68" t="s">
        <v>209</v>
      </c>
      <c r="B5" s="68">
        <v>10</v>
      </c>
      <c r="H5" s="25"/>
      <c r="I5" s="25"/>
      <c r="J5" s="25"/>
    </row>
    <row r="6" spans="1:13">
      <c r="A6" s="68" t="s">
        <v>210</v>
      </c>
      <c r="B6" s="68">
        <v>10</v>
      </c>
      <c r="H6" s="25"/>
      <c r="I6" s="25"/>
      <c r="J6" s="25"/>
    </row>
    <row r="7" spans="1:13">
      <c r="A7" s="68" t="s">
        <v>104</v>
      </c>
      <c r="B7" s="68">
        <v>1</v>
      </c>
      <c r="D7" s="41"/>
      <c r="H7" s="25"/>
      <c r="I7" s="25"/>
      <c r="J7" s="25"/>
    </row>
    <row r="8" spans="1:13">
      <c r="A8" s="68" t="s">
        <v>103</v>
      </c>
      <c r="B8" s="68">
        <v>1</v>
      </c>
      <c r="H8" s="25"/>
      <c r="I8" s="25"/>
      <c r="J8" s="25"/>
    </row>
    <row r="9" spans="1:13">
      <c r="A9" s="68" t="s">
        <v>102</v>
      </c>
      <c r="B9" s="68">
        <v>1</v>
      </c>
    </row>
    <row r="11" spans="1:13">
      <c r="A11" s="12" t="s">
        <v>101</v>
      </c>
      <c r="B11" s="12" t="s">
        <v>12</v>
      </c>
    </row>
    <row r="13" spans="1:13">
      <c r="A13" s="22" t="s">
        <v>100</v>
      </c>
      <c r="M13" s="28"/>
    </row>
    <row r="14" spans="1:13">
      <c r="A14" s="68" t="s">
        <v>99</v>
      </c>
      <c r="B14" s="52">
        <f>SUM(B15:B22)</f>
        <v>1623579.6158419026</v>
      </c>
      <c r="D14" s="41"/>
      <c r="M14" s="28"/>
    </row>
    <row r="15" spans="1:13">
      <c r="A15" s="68" t="s">
        <v>65</v>
      </c>
      <c r="B15" s="53">
        <f>IF('Input prices producer prices'!C123*'Input prices producer prices'!B264*(1-('Input prices producer prices'!B246/100)*(B4-1))&gt;=0, 'Input prices producer prices'!C123*'Input prices producer prices'!B264*(1-('Input prices producer prices'!B246/100)*(B4-1)),0)</f>
        <v>864000</v>
      </c>
      <c r="D15" s="41"/>
      <c r="E15" s="52"/>
      <c r="M15" s="28"/>
    </row>
    <row r="16" spans="1:13">
      <c r="A16" s="68" t="s">
        <v>228</v>
      </c>
      <c r="B16" s="53">
        <v>0</v>
      </c>
      <c r="D16" s="41"/>
      <c r="E16" s="52"/>
    </row>
    <row r="17" spans="1:14">
      <c r="A17" s="68" t="s">
        <v>263</v>
      </c>
      <c r="B17" s="65">
        <f>IF(B91="None", 0,IF(B91="E5.14", 'Input prices producer prices'!C137*'Input prices producer prices'!B264*(1-('Input prices producer prices'!B247/100)*(B5-1))))</f>
        <v>5292.0000000000009</v>
      </c>
      <c r="D17" s="81"/>
    </row>
    <row r="18" spans="1:14">
      <c r="A18" s="68" t="s">
        <v>264</v>
      </c>
      <c r="B18" s="65">
        <f>IF(B92="None", 0,IF(B92="E7.7", 'Input prices producer prices'!C147*'Input prices producer prices'!B264*(1-('Input prices producer prices'!B247/100)*(B6-1))))</f>
        <v>23436.000000000004</v>
      </c>
      <c r="D18" s="41"/>
    </row>
    <row r="19" spans="1:14">
      <c r="A19" s="68" t="s">
        <v>260</v>
      </c>
      <c r="B19" s="65">
        <v>0</v>
      </c>
      <c r="D19" s="41"/>
    </row>
    <row r="20" spans="1:14">
      <c r="A20" s="68" t="s">
        <v>261</v>
      </c>
      <c r="B20" s="65">
        <v>0</v>
      </c>
      <c r="D20" s="41"/>
      <c r="M20" s="4"/>
    </row>
    <row r="21" spans="1:14">
      <c r="A21" s="68" t="s">
        <v>64</v>
      </c>
      <c r="B21" s="52">
        <f>((B55*B58)/1000*B51*B62*(B69/100))/2</f>
        <v>384342.24607969157</v>
      </c>
      <c r="M21" s="8"/>
    </row>
    <row r="22" spans="1:14">
      <c r="A22" s="68" t="s">
        <v>63</v>
      </c>
      <c r="B22" s="52">
        <f>((B70/100)+0.5*(B108/100))*B62*B51</f>
        <v>346509.36976221082</v>
      </c>
      <c r="M22" s="4"/>
    </row>
    <row r="23" spans="1:14">
      <c r="A23" s="68" t="s">
        <v>62</v>
      </c>
      <c r="B23" s="7">
        <f>B24/B28</f>
        <v>1.4999999999999998</v>
      </c>
    </row>
    <row r="24" spans="1:14">
      <c r="A24" s="68" t="s">
        <v>61</v>
      </c>
      <c r="B24" s="11">
        <v>0.6</v>
      </c>
    </row>
    <row r="25" spans="1:14" ht="14.25" customHeight="1">
      <c r="A25" s="68" t="s">
        <v>60</v>
      </c>
      <c r="B25" s="66">
        <f>B14*B24</f>
        <v>974147.76950514154</v>
      </c>
    </row>
    <row r="26" spans="1:14" ht="14.25" customHeight="1">
      <c r="A26" s="68" t="s">
        <v>98</v>
      </c>
      <c r="B26" s="66">
        <f>B25-B27</f>
        <v>389659.10780205659</v>
      </c>
      <c r="D26" s="41"/>
      <c r="L26" s="4"/>
      <c r="N26" s="8"/>
    </row>
    <row r="27" spans="1:14">
      <c r="A27" s="68" t="s">
        <v>97</v>
      </c>
      <c r="B27" s="66">
        <f>B25*0.6</f>
        <v>584488.66170308494</v>
      </c>
      <c r="D27" s="41"/>
    </row>
    <row r="28" spans="1:14">
      <c r="A28" s="68" t="s">
        <v>58</v>
      </c>
      <c r="B28" s="11">
        <f>1-B24</f>
        <v>0.4</v>
      </c>
      <c r="N28" s="6"/>
    </row>
    <row r="29" spans="1:14">
      <c r="A29" s="68" t="s">
        <v>59</v>
      </c>
      <c r="B29" s="51">
        <f>B28*B14</f>
        <v>649431.84633676102</v>
      </c>
    </row>
    <row r="30" spans="1:14">
      <c r="A30" s="68" t="s">
        <v>217</v>
      </c>
      <c r="B30" s="56">
        <v>-0.2026</v>
      </c>
      <c r="D30" s="41"/>
    </row>
    <row r="31" spans="1:14">
      <c r="A31" s="68" t="s">
        <v>216</v>
      </c>
      <c r="B31" s="7">
        <v>2.33</v>
      </c>
      <c r="D31" s="41"/>
    </row>
    <row r="32" spans="1:14">
      <c r="A32" s="68" t="s">
        <v>301</v>
      </c>
      <c r="B32" s="44">
        <v>0.26727254907515502</v>
      </c>
      <c r="D32" s="41"/>
    </row>
    <row r="33" spans="1:10">
      <c r="A33" s="68" t="s">
        <v>218</v>
      </c>
      <c r="B33" s="72">
        <f>B30*B26</f>
        <v>-78944.935240696665</v>
      </c>
      <c r="D33" s="41"/>
      <c r="F33" s="2"/>
      <c r="G33" s="2"/>
      <c r="H33" s="2"/>
    </row>
    <row r="34" spans="1:10">
      <c r="A34" s="68" t="s">
        <v>219</v>
      </c>
      <c r="B34" s="72">
        <f>B27*B31</f>
        <v>1361858.5817681879</v>
      </c>
      <c r="F34" s="2"/>
      <c r="G34" s="1"/>
      <c r="H34" s="2"/>
    </row>
    <row r="35" spans="1:10">
      <c r="A35" s="22" t="s">
        <v>96</v>
      </c>
      <c r="F35" s="2"/>
      <c r="G35" s="2"/>
      <c r="H35" s="84"/>
    </row>
    <row r="36" spans="1:10">
      <c r="A36" s="23" t="s">
        <v>14</v>
      </c>
      <c r="F36" s="2"/>
      <c r="G36" s="2"/>
      <c r="H36" s="2"/>
    </row>
    <row r="37" spans="1:10">
      <c r="A37" s="2" t="s">
        <v>95</v>
      </c>
      <c r="B37" s="68">
        <v>1</v>
      </c>
      <c r="F37" s="2"/>
      <c r="G37" s="2"/>
      <c r="H37" s="2"/>
    </row>
    <row r="38" spans="1:10">
      <c r="A38" s="68" t="s">
        <v>94</v>
      </c>
      <c r="B38" s="8">
        <v>2349</v>
      </c>
      <c r="H38" s="25"/>
      <c r="I38" s="25"/>
      <c r="J38" s="25"/>
    </row>
    <row r="39" spans="1:10">
      <c r="A39" s="68" t="s">
        <v>93</v>
      </c>
      <c r="B39" s="8">
        <f>B38*B37</f>
        <v>2349</v>
      </c>
      <c r="H39" s="25"/>
      <c r="I39" s="25"/>
      <c r="J39" s="25"/>
    </row>
    <row r="40" spans="1:10">
      <c r="A40" s="68" t="s">
        <v>197</v>
      </c>
      <c r="B40" s="8">
        <f>'Input prices producer prices'!C270*B62*B51/10000</f>
        <v>1822.9742930591251</v>
      </c>
      <c r="H40" s="25"/>
      <c r="I40" s="25"/>
      <c r="J40" s="25"/>
    </row>
    <row r="41" spans="1:10">
      <c r="A41" s="68" t="s">
        <v>92</v>
      </c>
      <c r="B41" s="13" t="s">
        <v>289</v>
      </c>
      <c r="D41" s="8"/>
      <c r="H41" s="25"/>
      <c r="I41" s="25"/>
      <c r="J41" s="25"/>
    </row>
    <row r="42" spans="1:10">
      <c r="A42" s="68" t="s">
        <v>91</v>
      </c>
      <c r="B42" s="8">
        <f>IF(B41="No extra activity", 0, IF(B41="Provision of straw bales (1bale)", 'Input prices producer prices'!C271*B51/10000*((B59-8)*'Input prices producer prices'!C262), IF(B41="Provision of grains (2g) and straw bales (1 bale)", 'Input prices producer prices'!C271*B51/10000*((B59-8)*'Input prices producer prices'!D262), IF(B41="Provision of grains (2g) and straw bales (2 bales)", 'Input prices producer prices'!C272*B51/10000*((B59-8)*'Input prices producer prices'!E262)))))</f>
        <v>1084.9467499081893</v>
      </c>
      <c r="D42" s="41"/>
      <c r="H42" s="25"/>
      <c r="I42" s="25"/>
      <c r="J42" s="25"/>
    </row>
    <row r="43" spans="1:10">
      <c r="A43" s="68" t="s">
        <v>90</v>
      </c>
      <c r="B43" s="8">
        <f>B40+B42</f>
        <v>2907.9210429673144</v>
      </c>
      <c r="H43" s="25"/>
      <c r="I43" s="25"/>
      <c r="J43" s="25"/>
    </row>
    <row r="44" spans="1:10">
      <c r="H44" s="25"/>
      <c r="I44" s="25"/>
      <c r="J44" s="25"/>
    </row>
    <row r="45" spans="1:10">
      <c r="A45" s="23" t="s">
        <v>89</v>
      </c>
    </row>
    <row r="46" spans="1:10">
      <c r="A46" s="68" t="s">
        <v>268</v>
      </c>
      <c r="B46" s="8">
        <f>IF(F91="no", ('Input prices producer prices'!B264/('Input prices producer prices'!B258*(1+'Input prices producer prices'!B254/100)/'Input prices producer prices'!B257)/1000), IF(F91="yes", ('Input prices producer prices'!B264/('Input prices producer prices'!B258*(1+'Input prices producer prices'!B254/100)/'Input prices producer prices'!B257)/1000)*1.2))</f>
        <v>4927.5362318840589</v>
      </c>
      <c r="H46" s="25"/>
      <c r="I46" s="25"/>
      <c r="J46" s="25"/>
    </row>
    <row r="47" spans="1:10">
      <c r="H47" s="25"/>
      <c r="I47" s="25"/>
      <c r="J47" s="25"/>
    </row>
    <row r="48" spans="1:10">
      <c r="A48" s="68" t="s">
        <v>88</v>
      </c>
      <c r="H48" s="25"/>
      <c r="I48" s="25"/>
      <c r="J48" s="25"/>
    </row>
    <row r="49" spans="1:10">
      <c r="A49" s="68" t="s">
        <v>87</v>
      </c>
      <c r="B49" s="4">
        <f>B60</f>
        <v>39.14</v>
      </c>
      <c r="E49" s="4"/>
      <c r="H49" s="25"/>
      <c r="I49" s="25"/>
      <c r="J49" s="25"/>
    </row>
    <row r="50" spans="1:10">
      <c r="A50" s="68" t="s">
        <v>86</v>
      </c>
      <c r="B50" s="4">
        <f>B49/(B58/1000)</f>
        <v>16.445378151260506</v>
      </c>
      <c r="H50" s="25"/>
      <c r="I50" s="25"/>
      <c r="J50" s="25"/>
    </row>
    <row r="51" spans="1:10">
      <c r="A51" s="68" t="s">
        <v>85</v>
      </c>
      <c r="B51" s="77">
        <f>IF(B60=43.47,'Input prices producer prices'!B264,IF(B60=39.14,'Input prices producer prices'!C264,IF(B60=25.625,'Input prices producer prices'!D264,IF(B60=30.9,'Input prices producer prices'!E264))))</f>
        <v>81428.57142857142</v>
      </c>
      <c r="E51" s="41"/>
      <c r="H51" s="25"/>
      <c r="I51" s="25"/>
      <c r="J51" s="25"/>
    </row>
    <row r="52" spans="1:10">
      <c r="H52" s="25"/>
      <c r="I52" s="25"/>
      <c r="J52" s="25"/>
    </row>
    <row r="53" spans="1:10">
      <c r="A53" s="22" t="s">
        <v>84</v>
      </c>
      <c r="H53" s="25"/>
      <c r="I53" s="25"/>
      <c r="J53" s="25"/>
    </row>
    <row r="54" spans="1:10">
      <c r="A54" s="14" t="s">
        <v>2</v>
      </c>
      <c r="B54" s="13" t="s">
        <v>276</v>
      </c>
      <c r="H54" s="25"/>
      <c r="I54" s="25"/>
      <c r="J54" s="25"/>
    </row>
    <row r="55" spans="1:10">
      <c r="A55" s="68" t="s">
        <v>145</v>
      </c>
      <c r="B55" s="68">
        <f>IF(B54="Ross 308", 'Input prices producer prices'!B253, IF(B54="Hubbard JA 987", 'Input prices producer prices'!C253, IF(B54="Hubbard JA 757", 'Input prices producer prices'!D253)))</f>
        <v>1.9</v>
      </c>
      <c r="H55" s="25"/>
      <c r="I55" s="25"/>
      <c r="J55" s="25"/>
    </row>
    <row r="56" spans="1:10">
      <c r="A56" s="68" t="s">
        <v>146</v>
      </c>
      <c r="B56" s="68">
        <f>IF(B54="Ross 308", 'Input prices producer prices'!B254, IF(B54="Hubbard JA 987", 'Input prices producer prices'!C254, IF(B54="Hubbard JA 757", 'Input prices producer prices'!D254)))</f>
        <v>3</v>
      </c>
      <c r="H56" s="25"/>
      <c r="I56" s="25"/>
      <c r="J56" s="25"/>
    </row>
    <row r="57" spans="1:10">
      <c r="A57" s="68" t="s">
        <v>147</v>
      </c>
      <c r="B57" s="68">
        <f>IF(B54="Ross 308", 'Input prices producer prices'!B256, IF(B54="Hubbard JA 987", 'Input prices producer prices'!C256, IF(B54="Hubbard JA 757", 'Input prices producer prices'!D256+1)))</f>
        <v>49</v>
      </c>
      <c r="H57" s="25"/>
      <c r="I57" s="25"/>
      <c r="J57" s="25"/>
    </row>
    <row r="58" spans="1:10">
      <c r="A58" s="68" t="s">
        <v>148</v>
      </c>
      <c r="B58" s="8">
        <f>'Input prices producer prices'!C257</f>
        <v>2380</v>
      </c>
      <c r="H58" s="25"/>
      <c r="I58" s="25"/>
      <c r="J58" s="25"/>
    </row>
    <row r="59" spans="1:10">
      <c r="A59" s="68" t="s">
        <v>1</v>
      </c>
      <c r="B59" s="8">
        <f>B58/B57</f>
        <v>48.571428571428569</v>
      </c>
      <c r="H59" s="25"/>
      <c r="I59" s="25"/>
      <c r="J59" s="25"/>
    </row>
    <row r="60" spans="1:10">
      <c r="A60" s="68" t="s">
        <v>149</v>
      </c>
      <c r="B60" s="70">
        <v>39.14</v>
      </c>
      <c r="H60" s="25"/>
      <c r="I60" s="25"/>
      <c r="J60" s="25"/>
    </row>
    <row r="61" spans="1:10">
      <c r="A61" s="68" t="s">
        <v>9</v>
      </c>
      <c r="B61" s="29">
        <v>7</v>
      </c>
      <c r="H61" s="25"/>
      <c r="I61" s="25"/>
      <c r="J61" s="25"/>
    </row>
    <row r="62" spans="1:10">
      <c r="A62" s="68" t="s">
        <v>150</v>
      </c>
      <c r="B62" s="4">
        <f>365/(B59+B61)</f>
        <v>6.5681233933161955</v>
      </c>
      <c r="H62" s="25"/>
      <c r="I62" s="25"/>
      <c r="J62" s="25"/>
    </row>
    <row r="63" spans="1:10">
      <c r="A63" s="68" t="s">
        <v>83</v>
      </c>
      <c r="B63" s="30">
        <f>B51*B62</f>
        <v>534832.9048843187</v>
      </c>
      <c r="C63" s="6"/>
      <c r="D63" s="4"/>
      <c r="E63" s="54"/>
      <c r="F63" s="54"/>
      <c r="H63" s="25"/>
      <c r="I63" s="25"/>
      <c r="J63" s="25"/>
    </row>
    <row r="64" spans="1:10">
      <c r="A64" s="68" t="s">
        <v>82</v>
      </c>
      <c r="B64" s="30">
        <f>B63*(B58/1000)</f>
        <v>1272902.3136246784</v>
      </c>
      <c r="H64" s="25"/>
      <c r="I64" s="25"/>
      <c r="J64" s="25"/>
    </row>
    <row r="65" spans="1:10">
      <c r="B65" s="30"/>
      <c r="H65" s="25"/>
      <c r="I65" s="25"/>
      <c r="J65" s="25"/>
    </row>
    <row r="66" spans="1:10">
      <c r="A66" s="22" t="s">
        <v>81</v>
      </c>
      <c r="H66" s="25"/>
      <c r="I66" s="25"/>
      <c r="J66" s="25"/>
    </row>
    <row r="67" spans="1:10">
      <c r="A67" s="68" t="s">
        <v>215</v>
      </c>
      <c r="B67" s="29">
        <v>6</v>
      </c>
      <c r="H67" s="25"/>
      <c r="I67" s="25"/>
      <c r="J67" s="25"/>
    </row>
    <row r="68" spans="1:10">
      <c r="A68" s="14" t="s">
        <v>134</v>
      </c>
      <c r="B68" s="13" t="s">
        <v>274</v>
      </c>
      <c r="H68" s="25"/>
      <c r="I68" s="25"/>
      <c r="J68" s="25"/>
    </row>
    <row r="69" spans="1:10">
      <c r="A69" s="68" t="s">
        <v>133</v>
      </c>
      <c r="B69" s="43">
        <f>IF(B68="Compound feed conventional",'Input prices producer prices'!C11,IF(B68="Compound feed NDRS",'Input prices producer prices'!C12, IF(B68="Compound feed Extensive Indoor+", 'Input prices producer prices'!C13)))</f>
        <v>31.783333333333335</v>
      </c>
      <c r="H69" s="25"/>
      <c r="I69" s="25"/>
      <c r="J69" s="25"/>
    </row>
    <row r="70" spans="1:10">
      <c r="A70" s="68" t="s">
        <v>137</v>
      </c>
      <c r="B70" s="4">
        <f>IF(B54="Ross 308", 'Input prices producer prices'!C19,IF(B54="Hubbard JA 987", 'Input prices producer prices'!C20, IF(B54="Hubbard JA 757", 'Input prices producer prices'!C21)))</f>
        <v>35.5</v>
      </c>
      <c r="H70" s="25"/>
      <c r="I70" s="25"/>
      <c r="J70" s="25"/>
    </row>
    <row r="71" spans="1:10">
      <c r="A71" s="68" t="s">
        <v>80</v>
      </c>
      <c r="B71" s="13" t="s">
        <v>290</v>
      </c>
      <c r="H71" s="25"/>
      <c r="I71" s="25"/>
      <c r="J71" s="25"/>
    </row>
    <row r="72" spans="1:10">
      <c r="A72" s="68" t="s">
        <v>136</v>
      </c>
      <c r="B72" s="4">
        <f>IF(B71="None",0, IF(B71="1 bale/1000 broilers",'Input prices producer prices'!C46, IF(B71="2g/broiler 1 bale/1000 broilers", 'Input prices producer prices'!C45, IF(B71="2g/broiler 2 bales/1000 broilers",'Input prices producer prices'!C45+'Input prices producer prices'!C46))))</f>
        <v>0.6</v>
      </c>
      <c r="H72" s="25"/>
      <c r="I72" s="25"/>
      <c r="J72" s="25"/>
    </row>
    <row r="73" spans="1:10">
      <c r="A73" s="68" t="s">
        <v>135</v>
      </c>
      <c r="B73" s="4">
        <f>IF(B60=43.47, 'Input prices producer prices'!C52, IF(B60= 39.14, 'Input prices producer prices'!C53, IF(B60=25.625, 'Input prices producer prices'!C54, IF(B60=30.9, 'Input prices producer prices'!C55))))</f>
        <v>1.25</v>
      </c>
      <c r="H73" s="25"/>
      <c r="I73" s="25"/>
      <c r="J73" s="25"/>
    </row>
    <row r="74" spans="1:10">
      <c r="A74" s="68" t="s">
        <v>138</v>
      </c>
      <c r="B74" s="68">
        <f>IF(B60=43.47,'Input prices producer prices'!C25, IF(B60=39.14, 'Input prices producer prices'!C26, IF(B60=25.625, 'Input prices producer prices'!C27, IF(B60=30.9,'Input prices producer prices'!C28))))</f>
        <v>0.95</v>
      </c>
      <c r="H74" s="25"/>
      <c r="I74" s="25"/>
      <c r="J74" s="25"/>
    </row>
    <row r="75" spans="1:10">
      <c r="A75" s="68" t="s">
        <v>139</v>
      </c>
      <c r="B75" s="68">
        <f>IF(B60=43.47, 'Input prices producer prices'!C80, IF(B60=39.14, 'Input prices producer prices'!C81, IF(B60=25.625, 'Input prices producer prices'!C82, IF(B60=30.9, 'Input prices producer prices'!C83))))</f>
        <v>4.5</v>
      </c>
      <c r="H75" s="25"/>
      <c r="I75" s="25"/>
      <c r="J75" s="25"/>
    </row>
    <row r="76" spans="1:10">
      <c r="A76" s="68" t="s">
        <v>169</v>
      </c>
      <c r="B76" s="68">
        <f>IF(B60=43.47, 'Input prices producer prices'!C92, IF(B60=39.14, 'Input prices producer prices'!C93, IF(B60=25.625, 'Input prices producer prices'!C94, IF(B60=30.9,'Input prices producer prices'!C95))))</f>
        <v>0.6</v>
      </c>
      <c r="H76" s="25"/>
      <c r="I76" s="25"/>
      <c r="J76" s="25"/>
    </row>
    <row r="77" spans="1:10">
      <c r="A77" s="68" t="s">
        <v>171</v>
      </c>
      <c r="B77" s="4">
        <f>IF(B60=43.47, 'Input prices producer prices'!C100/(B58/1000), IF(B60=39.14, 'Input prices producer prices'!C101/(B58/1000), IF(B60=25.625, 'Input prices producer prices'!C102/(B58/1000), IF(B60=30.9, 'Input prices producer prices'!C103/(B58/1000)))))</f>
        <v>1.3931888544891642</v>
      </c>
      <c r="H77" s="25"/>
      <c r="I77" s="25"/>
      <c r="J77" s="25"/>
    </row>
    <row r="78" spans="1:10">
      <c r="A78" s="68" t="s">
        <v>141</v>
      </c>
      <c r="B78" s="4">
        <f>'Input prices producer prices'!C97</f>
        <v>2</v>
      </c>
      <c r="H78" s="25"/>
      <c r="I78" s="25"/>
      <c r="J78" s="25"/>
    </row>
    <row r="79" spans="1:10">
      <c r="A79" s="68" t="s">
        <v>140</v>
      </c>
      <c r="B79" s="12" t="s">
        <v>142</v>
      </c>
      <c r="H79" s="25"/>
      <c r="I79" s="25"/>
      <c r="J79" s="25"/>
    </row>
    <row r="80" spans="1:10">
      <c r="A80" s="68" t="s">
        <v>143</v>
      </c>
      <c r="B80" s="68">
        <f>IF(B60=43.47, 'Input prices producer prices'!C62, IF(B60=39.14, 'Input prices producer prices'!C63, IF(B60=25.625, 'Input prices producer prices'!C64, IF(B60=30.9, 'Input prices producer prices'!C65))))</f>
        <v>4.8</v>
      </c>
      <c r="H80" s="25"/>
      <c r="I80" s="25"/>
      <c r="J80" s="25"/>
    </row>
    <row r="81" spans="1:10">
      <c r="A81" s="68" t="s">
        <v>152</v>
      </c>
      <c r="B81" s="68">
        <f>'Input prices producer prices'!C59</f>
        <v>37.72</v>
      </c>
      <c r="H81" s="25"/>
      <c r="I81" s="25"/>
      <c r="J81" s="25"/>
    </row>
    <row r="82" spans="1:10">
      <c r="A82" s="68" t="s">
        <v>117</v>
      </c>
      <c r="B82" s="68">
        <f>IF(B60=43.47,'Input prices producer prices'!C86, IF(B60=39.14, 'Input prices producer prices'!C87, IF(B60=25.625, 'Input prices producer prices'!C88, IF(B60=30.9,'Input prices producer prices'!C89))))</f>
        <v>0.79</v>
      </c>
      <c r="H82" s="25"/>
      <c r="I82" s="25"/>
      <c r="J82" s="25"/>
    </row>
    <row r="83" spans="1:10">
      <c r="A83" s="68" t="s">
        <v>291</v>
      </c>
      <c r="B83" s="43">
        <f>IF(B60=43.47,('Input prices producer prices'!C31+'Input prices producer prices'!C39)*B62/100, IF(B60=39.14, ('Input prices producer prices'!C32+'Input prices producer prices'!C40)*B62/100, IF(B60=25.625, ('Input prices producer prices'!C33+'Input prices producer prices'!C41)*B62/100, IF(B60=30.9,'Input prices producer prices'!C34+'Input prices producer prices'!C42)*B62/100)))</f>
        <v>0.56485861182519281</v>
      </c>
      <c r="D83" s="42"/>
      <c r="E83" s="9"/>
      <c r="H83" s="25"/>
      <c r="I83" s="25"/>
      <c r="J83" s="25"/>
    </row>
    <row r="84" spans="1:10">
      <c r="A84" s="9" t="s">
        <v>166</v>
      </c>
      <c r="B84" s="4">
        <f>IF(AND(F93="No",B91="E5.14"),'Input prices producer prices'!E137, IF(AND(F93="E5.14",B91="None"),'Input prices producer prices'!E137, IF(AND(F93="No", B91="None"), 0, IF(AND(F93="E5.5",B91="None"), 'Input prices producer prices'!E126, IF(F93="E5.6",'Input prices producer prices'!E127,IF(F93="E5.8",'Input prices producer prices'!E129,IF(F93="E5.9.1.2.2",'Input prices producer prices'!E131,IF(F93="E5.9.1.2.4",'Input prices producer prices'!E132,IF(F93="E5.10",'Input prices producer prices'!E133,IF(F93="E5.11",'Input prices producer prices'!E134,IF(F93="E5.14",'Input prices producer prices'!E137,IF(F93="E5.15",'Input prices producer prices'!E138,IF(F93="E7.1",'Input prices producer prices'!E141, IF(F93="E7.2",'Input prices producer prices'!E142, IF(F93="E5.13", 'Input prices producer prices'!E136, IF(F93="E5.16", 'Input prices producer prices'!E139, 0))))))))))))))))</f>
        <v>-7.0000000000000007E-2</v>
      </c>
      <c r="F84" s="42"/>
      <c r="H84" s="25"/>
      <c r="I84" s="25"/>
      <c r="J84" s="25"/>
    </row>
    <row r="85" spans="1:10">
      <c r="A85" s="9" t="s">
        <v>167</v>
      </c>
      <c r="B85" s="4">
        <f>IF(AND(F94="No",B92="E7.7"),'Input prices producer prices'!E147,IF(AND(F94="E7.7",B92="None"),'Input prices producer prices'!E147,IF(AND(F94="No",B92="None"),0,IF(F94="E5.4",'Input prices producer prices'!E125,IF(F94="E5.7",'Input prices producer prices'!E128,IF(F94="E5.12",'Input prices producer prices'!E135,IF(F94="E5.13",'Input prices producer prices'!E136,IF(F94="E7.3",'Input prices producer prices'!E143,IF(F94="E7.4",'Input prices producer prices'!E144,IF(F94="E7.5",'Input prices producer prices'!E145,IF(F94="E7.6",'Input prices producer prices'!E146,IF(F94="E7.7",'Input prices producer prices'!E147,IF(F94="E7.11",'Input prices producer prices'!E148,IF(F94="E7.12",'Input prices producer prices'!E149,IF(F94="E5.16",'Input prices producer prices'!E139, IF(F94="E7.2", 'Input prices producer prices'!E142, 0))))))))))))))))</f>
        <v>-0.15</v>
      </c>
      <c r="F85" s="42"/>
      <c r="H85" s="25"/>
      <c r="I85" s="25"/>
      <c r="J85" s="25"/>
    </row>
    <row r="86" spans="1:10">
      <c r="A86" s="68" t="s">
        <v>234</v>
      </c>
      <c r="B86" s="4">
        <f>IF(B60=43.47, (B83+B84+B85)/B62*100, IF(B60=39.14,(B83+(B84+B85))/B62*100, IF(B60=25.625,(B83+B84+B85)/B62*100, IF(B60=30.9,(B83+(B84+B85))/B62*100))))</f>
        <v>5.2504892367906075</v>
      </c>
      <c r="H86" s="25"/>
      <c r="I86" s="25"/>
      <c r="J86" s="25"/>
    </row>
    <row r="87" spans="1:10">
      <c r="B87" s="8"/>
      <c r="H87" s="25"/>
      <c r="I87" s="25"/>
      <c r="J87" s="25"/>
    </row>
    <row r="88" spans="1:10">
      <c r="A88" s="22" t="s">
        <v>79</v>
      </c>
      <c r="H88" s="25"/>
      <c r="I88" s="25"/>
      <c r="J88" s="25"/>
    </row>
    <row r="89" spans="1:10">
      <c r="A89" s="24" t="s">
        <v>243</v>
      </c>
      <c r="E89" s="23" t="s">
        <v>237</v>
      </c>
    </row>
    <row r="90" spans="1:10">
      <c r="A90" s="14" t="s">
        <v>227</v>
      </c>
      <c r="B90" s="68" t="s">
        <v>245</v>
      </c>
      <c r="E90" s="68" t="s">
        <v>392</v>
      </c>
      <c r="F90" s="13" t="s">
        <v>5</v>
      </c>
    </row>
    <row r="91" spans="1:10">
      <c r="A91" s="14" t="s">
        <v>258</v>
      </c>
      <c r="B91" s="13" t="s">
        <v>46</v>
      </c>
      <c r="E91" s="12" t="s">
        <v>203</v>
      </c>
      <c r="F91" s="13" t="s">
        <v>5</v>
      </c>
    </row>
    <row r="92" spans="1:10">
      <c r="A92" s="14" t="s">
        <v>259</v>
      </c>
      <c r="B92" s="13" t="s">
        <v>54</v>
      </c>
      <c r="E92" s="12"/>
      <c r="F92" s="12"/>
    </row>
    <row r="93" spans="1:10">
      <c r="E93" s="68" t="s">
        <v>256</v>
      </c>
      <c r="F93" s="62" t="s">
        <v>5</v>
      </c>
      <c r="G93" s="38" t="s">
        <v>214</v>
      </c>
    </row>
    <row r="94" spans="1:10">
      <c r="E94" s="68" t="s">
        <v>257</v>
      </c>
      <c r="F94" s="62" t="s">
        <v>5</v>
      </c>
    </row>
    <row r="95" spans="1:10">
      <c r="H95" s="25"/>
      <c r="I95" s="25"/>
      <c r="J95" s="25"/>
    </row>
    <row r="96" spans="1:10">
      <c r="B96" s="4"/>
      <c r="C96" s="28"/>
      <c r="H96" s="25"/>
      <c r="I96" s="25"/>
      <c r="J96" s="25"/>
    </row>
    <row r="97" spans="1:15">
      <c r="A97" s="23" t="s">
        <v>235</v>
      </c>
      <c r="B97" s="68" t="s">
        <v>265</v>
      </c>
      <c r="C97" s="68" t="s">
        <v>225</v>
      </c>
      <c r="D97" s="68" t="s">
        <v>121</v>
      </c>
      <c r="E97" s="68" t="s">
        <v>226</v>
      </c>
      <c r="G97" s="23" t="s">
        <v>236</v>
      </c>
      <c r="H97" s="25" t="s">
        <v>241</v>
      </c>
      <c r="I97" s="25" t="s">
        <v>121</v>
      </c>
      <c r="J97" s="35" t="s">
        <v>242</v>
      </c>
    </row>
    <row r="98" spans="1:15">
      <c r="A98" s="68" t="s">
        <v>227</v>
      </c>
      <c r="B98" s="73">
        <f>'Input prices producer prices'!C123*'Input prices producer prices'!B264</f>
        <v>1350000</v>
      </c>
      <c r="C98" s="78">
        <f>B15</f>
        <v>864000</v>
      </c>
      <c r="D98" s="78">
        <f>C98*('Input prices producer prices'!B246/100)</f>
        <v>34560</v>
      </c>
      <c r="E98" s="78">
        <f>C98-D98</f>
        <v>829440</v>
      </c>
      <c r="G98" s="68" t="s">
        <v>240</v>
      </c>
      <c r="H98" s="80">
        <f>'Input prices producer prices'!B240*B46</f>
        <v>0</v>
      </c>
      <c r="I98" s="80">
        <f>H98*('Input prices producer prices'!B246/100)</f>
        <v>0</v>
      </c>
      <c r="J98" s="80">
        <f>H98-I98</f>
        <v>0</v>
      </c>
    </row>
    <row r="99" spans="1:15">
      <c r="A99" s="68" t="s">
        <v>244</v>
      </c>
      <c r="B99" s="73">
        <f>IF(B91="E5.14", 'Input prices producer prices'!C137*'Input prices producer prices'!B264, IF(B91="None", 0))</f>
        <v>18900</v>
      </c>
      <c r="C99" s="78">
        <f>IF(B91="E5.14", 'Input prices producer prices'!C137*'Input prices producer prices'!B264*(1-('Input prices producer prices'!B247/100)*(B5-1)), IF(B91="None", 0))</f>
        <v>5292.0000000000009</v>
      </c>
      <c r="D99" s="78">
        <f>C99*('Input prices producer prices'!B247/100)</f>
        <v>423.36000000000007</v>
      </c>
      <c r="E99" s="78">
        <f>C99-D99</f>
        <v>4868.6400000000012</v>
      </c>
      <c r="G99" s="68" t="s">
        <v>203</v>
      </c>
      <c r="H99" s="80">
        <f>'Input prices producer prices'!B239*B46*0.2</f>
        <v>0</v>
      </c>
      <c r="I99" s="80">
        <f>H99*('Input prices producer prices'!B246/100)</f>
        <v>0</v>
      </c>
      <c r="J99" s="80">
        <f>H99-I99</f>
        <v>0</v>
      </c>
    </row>
    <row r="100" spans="1:15">
      <c r="A100" s="68" t="s">
        <v>239</v>
      </c>
      <c r="B100" s="73">
        <f>IF(B92="E7.7", 'Input prices producer prices'!C147*'Input prices producer prices'!B264, IF(B92="None", 0))</f>
        <v>83700</v>
      </c>
      <c r="C100" s="78">
        <f>IF(B92="E7.7", 'Input prices producer prices'!C147*'Input prices producer prices'!B264*(1-('Input prices producer prices'!B247/100)*(B6-1)), IF(B92="None", 0))</f>
        <v>23436.000000000004</v>
      </c>
      <c r="D100" s="78">
        <f>C100*('Input prices producer prices'!B247/100)</f>
        <v>1874.8800000000003</v>
      </c>
      <c r="E100" s="78">
        <f>C100-D100</f>
        <v>21561.120000000003</v>
      </c>
      <c r="G100" s="68" t="s">
        <v>238</v>
      </c>
      <c r="H100" s="79">
        <f>IF(F93="No",0,IF(F93="E5.5",'Input prices producer prices'!C126*'Input prices producer prices'!B264*(1-('Input prices producer prices'!B247/100)*(B8-1)),IF(F93="E5.6",'Input prices producer prices'!C127*'Input prices producer prices'!B264*(1-('Input prices producer prices'!B247/100)*(B8-1)),IF(F93="E5.8",'Input prices producer prices'!C129*'Input prices producer prices'!B264*(1-('Input prices producer prices'!B247/100)*(B8-1)),IF(F93="E5.9.1.2.2",'Input prices producer prices'!C131*'Input prices producer prices'!B264*(1-('Input prices producer prices'!B247/100)*(B8-1)),IF(F93="E5.9.1.2.4",'Input prices producer prices'!C132*'Input prices producer prices'!B264*(1-('Input prices producer prices'!B247/100)*(B8-1)),IF(F93="E5.10",'Input prices producer prices'!C133*'Input prices producer prices'!B264*(1-('Input prices producer prices'!B247/100)*(B8-1)),IF(F93="E5.11",'Input prices producer prices'!C134*'Input prices producer prices'!B264*(1-('Input prices producer prices'!B247/100)*(B8-1)),IF(F93="E5.14",'Input prices producer prices'!C137*'Input prices producer prices'!B264*(1-('Input prices producer prices'!B247/100)*(B8-1)),IF(F93="E5.15",'Input prices producer prices'!C138*'Input prices producer prices'!B264*(1-('Input prices producer prices'!B247/100)*(B8-1)),IF(F93="E7.1",'Input prices producer prices'!C141*'Input prices producer prices'!B264*(1-('Input prices producer prices'!B247/100)*(B8-1)),IF(F93="E7.2",'Input prices producer prices'!C142*'Input prices producer prices'!B264*(1-('Input prices producer prices'!B247/100)*(B8-1)),IF(F93="E5.13",'Input prices producer prices'!C136*'Input prices producer prices'!B264*(1-('Input prices producer prices'!B247/100)*(B8-1)),IF(F93="E5.16",'Input prices producer prices'!C139*'Input prices producer prices'!B264*(1-('Input prices producer prices'!B247/100)*(B9-1))))))))))))))))</f>
        <v>0</v>
      </c>
      <c r="I100" s="79">
        <f>H100*('Input prices producer prices'!B247/100)</f>
        <v>0</v>
      </c>
      <c r="J100" s="79">
        <f>H100-I100</f>
        <v>0</v>
      </c>
    </row>
    <row r="101" spans="1:15">
      <c r="G101" s="68" t="s">
        <v>239</v>
      </c>
      <c r="H101" s="79">
        <f>IF(F94="No",0,IF(F94="E5.4",'Input prices producer prices'!C125*'Input prices producer prices'!B264*(1-('Input prices producer prices'!B247/100)*(B9-1)),IF(F94="E5.7",'Input prices producer prices'!C128*'Input prices producer prices'!B264*(1-('Input prices producer prices'!B247/100)*(B9-1)),IF(F94="E5.12",'Input prices producer prices'!C135*'Input prices producer prices'!B264*(1-('Input prices producer prices'!B247/100)*(B9-1)),IF(F94="E5.13",'Input prices producer prices'!C136*'Input prices producer prices'!B264*(1-('Input prices producer prices'!B247/100)*(B9-1)),IF(F94="E7.3",'Input prices producer prices'!C143*'Input prices producer prices'!B264*(1-('Input prices producer prices'!B247/100)*(B9-1)),IF(F94="E7.4",'Input prices producer prices'!C144*'Input prices producer prices'!B264*(1-('Input prices producer prices'!B247/100)*(B9-1)),IF(F94="E7.5",'Input prices producer prices'!C145*'Input prices producer prices'!B264*(1-('Input prices producer prices'!B247/100)*(B9-1)),IF(F94="E7.6",'Input prices producer prices'!C146*'Input prices producer prices'!B264*(1-('Input prices producer prices'!B247/100)*(B9-1)),IF(F94="E7.7",'Input prices producer prices'!C147*'Input prices producer prices'!B264*(1-('Input prices producer prices'!B247/100)*(B9-1)),IF(F94="E7.11",'Input prices producer prices'!C148*'Input prices producer prices'!B264*(1-('Input prices producer prices'!B247/100)*(B9-1)), IF(F94="E7.12",'Input prices producer prices'!C149*'Input prices producer prices'!B264*(1-('Input prices producer prices'!B247/100)*(B9-1)),IF(F94="E5.16",'Input prices producer prices'!C139*'Input prices producer prices'!B264*(1-('Input prices producer prices'!B247/100)*(B9-1)),IF(F94="E7.2", 'Input prices producer prices'!C142*'Input prices producer prices'!B264*(1-('Input prices producer prices'!B247/100)*(B9-1))))))))))))))))</f>
        <v>0</v>
      </c>
      <c r="I101" s="79">
        <f>H101*('Input prices producer prices'!B247/100)</f>
        <v>0</v>
      </c>
      <c r="J101" s="79">
        <f>H101-I101</f>
        <v>0</v>
      </c>
    </row>
    <row r="102" spans="1:15">
      <c r="G102" s="68" t="s">
        <v>287</v>
      </c>
      <c r="H102" s="74">
        <f>IF(F93="E7.2", H100*0.4, 0)</f>
        <v>0</v>
      </c>
    </row>
    <row r="103" spans="1:15">
      <c r="A103" s="22" t="s">
        <v>77</v>
      </c>
      <c r="B103" s="22" t="s">
        <v>155</v>
      </c>
      <c r="C103" s="38"/>
      <c r="D103" s="38"/>
      <c r="E103" s="22" t="s">
        <v>25</v>
      </c>
      <c r="G103" s="68" t="s">
        <v>286</v>
      </c>
      <c r="H103" s="74">
        <f>IF(F94="E7.2", H101*0.4, 0)</f>
        <v>0</v>
      </c>
      <c r="I103" s="25"/>
      <c r="J103" s="25"/>
    </row>
    <row r="104" spans="1:15">
      <c r="A104" s="68" t="s">
        <v>154</v>
      </c>
      <c r="B104" s="4">
        <f>'Input prices producer prices'!C5</f>
        <v>100</v>
      </c>
      <c r="E104" s="8">
        <f>B104*($B$58/1000)</f>
        <v>238</v>
      </c>
      <c r="H104" s="35"/>
      <c r="I104" s="25"/>
      <c r="J104" s="25"/>
    </row>
    <row r="105" spans="1:15">
      <c r="H105" s="25"/>
      <c r="I105" s="25"/>
      <c r="J105" s="25"/>
    </row>
    <row r="106" spans="1:15">
      <c r="A106" s="22" t="s">
        <v>160</v>
      </c>
      <c r="B106" s="22" t="s">
        <v>155</v>
      </c>
      <c r="C106" s="38"/>
      <c r="D106" s="38"/>
      <c r="E106" s="22" t="s">
        <v>25</v>
      </c>
      <c r="G106" s="88"/>
      <c r="H106" s="23"/>
    </row>
    <row r="107" spans="1:15">
      <c r="A107" s="23" t="s">
        <v>76</v>
      </c>
    </row>
    <row r="108" spans="1:15">
      <c r="A108" s="68" t="s">
        <v>75</v>
      </c>
      <c r="B108" s="4">
        <f>B55*(B69/100)*(1-B56/100)*100</f>
        <v>58.576683333333335</v>
      </c>
      <c r="C108" s="4"/>
      <c r="E108" s="29">
        <f>B108*($B$58/1000)</f>
        <v>139.41250633333334</v>
      </c>
      <c r="H108" s="4"/>
      <c r="J108" s="105"/>
      <c r="O108" s="4"/>
    </row>
    <row r="109" spans="1:15">
      <c r="A109" s="68" t="s">
        <v>74</v>
      </c>
      <c r="B109" s="29">
        <f>B70/(B58/1000)</f>
        <v>14.915966386554622</v>
      </c>
      <c r="C109" s="4"/>
      <c r="E109" s="4">
        <f>B109*($B$58/1000)</f>
        <v>35.5</v>
      </c>
      <c r="H109" s="4"/>
      <c r="I109" s="4"/>
      <c r="J109" s="101"/>
    </row>
    <row r="110" spans="1:15">
      <c r="A110" s="68" t="s">
        <v>73</v>
      </c>
      <c r="B110" s="4">
        <f>(B75/($B$58/1000))</f>
        <v>1.8907563025210086</v>
      </c>
      <c r="C110" s="4"/>
      <c r="E110" s="4">
        <f>B110*($B$58/1000)</f>
        <v>4.5</v>
      </c>
      <c r="H110" s="49"/>
      <c r="I110" s="4"/>
      <c r="J110" s="49"/>
      <c r="K110" s="4"/>
    </row>
    <row r="111" spans="1:15">
      <c r="A111" s="68" t="s">
        <v>11</v>
      </c>
      <c r="B111" s="4">
        <f>(B73/($B$58/1000))</f>
        <v>0.52521008403361347</v>
      </c>
      <c r="C111" s="4"/>
      <c r="D111" s="4"/>
      <c r="E111" s="4">
        <f>B111*($B$58/1000)</f>
        <v>1.25</v>
      </c>
      <c r="H111" s="4"/>
      <c r="J111" s="44"/>
    </row>
    <row r="112" spans="1:15">
      <c r="A112" s="68" t="s">
        <v>72</v>
      </c>
      <c r="B112" s="4">
        <f>(B72/($B$58/1000))</f>
        <v>0.25210084033613445</v>
      </c>
      <c r="C112" s="4"/>
      <c r="E112" s="4">
        <f t="shared" ref="E112:E118" si="0">B112*($B$58/1000)</f>
        <v>0.6</v>
      </c>
      <c r="H112" s="103"/>
      <c r="K112" s="25"/>
    </row>
    <row r="113" spans="1:11">
      <c r="A113" s="68" t="s">
        <v>10</v>
      </c>
      <c r="B113" s="4">
        <f>(B109+B108/2)*(B56/100)</f>
        <v>1.3261292415966386</v>
      </c>
      <c r="C113" s="4"/>
      <c r="E113" s="4">
        <f>B113*($B$58/1000)</f>
        <v>3.1561875949999996</v>
      </c>
      <c r="K113" s="25"/>
    </row>
    <row r="114" spans="1:11">
      <c r="A114" s="68" t="s">
        <v>70</v>
      </c>
      <c r="B114" s="4">
        <f>(B80/($B$58/1000))</f>
        <v>2.0168067226890756</v>
      </c>
      <c r="C114" s="4"/>
      <c r="E114" s="4">
        <f t="shared" si="0"/>
        <v>4.8</v>
      </c>
      <c r="K114" s="25"/>
    </row>
    <row r="115" spans="1:11">
      <c r="A115" s="68" t="s">
        <v>71</v>
      </c>
      <c r="B115" s="4">
        <f>(B74/($B$58/1000))</f>
        <v>0.39915966386554624</v>
      </c>
      <c r="C115" s="4"/>
      <c r="E115" s="4">
        <f t="shared" si="0"/>
        <v>0.95000000000000007</v>
      </c>
      <c r="H115" s="23"/>
      <c r="I115" s="23"/>
      <c r="J115" s="106"/>
      <c r="K115" s="25"/>
    </row>
    <row r="116" spans="1:11">
      <c r="A116" s="68" t="s">
        <v>170</v>
      </c>
      <c r="B116" s="4">
        <f>B86/($B$58/1000)</f>
        <v>2.2060879146179024</v>
      </c>
      <c r="C116" s="4"/>
      <c r="E116" s="29">
        <f>B116*($B$58/1000)</f>
        <v>5.2504892367906075</v>
      </c>
      <c r="H116" s="76"/>
      <c r="I116" s="107"/>
      <c r="J116" s="108"/>
      <c r="K116" s="25"/>
    </row>
    <row r="117" spans="1:11">
      <c r="A117" s="68" t="s">
        <v>151</v>
      </c>
      <c r="B117" s="4">
        <f>(B70+(0.5*B108*(B58/1000)))*('Input prices producer prices'!B243/100)*('Input prices producer prices'!B261/365)/(B58/1000)</f>
        <v>0.22344369413203638</v>
      </c>
      <c r="C117" s="4"/>
      <c r="D117" s="4"/>
      <c r="E117" s="4">
        <f>B117*($B$58/1000)</f>
        <v>0.53179599203424655</v>
      </c>
      <c r="I117" s="107"/>
    </row>
    <row r="118" spans="1:11">
      <c r="A118" s="68" t="s">
        <v>24</v>
      </c>
      <c r="B118" s="43">
        <f>IF(B43&gt;B39,(B43-B39)*B81*'Input prices producer prices'!C270/(B62*B51*(1-(B56/100))),0)</f>
        <v>1.3851433374917455</v>
      </c>
      <c r="C118" s="4"/>
      <c r="D118" s="4"/>
      <c r="E118" s="4">
        <f t="shared" si="0"/>
        <v>3.296641143230354</v>
      </c>
      <c r="I118" s="25"/>
    </row>
    <row r="119" spans="1:11">
      <c r="A119" s="68" t="s">
        <v>119</v>
      </c>
      <c r="B119" s="4">
        <f>B78/(B58/1000)</f>
        <v>0.84033613445378152</v>
      </c>
      <c r="C119" s="4"/>
      <c r="E119" s="4">
        <f>B119*($B$58/1000)</f>
        <v>2</v>
      </c>
      <c r="I119" s="25"/>
      <c r="J119" s="25"/>
      <c r="K119" s="25"/>
    </row>
    <row r="120" spans="1:11">
      <c r="A120" s="68" t="s">
        <v>117</v>
      </c>
      <c r="B120" s="4">
        <f>B82/(B58/1000)</f>
        <v>0.33193277310924374</v>
      </c>
      <c r="C120" s="4"/>
      <c r="E120" s="4">
        <f>B120*($B$58/1000)</f>
        <v>0.79</v>
      </c>
      <c r="H120" s="25"/>
      <c r="I120" s="25"/>
      <c r="J120" s="25"/>
    </row>
    <row r="121" spans="1:11">
      <c r="A121" s="68" t="s">
        <v>168</v>
      </c>
      <c r="B121" s="4">
        <f>B76/(B58/1000)</f>
        <v>0.25210084033613445</v>
      </c>
      <c r="C121" s="4"/>
      <c r="E121" s="4">
        <f>B121*(B58/1000)</f>
        <v>0.6</v>
      </c>
      <c r="H121" s="25"/>
      <c r="I121" s="25"/>
    </row>
    <row r="122" spans="1:11">
      <c r="C122" s="4"/>
      <c r="E122" s="4"/>
      <c r="G122" s="40"/>
      <c r="H122" s="25"/>
      <c r="I122" s="25"/>
    </row>
    <row r="123" spans="1:11">
      <c r="A123" s="23" t="s">
        <v>69</v>
      </c>
      <c r="C123" s="4"/>
      <c r="D123" s="4"/>
      <c r="E123" s="4"/>
      <c r="G123" s="25"/>
      <c r="H123" s="25"/>
      <c r="I123" s="25"/>
    </row>
    <row r="124" spans="1:11">
      <c r="A124" s="68" t="s">
        <v>68</v>
      </c>
      <c r="B124" s="29">
        <f>IF(B60=43.47,'Input prices producer prices'!C100-'Default scenario'!B113-'Default scenario'!B119, IF(B60=39.14, 'Input prices producer prices'!C101-'Default scenario'!B113-'Default scenario'!B119, IF(B60=25.625, 'Input prices producer prices'!C102-'Default scenario'!B113-'Default scenario'!B119, IF(B60=30.9, 'Input prices producer prices'!C103-'Default scenario'!B113-'Default scenario'!B119))))</f>
        <v>1.1493240976337904</v>
      </c>
      <c r="C124" s="4"/>
      <c r="E124" s="4">
        <f>B124*($B$58/1000)</f>
        <v>2.735391352368421</v>
      </c>
      <c r="I124" s="25"/>
      <c r="J124" s="25"/>
    </row>
    <row r="125" spans="1:11">
      <c r="A125" s="68" t="s">
        <v>23</v>
      </c>
      <c r="B125" s="4">
        <f>('Input prices producer prices'!B242*B39)/((B51*B62)*(1-(B56/100)))/(B58/1000)*100</f>
        <v>5.2825945338853266</v>
      </c>
      <c r="C125" s="85"/>
      <c r="E125" s="4">
        <f>B125*($B$58/1000)</f>
        <v>12.572574990647077</v>
      </c>
      <c r="H125" s="34"/>
      <c r="I125" s="25"/>
      <c r="J125" s="25"/>
    </row>
    <row r="126" spans="1:11">
      <c r="A126" s="68" t="s">
        <v>67</v>
      </c>
      <c r="B126" s="43">
        <f>(B98+H98+H99)*('Input prices producer prices'!B246/100)/B64*100+B98*('Input prices producer prices'!B244/100)/B64*100+B98*(B24*(B31/100/2))/B64*100</f>
        <v>6.0441794453902693</v>
      </c>
      <c r="C126" s="4"/>
      <c r="E126" s="4">
        <f>B126*($B$58/1000)</f>
        <v>14.38514708002884</v>
      </c>
      <c r="G126" s="40"/>
      <c r="I126" s="37"/>
      <c r="J126" s="25"/>
    </row>
    <row r="127" spans="1:11">
      <c r="A127" s="68" t="s">
        <v>222</v>
      </c>
      <c r="B127" s="43">
        <f>(D98+I98+I99)/B63/(B58/1000)*100</f>
        <v>2.7150551640988052</v>
      </c>
      <c r="C127" s="4"/>
      <c r="E127" s="4">
        <f>B127*($B$58/1000)</f>
        <v>6.461831290555156</v>
      </c>
      <c r="G127" s="34"/>
      <c r="I127" s="37"/>
      <c r="J127" s="34"/>
    </row>
    <row r="128" spans="1:11">
      <c r="A128" s="68" t="s">
        <v>223</v>
      </c>
      <c r="B128" s="43">
        <f>(C98+I98+I99)*'Input prices producer prices'!B244/B63/(B58/1000)</f>
        <v>0.6787637910247013</v>
      </c>
      <c r="C128" s="4"/>
      <c r="E128" s="4">
        <f t="shared" ref="E128" si="1">B128*($B$58/1000)</f>
        <v>1.615457822638789</v>
      </c>
      <c r="G128" s="25"/>
      <c r="H128" s="25"/>
      <c r="I128" s="37"/>
      <c r="J128" s="25"/>
    </row>
    <row r="129" spans="1:13">
      <c r="A129" s="68" t="s">
        <v>224</v>
      </c>
      <c r="B129" s="43">
        <f>(B98+H98+H99)*(B31/100)/B63/(B58/1000)</f>
        <v>2.4711244266993029E-2</v>
      </c>
      <c r="C129" s="4"/>
      <c r="E129" s="4">
        <f t="shared" ref="E129:E135" si="2">B129*($B$58/1000)</f>
        <v>5.8812761355443409E-2</v>
      </c>
      <c r="H129" s="25"/>
      <c r="I129" s="37"/>
      <c r="J129" s="25"/>
    </row>
    <row r="130" spans="1:13">
      <c r="A130" s="68" t="s">
        <v>266</v>
      </c>
      <c r="B130" s="43">
        <f>B126-B127-B128-B129</f>
        <v>2.6256492459997696</v>
      </c>
      <c r="C130" s="4"/>
      <c r="E130" s="4">
        <f t="shared" si="2"/>
        <v>6.249045205479451</v>
      </c>
      <c r="G130" s="25"/>
      <c r="I130" s="37"/>
      <c r="J130" s="25"/>
    </row>
    <row r="131" spans="1:13">
      <c r="A131" s="68" t="s">
        <v>6</v>
      </c>
      <c r="B131" s="43">
        <f>'Input prices producer prices'!B233/B62*100/(B58/1000)</f>
        <v>0.83162031936062109</v>
      </c>
      <c r="C131" s="4"/>
      <c r="E131" s="4">
        <f>B131*($B$58/1000)</f>
        <v>1.979256360078278</v>
      </c>
      <c r="G131" s="25"/>
      <c r="H131" s="25"/>
      <c r="I131" s="37"/>
      <c r="J131" s="34"/>
    </row>
    <row r="132" spans="1:13">
      <c r="A132" s="68" t="s">
        <v>222</v>
      </c>
      <c r="B132" s="43">
        <f>(B99+B100+H100+H101)*('Input prices producer prices'!B247/100)/B64*100</f>
        <v>0.64482560147346624</v>
      </c>
      <c r="C132" s="4"/>
      <c r="E132" s="4">
        <f t="shared" si="2"/>
        <v>1.5346849315068496</v>
      </c>
      <c r="G132" s="44"/>
      <c r="H132" s="63"/>
      <c r="I132" s="37"/>
      <c r="J132" s="25"/>
    </row>
    <row r="133" spans="1:13">
      <c r="A133" s="68" t="s">
        <v>223</v>
      </c>
      <c r="B133" s="43">
        <f>(B99+B100+H100+H101)*('Input prices producer prices'!B244/100)/B64*100</f>
        <v>8.060320018418328E-2</v>
      </c>
      <c r="C133" s="4"/>
      <c r="E133" s="4">
        <f t="shared" si="2"/>
        <v>0.1918356164383562</v>
      </c>
      <c r="G133" s="44"/>
      <c r="H133" s="63"/>
      <c r="I133" s="37"/>
      <c r="J133" s="25"/>
    </row>
    <row r="134" spans="1:13">
      <c r="A134" s="68" t="s">
        <v>224</v>
      </c>
      <c r="B134" s="4">
        <f>(B99+B100+H100+H101)*(B31/100)/B64*100</f>
        <v>0.18780545642914703</v>
      </c>
      <c r="C134" s="4"/>
      <c r="D134" s="4"/>
      <c r="E134" s="4">
        <f t="shared" si="2"/>
        <v>0.44697698630136989</v>
      </c>
      <c r="G134" s="44"/>
      <c r="H134" s="63"/>
      <c r="I134" s="37"/>
      <c r="J134" s="34"/>
    </row>
    <row r="135" spans="1:13">
      <c r="A135" s="68" t="s">
        <v>267</v>
      </c>
      <c r="B135" s="43">
        <f>B131-B132-B133-B134</f>
        <v>-8.1613938726175464E-2</v>
      </c>
      <c r="C135" s="4"/>
      <c r="D135" s="4"/>
      <c r="E135" s="4">
        <f t="shared" si="2"/>
        <v>-0.19424117416829759</v>
      </c>
      <c r="G135" s="44"/>
      <c r="H135" s="63"/>
      <c r="I135" s="37"/>
      <c r="J135" s="34"/>
    </row>
    <row r="136" spans="1:13">
      <c r="E136" s="4"/>
      <c r="G136" s="44"/>
      <c r="H136" s="25"/>
      <c r="I136" s="25"/>
      <c r="J136" s="34"/>
      <c r="K136" s="4"/>
    </row>
    <row r="137" spans="1:13">
      <c r="A137" s="68" t="s">
        <v>220</v>
      </c>
      <c r="B137" s="4">
        <f>SUM(B108:B121)+SUM(B124:B126)+B131</f>
        <v>98.449575665340845</v>
      </c>
      <c r="D137" s="4"/>
      <c r="E137" s="4">
        <f>SUM(E108:E121)+SUM(E124:E126)+E131</f>
        <v>234.30999008351111</v>
      </c>
      <c r="G137" s="4"/>
      <c r="H137" s="34"/>
      <c r="I137" s="71"/>
      <c r="J137" s="34"/>
      <c r="M137" s="4"/>
    </row>
    <row r="138" spans="1:13">
      <c r="A138" s="68" t="s">
        <v>221</v>
      </c>
      <c r="B138" s="4">
        <f>B137-B125</f>
        <v>93.166981131455515</v>
      </c>
      <c r="E138" s="4">
        <f>E137-E125</f>
        <v>221.73741509286404</v>
      </c>
      <c r="G138" s="8"/>
      <c r="H138" s="25"/>
      <c r="I138" s="25"/>
      <c r="J138" s="25"/>
      <c r="K138" s="49"/>
    </row>
    <row r="139" spans="1:13">
      <c r="E139" s="4"/>
      <c r="G139" s="8"/>
      <c r="H139" s="25"/>
      <c r="I139" s="25"/>
      <c r="J139" s="25"/>
    </row>
    <row r="140" spans="1:13">
      <c r="A140" s="68" t="s">
        <v>194</v>
      </c>
      <c r="B140" s="82">
        <f>(E137/100)*B63</f>
        <v>1253166.9263978016</v>
      </c>
      <c r="C140" s="54"/>
      <c r="G140" s="4"/>
      <c r="H140" s="25"/>
      <c r="I140" s="25"/>
      <c r="J140" s="25"/>
      <c r="K140" s="49"/>
    </row>
    <row r="141" spans="1:13">
      <c r="A141" s="68" t="s">
        <v>195</v>
      </c>
      <c r="B141" s="82">
        <f>(E138/100)*B63</f>
        <v>1185924.6583565644</v>
      </c>
      <c r="E141" s="4"/>
      <c r="F141" s="73"/>
      <c r="H141" s="25"/>
      <c r="I141" s="25"/>
      <c r="J141" s="25"/>
    </row>
    <row r="142" spans="1:13">
      <c r="F142" s="73"/>
      <c r="G142" s="4"/>
      <c r="H142" s="25"/>
      <c r="I142" s="25"/>
      <c r="J142" s="25"/>
    </row>
    <row r="143" spans="1:13">
      <c r="A143" s="22" t="s">
        <v>66</v>
      </c>
      <c r="H143" s="25"/>
      <c r="I143" s="25"/>
      <c r="J143" s="25"/>
    </row>
    <row r="144" spans="1:13">
      <c r="A144" s="68" t="s">
        <v>159</v>
      </c>
      <c r="B144" s="4">
        <f>B104</f>
        <v>100</v>
      </c>
      <c r="F144" s="73"/>
      <c r="G144" s="74"/>
      <c r="H144" s="25"/>
      <c r="I144" s="25"/>
      <c r="J144" s="25"/>
    </row>
    <row r="145" spans="1:10">
      <c r="A145" s="68" t="s">
        <v>233</v>
      </c>
      <c r="B145" s="4">
        <f>E104</f>
        <v>238</v>
      </c>
      <c r="F145" s="8"/>
      <c r="G145" s="4"/>
    </row>
    <row r="146" spans="1:10">
      <c r="A146" s="68" t="s">
        <v>201</v>
      </c>
      <c r="B146" s="83">
        <f>(B145/100)*B63</f>
        <v>1272902.3136246784</v>
      </c>
      <c r="G146" s="4"/>
    </row>
    <row r="147" spans="1:10">
      <c r="A147" s="9" t="s">
        <v>202</v>
      </c>
      <c r="B147" s="73">
        <f>B146</f>
        <v>1272902.3136246784</v>
      </c>
      <c r="E147" s="73"/>
      <c r="F147" s="4"/>
      <c r="G147" s="4"/>
    </row>
    <row r="148" spans="1:10">
      <c r="G148" s="4"/>
    </row>
    <row r="150" spans="1:10">
      <c r="A150" s="22" t="s">
        <v>385</v>
      </c>
    </row>
    <row r="151" spans="1:10">
      <c r="A151" s="68" t="s">
        <v>232</v>
      </c>
      <c r="B151" s="4">
        <f>B144-B138</f>
        <v>6.8330188685444853</v>
      </c>
      <c r="C151" s="54"/>
      <c r="D151" s="15"/>
      <c r="J151" s="25"/>
    </row>
    <row r="152" spans="1:10">
      <c r="A152" s="68" t="s">
        <v>285</v>
      </c>
      <c r="B152" s="44">
        <f>B153/B51*100</f>
        <v>106.81466436435061</v>
      </c>
      <c r="C152" s="54"/>
      <c r="D152" s="75"/>
      <c r="J152" s="25"/>
    </row>
    <row r="153" spans="1:10">
      <c r="A153" s="68" t="s">
        <v>230</v>
      </c>
      <c r="B153" s="76">
        <f>B147-B141</f>
        <v>86977.65526811406</v>
      </c>
      <c r="C153" s="25"/>
      <c r="D153" s="93"/>
      <c r="J153" s="25"/>
    </row>
    <row r="154" spans="1:10">
      <c r="C154" s="54"/>
      <c r="J154" s="25"/>
    </row>
    <row r="155" spans="1:10">
      <c r="A155" s="22" t="s">
        <v>292</v>
      </c>
      <c r="B155" s="73"/>
      <c r="C155" s="54"/>
      <c r="J155" s="25"/>
    </row>
    <row r="156" spans="1:10">
      <c r="A156" s="68" t="s">
        <v>293</v>
      </c>
      <c r="B156" s="73">
        <v>86977.65526811406</v>
      </c>
      <c r="C156" s="54"/>
      <c r="D156" s="4"/>
      <c r="J156" s="25"/>
    </row>
    <row r="157" spans="1:10">
      <c r="A157" s="68" t="s">
        <v>294</v>
      </c>
      <c r="B157" s="73">
        <f>B153</f>
        <v>86977.65526811406</v>
      </c>
      <c r="C157" s="54"/>
      <c r="D157" s="73"/>
      <c r="J157" s="25"/>
    </row>
    <row r="158" spans="1:10">
      <c r="A158" s="68" t="s">
        <v>300</v>
      </c>
      <c r="B158" s="73">
        <f>B157-B156</f>
        <v>0</v>
      </c>
      <c r="D158" s="5"/>
      <c r="J158" s="25"/>
    </row>
    <row r="159" spans="1:10">
      <c r="A159" s="68" t="s">
        <v>295</v>
      </c>
      <c r="B159" s="3">
        <f>B32/100</f>
        <v>2.67272549075155E-3</v>
      </c>
      <c r="C159" s="54"/>
      <c r="J159" s="25"/>
    </row>
    <row r="160" spans="1:10">
      <c r="A160" s="68" t="s">
        <v>296</v>
      </c>
      <c r="B160" s="68">
        <v>12</v>
      </c>
      <c r="C160" s="54"/>
      <c r="J160" s="25"/>
    </row>
    <row r="161" spans="1:10">
      <c r="A161" s="68" t="s">
        <v>292</v>
      </c>
      <c r="B161" s="92">
        <f>NPV(B159,I203,I204,I205,I206,I207,I208,I209,I210,I211,I212,I213,I215,I214)</f>
        <v>33207.523993656941</v>
      </c>
      <c r="C161" s="54"/>
      <c r="J161" s="25"/>
    </row>
    <row r="162" spans="1:10">
      <c r="C162" s="54"/>
      <c r="H162" s="25"/>
      <c r="I162" s="25"/>
      <c r="J162" s="25"/>
    </row>
    <row r="163" spans="1:10">
      <c r="C163" s="54"/>
      <c r="H163" s="25"/>
      <c r="I163" s="25"/>
      <c r="J163" s="25"/>
    </row>
    <row r="164" spans="1:10">
      <c r="A164" s="22" t="s">
        <v>297</v>
      </c>
      <c r="C164" s="54"/>
      <c r="H164" s="25"/>
      <c r="I164" s="25"/>
      <c r="J164" s="25"/>
    </row>
    <row r="165" spans="1:10">
      <c r="A165" s="68" t="s">
        <v>298</v>
      </c>
      <c r="B165" s="73">
        <f>B156-B153</f>
        <v>0</v>
      </c>
      <c r="C165" s="54"/>
      <c r="H165" s="25"/>
      <c r="I165" s="25"/>
      <c r="J165" s="25"/>
    </row>
    <row r="166" spans="1:10">
      <c r="A166" s="68" t="s">
        <v>336</v>
      </c>
      <c r="B166" s="8">
        <f>B165/B63*100</f>
        <v>0</v>
      </c>
      <c r="D166" s="109"/>
      <c r="E166" s="75"/>
      <c r="F166" s="54"/>
      <c r="H166" s="25"/>
      <c r="I166" s="25"/>
      <c r="J166" s="25"/>
    </row>
    <row r="167" spans="1:10">
      <c r="H167" s="25"/>
      <c r="I167" s="25"/>
      <c r="J167" s="25"/>
    </row>
    <row r="168" spans="1:10">
      <c r="H168" s="25"/>
      <c r="I168" s="25"/>
    </row>
    <row r="169" spans="1:10">
      <c r="A169" s="22" t="s">
        <v>361</v>
      </c>
      <c r="E169" s="1"/>
    </row>
    <row r="170" spans="1:10">
      <c r="A170" s="68" t="s">
        <v>211</v>
      </c>
      <c r="B170" s="8">
        <f>'Emission factors'!C3*1000*(1+AVERAGE(10%,15%,15%))</f>
        <v>77.066666666666663</v>
      </c>
      <c r="D170" s="90"/>
      <c r="E170"/>
    </row>
    <row r="171" spans="1:10">
      <c r="A171" s="68" t="s">
        <v>269</v>
      </c>
      <c r="B171" s="47">
        <f>IF(AND(B91="None",F93="E5.5"),'Emission factors'!C10,IF(AND(B91="None",F93="E5.5"),'Emission factors'!C10,IF(AND(B91="None",F93="E5.6"),'Emission factors'!C11,IF(AND(B91="None",F93="E5.8"),'Emission factors'!C13,IF(AND(B91="None",F93="E5.9.1.2.2"),'Emission factors'!C14,IF(AND(B91="None",F93="E5.9.1.2.4"),'Emission factors'!C15,IF(AND(B91="None",F93="E5.10"),'Emission factors'!C16,IF(AND(B91="None",F93="E5.11"),'Emission factors'!C17,IF(AND(B91="None",F93="E5.15"),'Emission factors'!C21,IF(AND(B91="None",F93="E7.1"),0,IF(AND(B91="None",F93="E7.2"), 'Emission factors'!C28, IF(B91="E5.14", 'Emission factors'!C20, IF(AND(B91="None",F93="E5.13"), 'Emission factors'!C19, IF(AND(B91="None",F93="E5.16"), 'Emission factors'!C22,  0))))))))))))))</f>
        <v>0.48529411764705882</v>
      </c>
      <c r="E171"/>
      <c r="F171" s="47"/>
      <c r="G171" s="16"/>
      <c r="H171" s="16"/>
    </row>
    <row r="172" spans="1:10">
      <c r="A172" s="68" t="s">
        <v>270</v>
      </c>
      <c r="B172" s="47">
        <f>IF(AND(B92="None",F94="E5.4"),'Emission factors'!C9,IF(AND(B92="None",F94="E5.7"),'Emission factors'!C12,IF(AND(B92="None",F94="E5.12"),'Emission factors'!C18,IF(AND(B92="None",F94="E5.13"),'Emission factors'!C19,IF(AND(B92="None",F94="E7.3"),'Emission factors'!C29,IF(AND(B92="None",F94="E7.4"),'Emission factors'!C30,IF(AND(B92="None",F94="E7.5"),'Emission factors'!C31,IF(AND(B92="None",F94="E7.6"),'Emission factors'!C32,IF(AND(B92="None",F94="E7.11"),'Emission factors'!C34,IF(AND(B92="None",F94="E7.12"),'Emission factors'!C35,IF(AND(B92="None",F94="E5.16"),'Emission factors'!C22, IF(B92="E7.7",'Emission factors'!C33, IF(B92="E7.2", 'Emission factors'!C28, IF(AND(B92="None", F94="E5.13"), 'Emission factors'!C19, 0))))))))))))))</f>
        <v>0</v>
      </c>
      <c r="E172"/>
      <c r="F172" s="90"/>
      <c r="G172" s="47"/>
      <c r="H172" s="47"/>
    </row>
    <row r="173" spans="1:10">
      <c r="B173" s="47"/>
      <c r="C173" s="28"/>
      <c r="E173"/>
      <c r="F173" s="47"/>
      <c r="G173" s="16"/>
      <c r="H173" s="16"/>
    </row>
    <row r="174" spans="1:10">
      <c r="A174" s="68" t="s">
        <v>273</v>
      </c>
      <c r="B174" s="4">
        <f>B170*(1-B171)*(1-B172)*(1-B173)</f>
        <v>39.666666666666657</v>
      </c>
      <c r="F174" s="8"/>
      <c r="G174" s="8"/>
      <c r="H174" s="8"/>
    </row>
    <row r="176" spans="1:10">
      <c r="A176" s="22" t="s">
        <v>272</v>
      </c>
    </row>
    <row r="177" spans="1:8">
      <c r="A177" s="68" t="s">
        <v>211</v>
      </c>
      <c r="B177" s="8">
        <f>('Emission factors'!D3)*(1+(AVERAGE(75%,20%,20%)))</f>
        <v>30.433333333333334</v>
      </c>
      <c r="D177" s="7"/>
      <c r="E177"/>
    </row>
    <row r="178" spans="1:8">
      <c r="A178" s="68" t="s">
        <v>269</v>
      </c>
      <c r="B178" s="47">
        <f>IF(AND(B91="None",F93="E5.5"),'Emission factors'!D10,IF(AND(B91="None",F93="E5.6"),'Emission factors'!D11,IF(AND(B91="None",F93="E5.8"),'Emission factors'!D13,IF(AND(B91="None",F93="E5.9.1.2.2"),'Emission factors'!D14,IF(AND(B91="None",F93="E5.9.1.2.4"),'Emission factors'!D15,IF(AND(B91="None",F93="E5.10"),'Emission factors'!D16,IF(AND(B91="None",F93="E5.11"),'Emission factors'!D17,IF(AND(B91="None",F93="E5.14"),'Emission factors'!D20,IF(AND(B91="None",F93="E5.15"),'Emission factors'!D21,IF(AND(B91="None",F93="E7.1"),'Emission factors'!D27,IF(AND(B91="None",F93="E7.2"),'Emission factors'!D28,IF(B91="E5.14",'Emission factors'!D20,IF(AND(B91="None",F93="E5.13"),'Emission factors'!D19, IF(AND(B91="None",F93="E5.16"),'Emission factors'!D22, 0))))))))))))))</f>
        <v>0</v>
      </c>
      <c r="D178" s="3"/>
      <c r="F178" s="47"/>
      <c r="G178" s="16"/>
      <c r="H178" s="16"/>
    </row>
    <row r="179" spans="1:8">
      <c r="A179" s="68" t="s">
        <v>270</v>
      </c>
      <c r="B179" s="47">
        <f>IF(AND(B92="None",F94="E5.4"),'Emission factors'!D9,IF(AND(B92="None",F94="E5.7"),'Emission factors'!D12,IF(AND(B92="None",F94="E5.12"),'Emission factors'!D18,IF(AND(B92="None",F94="E5.13"),'Emission factors'!D19,IF(AND(B92="None",F94="E7.3"),'Emission factors'!D29,IF(AND(B92="None",F94="E7.4"),'Emission factors'!D30,IF(AND(B92="None",F94="E7.5"),'Emission factors'!D31,IF(AND(B92="None",F94="E7.6"),'Emission factors'!D32,IF(AND(B92="None",F94="E7.7"),'Emission factors'!D33,IF(AND(B92="None",F94="E7.11"),'Emission factors'!D34,IF(AND(B92="None",F94="E7.12"),'Emission factors'!D35,IF(AND(B92="E7.7"),'Emission factors'!D33,IF(AND(B92="None",F94="E5.16"),'Emission factors'!D22, IF(AND(B92="None", F94="E7.2"), 'Emission factors'!D28, 0))))))))))))))</f>
        <v>0.13</v>
      </c>
      <c r="F179" s="86"/>
      <c r="G179" s="47"/>
      <c r="H179" s="47"/>
    </row>
    <row r="180" spans="1:8">
      <c r="A180" s="68" t="s">
        <v>273</v>
      </c>
      <c r="B180" s="4">
        <f>B177*(1-B178)*(1-B179)</f>
        <v>26.477</v>
      </c>
      <c r="F180" s="47"/>
      <c r="G180" s="47"/>
      <c r="H180" s="47"/>
    </row>
    <row r="181" spans="1:8">
      <c r="C181" s="4"/>
      <c r="F181" s="8"/>
      <c r="G181" s="8"/>
      <c r="H181" s="8"/>
    </row>
    <row r="182" spans="1:8">
      <c r="A182" s="22" t="s">
        <v>282</v>
      </c>
    </row>
    <row r="183" spans="1:8">
      <c r="A183" s="14" t="s">
        <v>172</v>
      </c>
      <c r="B183" s="6">
        <f>IF(B60=39.14,('Default scenario'!B174*'Input prices producer prices'!C264)/1000, IF(B60=30.9,('Default scenario'!B174*'Input prices producer prices'!E264)/1000, 0))</f>
        <v>3229.9999999999991</v>
      </c>
    </row>
    <row r="185" spans="1:8">
      <c r="A185" s="22" t="s">
        <v>283</v>
      </c>
    </row>
    <row r="186" spans="1:8">
      <c r="A186" s="14" t="s">
        <v>172</v>
      </c>
      <c r="B186" s="6">
        <f>IF(B60=39.14,('Default scenario'!B180*'Input prices producer prices'!C264)/1000, IF(B60=30.9, ('Default scenario'!B180*'Input prices producer prices'!E264)/1000, 0))</f>
        <v>2155.9842857142853</v>
      </c>
      <c r="D186" s="98"/>
    </row>
    <row r="187" spans="1:8">
      <c r="A187" s="14"/>
      <c r="B187" s="6"/>
      <c r="F187" s="47"/>
      <c r="G187" s="16"/>
      <c r="H187" s="16"/>
    </row>
    <row r="188" spans="1:8" s="98" customFormat="1">
      <c r="A188" s="14"/>
      <c r="B188" s="6"/>
      <c r="F188" s="47"/>
      <c r="G188" s="16"/>
      <c r="H188" s="16"/>
    </row>
    <row r="189" spans="1:8" s="98" customFormat="1">
      <c r="A189" s="22" t="s">
        <v>382</v>
      </c>
      <c r="B189" s="6"/>
      <c r="F189" s="47"/>
      <c r="G189" s="16"/>
      <c r="H189" s="16"/>
    </row>
    <row r="190" spans="1:8" s="98" customFormat="1">
      <c r="A190" s="14" t="s">
        <v>384</v>
      </c>
      <c r="B190" s="110">
        <v>593.1</v>
      </c>
      <c r="F190" s="47"/>
      <c r="G190" s="16"/>
      <c r="H190" s="16"/>
    </row>
    <row r="191" spans="1:8" s="98" customFormat="1">
      <c r="A191" s="14" t="s">
        <v>383</v>
      </c>
      <c r="B191" s="8">
        <v>678.7</v>
      </c>
      <c r="F191" s="47"/>
      <c r="G191" s="16"/>
      <c r="H191" s="16"/>
    </row>
    <row r="192" spans="1:8" s="98" customFormat="1">
      <c r="A192" s="14" t="s">
        <v>391</v>
      </c>
      <c r="B192" s="8"/>
      <c r="F192" s="47"/>
      <c r="G192" s="16"/>
      <c r="H192" s="16"/>
    </row>
    <row r="193" spans="1:9" s="98" customFormat="1">
      <c r="A193" s="14" t="s">
        <v>387</v>
      </c>
      <c r="B193" s="8">
        <v>21.2</v>
      </c>
      <c r="F193" s="47"/>
      <c r="G193" s="16"/>
      <c r="H193" s="16"/>
    </row>
    <row r="194" spans="1:9" s="98" customFormat="1">
      <c r="A194" s="14" t="s">
        <v>388</v>
      </c>
      <c r="B194" s="8">
        <v>61.6</v>
      </c>
      <c r="F194" s="47"/>
      <c r="G194" s="16"/>
      <c r="H194" s="16"/>
    </row>
    <row r="195" spans="1:9" s="98" customFormat="1">
      <c r="A195" s="14" t="s">
        <v>386</v>
      </c>
      <c r="B195" s="8">
        <v>59.8</v>
      </c>
      <c r="F195" s="47"/>
      <c r="G195" s="16"/>
      <c r="H195" s="16"/>
    </row>
    <row r="196" spans="1:9" s="98" customFormat="1">
      <c r="A196" s="14" t="s">
        <v>389</v>
      </c>
      <c r="B196" s="8">
        <v>71.3</v>
      </c>
      <c r="F196" s="47"/>
      <c r="G196" s="16"/>
      <c r="H196" s="16"/>
    </row>
    <row r="197" spans="1:9" s="98" customFormat="1">
      <c r="A197" s="14"/>
      <c r="B197" s="8"/>
      <c r="F197" s="47"/>
      <c r="G197" s="16"/>
      <c r="H197" s="16"/>
    </row>
    <row r="198" spans="1:9">
      <c r="A198" s="14" t="s">
        <v>390</v>
      </c>
      <c r="B198" s="68">
        <f>IF(AND(B41="Provision of grains (2g) and straw bales (2 bales)",F90="yes", B60=39.14),(B191-B190)+B193, IF(AND(B41="Provision of grains (2g) and straw bales (2 bales)",F90="no", B60=30.9),(B191-B190)+B194, IF(AND(B41="Provision of grains (2g) and straw bales (2 bales)",F90="yes", B60=30.9), (B191-B190)+B196, IF(AND(B60=30.9,F90="yes", B41="Provision of straw bales (1bale)"),(B191-B190)+B195,(B191-B190)))))</f>
        <v>85.600000000000023</v>
      </c>
      <c r="F198" s="47"/>
      <c r="G198" s="47"/>
      <c r="H198" s="47"/>
    </row>
    <row r="199" spans="1:9">
      <c r="F199" s="47"/>
      <c r="G199" s="16"/>
      <c r="H199" s="16"/>
    </row>
    <row r="200" spans="1:9">
      <c r="F200" s="8"/>
      <c r="G200" s="8"/>
      <c r="H200" s="8"/>
    </row>
    <row r="202" spans="1:9">
      <c r="A202" s="96" t="s">
        <v>302</v>
      </c>
      <c r="B202" s="68" t="s">
        <v>304</v>
      </c>
      <c r="C202" s="68" t="s">
        <v>110</v>
      </c>
      <c r="D202" s="68" t="s">
        <v>303</v>
      </c>
      <c r="E202" s="68" t="s">
        <v>305</v>
      </c>
      <c r="F202" s="68" t="s">
        <v>309</v>
      </c>
      <c r="G202" s="68" t="s">
        <v>310</v>
      </c>
      <c r="H202" s="68" t="s">
        <v>311</v>
      </c>
      <c r="I202" s="68" t="s">
        <v>312</v>
      </c>
    </row>
    <row r="203" spans="1:9">
      <c r="A203" s="68">
        <v>1</v>
      </c>
      <c r="B203" s="95">
        <f t="shared" ref="B203:B214" si="3">IF($B$220=0,0,$B$220/$B$217)</f>
        <v>0</v>
      </c>
      <c r="C203" s="91">
        <f>B220*B218</f>
        <v>0</v>
      </c>
      <c r="D203" s="91">
        <f t="shared" ref="D203:D214" si="4">B203-C203</f>
        <v>0</v>
      </c>
      <c r="E203" s="91">
        <f>B220-D203</f>
        <v>0</v>
      </c>
      <c r="F203" s="74">
        <f>($E$129+$E$134)/100*$B$63</f>
        <v>2705.1299999999997</v>
      </c>
      <c r="G203" s="74">
        <f t="shared" ref="G203:G214" si="5">C203</f>
        <v>0</v>
      </c>
      <c r="H203" s="91">
        <f>G203-F203</f>
        <v>-2705.1299999999997</v>
      </c>
      <c r="I203" s="73">
        <f>$B$158-H203</f>
        <v>2705.1299999999997</v>
      </c>
    </row>
    <row r="204" spans="1:9">
      <c r="A204" s="68">
        <v>2</v>
      </c>
      <c r="B204" s="95">
        <f t="shared" si="3"/>
        <v>0</v>
      </c>
      <c r="C204" s="91">
        <f t="shared" ref="C204:C214" si="6">$B$218*E203</f>
        <v>0</v>
      </c>
      <c r="D204" s="91">
        <f t="shared" si="4"/>
        <v>0</v>
      </c>
      <c r="E204" s="91">
        <f t="shared" ref="E204:E214" si="7">E203-D204</f>
        <v>0</v>
      </c>
      <c r="F204" s="74">
        <f>($E$129+$E$134)/100*$B$63</f>
        <v>2705.1299999999997</v>
      </c>
      <c r="G204" s="74">
        <f t="shared" si="5"/>
        <v>0</v>
      </c>
      <c r="H204" s="91">
        <f t="shared" ref="H204:H215" si="8">G204-F204</f>
        <v>-2705.1299999999997</v>
      </c>
      <c r="I204" s="73">
        <f t="shared" ref="I204:I215" si="9">$B$158-H204</f>
        <v>2705.1299999999997</v>
      </c>
    </row>
    <row r="205" spans="1:9">
      <c r="A205" s="68">
        <v>3</v>
      </c>
      <c r="B205" s="95">
        <f t="shared" si="3"/>
        <v>0</v>
      </c>
      <c r="C205" s="91">
        <f t="shared" si="6"/>
        <v>0</v>
      </c>
      <c r="D205" s="91">
        <f t="shared" si="4"/>
        <v>0</v>
      </c>
      <c r="E205" s="91">
        <f t="shared" si="7"/>
        <v>0</v>
      </c>
      <c r="F205" s="74">
        <f>($E$129+$E$134)/100*$B$63</f>
        <v>2705.1299999999997</v>
      </c>
      <c r="G205" s="74">
        <f t="shared" si="5"/>
        <v>0</v>
      </c>
      <c r="H205" s="91">
        <f t="shared" si="8"/>
        <v>-2705.1299999999997</v>
      </c>
      <c r="I205" s="73">
        <f t="shared" si="9"/>
        <v>2705.1299999999997</v>
      </c>
    </row>
    <row r="206" spans="1:9">
      <c r="A206" s="68">
        <v>4</v>
      </c>
      <c r="B206" s="95">
        <f t="shared" si="3"/>
        <v>0</v>
      </c>
      <c r="C206" s="91">
        <f t="shared" si="6"/>
        <v>0</v>
      </c>
      <c r="D206" s="91">
        <f t="shared" si="4"/>
        <v>0</v>
      </c>
      <c r="E206" s="91">
        <f t="shared" si="7"/>
        <v>0</v>
      </c>
      <c r="F206" s="74">
        <f>($E$129+$E$134)/100*$B$63</f>
        <v>2705.1299999999997</v>
      </c>
      <c r="G206" s="74">
        <f t="shared" si="5"/>
        <v>0</v>
      </c>
      <c r="H206" s="91">
        <f t="shared" si="8"/>
        <v>-2705.1299999999997</v>
      </c>
      <c r="I206" s="73">
        <f t="shared" si="9"/>
        <v>2705.1299999999997</v>
      </c>
    </row>
    <row r="207" spans="1:9">
      <c r="A207" s="68">
        <v>5</v>
      </c>
      <c r="B207" s="95">
        <f t="shared" si="3"/>
        <v>0</v>
      </c>
      <c r="C207" s="91">
        <f t="shared" si="6"/>
        <v>0</v>
      </c>
      <c r="D207" s="91">
        <f t="shared" si="4"/>
        <v>0</v>
      </c>
      <c r="E207" s="91">
        <f t="shared" si="7"/>
        <v>0</v>
      </c>
      <c r="F207" s="74">
        <f>($E$129+$E$134)/100*$B$63</f>
        <v>2705.1299999999997</v>
      </c>
      <c r="G207" s="74">
        <f t="shared" si="5"/>
        <v>0</v>
      </c>
      <c r="H207" s="91">
        <f t="shared" si="8"/>
        <v>-2705.1299999999997</v>
      </c>
      <c r="I207" s="73">
        <f t="shared" si="9"/>
        <v>2705.1299999999997</v>
      </c>
    </row>
    <row r="208" spans="1:9">
      <c r="A208" s="68">
        <v>6</v>
      </c>
      <c r="B208" s="95">
        <f t="shared" si="3"/>
        <v>0</v>
      </c>
      <c r="C208" s="91">
        <f t="shared" si="6"/>
        <v>0</v>
      </c>
      <c r="D208" s="91">
        <f t="shared" si="4"/>
        <v>0</v>
      </c>
      <c r="E208" s="91">
        <f t="shared" si="7"/>
        <v>0</v>
      </c>
      <c r="F208" s="74">
        <f>($E$129+$E$134)/100*$B$63</f>
        <v>2705.1299999999997</v>
      </c>
      <c r="G208" s="74">
        <f t="shared" si="5"/>
        <v>0</v>
      </c>
      <c r="H208" s="91">
        <f t="shared" si="8"/>
        <v>-2705.1299999999997</v>
      </c>
      <c r="I208" s="73">
        <f t="shared" si="9"/>
        <v>2705.1299999999997</v>
      </c>
    </row>
    <row r="209" spans="1:9">
      <c r="A209" s="68">
        <v>7</v>
      </c>
      <c r="B209" s="95">
        <f t="shared" si="3"/>
        <v>0</v>
      </c>
      <c r="C209" s="91">
        <f t="shared" si="6"/>
        <v>0</v>
      </c>
      <c r="D209" s="91">
        <f t="shared" si="4"/>
        <v>0</v>
      </c>
      <c r="E209" s="91">
        <f t="shared" si="7"/>
        <v>0</v>
      </c>
      <c r="F209" s="74">
        <f>($E$129+$E$134)/100*$B$63</f>
        <v>2705.1299999999997</v>
      </c>
      <c r="G209" s="74">
        <f t="shared" si="5"/>
        <v>0</v>
      </c>
      <c r="H209" s="91">
        <f t="shared" si="8"/>
        <v>-2705.1299999999997</v>
      </c>
      <c r="I209" s="73">
        <f t="shared" si="9"/>
        <v>2705.1299999999997</v>
      </c>
    </row>
    <row r="210" spans="1:9">
      <c r="A210" s="68">
        <v>8</v>
      </c>
      <c r="B210" s="95">
        <f t="shared" si="3"/>
        <v>0</v>
      </c>
      <c r="C210" s="91">
        <f t="shared" si="6"/>
        <v>0</v>
      </c>
      <c r="D210" s="91">
        <f t="shared" si="4"/>
        <v>0</v>
      </c>
      <c r="E210" s="91">
        <f t="shared" si="7"/>
        <v>0</v>
      </c>
      <c r="F210" s="74">
        <f>($E$129+$E$134)/100*$B$63</f>
        <v>2705.1299999999997</v>
      </c>
      <c r="G210" s="74">
        <f t="shared" si="5"/>
        <v>0</v>
      </c>
      <c r="H210" s="91">
        <f t="shared" si="8"/>
        <v>-2705.1299999999997</v>
      </c>
      <c r="I210" s="73">
        <f t="shared" si="9"/>
        <v>2705.1299999999997</v>
      </c>
    </row>
    <row r="211" spans="1:9">
      <c r="A211" s="68">
        <v>9</v>
      </c>
      <c r="B211" s="95">
        <f t="shared" si="3"/>
        <v>0</v>
      </c>
      <c r="C211" s="91">
        <f t="shared" si="6"/>
        <v>0</v>
      </c>
      <c r="D211" s="91">
        <f t="shared" si="4"/>
        <v>0</v>
      </c>
      <c r="E211" s="91">
        <f t="shared" si="7"/>
        <v>0</v>
      </c>
      <c r="F211" s="74">
        <f>($E$129+$E$134)/100*$B$63</f>
        <v>2705.1299999999997</v>
      </c>
      <c r="G211" s="74">
        <f t="shared" si="5"/>
        <v>0</v>
      </c>
      <c r="H211" s="91">
        <f t="shared" si="8"/>
        <v>-2705.1299999999997</v>
      </c>
      <c r="I211" s="73">
        <f t="shared" si="9"/>
        <v>2705.1299999999997</v>
      </c>
    </row>
    <row r="212" spans="1:9">
      <c r="A212" s="68">
        <v>10</v>
      </c>
      <c r="B212" s="95">
        <f t="shared" si="3"/>
        <v>0</v>
      </c>
      <c r="C212" s="91">
        <f t="shared" si="6"/>
        <v>0</v>
      </c>
      <c r="D212" s="91">
        <f t="shared" si="4"/>
        <v>0</v>
      </c>
      <c r="E212" s="91">
        <f t="shared" si="7"/>
        <v>0</v>
      </c>
      <c r="F212" s="74">
        <f>($E$129+$E$134)/100*$B$63</f>
        <v>2705.1299999999997</v>
      </c>
      <c r="G212" s="74">
        <f t="shared" si="5"/>
        <v>0</v>
      </c>
      <c r="H212" s="91">
        <f t="shared" si="8"/>
        <v>-2705.1299999999997</v>
      </c>
      <c r="I212" s="73">
        <f t="shared" si="9"/>
        <v>2705.1299999999997</v>
      </c>
    </row>
    <row r="213" spans="1:9">
      <c r="A213" s="25">
        <v>11</v>
      </c>
      <c r="B213" s="95">
        <f t="shared" si="3"/>
        <v>0</v>
      </c>
      <c r="C213" s="91">
        <f t="shared" si="6"/>
        <v>0</v>
      </c>
      <c r="D213" s="91">
        <f t="shared" si="4"/>
        <v>0</v>
      </c>
      <c r="E213" s="91">
        <f t="shared" si="7"/>
        <v>0</v>
      </c>
      <c r="F213" s="74">
        <f>($E$129+$E$134)/100*$B$63</f>
        <v>2705.1299999999997</v>
      </c>
      <c r="G213" s="74">
        <f t="shared" si="5"/>
        <v>0</v>
      </c>
      <c r="H213" s="91">
        <f t="shared" si="8"/>
        <v>-2705.1299999999997</v>
      </c>
      <c r="I213" s="73">
        <f t="shared" si="9"/>
        <v>2705.1299999999997</v>
      </c>
    </row>
    <row r="214" spans="1:9">
      <c r="A214" s="35">
        <v>12</v>
      </c>
      <c r="B214" s="95">
        <f t="shared" si="3"/>
        <v>0</v>
      </c>
      <c r="C214" s="91">
        <f t="shared" si="6"/>
        <v>0</v>
      </c>
      <c r="D214" s="91">
        <f t="shared" si="4"/>
        <v>0</v>
      </c>
      <c r="E214" s="91">
        <f t="shared" si="7"/>
        <v>0</v>
      </c>
      <c r="F214" s="74">
        <f>($E$129+$E$134)/100*$B$63</f>
        <v>2705.1299999999997</v>
      </c>
      <c r="G214" s="74">
        <f t="shared" si="5"/>
        <v>0</v>
      </c>
      <c r="H214" s="91">
        <f t="shared" si="8"/>
        <v>-2705.1299999999997</v>
      </c>
      <c r="I214" s="73">
        <f t="shared" si="9"/>
        <v>2705.1299999999997</v>
      </c>
    </row>
    <row r="215" spans="1:9">
      <c r="A215" s="35">
        <v>12.5</v>
      </c>
      <c r="B215" s="95">
        <v>0</v>
      </c>
      <c r="C215" s="91">
        <v>0</v>
      </c>
      <c r="D215" s="91">
        <v>0</v>
      </c>
      <c r="E215" s="91">
        <v>0</v>
      </c>
      <c r="F215" s="74">
        <f>($E$129+$E$134)/100*$B$63/2</f>
        <v>1352.5649999999998</v>
      </c>
      <c r="G215" s="74">
        <f>0</f>
        <v>0</v>
      </c>
      <c r="H215" s="91">
        <f t="shared" si="8"/>
        <v>-1352.5649999999998</v>
      </c>
      <c r="I215" s="73">
        <f t="shared" si="9"/>
        <v>1352.5649999999998</v>
      </c>
    </row>
    <row r="217" spans="1:9">
      <c r="A217" s="68" t="s">
        <v>307</v>
      </c>
      <c r="B217" s="4">
        <f>(1-(1/((1+B218)^B219)))/B218</f>
        <v>10.364152829379517</v>
      </c>
    </row>
    <row r="218" spans="1:9">
      <c r="A218" s="68" t="s">
        <v>308</v>
      </c>
      <c r="B218" s="5">
        <f>B31/100</f>
        <v>2.3300000000000001E-2</v>
      </c>
      <c r="I218" s="73"/>
    </row>
    <row r="219" spans="1:9">
      <c r="A219" s="68" t="s">
        <v>302</v>
      </c>
      <c r="B219" s="68">
        <v>12</v>
      </c>
    </row>
    <row r="220" spans="1:9">
      <c r="A220" s="68" t="s">
        <v>306</v>
      </c>
      <c r="B220" s="74">
        <f>SUM(H98:H103)</f>
        <v>0</v>
      </c>
    </row>
  </sheetData>
  <conditionalFormatting sqref="A113">
    <cfRule type="expression" dxfId="38" priority="21" stopIfTrue="1">
      <formula>IF(RiskSelectedNameCell1=CELL("address",$A$113),TRUE)</formula>
    </cfRule>
  </conditionalFormatting>
  <conditionalFormatting sqref="E108">
    <cfRule type="expression" dxfId="37" priority="25" stopIfTrue="1">
      <formula>IF(RiskSelectedCell=CELL("address",E108),TRUE)</formula>
    </cfRule>
  </conditionalFormatting>
  <conditionalFormatting sqref="A108">
    <cfRule type="expression" dxfId="36" priority="26" stopIfTrue="1">
      <formula>IF(RiskSelectedNameCell1=CELL("address",$A$108),TRUE)</formula>
    </cfRule>
  </conditionalFormatting>
  <conditionalFormatting sqref="E138">
    <cfRule type="expression" dxfId="35" priority="27" stopIfTrue="1">
      <formula>IF(RiskSelectedCell=CELL("address",E138),TRUE)</formula>
    </cfRule>
  </conditionalFormatting>
  <conditionalFormatting sqref="A138">
    <cfRule type="expression" dxfId="34" priority="28" stopIfTrue="1">
      <formula>IF(RiskSelectedNameCell1=CELL("address",$A$138),TRUE)</formula>
    </cfRule>
  </conditionalFormatting>
  <conditionalFormatting sqref="G178">
    <cfRule type="expression" dxfId="33" priority="31" stopIfTrue="1">
      <formula>IF(RiskSelectedNameCell2=CELL("address",$G$178),TRUE)</formula>
    </cfRule>
  </conditionalFormatting>
  <conditionalFormatting sqref="B145">
    <cfRule type="expression" dxfId="32" priority="55" stopIfTrue="1">
      <formula>IF(RiskSelectedCell=CELL("address",B145),TRUE)</formula>
    </cfRule>
  </conditionalFormatting>
  <conditionalFormatting sqref="A145">
    <cfRule type="expression" dxfId="31" priority="56" stopIfTrue="1">
      <formula>IF(RiskSelectedNameCell1=CELL("address",$A$145),TRUE)</formula>
    </cfRule>
  </conditionalFormatting>
  <conditionalFormatting sqref="A186">
    <cfRule type="expression" dxfId="30" priority="64" stopIfTrue="1">
      <formula>IF(RiskSelectedNameCell1=CELL("address",$A$186),TRUE)</formula>
    </cfRule>
  </conditionalFormatting>
  <conditionalFormatting sqref="B186">
    <cfRule type="expression" dxfId="29" priority="69" stopIfTrue="1">
      <formula>IF(RiskSelectedCell=CELL("address",B186),TRUE)</formula>
    </cfRule>
  </conditionalFormatting>
  <conditionalFormatting sqref="B147">
    <cfRule type="expression" dxfId="28" priority="73" stopIfTrue="1">
      <formula>IF(RiskSelectedCell=CELL("address",B147),TRUE)</formula>
    </cfRule>
  </conditionalFormatting>
  <conditionalFormatting sqref="A147">
    <cfRule type="expression" dxfId="27" priority="74" stopIfTrue="1">
      <formula>IF(RiskSelectedNameCell1=CELL("address",$A$147),TRUE)</formula>
    </cfRule>
  </conditionalFormatting>
  <conditionalFormatting sqref="B106">
    <cfRule type="expression" dxfId="26" priority="77" stopIfTrue="1">
      <formula>IF(RiskSelectedNameCell2=CELL("address",$B$106),TRUE)</formula>
    </cfRule>
  </conditionalFormatting>
  <dataValidations count="10">
    <dataValidation type="list" allowBlank="1" showInputMessage="1" showErrorMessage="1" sqref="B60" xr:uid="{EA58373C-2015-4553-A018-1E6684FC76F6}">
      <mc:AlternateContent xmlns:x12ac="http://schemas.microsoft.com/office/spreadsheetml/2011/1/ac" xmlns:mc="http://schemas.openxmlformats.org/markup-compatibility/2006">
        <mc:Choice Requires="x12ac">
          <x12ac:list>"43,47"," 39,14"," 25,625"," 30,9"</x12ac:list>
        </mc:Choice>
        <mc:Fallback>
          <formula1>"43,47, 39,14, 25,625, 30,9"</formula1>
        </mc:Fallback>
      </mc:AlternateContent>
    </dataValidation>
    <dataValidation type="list" allowBlank="1" showInputMessage="1" showErrorMessage="1" sqref="B92" xr:uid="{0F77C274-9A83-4F6F-9E47-E799C9467E8A}">
      <formula1>"None, E7.7"</formula1>
    </dataValidation>
    <dataValidation type="list" allowBlank="1" showInputMessage="1" showErrorMessage="1" sqref="B91" xr:uid="{086AD17E-6FC6-47FA-857D-856AD4833CA4}">
      <formula1>"None, E5.14"</formula1>
    </dataValidation>
    <dataValidation type="list" allowBlank="1" showInputMessage="1" showErrorMessage="1" sqref="F90:F91" xr:uid="{7E923F3C-B33A-4678-BA49-931A083D7752}">
      <formula1>"Yes, No"</formula1>
    </dataValidation>
    <dataValidation type="list" allowBlank="1" showInputMessage="1" showErrorMessage="1" sqref="B54" xr:uid="{7C1F678C-E7DF-4800-9D67-AAEEED25A735}">
      <formula1>"Ross 308, Hubbard JA 987, Hubbard JA 757"</formula1>
    </dataValidation>
    <dataValidation type="list" allowBlank="1" showInputMessage="1" showErrorMessage="1" sqref="F94" xr:uid="{DB5D0825-976D-4846-B6FA-31653A2659AC}">
      <formula1>"No, E5.4, E5.7, E5.12, E5.13, E7.2, E7.3, E7.4, E7.5, E7.6, E7.7, E7.11, E7.12, E5.16"</formula1>
    </dataValidation>
    <dataValidation type="list" allowBlank="1" showInputMessage="1" showErrorMessage="1" sqref="F93" xr:uid="{ABF79AF7-77F5-4C19-86FD-CD0D57BAE152}">
      <formula1>"No, E5.5, E5.6, E5.8, 5.9.1.2.2, 5.9.1.2.4, E5.10, E5.11, E5.14, E5.15, E7.1, E7.2, E5.13, E5.16"</formula1>
    </dataValidation>
    <dataValidation type="list" allowBlank="1" showInputMessage="1" showErrorMessage="1" sqref="B41" xr:uid="{163E61E6-389E-4A4A-AD3D-FC0F588FF1D9}">
      <formula1>"No extra activity, Provision of straw bales (1bale), Provision of grains (2g) and straw bales (1 bale), Provision of grains (2g) and straw bales (2 bales)"</formula1>
    </dataValidation>
    <dataValidation type="list" allowBlank="1" showInputMessage="1" showErrorMessage="1" sqref="B71" xr:uid="{64997F6E-A54E-457B-AC57-F4E8C877AE5A}">
      <formula1>"None, 1 bale/1000 broilers, 2g/broiler 1 bale/1000 broilers, 2g/broiler 2 bales/1000 broilers"</formula1>
    </dataValidation>
    <dataValidation type="list" allowBlank="1" showInputMessage="1" showErrorMessage="1" sqref="B68" xr:uid="{446A5B5A-CD1A-4CAE-8AA4-765FAA2E3E98}">
      <formula1>"Compound feed conventional, Compound feed NDRS, Compound feed Extensive Indoor+"</formula1>
    </dataValidation>
  </dataValidations>
  <pageMargins left="0.7" right="0.7" top="0.75" bottom="0.75" header="0.3" footer="0.3"/>
  <pageSetup paperSize="9"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C2BA7-74E0-494F-AF58-689B98AADA79}">
  <sheetPr codeName="Sheet5"/>
  <dimension ref="A1:O227"/>
  <sheetViews>
    <sheetView tabSelected="1" topLeftCell="A61" zoomScaleNormal="100" workbookViewId="0">
      <selection activeCell="E137" sqref="E137:E138"/>
    </sheetView>
  </sheetViews>
  <sheetFormatPr defaultRowHeight="15"/>
  <cols>
    <col min="1" max="1" width="50.5703125" style="98" customWidth="1"/>
    <col min="2" max="2" width="23.42578125" style="98" customWidth="1"/>
    <col min="3" max="3" width="18" style="98" customWidth="1"/>
    <col min="4" max="4" width="16" style="98" customWidth="1"/>
    <col min="5" max="5" width="29.28515625" style="98" customWidth="1"/>
    <col min="6" max="6" width="20.7109375" style="98" customWidth="1"/>
    <col min="7" max="7" width="33.85546875" style="98" customWidth="1"/>
    <col min="8" max="8" width="22.28515625" style="98" customWidth="1"/>
    <col min="9" max="9" width="16" style="98" customWidth="1"/>
    <col min="10" max="10" width="20.5703125" style="98" customWidth="1"/>
    <col min="11" max="11" width="15.85546875" style="98" customWidth="1"/>
    <col min="12" max="15" width="9.140625" style="98"/>
    <col min="16" max="16" width="19.140625" style="98" customWidth="1"/>
    <col min="17" max="17" width="17.7109375" style="98" customWidth="1"/>
    <col min="18" max="16384" width="9.140625" style="98"/>
  </cols>
  <sheetData>
    <row r="1" spans="1:13">
      <c r="A1" s="22" t="s">
        <v>107</v>
      </c>
      <c r="H1" s="25"/>
      <c r="I1" s="25"/>
      <c r="J1" s="33"/>
    </row>
    <row r="2" spans="1:13">
      <c r="A2" s="98" t="s">
        <v>262</v>
      </c>
      <c r="B2" s="98">
        <v>10</v>
      </c>
      <c r="H2" s="25"/>
      <c r="I2" s="25"/>
      <c r="J2" s="25"/>
    </row>
    <row r="3" spans="1:13">
      <c r="A3" s="98" t="s">
        <v>106</v>
      </c>
      <c r="B3" s="98">
        <v>1</v>
      </c>
      <c r="E3" s="13" t="s">
        <v>393</v>
      </c>
      <c r="F3" s="12"/>
      <c r="H3" s="25"/>
      <c r="I3" s="28"/>
      <c r="J3" s="32"/>
      <c r="K3" s="25"/>
      <c r="L3" s="25"/>
      <c r="M3" s="36"/>
    </row>
    <row r="4" spans="1:13">
      <c r="A4" s="98" t="s">
        <v>105</v>
      </c>
      <c r="B4" s="98">
        <v>10</v>
      </c>
      <c r="D4" s="41"/>
      <c r="H4" s="25"/>
      <c r="I4" s="25"/>
      <c r="J4" s="25"/>
    </row>
    <row r="5" spans="1:13">
      <c r="A5" s="98" t="s">
        <v>209</v>
      </c>
      <c r="B5" s="98">
        <v>10</v>
      </c>
      <c r="H5" s="25"/>
      <c r="I5" s="25"/>
      <c r="J5" s="25"/>
    </row>
    <row r="6" spans="1:13">
      <c r="A6" s="98" t="s">
        <v>210</v>
      </c>
      <c r="B6" s="98">
        <v>10</v>
      </c>
      <c r="H6" s="25"/>
      <c r="I6" s="25"/>
      <c r="J6" s="25"/>
    </row>
    <row r="7" spans="1:13">
      <c r="A7" s="98" t="s">
        <v>104</v>
      </c>
      <c r="B7" s="98">
        <v>1</v>
      </c>
      <c r="D7" s="41"/>
      <c r="H7" s="25"/>
      <c r="I7" s="25"/>
      <c r="J7" s="25"/>
    </row>
    <row r="8" spans="1:13">
      <c r="A8" s="98" t="s">
        <v>103</v>
      </c>
      <c r="B8" s="98">
        <v>1</v>
      </c>
      <c r="H8" s="25"/>
      <c r="I8" s="25"/>
      <c r="J8" s="25"/>
    </row>
    <row r="9" spans="1:13">
      <c r="A9" s="98" t="s">
        <v>102</v>
      </c>
      <c r="B9" s="98">
        <v>1</v>
      </c>
    </row>
    <row r="11" spans="1:13">
      <c r="A11" s="12" t="s">
        <v>101</v>
      </c>
      <c r="B11" s="12" t="s">
        <v>12</v>
      </c>
    </row>
    <row r="13" spans="1:13">
      <c r="A13" s="22" t="s">
        <v>100</v>
      </c>
      <c r="M13" s="28"/>
    </row>
    <row r="14" spans="1:13">
      <c r="A14" s="98" t="s">
        <v>99</v>
      </c>
      <c r="B14" s="52">
        <f>SUM(B15:B22)</f>
        <v>1628731.02785841</v>
      </c>
      <c r="D14" s="41"/>
      <c r="M14" s="28"/>
    </row>
    <row r="15" spans="1:13">
      <c r="A15" s="98" t="s">
        <v>65</v>
      </c>
      <c r="B15" s="53">
        <f>IF('Input prices producer prices'!C123*'Input prices producer prices'!B264*(1-('Input prices producer prices'!B246/100)*(B4-1))&gt;=0, 'Input prices producer prices'!C123*'Input prices producer prices'!B264*(1-('Input prices producer prices'!B246/100)*(B4-1)),0)</f>
        <v>864000</v>
      </c>
      <c r="D15" s="41"/>
      <c r="M15" s="28"/>
    </row>
    <row r="16" spans="1:13">
      <c r="A16" s="98" t="s">
        <v>228</v>
      </c>
      <c r="B16" s="53">
        <v>0</v>
      </c>
      <c r="D16" s="41"/>
    </row>
    <row r="17" spans="1:14">
      <c r="A17" s="98" t="s">
        <v>263</v>
      </c>
      <c r="B17" s="65">
        <f>IF(B91="None", 0,IF(B91="E5.14", 'Input prices producer prices'!C137*'Input prices producer prices'!B264*(1-('Input prices producer prices'!B247/100)*(B5-1))))</f>
        <v>5292.0000000000009</v>
      </c>
      <c r="D17" s="81"/>
    </row>
    <row r="18" spans="1:14">
      <c r="A18" s="98" t="s">
        <v>264</v>
      </c>
      <c r="B18" s="65">
        <f>IF(B92="None", 0,IF(B92="E7.7", 'Input prices producer prices'!C147*'Input prices producer prices'!B264*(1-('Input prices producer prices'!B247/100)*(B6-1))))</f>
        <v>23436.000000000004</v>
      </c>
      <c r="D18" s="41"/>
    </row>
    <row r="19" spans="1:14">
      <c r="A19" s="98" t="s">
        <v>260</v>
      </c>
      <c r="B19" s="65">
        <v>0</v>
      </c>
      <c r="D19" s="41"/>
    </row>
    <row r="20" spans="1:14">
      <c r="A20" s="98" t="s">
        <v>261</v>
      </c>
      <c r="B20" s="65">
        <v>0</v>
      </c>
      <c r="D20" s="41"/>
      <c r="M20" s="4"/>
    </row>
    <row r="21" spans="1:14">
      <c r="A21" s="98" t="s">
        <v>64</v>
      </c>
      <c r="B21" s="52">
        <f>((B55*B58)/1000*B51*B62*(B69/100))/2</f>
        <v>384342.24607969157</v>
      </c>
      <c r="M21" s="8"/>
    </row>
    <row r="22" spans="1:14">
      <c r="A22" s="98" t="s">
        <v>63</v>
      </c>
      <c r="B22" s="52">
        <f>((B70/100)+0.5*(B108/100))*B62*B51</f>
        <v>351660.78177871823</v>
      </c>
      <c r="M22" s="4"/>
    </row>
    <row r="23" spans="1:14">
      <c r="A23" s="98" t="s">
        <v>62</v>
      </c>
      <c r="B23" s="7">
        <f>B24/B28</f>
        <v>1.4999999999999998</v>
      </c>
    </row>
    <row r="24" spans="1:14">
      <c r="A24" s="98" t="s">
        <v>61</v>
      </c>
      <c r="B24" s="11">
        <v>0.6</v>
      </c>
    </row>
    <row r="25" spans="1:14" ht="14.25" customHeight="1">
      <c r="A25" s="98" t="s">
        <v>60</v>
      </c>
      <c r="B25" s="66">
        <f>B14*B24</f>
        <v>977238.616715046</v>
      </c>
    </row>
    <row r="26" spans="1:14" ht="14.25" customHeight="1">
      <c r="A26" s="98" t="s">
        <v>98</v>
      </c>
      <c r="B26" s="66">
        <f>B25-B27</f>
        <v>390895.44668601837</v>
      </c>
      <c r="D26" s="41"/>
      <c r="N26" s="8"/>
    </row>
    <row r="27" spans="1:14">
      <c r="A27" s="98" t="s">
        <v>97</v>
      </c>
      <c r="B27" s="66">
        <f>B25*0.6</f>
        <v>586343.17002902762</v>
      </c>
      <c r="D27" s="41"/>
    </row>
    <row r="28" spans="1:14">
      <c r="A28" s="98" t="s">
        <v>58</v>
      </c>
      <c r="B28" s="11">
        <f>1-B24</f>
        <v>0.4</v>
      </c>
      <c r="N28" s="6"/>
    </row>
    <row r="29" spans="1:14">
      <c r="A29" s="98" t="s">
        <v>59</v>
      </c>
      <c r="B29" s="51">
        <f>B28*B14</f>
        <v>651492.41114336404</v>
      </c>
    </row>
    <row r="30" spans="1:14">
      <c r="A30" s="98" t="s">
        <v>217</v>
      </c>
      <c r="B30" s="56">
        <v>-0.2026</v>
      </c>
      <c r="D30" s="41"/>
    </row>
    <row r="31" spans="1:14">
      <c r="A31" s="98" t="s">
        <v>216</v>
      </c>
      <c r="B31" s="7">
        <v>2.33</v>
      </c>
      <c r="D31" s="41"/>
    </row>
    <row r="32" spans="1:14">
      <c r="A32" s="98" t="s">
        <v>301</v>
      </c>
      <c r="B32" s="44">
        <v>0.26727254907515502</v>
      </c>
      <c r="D32" s="41"/>
    </row>
    <row r="33" spans="1:10">
      <c r="A33" s="98" t="s">
        <v>218</v>
      </c>
      <c r="B33" s="72">
        <f>B30*B26</f>
        <v>-79195.417498587325</v>
      </c>
      <c r="D33" s="41"/>
      <c r="F33" s="2"/>
      <c r="G33" s="2"/>
      <c r="H33" s="2"/>
    </row>
    <row r="34" spans="1:10">
      <c r="A34" s="98" t="s">
        <v>219</v>
      </c>
      <c r="B34" s="72">
        <f>B27*B31</f>
        <v>1366179.5861676345</v>
      </c>
      <c r="F34" s="2"/>
      <c r="G34" s="1"/>
      <c r="H34" s="2"/>
    </row>
    <row r="35" spans="1:10">
      <c r="A35" s="22" t="s">
        <v>96</v>
      </c>
      <c r="F35" s="2"/>
      <c r="G35" s="2"/>
      <c r="H35" s="84"/>
    </row>
    <row r="36" spans="1:10">
      <c r="A36" s="23" t="s">
        <v>14</v>
      </c>
      <c r="F36" s="2"/>
      <c r="G36" s="2"/>
      <c r="H36" s="2"/>
    </row>
    <row r="37" spans="1:10">
      <c r="A37" s="2" t="s">
        <v>95</v>
      </c>
      <c r="B37" s="98">
        <v>1</v>
      </c>
      <c r="F37" s="2"/>
      <c r="G37" s="2"/>
      <c r="H37" s="2"/>
    </row>
    <row r="38" spans="1:10">
      <c r="A38" s="98" t="s">
        <v>94</v>
      </c>
      <c r="B38" s="8">
        <v>2349</v>
      </c>
      <c r="H38" s="25"/>
      <c r="I38" s="25"/>
      <c r="J38" s="25"/>
    </row>
    <row r="39" spans="1:10">
      <c r="A39" s="98" t="s">
        <v>93</v>
      </c>
      <c r="B39" s="8">
        <f>B38*B37</f>
        <v>2349</v>
      </c>
      <c r="H39" s="25"/>
      <c r="I39" s="25"/>
      <c r="J39" s="25"/>
    </row>
    <row r="40" spans="1:10">
      <c r="A40" s="98" t="s">
        <v>197</v>
      </c>
      <c r="B40" s="8">
        <f>'Input prices producer prices'!C270*B62*B51/10000</f>
        <v>1822.9742930591251</v>
      </c>
      <c r="H40" s="25"/>
      <c r="I40" s="25"/>
      <c r="J40" s="25"/>
    </row>
    <row r="41" spans="1:10">
      <c r="A41" s="98" t="s">
        <v>92</v>
      </c>
      <c r="B41" s="13" t="s">
        <v>289</v>
      </c>
      <c r="D41" s="8"/>
      <c r="H41" s="25"/>
      <c r="I41" s="25"/>
      <c r="J41" s="25"/>
    </row>
    <row r="42" spans="1:10">
      <c r="A42" s="98" t="s">
        <v>91</v>
      </c>
      <c r="B42" s="8">
        <f>IF(B41="No extra activity", 0, IF(B41="Provision of straw bales (1bale)", 'Input prices producer prices'!C271*B51/10000*((B59-8)*'Input prices producer prices'!C262), IF(B41="Provision of grains (2g) and straw bales (1 bale)", 'Input prices producer prices'!C271*B51/10000*((B59-8)*'Input prices producer prices'!D262), IF(B41="Provision of grains (2g) and straw bales (2 bales)", 'Input prices producer prices'!C272*B51/10000*((B59-8)*'Input prices producer prices'!E262)))))</f>
        <v>1084.9467499081893</v>
      </c>
      <c r="D42" s="41"/>
      <c r="H42" s="25"/>
      <c r="I42" s="25"/>
      <c r="J42" s="25"/>
    </row>
    <row r="43" spans="1:10">
      <c r="A43" s="98" t="s">
        <v>90</v>
      </c>
      <c r="B43" s="8">
        <f>B40+B42</f>
        <v>2907.9210429673144</v>
      </c>
      <c r="H43" s="25"/>
      <c r="I43" s="25"/>
      <c r="J43" s="25"/>
    </row>
    <row r="44" spans="1:10">
      <c r="H44" s="25"/>
      <c r="I44" s="25"/>
      <c r="J44" s="25"/>
    </row>
    <row r="45" spans="1:10">
      <c r="A45" s="23" t="s">
        <v>89</v>
      </c>
    </row>
    <row r="46" spans="1:10">
      <c r="A46" s="98" t="s">
        <v>268</v>
      </c>
      <c r="B46" s="8">
        <f>IF(F91="no", ('Input prices producer prices'!B264/('Input prices producer prices'!B258*(1+'Input prices producer prices'!B254/100)/'Input prices producer prices'!B257)/1000), IF(F91="yes", ('Input prices producer prices'!B264/('Input prices producer prices'!B258*(1+'Input prices producer prices'!B254/100)/'Input prices producer prices'!B257)/1000)*1.2))</f>
        <v>4927.5362318840589</v>
      </c>
      <c r="H46" s="25"/>
      <c r="I46" s="25"/>
      <c r="J46" s="25"/>
    </row>
    <row r="47" spans="1:10">
      <c r="H47" s="25"/>
      <c r="I47" s="25"/>
      <c r="J47" s="25"/>
    </row>
    <row r="48" spans="1:10">
      <c r="A48" s="98" t="s">
        <v>88</v>
      </c>
      <c r="H48" s="25"/>
      <c r="I48" s="25"/>
      <c r="J48" s="25"/>
    </row>
    <row r="49" spans="1:10">
      <c r="A49" s="98" t="s">
        <v>87</v>
      </c>
      <c r="B49" s="4">
        <f>B60</f>
        <v>39.14</v>
      </c>
      <c r="H49" s="25"/>
      <c r="I49" s="25"/>
      <c r="J49" s="25"/>
    </row>
    <row r="50" spans="1:10">
      <c r="A50" s="98" t="s">
        <v>86</v>
      </c>
      <c r="B50" s="4">
        <f>B49/(B58/1000)</f>
        <v>16.445378151260506</v>
      </c>
      <c r="H50" s="25"/>
      <c r="I50" s="25"/>
      <c r="J50" s="25"/>
    </row>
    <row r="51" spans="1:10">
      <c r="A51" s="98" t="s">
        <v>85</v>
      </c>
      <c r="B51" s="77">
        <f>IF(B60=43.47,'Input prices producer prices'!B264,IF(B60=39.14,'Input prices producer prices'!C264,IF(B60=25.625,'Input prices producer prices'!D264,IF(B60=30.9,'Input prices producer prices'!E264))))</f>
        <v>81428.57142857142</v>
      </c>
      <c r="E51" s="41"/>
      <c r="H51" s="25"/>
      <c r="I51" s="25"/>
      <c r="J51" s="25"/>
    </row>
    <row r="52" spans="1:10">
      <c r="H52" s="25"/>
      <c r="I52" s="25"/>
      <c r="J52" s="25"/>
    </row>
    <row r="53" spans="1:10">
      <c r="A53" s="22" t="s">
        <v>84</v>
      </c>
      <c r="H53" s="25"/>
      <c r="I53" s="25"/>
      <c r="J53" s="25"/>
    </row>
    <row r="54" spans="1:10">
      <c r="A54" s="14" t="s">
        <v>2</v>
      </c>
      <c r="B54" s="13" t="s">
        <v>276</v>
      </c>
      <c r="H54" s="25"/>
      <c r="I54" s="25"/>
      <c r="J54" s="25"/>
    </row>
    <row r="55" spans="1:10">
      <c r="A55" s="98" t="s">
        <v>145</v>
      </c>
      <c r="B55" s="98">
        <f>IF(B54="Ross 308", 'Input prices producer prices'!B253, IF(B54="Hubbard JA 987", 'Input prices producer prices'!C253, IF(B54="Hubbard JA 757", 'Input prices producer prices'!D253)))</f>
        <v>1.9</v>
      </c>
      <c r="H55" s="25"/>
      <c r="I55" s="25"/>
      <c r="J55" s="25"/>
    </row>
    <row r="56" spans="1:10">
      <c r="A56" s="98" t="s">
        <v>146</v>
      </c>
      <c r="B56" s="98">
        <f>IF(B54="Ross 308", 'Input prices producer prices'!B254, IF(B54="Hubbard JA 987", 'Input prices producer prices'!C254, IF(B54="Hubbard JA 757", 'Input prices producer prices'!D254)))</f>
        <v>3</v>
      </c>
      <c r="H56" s="25"/>
      <c r="I56" s="25"/>
      <c r="J56" s="25"/>
    </row>
    <row r="57" spans="1:10">
      <c r="A57" s="98" t="s">
        <v>147</v>
      </c>
      <c r="B57" s="98">
        <f>IF(B54="Ross 308", 'Input prices producer prices'!B256, IF(B54="Hubbard JA 987", 'Input prices producer prices'!C256, IF(B54="Hubbard JA 757", 'Input prices producer prices'!D256+1)))</f>
        <v>49</v>
      </c>
      <c r="H57" s="25"/>
      <c r="I57" s="25"/>
      <c r="J57" s="25"/>
    </row>
    <row r="58" spans="1:10">
      <c r="A58" s="98" t="s">
        <v>148</v>
      </c>
      <c r="B58" s="8">
        <f>'Input prices producer prices'!B257</f>
        <v>2380</v>
      </c>
      <c r="H58" s="25"/>
      <c r="I58" s="25"/>
      <c r="J58" s="25"/>
    </row>
    <row r="59" spans="1:10">
      <c r="A59" s="98" t="s">
        <v>1</v>
      </c>
      <c r="B59" s="8">
        <f>B58/B57</f>
        <v>48.571428571428569</v>
      </c>
      <c r="H59" s="25"/>
      <c r="I59" s="25"/>
      <c r="J59" s="25"/>
    </row>
    <row r="60" spans="1:10">
      <c r="A60" s="98" t="s">
        <v>149</v>
      </c>
      <c r="B60" s="70">
        <v>39.14</v>
      </c>
      <c r="H60" s="25"/>
      <c r="I60" s="25"/>
      <c r="J60" s="25"/>
    </row>
    <row r="61" spans="1:10">
      <c r="A61" s="98" t="s">
        <v>9</v>
      </c>
      <c r="B61" s="29">
        <v>7</v>
      </c>
      <c r="H61" s="25"/>
      <c r="I61" s="25"/>
      <c r="J61" s="25"/>
    </row>
    <row r="62" spans="1:10">
      <c r="A62" s="98" t="s">
        <v>150</v>
      </c>
      <c r="B62" s="4">
        <f>365/(B59+B61)</f>
        <v>6.5681233933161955</v>
      </c>
      <c r="H62" s="25"/>
      <c r="I62" s="25"/>
      <c r="J62" s="25"/>
    </row>
    <row r="63" spans="1:10">
      <c r="A63" s="98" t="s">
        <v>83</v>
      </c>
      <c r="B63" s="30">
        <f>B50*B46*B62</f>
        <v>532249.1710442981</v>
      </c>
      <c r="E63" s="54"/>
      <c r="F63" s="54"/>
      <c r="H63" s="25"/>
      <c r="I63" s="25"/>
      <c r="J63" s="25"/>
    </row>
    <row r="64" spans="1:10">
      <c r="A64" s="98" t="s">
        <v>82</v>
      </c>
      <c r="B64" s="30">
        <f>B49*B62*B46</f>
        <v>1266753.0270854293</v>
      </c>
      <c r="H64" s="25"/>
      <c r="I64" s="25"/>
      <c r="J64" s="25"/>
    </row>
    <row r="65" spans="1:10">
      <c r="B65" s="30"/>
      <c r="H65" s="25"/>
      <c r="I65" s="25"/>
      <c r="J65" s="25"/>
    </row>
    <row r="66" spans="1:10">
      <c r="A66" s="22" t="s">
        <v>81</v>
      </c>
      <c r="H66" s="25"/>
      <c r="I66" s="25"/>
      <c r="J66" s="25"/>
    </row>
    <row r="67" spans="1:10">
      <c r="A67" s="98" t="s">
        <v>215</v>
      </c>
      <c r="B67" s="29">
        <v>6</v>
      </c>
      <c r="H67" s="25"/>
      <c r="I67" s="25"/>
      <c r="J67" s="25"/>
    </row>
    <row r="68" spans="1:10">
      <c r="A68" s="14" t="s">
        <v>134</v>
      </c>
      <c r="B68" s="13" t="s">
        <v>274</v>
      </c>
      <c r="H68" s="25"/>
      <c r="I68" s="25"/>
      <c r="J68" s="25"/>
    </row>
    <row r="69" spans="1:10">
      <c r="A69" s="98" t="s">
        <v>133</v>
      </c>
      <c r="B69" s="43">
        <f>IF(B68="Compound feed conventional",'Input prices producer prices'!C11,IF(B68="Compound feed NDRS",'Input prices producer prices'!C12, IF(B68="Compound feed Extensive Indoor+", 'Input prices producer prices'!C13)))</f>
        <v>31.783333333333335</v>
      </c>
      <c r="H69" s="25"/>
      <c r="I69" s="25"/>
      <c r="J69" s="25"/>
    </row>
    <row r="70" spans="1:10">
      <c r="A70" s="98" t="s">
        <v>137</v>
      </c>
      <c r="B70" s="4">
        <f>IF(B54="Ross 308", 'Input prices producer prices'!C19,IF(B54="Hubbard JA 987", 'Input prices producer prices'!C20, IF(B54="Hubbard JA 757", 'Input prices producer prices'!C21)))</f>
        <v>35.5</v>
      </c>
      <c r="H70" s="25"/>
      <c r="I70" s="25"/>
      <c r="J70" s="25"/>
    </row>
    <row r="71" spans="1:10">
      <c r="A71" s="98" t="s">
        <v>80</v>
      </c>
      <c r="B71" s="13" t="s">
        <v>290</v>
      </c>
      <c r="H71" s="25"/>
      <c r="I71" s="25"/>
      <c r="J71" s="25"/>
    </row>
    <row r="72" spans="1:10">
      <c r="A72" s="98" t="s">
        <v>136</v>
      </c>
      <c r="B72" s="4">
        <f>IF(B71="None",0, IF(B71="1 bale/1000 broilers",'Input prices producer prices'!C46, IF(B71="2g/broiler 1 bale/1000 broilers", 'Input prices producer prices'!C45, IF(B71="2g/broiler 2 bales/1000 broilers",'Input prices producer prices'!C45+'Input prices producer prices'!C46))))</f>
        <v>0.6</v>
      </c>
      <c r="H72" s="25"/>
      <c r="I72" s="25"/>
      <c r="J72" s="25"/>
    </row>
    <row r="73" spans="1:10">
      <c r="A73" s="98" t="s">
        <v>135</v>
      </c>
      <c r="B73" s="4">
        <f>IF(B60=43.47, 'Input prices producer prices'!C52, IF(B60= 39.14, 'Input prices producer prices'!C53, IF(B60=25.625, 'Input prices producer prices'!C54, IF(B60=30.9, 'Input prices producer prices'!C55))))</f>
        <v>1.25</v>
      </c>
      <c r="H73" s="25"/>
      <c r="I73" s="25"/>
      <c r="J73" s="25"/>
    </row>
    <row r="74" spans="1:10">
      <c r="A74" s="98" t="s">
        <v>138</v>
      </c>
      <c r="B74" s="98">
        <f>IF(B60=43.47,'Input prices producer prices'!C25, IF(B60=39.14, 'Input prices producer prices'!C26, IF(B60=25.625, 'Input prices producer prices'!C27, IF(B60=30.9,'Input prices producer prices'!C28))))</f>
        <v>0.95</v>
      </c>
      <c r="H74" s="25"/>
      <c r="I74" s="25"/>
      <c r="J74" s="25"/>
    </row>
    <row r="75" spans="1:10">
      <c r="A75" s="98" t="s">
        <v>139</v>
      </c>
      <c r="B75" s="98">
        <f>IF(B60=43.47, 'Input prices producer prices'!C80, IF(B60=39.14, 'Input prices producer prices'!C81, IF(B60=25.625, 'Input prices producer prices'!C82, IF(B60=30.9, 'Input prices producer prices'!C83))))</f>
        <v>4.5</v>
      </c>
      <c r="H75" s="25"/>
      <c r="I75" s="25"/>
      <c r="J75" s="25"/>
    </row>
    <row r="76" spans="1:10">
      <c r="A76" s="98" t="s">
        <v>169</v>
      </c>
      <c r="B76" s="98">
        <f>IF(B60=43.47, 'Input prices producer prices'!C92, IF(B60=39.14, 'Input prices producer prices'!C93, IF(B60=25.625, 'Input prices producer prices'!C94, IF(B60=30.9,'Input prices producer prices'!C95))))</f>
        <v>0.6</v>
      </c>
      <c r="H76" s="25"/>
      <c r="I76" s="25"/>
      <c r="J76" s="25"/>
    </row>
    <row r="77" spans="1:10">
      <c r="A77" s="98" t="s">
        <v>171</v>
      </c>
      <c r="B77" s="4">
        <f>IF(B60=43.47, 'Input prices producer prices'!C100/(B58/1000), IF(B60=39.14, 'Input prices producer prices'!C101/(B58/1000), IF(B60=25.625, 'Input prices producer prices'!C102/(B58/1000), IF(B60=30.9, 'Input prices producer prices'!C103/(B58/1000)))))</f>
        <v>1.3931888544891642</v>
      </c>
      <c r="H77" s="25"/>
      <c r="I77" s="25"/>
      <c r="J77" s="25"/>
    </row>
    <row r="78" spans="1:10">
      <c r="A78" s="98" t="s">
        <v>141</v>
      </c>
      <c r="B78" s="4">
        <f>'Input prices producer prices'!C97</f>
        <v>2</v>
      </c>
      <c r="H78" s="25"/>
      <c r="I78" s="25"/>
      <c r="J78" s="25"/>
    </row>
    <row r="79" spans="1:10">
      <c r="A79" s="98" t="s">
        <v>140</v>
      </c>
      <c r="B79" s="12" t="s">
        <v>142</v>
      </c>
      <c r="H79" s="25"/>
      <c r="I79" s="25"/>
      <c r="J79" s="25"/>
    </row>
    <row r="80" spans="1:10">
      <c r="A80" s="98" t="s">
        <v>143</v>
      </c>
      <c r="B80" s="98">
        <f>IF(B60=43.47, 'Input prices producer prices'!C62, IF(B60=39.14, 'Input prices producer prices'!C63, IF(B60=25.625, 'Input prices producer prices'!C64, IF(B60=30.9, 'Input prices producer prices'!C65))))</f>
        <v>4.8</v>
      </c>
      <c r="H80" s="25"/>
      <c r="I80" s="25"/>
      <c r="J80" s="25"/>
    </row>
    <row r="81" spans="1:10">
      <c r="A81" s="98" t="s">
        <v>152</v>
      </c>
      <c r="B81" s="98">
        <f>'Input prices producer prices'!C59</f>
        <v>37.72</v>
      </c>
      <c r="H81" s="25"/>
      <c r="I81" s="25"/>
      <c r="J81" s="25"/>
    </row>
    <row r="82" spans="1:10">
      <c r="A82" s="98" t="s">
        <v>117</v>
      </c>
      <c r="B82" s="98">
        <f>IF(B60=43.47,'Input prices producer prices'!C86, IF(B60=39.14, 'Input prices producer prices'!C87, IF(B60=25.625, 'Input prices producer prices'!C88, IF(B60=30.9,'Input prices producer prices'!C89))))</f>
        <v>0.79</v>
      </c>
      <c r="H82" s="25"/>
      <c r="I82" s="25"/>
      <c r="J82" s="25"/>
    </row>
    <row r="83" spans="1:10">
      <c r="A83" s="98" t="s">
        <v>291</v>
      </c>
      <c r="B83" s="43">
        <f>IF(B60=43.47,('Input prices producer prices'!C31+'Input prices producer prices'!C39)*B62/100, IF(B60=39.14, ('Input prices producer prices'!C32+'Input prices producer prices'!C40)*B62/100, IF(B60=25.625, ('Input prices producer prices'!C33+'Input prices producer prices'!C41)*B62/100, IF(B60=30.9,'Input prices producer prices'!C34+'Input prices producer prices'!C42)*B62/100)))</f>
        <v>0.56485861182519281</v>
      </c>
      <c r="D83" s="42"/>
      <c r="E83" s="9"/>
      <c r="H83" s="25"/>
      <c r="I83" s="25"/>
      <c r="J83" s="25"/>
    </row>
    <row r="84" spans="1:10">
      <c r="A84" s="9" t="s">
        <v>166</v>
      </c>
      <c r="B84" s="4">
        <f>IF(AND(F93="No",B91="E5.14"),'Input prices producer prices'!E137, IF(AND(F93="E5.14",B91="None"),'Input prices producer prices'!E137, IF(AND(F93="No", B91="None"), 0, IF(AND(F93="E5.5",B91="None"), 'Input prices producer prices'!E126, IF(F93="E5.6",'Input prices producer prices'!E127,IF(F93="E5.8",'Input prices producer prices'!E129,IF(F93="E5.9.1.2.2",'Input prices producer prices'!E131,IF(F93="E5.9.1.2.4",'Input prices producer prices'!E132,IF(F93="E5.10",'Input prices producer prices'!E133,IF(F93="E5.11",'Input prices producer prices'!E134,IF(F93="E5.14",'Input prices producer prices'!E137,IF(F93="E5.15",'Input prices producer prices'!E138,IF(F93="E7.1",'Input prices producer prices'!E141, IF(F93="E7.2",'Input prices producer prices'!E142, IF(F93="E5.13", 'Input prices producer prices'!E136, 0)))))))))))))))</f>
        <v>-7.0000000000000007E-2</v>
      </c>
      <c r="F84" s="42"/>
      <c r="H84" s="25"/>
      <c r="I84" s="25"/>
      <c r="J84" s="25"/>
    </row>
    <row r="85" spans="1:10">
      <c r="A85" s="9" t="s">
        <v>167</v>
      </c>
      <c r="B85" s="4">
        <f>IF(AND(F94="No",B92="E7.7"),'Input prices producer prices'!E147,IF(AND(F94="E7.7",B92="None"),'Input prices producer prices'!E147,IF(AND(F94="No",B92="None"),0,IF(F94="E5.4",'Input prices producer prices'!E125,IF(F94="E5.7",'Input prices producer prices'!E128,IF(F94="E5.12",'Input prices producer prices'!E135,IF(F94="E5.13",'Input prices producer prices'!E136,IF(F94="E7.3",'Input prices producer prices'!E143,IF(F94="E7.4",'Input prices producer prices'!E144,IF(F94="E7.5",'Input prices producer prices'!E145,IF(F94="E7.6",'Input prices producer prices'!E146,IF(F94="E7.7",'Input prices producer prices'!E147,IF(F94="E7.11",'Input prices producer prices'!E148,IF(F94="E7.12",'Input prices producer prices'!E149,IF(F94="E5.16",'Input prices producer prices'!E139, IF(F94="E7.2", 'Input prices producer prices'!E142, 0))))))))))))))))</f>
        <v>-0.15</v>
      </c>
      <c r="F85" s="42"/>
      <c r="H85" s="25"/>
      <c r="I85" s="25"/>
      <c r="J85" s="25"/>
    </row>
    <row r="86" spans="1:10">
      <c r="A86" s="98" t="s">
        <v>234</v>
      </c>
      <c r="B86" s="4">
        <f>IF(B60=43.47, (B83+B84+B85)/B62*100, IF(B60=39.14,(B83+(B84+B85)*'Input prices producer prices'!I116)/B62*100, IF(B60=25.625,(B83+B84+B85)/B62*100, IF(B60=30.9,(B83+(B84+B85)*'Input prices producer prices'!I118)/B62*100))))</f>
        <v>4.8979091564527755</v>
      </c>
      <c r="H86" s="25"/>
      <c r="I86" s="25"/>
      <c r="J86" s="25"/>
    </row>
    <row r="87" spans="1:10">
      <c r="B87" s="8"/>
      <c r="H87" s="25"/>
      <c r="I87" s="25"/>
      <c r="J87" s="25"/>
    </row>
    <row r="88" spans="1:10">
      <c r="A88" s="22" t="s">
        <v>79</v>
      </c>
      <c r="H88" s="25"/>
      <c r="I88" s="25"/>
      <c r="J88" s="25"/>
    </row>
    <row r="89" spans="1:10">
      <c r="A89" s="24" t="s">
        <v>243</v>
      </c>
      <c r="E89" s="23" t="s">
        <v>237</v>
      </c>
    </row>
    <row r="90" spans="1:10">
      <c r="A90" s="14" t="s">
        <v>227</v>
      </c>
      <c r="B90" s="98" t="s">
        <v>245</v>
      </c>
      <c r="E90" s="98" t="s">
        <v>240</v>
      </c>
      <c r="F90" s="13" t="s">
        <v>5</v>
      </c>
    </row>
    <row r="91" spans="1:10">
      <c r="A91" s="14" t="s">
        <v>258</v>
      </c>
      <c r="B91" s="13" t="s">
        <v>46</v>
      </c>
      <c r="E91" s="12" t="s">
        <v>203</v>
      </c>
      <c r="F91" s="13" t="s">
        <v>5</v>
      </c>
    </row>
    <row r="92" spans="1:10">
      <c r="A92" s="14" t="s">
        <v>259</v>
      </c>
      <c r="B92" s="13" t="s">
        <v>54</v>
      </c>
      <c r="E92" s="12"/>
      <c r="F92" s="12"/>
    </row>
    <row r="93" spans="1:10">
      <c r="E93" s="98" t="s">
        <v>256</v>
      </c>
      <c r="F93" s="62" t="s">
        <v>5</v>
      </c>
      <c r="G93" s="38" t="s">
        <v>214</v>
      </c>
    </row>
    <row r="94" spans="1:10">
      <c r="E94" s="98" t="s">
        <v>257</v>
      </c>
      <c r="F94" s="62" t="s">
        <v>5</v>
      </c>
    </row>
    <row r="95" spans="1:10">
      <c r="C95" s="28"/>
      <c r="H95" s="25"/>
      <c r="I95" s="25"/>
      <c r="J95" s="25"/>
    </row>
    <row r="96" spans="1:10">
      <c r="B96" s="4"/>
      <c r="C96" s="28"/>
      <c r="H96" s="25"/>
      <c r="I96" s="25"/>
      <c r="J96" s="25"/>
    </row>
    <row r="97" spans="1:15">
      <c r="A97" s="23" t="s">
        <v>235</v>
      </c>
      <c r="B97" s="98" t="s">
        <v>265</v>
      </c>
      <c r="C97" s="98" t="s">
        <v>225</v>
      </c>
      <c r="D97" s="98" t="s">
        <v>121</v>
      </c>
      <c r="E97" s="98" t="s">
        <v>226</v>
      </c>
      <c r="G97" s="23" t="s">
        <v>236</v>
      </c>
      <c r="H97" s="25" t="s">
        <v>241</v>
      </c>
      <c r="I97" s="25" t="s">
        <v>121</v>
      </c>
      <c r="J97" s="35" t="s">
        <v>242</v>
      </c>
    </row>
    <row r="98" spans="1:15">
      <c r="A98" s="98" t="s">
        <v>227</v>
      </c>
      <c r="B98" s="73">
        <f>'Input prices producer prices'!C123*'Input prices producer prices'!B264</f>
        <v>1350000</v>
      </c>
      <c r="C98" s="78">
        <f>B15</f>
        <v>864000</v>
      </c>
      <c r="D98" s="78">
        <f>C98*('Input prices producer prices'!B246/100)</f>
        <v>34560</v>
      </c>
      <c r="E98" s="78">
        <f>C98-D98</f>
        <v>829440</v>
      </c>
      <c r="G98" s="98" t="s">
        <v>240</v>
      </c>
      <c r="H98" s="80">
        <f>'Input prices producer prices'!B240*B46</f>
        <v>0</v>
      </c>
      <c r="I98" s="80">
        <f>H98*('Input prices producer prices'!B246/100)</f>
        <v>0</v>
      </c>
      <c r="J98" s="80">
        <f>H98-I98</f>
        <v>0</v>
      </c>
    </row>
    <row r="99" spans="1:15">
      <c r="A99" s="98" t="s">
        <v>244</v>
      </c>
      <c r="B99" s="73">
        <f>IF(B91="E5.14", 'Input prices producer prices'!C137*'Input prices producer prices'!B264, IF(B91="None", 0))</f>
        <v>18900</v>
      </c>
      <c r="C99" s="78">
        <f>IF(B91="E5.14", 'Input prices producer prices'!C137*'Input prices producer prices'!B264*(1-('Input prices producer prices'!B247/100)*(B5-1)), IF(B91="None", 0))</f>
        <v>5292.0000000000009</v>
      </c>
      <c r="D99" s="78">
        <f>C99*('Input prices producer prices'!B247/100)</f>
        <v>423.36000000000007</v>
      </c>
      <c r="E99" s="78">
        <f>C99-D99</f>
        <v>4868.6400000000012</v>
      </c>
      <c r="G99" s="98" t="s">
        <v>203</v>
      </c>
      <c r="H99" s="80">
        <f>'Input prices producer prices'!B239*B46*0.2</f>
        <v>0</v>
      </c>
      <c r="I99" s="80">
        <f>H99*('Input prices producer prices'!B246/100)</f>
        <v>0</v>
      </c>
      <c r="J99" s="80">
        <f>H99-I99</f>
        <v>0</v>
      </c>
    </row>
    <row r="100" spans="1:15">
      <c r="A100" s="98" t="s">
        <v>239</v>
      </c>
      <c r="B100" s="73">
        <f>IF(B92="E7.7", 'Input prices producer prices'!C147*'Input prices producer prices'!B264, IF(B92="None", 0))</f>
        <v>83700</v>
      </c>
      <c r="C100" s="78">
        <f>IF(B92="E7.7", 'Input prices producer prices'!C147*'Input prices producer prices'!B264*(1-('Input prices producer prices'!B247/100)*(B6-1)), IF(B92="None", 0))</f>
        <v>23436.000000000004</v>
      </c>
      <c r="D100" s="78">
        <f>C100*('Input prices producer prices'!B247/100)</f>
        <v>1874.8800000000003</v>
      </c>
      <c r="E100" s="78">
        <f>C100-D100</f>
        <v>21561.120000000003</v>
      </c>
      <c r="G100" s="98" t="s">
        <v>238</v>
      </c>
      <c r="H100" s="79">
        <f>IF(F93="No",0,IF(F93="E5.5",'Input prices producer prices'!C126*'Input prices producer prices'!B264*(1-('Input prices producer prices'!B247/100)*(B8-1)),IF(F93="E5.6",'Input prices producer prices'!C127*'Input prices producer prices'!B264*(1-('Input prices producer prices'!B247/100)*(B8-1)),IF(F93="E5.8",'Input prices producer prices'!C129*'Input prices producer prices'!B264*(1-('Input prices producer prices'!B247/100)*(B8-1)),IF(F93="E5.9.1.2.2",'Input prices producer prices'!C131*'Input prices producer prices'!B264*(1-('Input prices producer prices'!B247/100)*(B8-1)),IF(F93="E5.9.1.2.4",'Input prices producer prices'!C132*'Input prices producer prices'!B264*(1-('Input prices producer prices'!B247/100)*(B8-1)),IF(F93="E5.10",'Input prices producer prices'!C133*'Input prices producer prices'!B264*(1-('Input prices producer prices'!B247/100)*(B8-1)),IF(F93="E5.11",'Input prices producer prices'!C134*'Input prices producer prices'!B264*(1-('Input prices producer prices'!B247/100)*(B8-1)),IF(F93="E5.14",'Input prices producer prices'!C137*'Input prices producer prices'!B264*(1-('Input prices producer prices'!B247/100)*(B8-1)),IF(F93="E5.15",'Input prices producer prices'!C138*'Input prices producer prices'!B264*(1-('Input prices producer prices'!B247/100)*(B8-1)),IF(F93="E7.1",'Input prices producer prices'!C141*'Input prices producer prices'!B264*(1-('Input prices producer prices'!B247/100)*(B8-1)),IF(F93="E7.2",'Input prices producer prices'!C142*'Input prices producer prices'!B264*(1-('Input prices producer prices'!B247/100)*(B8-1)),IF(F93="E5.13",'Input prices producer prices'!C136*'Input prices producer prices'!B264*(1-('Input prices producer prices'!B247/100)*(B8-1)),IF(F93="E5.16",'Input prices producer prices'!C139*'Input prices producer prices'!B264*(1-('Input prices producer prices'!B247/100)*(B9-1))))))))))))))))</f>
        <v>0</v>
      </c>
      <c r="I100" s="79">
        <f>H100*('Input prices producer prices'!B247/100)</f>
        <v>0</v>
      </c>
      <c r="J100" s="79">
        <f>H100-I100</f>
        <v>0</v>
      </c>
    </row>
    <row r="101" spans="1:15">
      <c r="G101" s="98" t="s">
        <v>239</v>
      </c>
      <c r="H101" s="79">
        <f>IF(F94="No",0,IF(F94="E5.4",'Input prices producer prices'!C125*'Input prices producer prices'!B264*(1-('Input prices producer prices'!B247/100)*(B9-1)),IF(F94="E5.7",'Input prices producer prices'!C128*'Input prices producer prices'!B264*(1-('Input prices producer prices'!B247/100)*(B9-1)),IF(F94="E5.12",'Input prices producer prices'!C135*'Input prices producer prices'!B264*(1-('Input prices producer prices'!B247/100)*(B9-1)),IF(F94="E5.13",'Input prices producer prices'!C136*'Input prices producer prices'!B264*(1-('Input prices producer prices'!B247/100)*(B9-1)),IF(F94="E7.3",'Input prices producer prices'!C143*'Input prices producer prices'!B264*(1-('Input prices producer prices'!B247/100)*(B9-1)),IF(F94="E7.4",'Input prices producer prices'!C144*'Input prices producer prices'!B264*(1-('Input prices producer prices'!B247/100)*(B9-1)),IF(F94="E7.5",'Input prices producer prices'!C145*'Input prices producer prices'!B264*(1-('Input prices producer prices'!B247/100)*(B9-1)),IF(F94="E7.6",'Input prices producer prices'!C146*'Input prices producer prices'!B264*(1-('Input prices producer prices'!B247/100)*(B9-1)),IF(F94="E7.7",'Input prices producer prices'!C147*'Input prices producer prices'!B264*(1-('Input prices producer prices'!B247/100)*(B9-1)),IF(F94="E7.11",'Input prices producer prices'!C148*'Input prices producer prices'!B264*(1-('Input prices producer prices'!B247/100)*(B9-1)), IF(F94="E7.12",'Input prices producer prices'!C149*'Input prices producer prices'!B264*(1-('Input prices producer prices'!B247/100)*(B9-1)),IF(F94="E5.16",'Input prices producer prices'!C139*'Input prices producer prices'!B264*(1-('Input prices producer prices'!B247/100)*(B9-1)),IF(F94="E7.2", 'Input prices producer prices'!C142*'Input prices producer prices'!B264*(1-('Input prices producer prices'!B247/100)*(B9-1))))))))))))))))</f>
        <v>0</v>
      </c>
      <c r="I101" s="79">
        <f>H101*('Input prices producer prices'!B247/100)</f>
        <v>0</v>
      </c>
      <c r="J101" s="79">
        <f>H101-I101</f>
        <v>0</v>
      </c>
    </row>
    <row r="102" spans="1:15">
      <c r="G102" s="98" t="s">
        <v>287</v>
      </c>
      <c r="H102" s="74">
        <f>IF(F93="E7.2", H100*0.4, 0)</f>
        <v>0</v>
      </c>
    </row>
    <row r="103" spans="1:15">
      <c r="A103" s="22" t="s">
        <v>77</v>
      </c>
      <c r="B103" s="22" t="s">
        <v>155</v>
      </c>
      <c r="C103" s="38"/>
      <c r="D103" s="38"/>
      <c r="E103" s="22" t="s">
        <v>25</v>
      </c>
      <c r="G103" s="98" t="s">
        <v>286</v>
      </c>
      <c r="H103" s="74">
        <f>IF(F94="E7.2", H101*0.4, 0)</f>
        <v>0</v>
      </c>
      <c r="I103" s="25"/>
      <c r="J103" s="25"/>
    </row>
    <row r="104" spans="1:15">
      <c r="A104" s="98" t="s">
        <v>154</v>
      </c>
      <c r="B104" s="4">
        <f>'Input prices producer prices'!C5</f>
        <v>100</v>
      </c>
      <c r="E104" s="8">
        <f>B104*($B$58/1000)</f>
        <v>238</v>
      </c>
      <c r="H104" s="35"/>
      <c r="I104" s="25"/>
      <c r="J104" s="25"/>
    </row>
    <row r="105" spans="1:15">
      <c r="H105" s="25"/>
      <c r="I105" s="25"/>
      <c r="J105" s="25"/>
    </row>
    <row r="106" spans="1:15">
      <c r="A106" s="22" t="s">
        <v>160</v>
      </c>
      <c r="B106" s="22" t="s">
        <v>155</v>
      </c>
      <c r="C106" s="38"/>
      <c r="D106" s="38"/>
      <c r="E106" s="22" t="s">
        <v>25</v>
      </c>
      <c r="G106" s="88"/>
      <c r="H106" s="74"/>
      <c r="I106" s="25"/>
      <c r="J106" s="25"/>
    </row>
    <row r="107" spans="1:15">
      <c r="A107" s="23" t="s">
        <v>76</v>
      </c>
      <c r="H107" s="94"/>
      <c r="I107" s="25"/>
      <c r="J107" s="25"/>
    </row>
    <row r="108" spans="1:15">
      <c r="A108" s="98" t="s">
        <v>75</v>
      </c>
      <c r="B108" s="4">
        <f>B55*('Input prices producer prices'!F3/100)*(1-B56/100)*100</f>
        <v>60.503046490671863</v>
      </c>
      <c r="C108" s="4"/>
      <c r="E108" s="29">
        <f>B108*($B$58/1000)</f>
        <v>143.99725064779904</v>
      </c>
      <c r="F108" s="4"/>
      <c r="G108" s="104"/>
      <c r="H108" s="35"/>
      <c r="I108" s="35"/>
      <c r="J108" s="34"/>
      <c r="O108" s="4"/>
    </row>
    <row r="109" spans="1:15">
      <c r="A109" s="98" t="s">
        <v>74</v>
      </c>
      <c r="B109" s="29">
        <f>B70/(B58/1000)</f>
        <v>14.915966386554622</v>
      </c>
      <c r="C109" s="4"/>
      <c r="E109" s="4">
        <f>B109*($B$58/1000)</f>
        <v>35.5</v>
      </c>
      <c r="F109" s="4"/>
      <c r="G109" s="102"/>
      <c r="H109" s="40"/>
      <c r="I109" s="35"/>
      <c r="J109" s="34"/>
    </row>
    <row r="110" spans="1:15">
      <c r="A110" s="98" t="s">
        <v>73</v>
      </c>
      <c r="B110" s="4">
        <f>(B75/($B$58/1000))</f>
        <v>1.8907563025210086</v>
      </c>
      <c r="C110" s="4"/>
      <c r="E110" s="4">
        <f>B110*($B$58/1000)</f>
        <v>4.5</v>
      </c>
      <c r="F110" s="4"/>
      <c r="G110" s="102"/>
      <c r="H110" s="34"/>
      <c r="I110" s="35"/>
      <c r="J110" s="34"/>
      <c r="K110" s="4"/>
    </row>
    <row r="111" spans="1:15">
      <c r="A111" s="98" t="s">
        <v>11</v>
      </c>
      <c r="B111" s="4">
        <f>(B73/($B$58/1000))</f>
        <v>0.52521008403361347</v>
      </c>
      <c r="C111" s="4"/>
      <c r="D111" s="4"/>
      <c r="E111" s="4">
        <f>B111*($B$58/1000)</f>
        <v>1.25</v>
      </c>
      <c r="F111" s="43"/>
      <c r="G111" s="102"/>
      <c r="H111" s="25"/>
      <c r="I111" s="25"/>
      <c r="J111" s="25"/>
    </row>
    <row r="112" spans="1:15">
      <c r="A112" s="98" t="s">
        <v>72</v>
      </c>
      <c r="B112" s="4">
        <f>(B72/($B$58/1000))</f>
        <v>0.25210084033613445</v>
      </c>
      <c r="C112" s="4"/>
      <c r="E112" s="4">
        <f t="shared" ref="E112:E118" si="0">B112*($B$58/1000)</f>
        <v>0.6</v>
      </c>
      <c r="F112" s="4"/>
      <c r="G112" s="102"/>
      <c r="I112" s="25"/>
      <c r="J112" s="25"/>
      <c r="K112" s="25"/>
    </row>
    <row r="113" spans="1:11">
      <c r="A113" s="98" t="s">
        <v>10</v>
      </c>
      <c r="B113" s="4">
        <f>(B109+B108/2)*(B56/100)</f>
        <v>1.3550246889567166</v>
      </c>
      <c r="C113" s="4"/>
      <c r="E113" s="4">
        <f>B113*($B$58/1000)</f>
        <v>3.2249587597169853</v>
      </c>
      <c r="F113" s="4"/>
      <c r="G113" s="104"/>
      <c r="I113" s="25"/>
      <c r="J113" s="25"/>
      <c r="K113" s="25"/>
    </row>
    <row r="114" spans="1:11">
      <c r="A114" s="98" t="s">
        <v>70</v>
      </c>
      <c r="B114" s="4">
        <f>(B80/($B$58/1000))</f>
        <v>2.0168067226890756</v>
      </c>
      <c r="C114" s="4"/>
      <c r="E114" s="4">
        <f t="shared" si="0"/>
        <v>4.8</v>
      </c>
      <c r="F114" s="4"/>
      <c r="G114" s="102"/>
      <c r="I114" s="25"/>
      <c r="J114" s="25"/>
      <c r="K114" s="25"/>
    </row>
    <row r="115" spans="1:11">
      <c r="A115" s="98" t="s">
        <v>71</v>
      </c>
      <c r="B115" s="4">
        <f>(B74/($B$58/1000))</f>
        <v>0.39915966386554624</v>
      </c>
      <c r="C115" s="4"/>
      <c r="E115" s="4">
        <f t="shared" si="0"/>
        <v>0.95000000000000007</v>
      </c>
      <c r="F115" s="4"/>
      <c r="G115" s="102"/>
      <c r="I115" s="25"/>
      <c r="J115" s="25"/>
      <c r="K115" s="25"/>
    </row>
    <row r="116" spans="1:11">
      <c r="A116" s="98" t="s">
        <v>170</v>
      </c>
      <c r="B116" s="4">
        <f>B86/($B$58/1000)</f>
        <v>2.0579450237196535</v>
      </c>
      <c r="C116" s="4"/>
      <c r="E116" s="29">
        <f>B116*($B$58/1000)</f>
        <v>4.8979091564527755</v>
      </c>
      <c r="F116" s="4"/>
      <c r="G116" s="102"/>
      <c r="H116" s="44"/>
      <c r="I116" s="25"/>
      <c r="J116" s="25"/>
      <c r="K116" s="25"/>
    </row>
    <row r="117" spans="1:11">
      <c r="A117" s="98" t="s">
        <v>151</v>
      </c>
      <c r="B117" s="4">
        <f>(B70+(0.5*B108*(B58/1000)))*('Input prices producer prices'!E244/100)*('Input prices producer prices'!B261/365)/(B58/1000)</f>
        <v>0.2283123790981865</v>
      </c>
      <c r="C117" s="4"/>
      <c r="D117" s="4"/>
      <c r="E117" s="4">
        <f>B117*($B$58/1000)</f>
        <v>0.54338346225368384</v>
      </c>
      <c r="F117" s="44"/>
      <c r="G117" s="104"/>
      <c r="H117" s="44"/>
      <c r="I117" s="25"/>
    </row>
    <row r="118" spans="1:11">
      <c r="A118" s="98" t="s">
        <v>24</v>
      </c>
      <c r="B118" s="43">
        <f>IF(B43&gt;B39,(B43-B39)*B81*'Input prices producer prices'!C270/(B62*B51*(1-(B56/100))),0)</f>
        <v>1.3851433374917455</v>
      </c>
      <c r="C118" s="4"/>
      <c r="D118" s="4"/>
      <c r="E118" s="4">
        <f t="shared" si="0"/>
        <v>3.296641143230354</v>
      </c>
      <c r="F118" s="4"/>
      <c r="G118" s="102"/>
      <c r="I118" s="25"/>
    </row>
    <row r="119" spans="1:11">
      <c r="A119" s="98" t="s">
        <v>119</v>
      </c>
      <c r="B119" s="4">
        <f>B78/(B58/1000)</f>
        <v>0.84033613445378152</v>
      </c>
      <c r="C119" s="4"/>
      <c r="E119" s="4">
        <f>B119*($B$58/1000)</f>
        <v>2</v>
      </c>
      <c r="F119" s="4"/>
      <c r="G119" s="102"/>
      <c r="I119" s="25"/>
      <c r="J119" s="25"/>
      <c r="K119" s="25"/>
    </row>
    <row r="120" spans="1:11">
      <c r="A120" s="98" t="s">
        <v>117</v>
      </c>
      <c r="B120" s="4">
        <f>B82/(B58/1000)</f>
        <v>0.33193277310924374</v>
      </c>
      <c r="C120" s="4"/>
      <c r="E120" s="4">
        <f>B120*($B$58/1000)</f>
        <v>0.79</v>
      </c>
      <c r="F120" s="4"/>
      <c r="G120" s="102"/>
      <c r="H120" s="25"/>
      <c r="I120" s="25"/>
      <c r="J120" s="25"/>
    </row>
    <row r="121" spans="1:11">
      <c r="A121" s="98" t="s">
        <v>168</v>
      </c>
      <c r="B121" s="4">
        <f>B76/(B58/1000)</f>
        <v>0.25210084033613445</v>
      </c>
      <c r="C121" s="4"/>
      <c r="E121" s="4">
        <f>B121*(B58/1000)</f>
        <v>0.6</v>
      </c>
      <c r="F121" s="4"/>
      <c r="G121" s="102"/>
      <c r="H121" s="25"/>
      <c r="I121" s="25"/>
    </row>
    <row r="122" spans="1:11">
      <c r="C122" s="4"/>
      <c r="E122" s="4"/>
      <c r="F122" s="4"/>
      <c r="G122" s="102"/>
      <c r="H122" s="25"/>
      <c r="I122" s="25"/>
    </row>
    <row r="123" spans="1:11">
      <c r="A123" s="23" t="s">
        <v>69</v>
      </c>
      <c r="C123" s="4"/>
      <c r="D123" s="4"/>
      <c r="E123" s="4"/>
      <c r="F123" s="4"/>
      <c r="G123" s="102"/>
      <c r="H123" s="25"/>
      <c r="I123" s="25"/>
    </row>
    <row r="124" spans="1:11">
      <c r="A124" s="98" t="s">
        <v>68</v>
      </c>
      <c r="B124" s="29">
        <f>IF(B60=43.47,'Input prices producer prices'!C100-'Scenario feed price + 1 SD'!B113-'Scenario feed price + 1 SD'!B119, IF(B60=39.14, 'Input prices producer prices'!C101-'Scenario feed price + 1 SD'!B113-'Scenario feed price + 1 SD'!B119, IF(B60=25.625, 'Input prices producer prices'!C102-'Scenario feed price + 1 SD'!B113-'Scenario feed price + 1 SD'!B119, IF(B60=30.9, 'Input prices producer prices'!C103-'Scenario feed price + 1 SD'!B113-'Scenario feed price + 1 SD'!B119))))</f>
        <v>1.1204286502737126</v>
      </c>
      <c r="C124" s="4"/>
      <c r="E124" s="4">
        <f>B124*($B$58/1000)</f>
        <v>2.6666201876514362</v>
      </c>
      <c r="F124" s="4"/>
      <c r="G124" s="104"/>
      <c r="H124" s="25"/>
      <c r="I124" s="25"/>
      <c r="J124" s="25"/>
    </row>
    <row r="125" spans="1:11">
      <c r="A125" s="98" t="s">
        <v>23</v>
      </c>
      <c r="B125" s="4">
        <f>('Input prices producer prices'!E243*B39)/((B51*B62)*(1-(B56/100)))/(B58/1000)*100</f>
        <v>5.2825945338853266</v>
      </c>
      <c r="C125" s="85"/>
      <c r="E125" s="4">
        <f>B125*($B$58/1000)</f>
        <v>12.572574990647077</v>
      </c>
      <c r="F125" s="4"/>
      <c r="G125" s="102"/>
      <c r="H125" s="25"/>
      <c r="I125" s="25"/>
      <c r="J125" s="25"/>
    </row>
    <row r="126" spans="1:11">
      <c r="A126" s="98" t="s">
        <v>67</v>
      </c>
      <c r="B126" s="43">
        <f>'Input prices producer prices'!E228/B62/(B58/1000)*100+H98*('Input prices producer prices'!E247/100)/B64*100</f>
        <v>8.31620319360621</v>
      </c>
      <c r="C126" s="4"/>
      <c r="E126" s="4">
        <f>B126*($B$58/1000)</f>
        <v>19.792563600782778</v>
      </c>
      <c r="F126" s="4"/>
      <c r="G126" s="102"/>
      <c r="H126" s="9"/>
      <c r="I126" s="37"/>
      <c r="J126" s="25"/>
    </row>
    <row r="127" spans="1:11">
      <c r="A127" s="98" t="s">
        <v>222</v>
      </c>
      <c r="B127" s="43">
        <f>(D98+I98+I99)/B63/(B58/1000)*100</f>
        <v>2.7282350435361766</v>
      </c>
      <c r="C127" s="4"/>
      <c r="E127" s="4">
        <f>B127*($B$58/1000)</f>
        <v>6.4931994036161003</v>
      </c>
      <c r="F127" s="4"/>
      <c r="G127" s="102"/>
      <c r="H127" s="87"/>
      <c r="I127" s="37"/>
      <c r="J127" s="34"/>
    </row>
    <row r="128" spans="1:11">
      <c r="A128" s="98" t="s">
        <v>223</v>
      </c>
      <c r="B128" s="43">
        <f>(C98+I98+I99)*'Input prices producer prices'!E245/B63/(B58/1000)</f>
        <v>0.68205876088404416</v>
      </c>
      <c r="C128" s="4"/>
      <c r="E128" s="4">
        <f t="shared" ref="E128:E135" si="1">B128*($B$58/1000)</f>
        <v>1.6232998509040251</v>
      </c>
      <c r="F128" s="4"/>
      <c r="G128" s="102"/>
      <c r="H128" s="63"/>
      <c r="I128" s="37"/>
      <c r="J128" s="25"/>
    </row>
    <row r="129" spans="1:13">
      <c r="A129" s="98" t="s">
        <v>224</v>
      </c>
      <c r="B129" s="43">
        <f>(B98+H98+H99)*(B31/100)/B63/(B58/1000)</f>
        <v>2.4831201763434733E-2</v>
      </c>
      <c r="C129" s="4"/>
      <c r="E129" s="4">
        <f t="shared" si="1"/>
        <v>5.9098260196974658E-2</v>
      </c>
      <c r="F129" s="4"/>
      <c r="G129" s="102"/>
      <c r="H129" s="63"/>
      <c r="I129" s="37"/>
      <c r="J129" s="25"/>
    </row>
    <row r="130" spans="1:13">
      <c r="A130" s="98" t="s">
        <v>266</v>
      </c>
      <c r="B130" s="43">
        <f>B126-B127-B128-B129</f>
        <v>4.8810781874225535</v>
      </c>
      <c r="C130" s="4"/>
      <c r="E130" s="4">
        <f t="shared" si="1"/>
        <v>11.616966086065677</v>
      </c>
      <c r="F130" s="4"/>
      <c r="G130" s="102"/>
      <c r="H130" s="63"/>
      <c r="I130" s="37"/>
      <c r="J130" s="25"/>
    </row>
    <row r="131" spans="1:13">
      <c r="A131" s="98" t="s">
        <v>6</v>
      </c>
      <c r="B131" s="43">
        <f>'Input prices producer prices'!E234/B62*100/(B58/1000)</f>
        <v>0.83162031936062109</v>
      </c>
      <c r="C131" s="4"/>
      <c r="E131" s="4">
        <f t="shared" si="1"/>
        <v>1.979256360078278</v>
      </c>
      <c r="F131" s="4"/>
      <c r="G131" s="102"/>
      <c r="H131" s="63"/>
      <c r="I131" s="37"/>
      <c r="J131" s="34"/>
    </row>
    <row r="132" spans="1:13">
      <c r="A132" s="98" t="s">
        <v>222</v>
      </c>
      <c r="B132" s="43">
        <f>(B99+B100+H100+H101)*('Input prices producer prices'!E248/100)/B64*100</f>
        <v>0.64795582283984199</v>
      </c>
      <c r="C132" s="4"/>
      <c r="E132" s="4">
        <f t="shared" si="1"/>
        <v>1.5421348583588239</v>
      </c>
      <c r="F132" s="4"/>
      <c r="G132" s="102"/>
      <c r="H132" s="63"/>
      <c r="I132" s="37"/>
      <c r="J132" s="25"/>
    </row>
    <row r="133" spans="1:13">
      <c r="A133" s="98" t="s">
        <v>223</v>
      </c>
      <c r="B133" s="43">
        <f>(B99+B100+H100+H101)*('Input prices producer prices'!E245/100)/B64*100</f>
        <v>8.0994477854980249E-2</v>
      </c>
      <c r="C133" s="4"/>
      <c r="E133" s="4">
        <f t="shared" si="1"/>
        <v>0.19276685729485299</v>
      </c>
      <c r="F133" s="4"/>
      <c r="G133" s="102"/>
      <c r="H133" s="63"/>
      <c r="I133" s="37"/>
      <c r="J133" s="25"/>
    </row>
    <row r="134" spans="1:13">
      <c r="A134" s="98" t="s">
        <v>224</v>
      </c>
      <c r="B134" s="4">
        <f>(B99+B100+H100+H101)*(B31/100)/B64*100</f>
        <v>0.18871713340210397</v>
      </c>
      <c r="C134" s="4"/>
      <c r="D134" s="4"/>
      <c r="E134" s="4">
        <f t="shared" si="1"/>
        <v>0.44914677749700743</v>
      </c>
      <c r="F134" s="4"/>
      <c r="G134" s="102"/>
      <c r="H134" s="63"/>
      <c r="I134" s="37"/>
      <c r="J134" s="34"/>
    </row>
    <row r="135" spans="1:13">
      <c r="A135" s="98" t="s">
        <v>267</v>
      </c>
      <c r="B135" s="43">
        <f>B131-B132-B133-B134</f>
        <v>-8.6047114736305122E-2</v>
      </c>
      <c r="C135" s="4"/>
      <c r="D135" s="4"/>
      <c r="E135" s="4">
        <f t="shared" si="1"/>
        <v>-0.20479213307240618</v>
      </c>
      <c r="F135" s="4"/>
      <c r="G135" s="102"/>
      <c r="H135" s="63"/>
      <c r="I135" s="37"/>
      <c r="J135" s="34"/>
    </row>
    <row r="136" spans="1:13">
      <c r="E136" s="4"/>
      <c r="G136" s="44"/>
      <c r="H136" s="25"/>
      <c r="I136" s="25"/>
      <c r="J136" s="34"/>
      <c r="K136" s="4"/>
    </row>
    <row r="137" spans="1:13">
      <c r="A137" s="98" t="s">
        <v>220</v>
      </c>
      <c r="B137" s="4">
        <f>SUM(B108:B121)+SUM(B124:B126)+B131</f>
        <v>102.50468836496322</v>
      </c>
      <c r="D137" s="4"/>
      <c r="E137" s="8">
        <f>SUM(E108:E121)+SUM(E124:E126)+E131</f>
        <v>243.96115830861237</v>
      </c>
      <c r="G137" s="4"/>
      <c r="H137" s="34"/>
      <c r="I137" s="71"/>
      <c r="J137" s="34"/>
      <c r="M137" s="4"/>
    </row>
    <row r="138" spans="1:13">
      <c r="A138" s="98" t="s">
        <v>221</v>
      </c>
      <c r="B138" s="4">
        <f>B137-B125</f>
        <v>97.222093831077885</v>
      </c>
      <c r="E138" s="8">
        <f>E137-E125</f>
        <v>231.3885833179653</v>
      </c>
      <c r="G138" s="44"/>
      <c r="H138" s="25"/>
      <c r="I138" s="25"/>
      <c r="J138" s="25"/>
      <c r="K138" s="49"/>
    </row>
    <row r="139" spans="1:13">
      <c r="E139" s="4"/>
      <c r="H139" s="25"/>
      <c r="I139" s="25"/>
      <c r="J139" s="25"/>
    </row>
    <row r="140" spans="1:13">
      <c r="A140" s="98" t="s">
        <v>194</v>
      </c>
      <c r="B140" s="82">
        <f>(E137/100)*B63</f>
        <v>1298481.2427676572</v>
      </c>
      <c r="C140" s="54"/>
      <c r="H140" s="25"/>
      <c r="I140" s="25"/>
      <c r="J140" s="25"/>
      <c r="K140" s="49"/>
    </row>
    <row r="141" spans="1:13">
      <c r="A141" s="98" t="s">
        <v>195</v>
      </c>
      <c r="B141" s="82">
        <f>(E138/100)*B63</f>
        <v>1231563.8166010152</v>
      </c>
      <c r="E141" s="4"/>
      <c r="H141" s="25"/>
      <c r="I141" s="25"/>
      <c r="J141" s="25"/>
    </row>
    <row r="142" spans="1:13">
      <c r="G142" s="4"/>
      <c r="H142" s="25"/>
      <c r="I142" s="25"/>
      <c r="J142" s="25"/>
    </row>
    <row r="143" spans="1:13">
      <c r="A143" s="22" t="s">
        <v>66</v>
      </c>
      <c r="H143" s="25"/>
      <c r="I143" s="25"/>
      <c r="J143" s="25"/>
    </row>
    <row r="144" spans="1:13">
      <c r="A144" s="98" t="s">
        <v>159</v>
      </c>
      <c r="B144" s="4">
        <f>B104</f>
        <v>100</v>
      </c>
      <c r="H144" s="25"/>
      <c r="I144" s="25"/>
      <c r="J144" s="25"/>
    </row>
    <row r="145" spans="1:10">
      <c r="A145" s="98" t="s">
        <v>233</v>
      </c>
      <c r="B145" s="4">
        <f>E104</f>
        <v>238</v>
      </c>
      <c r="G145" s="4"/>
    </row>
    <row r="146" spans="1:10">
      <c r="A146" s="98" t="s">
        <v>201</v>
      </c>
      <c r="B146" s="83">
        <f>(B145/100)*B63</f>
        <v>1266753.0270854295</v>
      </c>
      <c r="G146" s="4"/>
    </row>
    <row r="147" spans="1:10">
      <c r="A147" s="9" t="s">
        <v>202</v>
      </c>
      <c r="B147" s="73">
        <f>B146</f>
        <v>1266753.0270854295</v>
      </c>
      <c r="E147" s="73"/>
      <c r="F147" s="4"/>
      <c r="G147" s="4"/>
    </row>
    <row r="148" spans="1:10">
      <c r="G148" s="4"/>
    </row>
    <row r="150" spans="1:10">
      <c r="A150" s="22" t="s">
        <v>229</v>
      </c>
    </row>
    <row r="151" spans="1:10">
      <c r="A151" s="98" t="s">
        <v>232</v>
      </c>
      <c r="B151" s="4">
        <f>B144-B138</f>
        <v>2.7779061689221152</v>
      </c>
      <c r="C151" s="54"/>
      <c r="D151" s="15"/>
      <c r="J151" s="25"/>
    </row>
    <row r="152" spans="1:10">
      <c r="A152" s="98" t="s">
        <v>285</v>
      </c>
      <c r="B152" s="44">
        <f>B153/B51*100</f>
        <v>43.214819893140451</v>
      </c>
      <c r="C152" s="54"/>
      <c r="D152" s="75"/>
      <c r="J152" s="25"/>
    </row>
    <row r="153" spans="1:10">
      <c r="A153" s="98" t="s">
        <v>230</v>
      </c>
      <c r="B153" s="76">
        <f>B147-B141</f>
        <v>35189.210484414361</v>
      </c>
      <c r="C153" s="25"/>
      <c r="D153" s="93"/>
      <c r="J153" s="25"/>
    </row>
    <row r="154" spans="1:10">
      <c r="C154" s="54"/>
      <c r="J154" s="25"/>
    </row>
    <row r="155" spans="1:10">
      <c r="A155" s="22" t="s">
        <v>292</v>
      </c>
      <c r="B155" s="73"/>
      <c r="C155" s="54"/>
      <c r="J155" s="25"/>
    </row>
    <row r="156" spans="1:10">
      <c r="A156" s="98" t="s">
        <v>293</v>
      </c>
      <c r="B156" s="73">
        <v>35189.210484414361</v>
      </c>
      <c r="C156" s="54"/>
      <c r="J156" s="25"/>
    </row>
    <row r="157" spans="1:10">
      <c r="A157" s="98" t="s">
        <v>294</v>
      </c>
      <c r="B157" s="73">
        <f>B153</f>
        <v>35189.210484414361</v>
      </c>
      <c r="C157" s="54"/>
      <c r="J157" s="25"/>
    </row>
    <row r="158" spans="1:10">
      <c r="A158" s="98" t="s">
        <v>300</v>
      </c>
      <c r="B158" s="73">
        <f>B157-B156</f>
        <v>0</v>
      </c>
      <c r="J158" s="25"/>
    </row>
    <row r="159" spans="1:10">
      <c r="A159" s="98" t="s">
        <v>295</v>
      </c>
      <c r="B159" s="3">
        <f>B32/100</f>
        <v>2.67272549075155E-3</v>
      </c>
      <c r="C159" s="54"/>
      <c r="J159" s="25"/>
    </row>
    <row r="160" spans="1:10">
      <c r="A160" s="98" t="s">
        <v>296</v>
      </c>
      <c r="B160" s="98">
        <v>12</v>
      </c>
      <c r="C160" s="54"/>
      <c r="J160" s="25"/>
    </row>
    <row r="161" spans="1:10">
      <c r="A161" s="98" t="s">
        <v>292</v>
      </c>
      <c r="B161" s="92">
        <f>NPV(B159,I210,I211,I212,I213,I214,I215,I216,I217,I218,I219,I220,I222,I221)</f>
        <v>33207.523993656941</v>
      </c>
      <c r="C161" s="54"/>
      <c r="J161" s="25"/>
    </row>
    <row r="162" spans="1:10">
      <c r="C162" s="54"/>
      <c r="H162" s="25"/>
      <c r="I162" s="25"/>
      <c r="J162" s="25"/>
    </row>
    <row r="163" spans="1:10">
      <c r="C163" s="54"/>
      <c r="H163" s="25"/>
      <c r="I163" s="25"/>
      <c r="J163" s="25"/>
    </row>
    <row r="164" spans="1:10">
      <c r="A164" s="22" t="s">
        <v>297</v>
      </c>
      <c r="C164" s="54"/>
      <c r="H164" s="25"/>
      <c r="I164" s="25"/>
      <c r="J164" s="25"/>
    </row>
    <row r="165" spans="1:10">
      <c r="A165" s="98" t="s">
        <v>298</v>
      </c>
      <c r="B165" s="73">
        <f>B156-B153</f>
        <v>0</v>
      </c>
      <c r="C165" s="54"/>
      <c r="H165" s="25"/>
      <c r="I165" s="25"/>
      <c r="J165" s="25"/>
    </row>
    <row r="166" spans="1:10">
      <c r="A166" s="98" t="s">
        <v>299</v>
      </c>
      <c r="B166" s="4">
        <f>B165/B64*100</f>
        <v>0</v>
      </c>
      <c r="D166" s="41"/>
      <c r="E166" s="75"/>
      <c r="F166" s="54"/>
      <c r="H166" s="25"/>
      <c r="I166" s="25"/>
      <c r="J166" s="25"/>
    </row>
    <row r="167" spans="1:10">
      <c r="H167" s="25"/>
      <c r="I167" s="25"/>
      <c r="J167" s="25"/>
    </row>
    <row r="168" spans="1:10">
      <c r="H168" s="25"/>
      <c r="I168" s="25"/>
    </row>
    <row r="169" spans="1:10">
      <c r="A169" s="22" t="s">
        <v>271</v>
      </c>
      <c r="E169" s="1"/>
    </row>
    <row r="170" spans="1:10">
      <c r="A170" s="98" t="s">
        <v>211</v>
      </c>
      <c r="B170" s="8">
        <f>'Emission factors'!C3*1000*(1+AVERAGE(10%,15%,15%))</f>
        <v>77.066666666666663</v>
      </c>
    </row>
    <row r="171" spans="1:10">
      <c r="A171" s="98" t="s">
        <v>269</v>
      </c>
      <c r="B171" s="47">
        <f>IF(AND(B91="None",F93="E5.5"),'Emission factors'!C10,IF(AND(B91="None",F93="E5.5"),'Emission factors'!C10,IF(AND(B91="None",F93="E5.6"),'Emission factors'!C11,IF(AND(B91="None",F93="E5.8"),'Emission factors'!C13,IF(AND(B91="None",F93="E5.9.1.2.2"),'Emission factors'!C14,IF(AND(B91="None",F93="E5.9.1.2.4"),'Emission factors'!C15,IF(AND(B91="None",F93="E5.10"),'Emission factors'!C16,IF(AND(B91="None",F93="E5.11"),'Emission factors'!C17,IF(AND(B91="None",F93="E5.15"),'Emission factors'!C21,IF(AND(B91="None",F93="E7.1"),0,IF(AND(B91="None",F93="E7.2"), 'Emission factors'!C28, IF(B91="E5.14", 'Emission factors'!C20, IF(AND(B91="None",F93="E5.13"), 'Emission factors'!C19,  0)))))))))))))</f>
        <v>0.48529411764705882</v>
      </c>
      <c r="F171" s="47"/>
      <c r="G171" s="16"/>
      <c r="H171" s="16"/>
    </row>
    <row r="172" spans="1:10">
      <c r="A172" s="98" t="s">
        <v>270</v>
      </c>
      <c r="B172" s="47">
        <f>IF(AND(B92="None",F94="E5.4"),'Emission factors'!C9,IF(AND(B92="None",F94="E5.7"),'Emission factors'!C12,IF(AND(B92="None",F94="E5.12"),'Emission factors'!C18,IF(AND(B92="None",F94="E5.13"),'Emission factors'!C19,IF(AND(B92="None",F94="E7.3"),'Emission factors'!C29,IF(AND(B92="None",F94="E7.4"),'Emission factors'!C30,IF(AND(B92="None",F94="E7.5"),'Emission factors'!C31,IF(AND(B92="None",F94="E7.6"),'Emission factors'!C32,IF(AND(B92="None",F94="E7.11"),'Emission factors'!C34,IF(AND(B92="None",F94="E7.12"),'Emission factors'!C35,IF(AND(B92="None",F94="E5.16"),'Emission factors'!C22, IF(B92="E7.7",'Emission factors'!C33, IF(B92="E7.2", 'Emission factors'!C28, IF(AND(B92="None", F94="E5.13"), 'Emission factors'!C19, 0))))))))))))))</f>
        <v>0</v>
      </c>
      <c r="F172" s="90"/>
      <c r="G172" s="47"/>
      <c r="H172" s="47"/>
    </row>
    <row r="173" spans="1:10">
      <c r="B173" s="47"/>
      <c r="C173" s="28"/>
      <c r="F173" s="47"/>
      <c r="G173" s="16"/>
      <c r="H173" s="16"/>
    </row>
    <row r="174" spans="1:10">
      <c r="A174" s="98" t="s">
        <v>273</v>
      </c>
      <c r="B174" s="4">
        <f>B170*(1-B171)*(1-B172)*(1-B173)</f>
        <v>39.666666666666657</v>
      </c>
      <c r="F174" s="8"/>
      <c r="G174" s="8"/>
      <c r="H174" s="8"/>
    </row>
    <row r="176" spans="1:10">
      <c r="A176" s="22" t="s">
        <v>272</v>
      </c>
    </row>
    <row r="177" spans="1:8">
      <c r="A177" s="98" t="s">
        <v>211</v>
      </c>
      <c r="B177" s="8">
        <f>('Emission factors'!D3)*(1+(AVERAGE(75%,20%,20%)))</f>
        <v>30.433333333333334</v>
      </c>
    </row>
    <row r="178" spans="1:8">
      <c r="A178" s="98" t="s">
        <v>269</v>
      </c>
      <c r="B178" s="47">
        <f>IF(AND(B91="None",F93="E5.5"),'Emission factors'!D10,IF(AND(B91="None",F93="E5.6"),'Emission factors'!D11,IF(AND(B91="None",F93="E5.8"),'Emission factors'!D13,IF(AND(B91="None",F93="E5.9.1.2.2"),'Emission factors'!D14,IF(AND(B91="None",F93="E5.9.1.2.4"),'Emission factors'!D15,IF(AND(B91="None",F93="E5.10"),'Emission factors'!D16,IF(AND(B91="None",F93="E5.11"),'Emission factors'!D17,IF(AND(B91="None",F93="E5.14"),'Emission factors'!D20,IF(AND(B91="None",F93="E5.15"),'Emission factors'!D21,IF(AND(B91="None",F93="E7.1"),'Emission factors'!D27,IF(AND(B91="None",F93="E7.2"),'Emission factors'!D28,IF(B91="E5.14",'Emission factors'!D20,IF(AND(B91="None",F93="E5.13"),'Emission factors'!D19,0)))))))))))))</f>
        <v>0</v>
      </c>
      <c r="F178" s="47"/>
      <c r="G178" s="16"/>
      <c r="H178" s="16"/>
    </row>
    <row r="179" spans="1:8">
      <c r="A179" s="98" t="s">
        <v>270</v>
      </c>
      <c r="B179" s="47">
        <f>IF(AND(B92="None",F94="E5.4"),'Emission factors'!D9,IF(AND(B92="None",F94="E5.7"),'Emission factors'!D12,IF(AND(B92="None",F94="E5.12"),'Emission factors'!D18,IF(AND(B92="None",F94="E5.13"),'Emission factors'!D19,IF(AND(B92="None",F94="E7.3"),'Emission factors'!D29,IF(AND(B92="None",F94="E7.4"),'Emission factors'!D30,IF(AND(B92="None",F94="E7.5"),'Emission factors'!D31,IF(AND(B92="None",F94="E7.6"),'Emission factors'!D32,IF(AND(B92="None",F94="E7.7"),'Emission factors'!D33,IF(AND(B92="None",F94="E7.11"),'Emission factors'!D34,IF(AND(B92="None",F94="E7.12"),'Emission factors'!D35,IF(AND(B92="E7.7"),'Emission factors'!D33,IF(AND(B92="None",F94="E5.16"),'Emission factors'!D22, IF(AND(B92="None", F94="E7.2"), 'Emission factors'!D28, 0))))))))))))))</f>
        <v>0.13</v>
      </c>
      <c r="F179" s="86"/>
      <c r="G179" s="47"/>
      <c r="H179" s="47"/>
    </row>
    <row r="180" spans="1:8">
      <c r="A180" s="98" t="s">
        <v>273</v>
      </c>
      <c r="B180" s="4">
        <f>B177*(1-B178)*(1-B179)</f>
        <v>26.477</v>
      </c>
      <c r="F180" s="47"/>
      <c r="G180" s="47"/>
      <c r="H180" s="47"/>
    </row>
    <row r="181" spans="1:8">
      <c r="C181" s="4"/>
      <c r="F181" s="8"/>
      <c r="G181" s="8"/>
      <c r="H181" s="8"/>
    </row>
    <row r="182" spans="1:8">
      <c r="A182" s="22" t="s">
        <v>282</v>
      </c>
    </row>
    <row r="183" spans="1:8">
      <c r="A183" s="14" t="s">
        <v>172</v>
      </c>
      <c r="B183" s="6">
        <f>IF(B60=39.14,('Default scenario'!B174*'Input prices producer prices'!C264)/1000, IF(B60=30.9,('Default scenario'!B174*'Input prices producer prices'!E264)/1000, 0))</f>
        <v>3229.9999999999991</v>
      </c>
    </row>
    <row r="185" spans="1:8">
      <c r="A185" s="22" t="s">
        <v>283</v>
      </c>
    </row>
    <row r="186" spans="1:8">
      <c r="A186" s="14" t="s">
        <v>172</v>
      </c>
      <c r="B186" s="6">
        <f>IF(B60=39.14,('Default scenario'!B180*'Input prices producer prices'!C264)/1000, IF(B60=30.9, ('Default scenario'!B180*'Input prices producer prices'!E264)/1000, 0))</f>
        <v>2155.9842857142853</v>
      </c>
    </row>
    <row r="187" spans="1:8">
      <c r="A187" s="14"/>
      <c r="B187" s="6"/>
      <c r="F187" s="47"/>
      <c r="G187" s="16"/>
      <c r="H187" s="16"/>
    </row>
    <row r="188" spans="1:8">
      <c r="A188" s="14"/>
      <c r="B188" s="6"/>
      <c r="F188" s="47"/>
      <c r="G188" s="16"/>
      <c r="H188" s="16"/>
    </row>
    <row r="189" spans="1:8">
      <c r="A189" s="22" t="s">
        <v>382</v>
      </c>
      <c r="B189" s="6"/>
      <c r="F189" s="47"/>
      <c r="G189" s="16"/>
      <c r="H189" s="16"/>
    </row>
    <row r="190" spans="1:8">
      <c r="A190" s="14" t="s">
        <v>384</v>
      </c>
      <c r="B190" s="110">
        <v>593.1</v>
      </c>
      <c r="F190" s="47"/>
      <c r="G190" s="16"/>
      <c r="H190" s="16"/>
    </row>
    <row r="191" spans="1:8">
      <c r="A191" s="14" t="s">
        <v>383</v>
      </c>
      <c r="B191" s="8">
        <v>678.7</v>
      </c>
      <c r="F191" s="47"/>
      <c r="G191" s="16"/>
      <c r="H191" s="16"/>
    </row>
    <row r="192" spans="1:8">
      <c r="A192" s="14" t="s">
        <v>391</v>
      </c>
      <c r="B192" s="8"/>
      <c r="F192" s="47"/>
      <c r="G192" s="16"/>
      <c r="H192" s="16"/>
    </row>
    <row r="193" spans="1:8">
      <c r="A193" s="14" t="s">
        <v>387</v>
      </c>
      <c r="B193" s="8">
        <v>21.2</v>
      </c>
      <c r="F193" s="47"/>
      <c r="G193" s="16"/>
      <c r="H193" s="16"/>
    </row>
    <row r="194" spans="1:8">
      <c r="A194" s="14" t="s">
        <v>388</v>
      </c>
      <c r="B194" s="8">
        <v>61.6</v>
      </c>
      <c r="F194" s="47"/>
      <c r="G194" s="16"/>
      <c r="H194" s="16"/>
    </row>
    <row r="195" spans="1:8">
      <c r="A195" s="14" t="s">
        <v>386</v>
      </c>
      <c r="B195" s="8">
        <v>59.8</v>
      </c>
      <c r="F195" s="47"/>
      <c r="G195" s="16"/>
      <c r="H195" s="16"/>
    </row>
    <row r="196" spans="1:8">
      <c r="A196" s="14" t="s">
        <v>389</v>
      </c>
      <c r="B196" s="8">
        <v>71.3</v>
      </c>
      <c r="F196" s="47"/>
      <c r="G196" s="16"/>
      <c r="H196" s="16"/>
    </row>
    <row r="197" spans="1:8">
      <c r="A197" s="14"/>
      <c r="B197" s="8"/>
      <c r="F197" s="47"/>
      <c r="G197" s="16"/>
      <c r="H197" s="16"/>
    </row>
    <row r="198" spans="1:8">
      <c r="A198" s="14" t="s">
        <v>390</v>
      </c>
      <c r="B198" s="98">
        <f>IF(AND(B41="Provision of grains (2g) and straw bales (2 bales)",F90="yes", B60=39.14),(B191-B190)+B193, IF(AND(B41="Provision of grains (2g) and straw bales (2 bales)",F90="no", B60=30.9),(B191-B190)+B194, IF(AND(B41="Provision of grains (2g) and straw bales (2 bales)",F90="yes", B60=30.9), (B191-B190)+B196, IF(AND(B60=30.9,F90="yes", B41="Provision of straw bales (1bale)"),(B191-B190)+B195,(B191-B190)))))</f>
        <v>85.600000000000023</v>
      </c>
      <c r="F198" s="47"/>
      <c r="G198" s="16"/>
      <c r="H198" s="16"/>
    </row>
    <row r="199" spans="1:8">
      <c r="A199" s="14"/>
      <c r="B199" s="6"/>
      <c r="F199" s="47"/>
      <c r="G199" s="16"/>
      <c r="H199" s="16"/>
    </row>
    <row r="200" spans="1:8">
      <c r="A200" s="14"/>
      <c r="B200" s="6"/>
      <c r="F200" s="47"/>
      <c r="G200" s="16"/>
      <c r="H200" s="16"/>
    </row>
    <row r="201" spans="1:8">
      <c r="A201" s="14"/>
      <c r="B201" s="6"/>
      <c r="F201" s="47"/>
      <c r="G201" s="16"/>
      <c r="H201" s="16"/>
    </row>
    <row r="202" spans="1:8">
      <c r="A202" s="14"/>
      <c r="B202" s="6"/>
      <c r="F202" s="47"/>
      <c r="G202" s="16"/>
      <c r="H202" s="16"/>
    </row>
    <row r="203" spans="1:8">
      <c r="A203" s="14"/>
      <c r="B203" s="6"/>
      <c r="F203" s="47"/>
      <c r="G203" s="16"/>
      <c r="H203" s="16"/>
    </row>
    <row r="204" spans="1:8">
      <c r="A204" s="14"/>
      <c r="B204" s="6"/>
      <c r="F204" s="47"/>
      <c r="G204" s="16"/>
      <c r="H204" s="16"/>
    </row>
    <row r="205" spans="1:8">
      <c r="B205" s="4"/>
      <c r="F205" s="47"/>
      <c r="G205" s="47"/>
      <c r="H205" s="47"/>
    </row>
    <row r="206" spans="1:8">
      <c r="F206" s="8"/>
      <c r="G206" s="8"/>
      <c r="H206" s="8"/>
    </row>
    <row r="209" spans="1:9">
      <c r="A209" s="96" t="s">
        <v>302</v>
      </c>
      <c r="B209" s="98" t="s">
        <v>304</v>
      </c>
      <c r="C209" s="98" t="s">
        <v>110</v>
      </c>
      <c r="D209" s="98" t="s">
        <v>303</v>
      </c>
      <c r="E209" s="98" t="s">
        <v>305</v>
      </c>
      <c r="F209" s="98" t="s">
        <v>309</v>
      </c>
      <c r="G209" s="98" t="s">
        <v>310</v>
      </c>
      <c r="H209" s="98" t="s">
        <v>311</v>
      </c>
      <c r="I209" s="98" t="s">
        <v>312</v>
      </c>
    </row>
    <row r="210" spans="1:9">
      <c r="A210" s="98">
        <v>1</v>
      </c>
      <c r="B210" s="95">
        <f t="shared" ref="B210:B221" si="2">IF($B$227=0,0,$B$227/$B$224)</f>
        <v>0</v>
      </c>
      <c r="C210" s="91">
        <f>B227*B225</f>
        <v>0</v>
      </c>
      <c r="D210" s="91">
        <f t="shared" ref="D210:D221" si="3">B210-C210</f>
        <v>0</v>
      </c>
      <c r="E210" s="91">
        <f>B227-D210</f>
        <v>0</v>
      </c>
      <c r="F210" s="74">
        <f>($E$129+$E$134)/100*$B$63</f>
        <v>2705.13</v>
      </c>
      <c r="G210" s="74">
        <f t="shared" ref="G210:G221" si="4">C210</f>
        <v>0</v>
      </c>
      <c r="H210" s="91">
        <f>G210-F210</f>
        <v>-2705.13</v>
      </c>
      <c r="I210" s="73">
        <f>$B$158-H210</f>
        <v>2705.13</v>
      </c>
    </row>
    <row r="211" spans="1:9">
      <c r="A211" s="98">
        <v>2</v>
      </c>
      <c r="B211" s="95">
        <f t="shared" si="2"/>
        <v>0</v>
      </c>
      <c r="C211" s="91">
        <f t="shared" ref="C211:C221" si="5">$B$225*E210</f>
        <v>0</v>
      </c>
      <c r="D211" s="91">
        <f t="shared" si="3"/>
        <v>0</v>
      </c>
      <c r="E211" s="91">
        <f t="shared" ref="E211:E221" si="6">E210-D211</f>
        <v>0</v>
      </c>
      <c r="F211" s="74">
        <f>($E$129+$E$134)/100*$B$63</f>
        <v>2705.13</v>
      </c>
      <c r="G211" s="74">
        <f t="shared" si="4"/>
        <v>0</v>
      </c>
      <c r="H211" s="91">
        <f t="shared" ref="H211:H222" si="7">G211-F211</f>
        <v>-2705.13</v>
      </c>
      <c r="I211" s="73">
        <f t="shared" ref="I211:I222" si="8">$B$158-H211</f>
        <v>2705.13</v>
      </c>
    </row>
    <row r="212" spans="1:9">
      <c r="A212" s="98">
        <v>3</v>
      </c>
      <c r="B212" s="95">
        <f t="shared" si="2"/>
        <v>0</v>
      </c>
      <c r="C212" s="91">
        <f t="shared" si="5"/>
        <v>0</v>
      </c>
      <c r="D212" s="91">
        <f t="shared" si="3"/>
        <v>0</v>
      </c>
      <c r="E212" s="91">
        <f t="shared" si="6"/>
        <v>0</v>
      </c>
      <c r="F212" s="74">
        <f>($E$129+$E$134)/100*$B$63</f>
        <v>2705.13</v>
      </c>
      <c r="G212" s="74">
        <f t="shared" si="4"/>
        <v>0</v>
      </c>
      <c r="H212" s="91">
        <f t="shared" si="7"/>
        <v>-2705.13</v>
      </c>
      <c r="I212" s="73">
        <f t="shared" si="8"/>
        <v>2705.13</v>
      </c>
    </row>
    <row r="213" spans="1:9">
      <c r="A213" s="98">
        <v>4</v>
      </c>
      <c r="B213" s="95">
        <f t="shared" si="2"/>
        <v>0</v>
      </c>
      <c r="C213" s="91">
        <f t="shared" si="5"/>
        <v>0</v>
      </c>
      <c r="D213" s="91">
        <f t="shared" si="3"/>
        <v>0</v>
      </c>
      <c r="E213" s="91">
        <f t="shared" si="6"/>
        <v>0</v>
      </c>
      <c r="F213" s="74">
        <f>($E$129+$E$134)/100*$B$63</f>
        <v>2705.13</v>
      </c>
      <c r="G213" s="74">
        <f t="shared" si="4"/>
        <v>0</v>
      </c>
      <c r="H213" s="91">
        <f t="shared" si="7"/>
        <v>-2705.13</v>
      </c>
      <c r="I213" s="73">
        <f t="shared" si="8"/>
        <v>2705.13</v>
      </c>
    </row>
    <row r="214" spans="1:9">
      <c r="A214" s="98">
        <v>5</v>
      </c>
      <c r="B214" s="95">
        <f t="shared" si="2"/>
        <v>0</v>
      </c>
      <c r="C214" s="91">
        <f t="shared" si="5"/>
        <v>0</v>
      </c>
      <c r="D214" s="91">
        <f t="shared" si="3"/>
        <v>0</v>
      </c>
      <c r="E214" s="91">
        <f t="shared" si="6"/>
        <v>0</v>
      </c>
      <c r="F214" s="74">
        <f>($E$129+$E$134)/100*$B$63</f>
        <v>2705.13</v>
      </c>
      <c r="G214" s="74">
        <f t="shared" si="4"/>
        <v>0</v>
      </c>
      <c r="H214" s="91">
        <f t="shared" si="7"/>
        <v>-2705.13</v>
      </c>
      <c r="I214" s="73">
        <f t="shared" si="8"/>
        <v>2705.13</v>
      </c>
    </row>
    <row r="215" spans="1:9">
      <c r="A215" s="98">
        <v>6</v>
      </c>
      <c r="B215" s="95">
        <f t="shared" si="2"/>
        <v>0</v>
      </c>
      <c r="C215" s="91">
        <f t="shared" si="5"/>
        <v>0</v>
      </c>
      <c r="D215" s="91">
        <f t="shared" si="3"/>
        <v>0</v>
      </c>
      <c r="E215" s="91">
        <f t="shared" si="6"/>
        <v>0</v>
      </c>
      <c r="F215" s="74">
        <f>($E$129+$E$134)/100*$B$63</f>
        <v>2705.13</v>
      </c>
      <c r="G215" s="74">
        <f t="shared" si="4"/>
        <v>0</v>
      </c>
      <c r="H215" s="91">
        <f t="shared" si="7"/>
        <v>-2705.13</v>
      </c>
      <c r="I215" s="73">
        <f t="shared" si="8"/>
        <v>2705.13</v>
      </c>
    </row>
    <row r="216" spans="1:9">
      <c r="A216" s="98">
        <v>7</v>
      </c>
      <c r="B216" s="95">
        <f t="shared" si="2"/>
        <v>0</v>
      </c>
      <c r="C216" s="91">
        <f t="shared" si="5"/>
        <v>0</v>
      </c>
      <c r="D216" s="91">
        <f t="shared" si="3"/>
        <v>0</v>
      </c>
      <c r="E216" s="91">
        <f t="shared" si="6"/>
        <v>0</v>
      </c>
      <c r="F216" s="74">
        <f>($E$129+$E$134)/100*$B$63</f>
        <v>2705.13</v>
      </c>
      <c r="G216" s="74">
        <f t="shared" si="4"/>
        <v>0</v>
      </c>
      <c r="H216" s="91">
        <f t="shared" si="7"/>
        <v>-2705.13</v>
      </c>
      <c r="I216" s="73">
        <f t="shared" si="8"/>
        <v>2705.13</v>
      </c>
    </row>
    <row r="217" spans="1:9">
      <c r="A217" s="98">
        <v>8</v>
      </c>
      <c r="B217" s="95">
        <f t="shared" si="2"/>
        <v>0</v>
      </c>
      <c r="C217" s="91">
        <f t="shared" si="5"/>
        <v>0</v>
      </c>
      <c r="D217" s="91">
        <f t="shared" si="3"/>
        <v>0</v>
      </c>
      <c r="E217" s="91">
        <f t="shared" si="6"/>
        <v>0</v>
      </c>
      <c r="F217" s="74">
        <f>($E$129+$E$134)/100*$B$63</f>
        <v>2705.13</v>
      </c>
      <c r="G217" s="74">
        <f t="shared" si="4"/>
        <v>0</v>
      </c>
      <c r="H217" s="91">
        <f t="shared" si="7"/>
        <v>-2705.13</v>
      </c>
      <c r="I217" s="73">
        <f t="shared" si="8"/>
        <v>2705.13</v>
      </c>
    </row>
    <row r="218" spans="1:9">
      <c r="A218" s="98">
        <v>9</v>
      </c>
      <c r="B218" s="95">
        <f t="shared" si="2"/>
        <v>0</v>
      </c>
      <c r="C218" s="91">
        <f t="shared" si="5"/>
        <v>0</v>
      </c>
      <c r="D218" s="91">
        <f t="shared" si="3"/>
        <v>0</v>
      </c>
      <c r="E218" s="91">
        <f t="shared" si="6"/>
        <v>0</v>
      </c>
      <c r="F218" s="74">
        <f>($E$129+$E$134)/100*$B$63</f>
        <v>2705.13</v>
      </c>
      <c r="G218" s="74">
        <f t="shared" si="4"/>
        <v>0</v>
      </c>
      <c r="H218" s="91">
        <f t="shared" si="7"/>
        <v>-2705.13</v>
      </c>
      <c r="I218" s="73">
        <f t="shared" si="8"/>
        <v>2705.13</v>
      </c>
    </row>
    <row r="219" spans="1:9">
      <c r="A219" s="98">
        <v>10</v>
      </c>
      <c r="B219" s="95">
        <f t="shared" si="2"/>
        <v>0</v>
      </c>
      <c r="C219" s="91">
        <f t="shared" si="5"/>
        <v>0</v>
      </c>
      <c r="D219" s="91">
        <f t="shared" si="3"/>
        <v>0</v>
      </c>
      <c r="E219" s="91">
        <f t="shared" si="6"/>
        <v>0</v>
      </c>
      <c r="F219" s="74">
        <f>($E$129+$E$134)/100*$B$63</f>
        <v>2705.13</v>
      </c>
      <c r="G219" s="74">
        <f t="shared" si="4"/>
        <v>0</v>
      </c>
      <c r="H219" s="91">
        <f t="shared" si="7"/>
        <v>-2705.13</v>
      </c>
      <c r="I219" s="73">
        <f t="shared" si="8"/>
        <v>2705.13</v>
      </c>
    </row>
    <row r="220" spans="1:9">
      <c r="A220" s="25">
        <v>11</v>
      </c>
      <c r="B220" s="95">
        <f t="shared" si="2"/>
        <v>0</v>
      </c>
      <c r="C220" s="91">
        <f t="shared" si="5"/>
        <v>0</v>
      </c>
      <c r="D220" s="91">
        <f t="shared" si="3"/>
        <v>0</v>
      </c>
      <c r="E220" s="91">
        <f t="shared" si="6"/>
        <v>0</v>
      </c>
      <c r="F220" s="74">
        <f>($E$129+$E$134)/100*$B$63</f>
        <v>2705.13</v>
      </c>
      <c r="G220" s="74">
        <f t="shared" si="4"/>
        <v>0</v>
      </c>
      <c r="H220" s="91">
        <f t="shared" si="7"/>
        <v>-2705.13</v>
      </c>
      <c r="I220" s="73">
        <f t="shared" si="8"/>
        <v>2705.13</v>
      </c>
    </row>
    <row r="221" spans="1:9">
      <c r="A221" s="35">
        <v>12</v>
      </c>
      <c r="B221" s="95">
        <f t="shared" si="2"/>
        <v>0</v>
      </c>
      <c r="C221" s="91">
        <f t="shared" si="5"/>
        <v>0</v>
      </c>
      <c r="D221" s="91">
        <f t="shared" si="3"/>
        <v>0</v>
      </c>
      <c r="E221" s="91">
        <f t="shared" si="6"/>
        <v>0</v>
      </c>
      <c r="F221" s="74">
        <f>($E$129+$E$134)/100*$B$63</f>
        <v>2705.13</v>
      </c>
      <c r="G221" s="74">
        <f t="shared" si="4"/>
        <v>0</v>
      </c>
      <c r="H221" s="91">
        <f t="shared" si="7"/>
        <v>-2705.13</v>
      </c>
      <c r="I221" s="73">
        <f t="shared" si="8"/>
        <v>2705.13</v>
      </c>
    </row>
    <row r="222" spans="1:9">
      <c r="A222" s="35">
        <v>12.5</v>
      </c>
      <c r="B222" s="95">
        <v>0</v>
      </c>
      <c r="C222" s="91">
        <v>0</v>
      </c>
      <c r="D222" s="91">
        <v>0</v>
      </c>
      <c r="E222" s="91">
        <v>0</v>
      </c>
      <c r="F222" s="74">
        <f>($E$129+$E$134)/100*$B$63/2</f>
        <v>1352.5650000000001</v>
      </c>
      <c r="G222" s="74">
        <f>0</f>
        <v>0</v>
      </c>
      <c r="H222" s="91">
        <f t="shared" si="7"/>
        <v>-1352.5650000000001</v>
      </c>
      <c r="I222" s="73">
        <f t="shared" si="8"/>
        <v>1352.5650000000001</v>
      </c>
    </row>
    <row r="224" spans="1:9">
      <c r="A224" s="98" t="s">
        <v>307</v>
      </c>
      <c r="B224" s="4">
        <f>(1-(1/((1+B225)^B226)))/B225</f>
        <v>10.364152829379517</v>
      </c>
    </row>
    <row r="225" spans="1:9">
      <c r="A225" s="98" t="s">
        <v>308</v>
      </c>
      <c r="B225" s="5">
        <f>B31/100</f>
        <v>2.3300000000000001E-2</v>
      </c>
      <c r="I225" s="73"/>
    </row>
    <row r="226" spans="1:9">
      <c r="A226" s="98" t="s">
        <v>302</v>
      </c>
      <c r="B226" s="98">
        <v>12</v>
      </c>
    </row>
    <row r="227" spans="1:9">
      <c r="A227" s="98" t="s">
        <v>306</v>
      </c>
      <c r="B227" s="74">
        <f>SUM(H98:H103)</f>
        <v>0</v>
      </c>
    </row>
  </sheetData>
  <conditionalFormatting sqref="A113">
    <cfRule type="expression" dxfId="25" priority="3" stopIfTrue="1">
      <formula>IF(RiskSelectedNameCell1=CELL("address",$A$113),TRUE)</formula>
    </cfRule>
  </conditionalFormatting>
  <conditionalFormatting sqref="E108">
    <cfRule type="expression" dxfId="24" priority="4" stopIfTrue="1">
      <formula>IF(RiskSelectedCell=CELL("address",E108),TRUE)</formula>
    </cfRule>
  </conditionalFormatting>
  <conditionalFormatting sqref="A108">
    <cfRule type="expression" dxfId="23" priority="5" stopIfTrue="1">
      <formula>IF(RiskSelectedNameCell1=CELL("address",$A$108),TRUE)</formula>
    </cfRule>
  </conditionalFormatting>
  <conditionalFormatting sqref="E138">
    <cfRule type="expression" dxfId="22" priority="6" stopIfTrue="1">
      <formula>IF(RiskSelectedCell=CELL("address",E138),TRUE)</formula>
    </cfRule>
  </conditionalFormatting>
  <conditionalFormatting sqref="A138">
    <cfRule type="expression" dxfId="21" priority="7" stopIfTrue="1">
      <formula>IF(RiskSelectedNameCell1=CELL("address",$A$138),TRUE)</formula>
    </cfRule>
  </conditionalFormatting>
  <conditionalFormatting sqref="G178">
    <cfRule type="expression" dxfId="20" priority="8" stopIfTrue="1">
      <formula>IF(RiskSelectedNameCell2=CELL("address",$G$178),TRUE)</formula>
    </cfRule>
  </conditionalFormatting>
  <conditionalFormatting sqref="B145">
    <cfRule type="expression" dxfId="19" priority="9" stopIfTrue="1">
      <formula>IF(RiskSelectedCell=CELL("address",B145),TRUE)</formula>
    </cfRule>
  </conditionalFormatting>
  <conditionalFormatting sqref="A145">
    <cfRule type="expression" dxfId="18" priority="10" stopIfTrue="1">
      <formula>IF(RiskSelectedNameCell1=CELL("address",$A$145),TRUE)</formula>
    </cfRule>
  </conditionalFormatting>
  <conditionalFormatting sqref="A186">
    <cfRule type="expression" dxfId="17" priority="11" stopIfTrue="1">
      <formula>IF(RiskSelectedNameCell1=CELL("address",$A$186),TRUE)</formula>
    </cfRule>
  </conditionalFormatting>
  <conditionalFormatting sqref="B186">
    <cfRule type="expression" dxfId="16" priority="13" stopIfTrue="1">
      <formula>IF(RiskSelectedCell=CELL("address",B186),TRUE)</formula>
    </cfRule>
  </conditionalFormatting>
  <conditionalFormatting sqref="B147">
    <cfRule type="expression" dxfId="15" priority="16" stopIfTrue="1">
      <formula>IF(RiskSelectedCell=CELL("address",B147),TRUE)</formula>
    </cfRule>
  </conditionalFormatting>
  <conditionalFormatting sqref="A147">
    <cfRule type="expression" dxfId="14" priority="17" stopIfTrue="1">
      <formula>IF(RiskSelectedNameCell1=CELL("address",$A$147),TRUE)</formula>
    </cfRule>
  </conditionalFormatting>
  <conditionalFormatting sqref="B106">
    <cfRule type="expression" dxfId="13" priority="18" stopIfTrue="1">
      <formula>IF(RiskSelectedNameCell2=CELL("address",$B$106),TRUE)</formula>
    </cfRule>
  </conditionalFormatting>
  <dataValidations count="10">
    <dataValidation type="list" allowBlank="1" showInputMessage="1" showErrorMessage="1" sqref="B68" xr:uid="{0170A66D-CF81-488E-8D99-DC23DBCBB6F8}">
      <formula1>"Compound feed conventional, Compound feed NDRS, Compound feed Extensive Indoor+"</formula1>
    </dataValidation>
    <dataValidation type="list" allowBlank="1" showInputMessage="1" showErrorMessage="1" sqref="B71" xr:uid="{E271C67D-3C1F-4341-B11B-6B0A5C805E60}">
      <formula1>"None, 1 bale/1000 broilers, 2g/broiler 1 bale/1000 broilers, 2g/broiler 2 bales/1000 broilers"</formula1>
    </dataValidation>
    <dataValidation type="list" allowBlank="1" showInputMessage="1" showErrorMessage="1" sqref="B41" xr:uid="{14BBBEDB-6C11-46D1-A314-47C37A1C36C1}">
      <formula1>"No extra activity, Provision of straw bales (1bale), Provision of grains (2g) and straw bales (1 bale), Provision of grains (2g) and straw bales (2 bales)"</formula1>
    </dataValidation>
    <dataValidation type="list" allowBlank="1" showInputMessage="1" showErrorMessage="1" sqref="F93" xr:uid="{91EABA91-5745-4808-BA30-D8508C6D43A5}">
      <formula1>"No, E5.5, E5.6, E5.8, 5.9.1.2.2, 5.9.1.2.4, E5.10, E5.11, E5.14, E5.15, E7.1, E7.2, E5.13"</formula1>
    </dataValidation>
    <dataValidation type="list" allowBlank="1" showInputMessage="1" showErrorMessage="1" sqref="F94" xr:uid="{2762F443-AD27-4DCE-8EB1-B86C991A8BC7}">
      <formula1>"No, E5.4, E5.7, E5.12, E5.13, E7.2, E7.3, E7.4, E7.5, E7.6, E7.7, E7.11, E7.12, E5.16"</formula1>
    </dataValidation>
    <dataValidation type="list" allowBlank="1" showInputMessage="1" showErrorMessage="1" sqref="B54" xr:uid="{E61683CA-F8BA-46A4-9F81-F6F746210484}">
      <formula1>"Ross 308, Hubbard JA 987, Hubbard JA 757"</formula1>
    </dataValidation>
    <dataValidation type="list" allowBlank="1" showInputMessage="1" showErrorMessage="1" sqref="F90:F91" xr:uid="{BC9A8441-13CB-4110-A086-BB6EC9A9314F}">
      <formula1>"Yes, No"</formula1>
    </dataValidation>
    <dataValidation type="list" allowBlank="1" showInputMessage="1" showErrorMessage="1" sqref="B91" xr:uid="{5731F51D-060C-4B3C-9EAB-4833B54B03E2}">
      <formula1>"None, E5.14"</formula1>
    </dataValidation>
    <dataValidation type="list" allowBlank="1" showInputMessage="1" showErrorMessage="1" sqref="B92" xr:uid="{A6905EDC-B5EB-4C10-BD64-43A03276EBA8}">
      <formula1>"None, E7.7"</formula1>
    </dataValidation>
    <dataValidation type="list" allowBlank="1" showInputMessage="1" showErrorMessage="1" sqref="B60" xr:uid="{6D74BF97-DF46-4013-9202-BACF7F147E92}">
      <mc:AlternateContent xmlns:x12ac="http://schemas.microsoft.com/office/spreadsheetml/2011/1/ac" xmlns:mc="http://schemas.openxmlformats.org/markup-compatibility/2006">
        <mc:Choice Requires="x12ac">
          <x12ac:list>"43,47"," 39,14"," 25,625"," 30,9"</x12ac:list>
        </mc:Choice>
        <mc:Fallback>
          <formula1>"43,47, 39,14, 25,625, 30,9"</formula1>
        </mc:Fallback>
      </mc:AlternateContent>
    </dataValidation>
  </dataValidations>
  <pageMargins left="0.7" right="0.7" top="0.75" bottom="0.75" header="0.3" footer="0.3"/>
  <pageSetup paperSize="9" orientation="portrait" horizontalDpi="1200" verticalDpi="12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5BBD1-73B2-41FA-8B59-B03471EF249B}">
  <sheetPr codeName="Sheet6"/>
  <dimension ref="A1:O223"/>
  <sheetViews>
    <sheetView topLeftCell="A106" zoomScaleNormal="100" workbookViewId="0">
      <selection activeCell="B118" sqref="B118"/>
    </sheetView>
  </sheetViews>
  <sheetFormatPr defaultRowHeight="15"/>
  <cols>
    <col min="1" max="1" width="50.5703125" style="98" customWidth="1"/>
    <col min="2" max="2" width="23.42578125" style="98" customWidth="1"/>
    <col min="3" max="3" width="18" style="98" customWidth="1"/>
    <col min="4" max="4" width="16" style="98" customWidth="1"/>
    <col min="5" max="5" width="29.28515625" style="98" customWidth="1"/>
    <col min="6" max="6" width="20.7109375" style="98" customWidth="1"/>
    <col min="7" max="7" width="33.85546875" style="98" customWidth="1"/>
    <col min="8" max="8" width="22.28515625" style="98" customWidth="1"/>
    <col min="9" max="9" width="16" style="98" customWidth="1"/>
    <col min="10" max="10" width="20.5703125" style="98" customWidth="1"/>
    <col min="11" max="11" width="15.85546875" style="98" customWidth="1"/>
    <col min="12" max="15" width="9.140625" style="98"/>
    <col min="16" max="16" width="19.140625" style="98" customWidth="1"/>
    <col min="17" max="17" width="17.7109375" style="98" customWidth="1"/>
    <col min="18" max="16384" width="9.140625" style="98"/>
  </cols>
  <sheetData>
    <row r="1" spans="1:13">
      <c r="A1" s="22" t="s">
        <v>107</v>
      </c>
      <c r="H1" s="25"/>
      <c r="I1" s="25"/>
      <c r="J1" s="33"/>
    </row>
    <row r="2" spans="1:13">
      <c r="A2" s="98" t="s">
        <v>262</v>
      </c>
      <c r="B2" s="98">
        <v>10</v>
      </c>
      <c r="H2" s="25"/>
      <c r="I2" s="25"/>
      <c r="J2" s="25"/>
    </row>
    <row r="3" spans="1:13">
      <c r="A3" s="98" t="s">
        <v>106</v>
      </c>
      <c r="B3" s="98">
        <v>1</v>
      </c>
      <c r="E3" s="13" t="s">
        <v>393</v>
      </c>
      <c r="F3" s="12"/>
      <c r="H3" s="25"/>
      <c r="I3" s="28"/>
      <c r="J3" s="32"/>
      <c r="K3" s="25"/>
      <c r="L3" s="25"/>
      <c r="M3" s="36"/>
    </row>
    <row r="4" spans="1:13">
      <c r="A4" s="98" t="s">
        <v>105</v>
      </c>
      <c r="B4" s="98">
        <v>10</v>
      </c>
      <c r="D4" s="41"/>
      <c r="H4" s="25"/>
      <c r="I4" s="25"/>
      <c r="J4" s="25"/>
    </row>
    <row r="5" spans="1:13">
      <c r="A5" s="98" t="s">
        <v>209</v>
      </c>
      <c r="B5" s="98">
        <v>10</v>
      </c>
      <c r="H5" s="25"/>
      <c r="I5" s="25"/>
      <c r="J5" s="25"/>
    </row>
    <row r="6" spans="1:13">
      <c r="A6" s="98" t="s">
        <v>210</v>
      </c>
      <c r="B6" s="98">
        <v>10</v>
      </c>
      <c r="H6" s="25"/>
      <c r="I6" s="25"/>
      <c r="J6" s="25"/>
    </row>
    <row r="7" spans="1:13">
      <c r="A7" s="98" t="s">
        <v>104</v>
      </c>
      <c r="B7" s="98">
        <v>1</v>
      </c>
      <c r="D7" s="41"/>
      <c r="H7" s="25"/>
      <c r="I7" s="25"/>
      <c r="J7" s="25"/>
    </row>
    <row r="8" spans="1:13">
      <c r="A8" s="98" t="s">
        <v>103</v>
      </c>
      <c r="B8" s="98">
        <v>1</v>
      </c>
      <c r="H8" s="25"/>
      <c r="I8" s="25"/>
      <c r="J8" s="25"/>
    </row>
    <row r="9" spans="1:13">
      <c r="A9" s="98" t="s">
        <v>102</v>
      </c>
      <c r="B9" s="98">
        <v>1</v>
      </c>
    </row>
    <row r="11" spans="1:13">
      <c r="A11" s="12" t="s">
        <v>101</v>
      </c>
      <c r="B11" s="12" t="s">
        <v>12</v>
      </c>
    </row>
    <row r="13" spans="1:13">
      <c r="A13" s="22" t="s">
        <v>100</v>
      </c>
      <c r="M13" s="28"/>
    </row>
    <row r="14" spans="1:13">
      <c r="A14" s="98" t="s">
        <v>99</v>
      </c>
      <c r="B14" s="52">
        <f>SUM(B15:B22)</f>
        <v>1623579.6158419026</v>
      </c>
      <c r="D14" s="41"/>
      <c r="M14" s="28"/>
    </row>
    <row r="15" spans="1:13">
      <c r="A15" s="98" t="s">
        <v>65</v>
      </c>
      <c r="B15" s="53">
        <f>IF('Input prices producer prices'!C123*'Input prices producer prices'!B264*(1-('Input prices producer prices'!B246/100)*(B4-1))&gt;=0, 'Input prices producer prices'!C123*'Input prices producer prices'!B264*(1-('Input prices producer prices'!B246/100)*(B4-1)),0)</f>
        <v>864000</v>
      </c>
      <c r="D15" s="41"/>
      <c r="E15" s="52"/>
      <c r="M15" s="28"/>
    </row>
    <row r="16" spans="1:13">
      <c r="A16" s="98" t="s">
        <v>228</v>
      </c>
      <c r="B16" s="53">
        <v>0</v>
      </c>
      <c r="D16" s="41"/>
      <c r="E16" s="52"/>
    </row>
    <row r="17" spans="1:14">
      <c r="A17" s="98" t="s">
        <v>263</v>
      </c>
      <c r="B17" s="65">
        <f>IF(B91="None", 0,IF(B91="E5.14", 'Input prices producer prices'!C137*'Input prices producer prices'!B264*(1-('Input prices producer prices'!B247/100)*(B5-1))))</f>
        <v>5292.0000000000009</v>
      </c>
      <c r="D17" s="81"/>
    </row>
    <row r="18" spans="1:14">
      <c r="A18" s="98" t="s">
        <v>264</v>
      </c>
      <c r="B18" s="65">
        <f>IF(B92="None", 0,IF(B92="E7.7", 'Input prices producer prices'!C147*'Input prices producer prices'!B264*(1-('Input prices producer prices'!B247/100)*(B6-1))))</f>
        <v>23436.000000000004</v>
      </c>
      <c r="D18" s="41"/>
    </row>
    <row r="19" spans="1:14">
      <c r="A19" s="98" t="s">
        <v>260</v>
      </c>
      <c r="B19" s="65">
        <v>0</v>
      </c>
      <c r="D19" s="41"/>
    </row>
    <row r="20" spans="1:14">
      <c r="A20" s="98" t="s">
        <v>261</v>
      </c>
      <c r="B20" s="65">
        <v>0</v>
      </c>
      <c r="D20" s="41"/>
      <c r="M20" s="4"/>
    </row>
    <row r="21" spans="1:14">
      <c r="A21" s="98" t="s">
        <v>64</v>
      </c>
      <c r="B21" s="52">
        <f>((B55*B58)/1000*B51*B62*(B69/100))/2</f>
        <v>384342.24607969157</v>
      </c>
      <c r="M21" s="8"/>
    </row>
    <row r="22" spans="1:14">
      <c r="A22" s="98" t="s">
        <v>63</v>
      </c>
      <c r="B22" s="52">
        <f>((B70/100)+0.5*(B108/100))*B62*B51</f>
        <v>346509.36976221082</v>
      </c>
      <c r="M22" s="4"/>
    </row>
    <row r="23" spans="1:14">
      <c r="A23" s="98" t="s">
        <v>62</v>
      </c>
      <c r="B23" s="7">
        <f>B24/B28</f>
        <v>1.4999999999999998</v>
      </c>
    </row>
    <row r="24" spans="1:14">
      <c r="A24" s="98" t="s">
        <v>61</v>
      </c>
      <c r="B24" s="11">
        <v>0.6</v>
      </c>
    </row>
    <row r="25" spans="1:14" ht="14.25" customHeight="1">
      <c r="A25" s="98" t="s">
        <v>60</v>
      </c>
      <c r="B25" s="66">
        <f>B14*B24</f>
        <v>974147.76950514154</v>
      </c>
    </row>
    <row r="26" spans="1:14" ht="14.25" customHeight="1">
      <c r="A26" s="98" t="s">
        <v>98</v>
      </c>
      <c r="B26" s="66">
        <f>B25-B27</f>
        <v>389659.10780205659</v>
      </c>
      <c r="D26" s="41"/>
      <c r="L26" s="4"/>
      <c r="N26" s="8"/>
    </row>
    <row r="27" spans="1:14">
      <c r="A27" s="98" t="s">
        <v>97</v>
      </c>
      <c r="B27" s="66">
        <f>B25*0.6</f>
        <v>584488.66170308494</v>
      </c>
      <c r="D27" s="41"/>
    </row>
    <row r="28" spans="1:14">
      <c r="A28" s="98" t="s">
        <v>58</v>
      </c>
      <c r="B28" s="11">
        <f>1-B24</f>
        <v>0.4</v>
      </c>
      <c r="N28" s="6"/>
    </row>
    <row r="29" spans="1:14">
      <c r="A29" s="98" t="s">
        <v>59</v>
      </c>
      <c r="B29" s="51">
        <f>B28*B14</f>
        <v>649431.84633676102</v>
      </c>
    </row>
    <row r="30" spans="1:14">
      <c r="A30" s="98" t="s">
        <v>217</v>
      </c>
      <c r="B30" s="56">
        <v>-0.2026</v>
      </c>
      <c r="D30" s="41"/>
    </row>
    <row r="31" spans="1:14">
      <c r="A31" s="98" t="s">
        <v>216</v>
      </c>
      <c r="B31" s="7">
        <v>2.33</v>
      </c>
      <c r="D31" s="41"/>
    </row>
    <row r="32" spans="1:14">
      <c r="A32" s="98" t="s">
        <v>301</v>
      </c>
      <c r="B32" s="44">
        <v>0.26727254907515502</v>
      </c>
      <c r="D32" s="41"/>
    </row>
    <row r="33" spans="1:10">
      <c r="A33" s="98" t="s">
        <v>218</v>
      </c>
      <c r="B33" s="72">
        <f>B30*B26</f>
        <v>-78944.935240696665</v>
      </c>
      <c r="D33" s="41"/>
      <c r="F33" s="2"/>
      <c r="G33" s="2"/>
      <c r="H33" s="2"/>
    </row>
    <row r="34" spans="1:10">
      <c r="A34" s="98" t="s">
        <v>219</v>
      </c>
      <c r="B34" s="72">
        <f>B27*B31</f>
        <v>1361858.5817681879</v>
      </c>
      <c r="F34" s="2"/>
      <c r="G34" s="1"/>
      <c r="H34" s="2"/>
    </row>
    <row r="35" spans="1:10">
      <c r="A35" s="22" t="s">
        <v>96</v>
      </c>
      <c r="F35" s="2"/>
      <c r="G35" s="2"/>
      <c r="H35" s="2"/>
    </row>
    <row r="36" spans="1:10">
      <c r="A36" s="23" t="s">
        <v>14</v>
      </c>
      <c r="F36" s="2"/>
      <c r="G36" s="2"/>
      <c r="H36" s="2"/>
    </row>
    <row r="37" spans="1:10">
      <c r="A37" s="2" t="s">
        <v>95</v>
      </c>
      <c r="B37" s="98">
        <v>1</v>
      </c>
      <c r="F37" s="2"/>
      <c r="G37" s="2"/>
      <c r="H37" s="25"/>
    </row>
    <row r="38" spans="1:10">
      <c r="A38" s="98" t="s">
        <v>94</v>
      </c>
      <c r="B38" s="8">
        <v>2349</v>
      </c>
      <c r="H38" s="25"/>
      <c r="I38" s="25"/>
      <c r="J38" s="25"/>
    </row>
    <row r="39" spans="1:10">
      <c r="A39" s="98" t="s">
        <v>93</v>
      </c>
      <c r="B39" s="8">
        <f>B38*B37</f>
        <v>2349</v>
      </c>
      <c r="H39" s="25"/>
      <c r="I39" s="25"/>
      <c r="J39" s="25"/>
    </row>
    <row r="40" spans="1:10">
      <c r="A40" s="98" t="s">
        <v>197</v>
      </c>
      <c r="B40" s="8">
        <f>'Input prices producer prices'!C270*B62*B51/10000</f>
        <v>1822.9742930591251</v>
      </c>
      <c r="H40" s="25"/>
      <c r="I40" s="25"/>
      <c r="J40" s="25"/>
    </row>
    <row r="41" spans="1:10">
      <c r="A41" s="98" t="s">
        <v>92</v>
      </c>
      <c r="B41" s="13" t="s">
        <v>289</v>
      </c>
      <c r="D41" s="8"/>
      <c r="H41" s="25"/>
      <c r="I41" s="25"/>
      <c r="J41" s="25"/>
    </row>
    <row r="42" spans="1:10">
      <c r="A42" s="98" t="s">
        <v>91</v>
      </c>
      <c r="B42" s="8">
        <f>IF(B41="No extra activity", 0, IF(B41="Provision of straw bales (1bale)", 'Input prices producer prices'!C271*B51/10000*((B59-8)*'Input prices producer prices'!C262), IF(B41="Provision of grains (2g) and straw bales (1 bale)", 'Input prices producer prices'!C271*B51/10000*((B59-8)*'Input prices producer prices'!D262), IF(B41="Provision of grains (2g) and straw bales (2 bales)", 'Input prices producer prices'!C272*B51/10000*((B59-8)*'Input prices producer prices'!E262)))))</f>
        <v>1084.9467499081893</v>
      </c>
      <c r="D42" s="41"/>
      <c r="H42" s="25"/>
      <c r="I42" s="25"/>
      <c r="J42" s="25"/>
    </row>
    <row r="43" spans="1:10">
      <c r="A43" s="98" t="s">
        <v>90</v>
      </c>
      <c r="B43" s="8">
        <f>B40+B42</f>
        <v>2907.9210429673144</v>
      </c>
      <c r="H43" s="25"/>
      <c r="I43" s="25"/>
      <c r="J43" s="25"/>
    </row>
    <row r="44" spans="1:10">
      <c r="I44" s="25"/>
      <c r="J44" s="25"/>
    </row>
    <row r="45" spans="1:10">
      <c r="A45" s="23" t="s">
        <v>89</v>
      </c>
      <c r="H45" s="25"/>
    </row>
    <row r="46" spans="1:10">
      <c r="A46" s="98" t="s">
        <v>268</v>
      </c>
      <c r="B46" s="8">
        <f>IF(F91="no", ('Input prices producer prices'!B264/('Input prices producer prices'!B258*(1+'Input prices producer prices'!B254/100)/'Input prices producer prices'!B257)/1000), IF(F91="yes", ('Input prices producer prices'!B264/('Input prices producer prices'!B258*(1+'Input prices producer prices'!B254/100)/'Input prices producer prices'!B257)/1000)*1.2))</f>
        <v>4927.5362318840589</v>
      </c>
      <c r="H46" s="25"/>
      <c r="I46" s="25"/>
      <c r="J46" s="25"/>
    </row>
    <row r="47" spans="1:10">
      <c r="H47" s="25"/>
      <c r="I47" s="25"/>
      <c r="J47" s="25"/>
    </row>
    <row r="48" spans="1:10">
      <c r="A48" s="98" t="s">
        <v>88</v>
      </c>
      <c r="H48" s="25"/>
      <c r="I48" s="25"/>
      <c r="J48" s="25"/>
    </row>
    <row r="49" spans="1:10">
      <c r="A49" s="98" t="s">
        <v>87</v>
      </c>
      <c r="B49" s="4">
        <f>B60</f>
        <v>39.14</v>
      </c>
      <c r="H49" s="25"/>
      <c r="I49" s="25"/>
      <c r="J49" s="25"/>
    </row>
    <row r="50" spans="1:10">
      <c r="A50" s="98" t="s">
        <v>86</v>
      </c>
      <c r="B50" s="4">
        <f>B49/(B58/1000)</f>
        <v>16.445378151260506</v>
      </c>
      <c r="H50" s="25"/>
      <c r="I50" s="25"/>
      <c r="J50" s="25"/>
    </row>
    <row r="51" spans="1:10">
      <c r="A51" s="98" t="s">
        <v>85</v>
      </c>
      <c r="B51" s="77">
        <f>IF(B60=43.47,'Input prices producer prices'!B264,IF(B60=39.14,'Input prices producer prices'!C264,IF(B60=25.625,'Input prices producer prices'!D264,IF(B60=30.9,'Input prices producer prices'!E264))))</f>
        <v>81428.57142857142</v>
      </c>
      <c r="E51" s="41"/>
      <c r="H51" s="25"/>
      <c r="I51" s="25"/>
      <c r="J51" s="25"/>
    </row>
    <row r="52" spans="1:10">
      <c r="H52" s="25"/>
      <c r="I52" s="25"/>
      <c r="J52" s="25"/>
    </row>
    <row r="53" spans="1:10">
      <c r="A53" s="22" t="s">
        <v>84</v>
      </c>
      <c r="H53" s="25"/>
      <c r="I53" s="25"/>
      <c r="J53" s="25"/>
    </row>
    <row r="54" spans="1:10">
      <c r="A54" s="14" t="s">
        <v>2</v>
      </c>
      <c r="B54" s="13" t="s">
        <v>276</v>
      </c>
      <c r="H54" s="25"/>
      <c r="I54" s="25"/>
      <c r="J54" s="25"/>
    </row>
    <row r="55" spans="1:10">
      <c r="A55" s="98" t="s">
        <v>145</v>
      </c>
      <c r="B55" s="98">
        <f>IF(B54="Ross 308", 'Input prices producer prices'!B253, IF(B54="Hubbard JA 987", 'Input prices producer prices'!C253, IF(B54="Hubbard JA 757", 'Input prices producer prices'!D253)))</f>
        <v>1.9</v>
      </c>
      <c r="H55" s="25"/>
      <c r="I55" s="25"/>
      <c r="J55" s="25"/>
    </row>
    <row r="56" spans="1:10">
      <c r="A56" s="98" t="s">
        <v>146</v>
      </c>
      <c r="B56" s="98">
        <f>IF(B54="Ross 308", 'Input prices producer prices'!B254, IF(B54="Hubbard JA 987", 'Input prices producer prices'!C254, IF(B54="Hubbard JA 757", 'Input prices producer prices'!D254)))</f>
        <v>3</v>
      </c>
      <c r="H56" s="25"/>
      <c r="I56" s="25"/>
      <c r="J56" s="25"/>
    </row>
    <row r="57" spans="1:10">
      <c r="A57" s="98" t="s">
        <v>147</v>
      </c>
      <c r="B57" s="98">
        <f>IF(B54="Ross 308", 'Input prices producer prices'!B256, IF(B54="Hubbard JA 987", 'Input prices producer prices'!C256, IF(B54="Hubbard JA 757", 'Input prices producer prices'!D256+1)))</f>
        <v>49</v>
      </c>
      <c r="H57" s="25"/>
      <c r="I57" s="25"/>
      <c r="J57" s="25"/>
    </row>
    <row r="58" spans="1:10">
      <c r="A58" s="98" t="s">
        <v>148</v>
      </c>
      <c r="B58" s="8">
        <f>'Input prices producer prices'!B257</f>
        <v>2380</v>
      </c>
      <c r="H58" s="25"/>
      <c r="I58" s="25"/>
      <c r="J58" s="25"/>
    </row>
    <row r="59" spans="1:10">
      <c r="A59" s="98" t="s">
        <v>1</v>
      </c>
      <c r="B59" s="8">
        <f>B58/B57</f>
        <v>48.571428571428569</v>
      </c>
      <c r="H59" s="25"/>
      <c r="I59" s="25"/>
      <c r="J59" s="25"/>
    </row>
    <row r="60" spans="1:10">
      <c r="A60" s="98" t="s">
        <v>149</v>
      </c>
      <c r="B60" s="70">
        <v>39.14</v>
      </c>
      <c r="H60" s="25"/>
      <c r="I60" s="25"/>
      <c r="J60" s="25"/>
    </row>
    <row r="61" spans="1:10">
      <c r="A61" s="98" t="s">
        <v>9</v>
      </c>
      <c r="B61" s="29">
        <v>7</v>
      </c>
      <c r="H61" s="25"/>
      <c r="I61" s="25"/>
      <c r="J61" s="25"/>
    </row>
    <row r="62" spans="1:10">
      <c r="A62" s="98" t="s">
        <v>150</v>
      </c>
      <c r="B62" s="4">
        <f>365/(B59+B61)</f>
        <v>6.5681233933161955</v>
      </c>
      <c r="H62" s="25"/>
      <c r="I62" s="25"/>
      <c r="J62" s="25"/>
    </row>
    <row r="63" spans="1:10">
      <c r="A63" s="98" t="s">
        <v>83</v>
      </c>
      <c r="B63" s="30">
        <f>B50*B46*B62</f>
        <v>532249.1710442981</v>
      </c>
      <c r="E63" s="54"/>
      <c r="F63" s="54"/>
      <c r="H63" s="25"/>
      <c r="I63" s="25"/>
      <c r="J63" s="25"/>
    </row>
    <row r="64" spans="1:10">
      <c r="A64" s="98" t="s">
        <v>82</v>
      </c>
      <c r="B64" s="30">
        <f>B49*B62*B46</f>
        <v>1266753.0270854293</v>
      </c>
      <c r="H64" s="25"/>
      <c r="I64" s="25"/>
      <c r="J64" s="25"/>
    </row>
    <row r="65" spans="1:10">
      <c r="B65" s="30"/>
      <c r="H65" s="25"/>
      <c r="I65" s="25"/>
      <c r="J65" s="25"/>
    </row>
    <row r="66" spans="1:10">
      <c r="A66" s="22" t="s">
        <v>81</v>
      </c>
      <c r="H66" s="25"/>
      <c r="I66" s="25"/>
      <c r="J66" s="25"/>
    </row>
    <row r="67" spans="1:10">
      <c r="A67" s="98" t="s">
        <v>215</v>
      </c>
      <c r="B67" s="29">
        <v>6</v>
      </c>
      <c r="H67" s="25"/>
      <c r="I67" s="25"/>
      <c r="J67" s="25"/>
    </row>
    <row r="68" spans="1:10">
      <c r="A68" s="14" t="s">
        <v>134</v>
      </c>
      <c r="B68" s="13" t="s">
        <v>274</v>
      </c>
      <c r="H68" s="25"/>
      <c r="I68" s="25"/>
      <c r="J68" s="25"/>
    </row>
    <row r="69" spans="1:10">
      <c r="A69" s="98" t="s">
        <v>133</v>
      </c>
      <c r="B69" s="43">
        <f>IF(B68="Compound feed conventional",'Input prices producer prices'!C11,IF(B68="Compound feed NDRS",'Input prices producer prices'!C12, IF(B68="Compound feed Extensive Indoor+", 'Input prices producer prices'!C13)))</f>
        <v>31.783333333333335</v>
      </c>
      <c r="H69" s="25"/>
      <c r="I69" s="25"/>
      <c r="J69" s="25"/>
    </row>
    <row r="70" spans="1:10">
      <c r="A70" s="98" t="s">
        <v>137</v>
      </c>
      <c r="B70" s="4">
        <f>IF(B54="Ross 308", 'Input prices producer prices'!C19,IF(B54="Hubbard JA 987", 'Input prices producer prices'!C20, IF(B54="Hubbard JA 757", 'Input prices producer prices'!C21)))</f>
        <v>35.5</v>
      </c>
      <c r="H70" s="25"/>
      <c r="I70" s="25"/>
      <c r="J70" s="25"/>
    </row>
    <row r="71" spans="1:10">
      <c r="A71" s="98" t="s">
        <v>80</v>
      </c>
      <c r="B71" s="13" t="s">
        <v>290</v>
      </c>
      <c r="H71" s="25"/>
      <c r="I71" s="25"/>
      <c r="J71" s="25"/>
    </row>
    <row r="72" spans="1:10">
      <c r="A72" s="98" t="s">
        <v>136</v>
      </c>
      <c r="B72" s="4">
        <f>IF(B71="None",0, IF(B71="1 bale/1000 broilers",'Input prices producer prices'!C46, IF(B71="2g/broiler 1 bale/1000 broilers", 'Input prices producer prices'!C45, IF(B71="2g/broiler 2 bales/1000 broilers",'Input prices producer prices'!C45+'Input prices producer prices'!C46))))</f>
        <v>0.6</v>
      </c>
      <c r="H72" s="25"/>
      <c r="I72" s="25"/>
      <c r="J72" s="25"/>
    </row>
    <row r="73" spans="1:10">
      <c r="A73" s="98" t="s">
        <v>135</v>
      </c>
      <c r="B73" s="4">
        <f>IF(B60=43.47, 'Input prices producer prices'!C52, IF(B60= 39.14, 'Input prices producer prices'!C53, IF(B60=25.625, 'Input prices producer prices'!C54, IF(B60=30.9, 'Input prices producer prices'!C55))))</f>
        <v>1.25</v>
      </c>
      <c r="H73" s="25"/>
      <c r="I73" s="25"/>
      <c r="J73" s="25"/>
    </row>
    <row r="74" spans="1:10">
      <c r="A74" s="98" t="s">
        <v>138</v>
      </c>
      <c r="B74" s="98">
        <f>IF(B60=43.47,'Input prices producer prices'!C25, IF(B60=39.14, 'Input prices producer prices'!C26, IF(B60=25.625, 'Input prices producer prices'!C27, IF(B60=30.9,'Input prices producer prices'!C28))))</f>
        <v>0.95</v>
      </c>
      <c r="H74" s="25"/>
      <c r="I74" s="25"/>
      <c r="J74" s="25"/>
    </row>
    <row r="75" spans="1:10">
      <c r="A75" s="98" t="s">
        <v>139</v>
      </c>
      <c r="B75" s="98">
        <f>IF(B60=43.47, 'Input prices producer prices'!C80, IF(B60=39.14, 'Input prices producer prices'!C81, IF(B60=25.625, 'Input prices producer prices'!C82, IF(B60=30.9, 'Input prices producer prices'!C83))))</f>
        <v>4.5</v>
      </c>
      <c r="H75" s="25"/>
      <c r="I75" s="25"/>
      <c r="J75" s="25"/>
    </row>
    <row r="76" spans="1:10">
      <c r="A76" s="98" t="s">
        <v>169</v>
      </c>
      <c r="B76" s="98">
        <f>IF(B60=43.47, 'Input prices producer prices'!C92, IF(B60=39.14, 'Input prices producer prices'!C93, IF(B60=25.625, 'Input prices producer prices'!C94, IF(B60=30.9,'Input prices producer prices'!C95))))</f>
        <v>0.6</v>
      </c>
      <c r="H76" s="25"/>
      <c r="I76" s="25"/>
      <c r="J76" s="25"/>
    </row>
    <row r="77" spans="1:10">
      <c r="A77" s="98" t="s">
        <v>171</v>
      </c>
      <c r="B77" s="4">
        <f>IF(B60=43.47, 'Input prices producer prices'!C100/(B58/1000), IF(B60=39.14, 'Input prices producer prices'!C101/(B58/1000), IF(B60=25.625, 'Input prices producer prices'!C102/(B58/1000), IF(B60=30.9, 'Input prices producer prices'!C103/(B58/1000)))))</f>
        <v>1.3931888544891642</v>
      </c>
      <c r="H77" s="25"/>
      <c r="I77" s="25"/>
      <c r="J77" s="25"/>
    </row>
    <row r="78" spans="1:10">
      <c r="A78" s="98" t="s">
        <v>141</v>
      </c>
      <c r="B78" s="4">
        <f>'Input prices producer prices'!C97</f>
        <v>2</v>
      </c>
      <c r="H78" s="25"/>
      <c r="I78" s="25"/>
      <c r="J78" s="25"/>
    </row>
    <row r="79" spans="1:10">
      <c r="A79" s="98" t="s">
        <v>140</v>
      </c>
      <c r="B79" s="12" t="s">
        <v>142</v>
      </c>
      <c r="H79" s="25"/>
      <c r="I79" s="25"/>
      <c r="J79" s="25"/>
    </row>
    <row r="80" spans="1:10">
      <c r="A80" s="98" t="s">
        <v>143</v>
      </c>
      <c r="B80" s="98">
        <f>IF(B60=43.47, 'Input prices producer prices'!C62, IF(B60=39.14, 'Input prices producer prices'!C63, IF(B60=25.625, 'Input prices producer prices'!C64, IF(B60=30.9, 'Input prices producer prices'!C65))))</f>
        <v>4.8</v>
      </c>
      <c r="H80" s="25"/>
      <c r="I80" s="25"/>
      <c r="J80" s="25"/>
    </row>
    <row r="81" spans="1:10">
      <c r="A81" s="98" t="s">
        <v>152</v>
      </c>
      <c r="B81" s="98">
        <f>'Input prices producer prices'!C59</f>
        <v>37.72</v>
      </c>
      <c r="H81" s="25"/>
      <c r="I81" s="25"/>
      <c r="J81" s="25"/>
    </row>
    <row r="82" spans="1:10">
      <c r="A82" s="98" t="s">
        <v>117</v>
      </c>
      <c r="B82" s="98">
        <f>IF(B60=43.47,'Input prices producer prices'!C86, IF(B60=39.14, 'Input prices producer prices'!C87, IF(B60=25.625, 'Input prices producer prices'!C88, IF(B60=30.9,'Input prices producer prices'!C89))))</f>
        <v>0.79</v>
      </c>
      <c r="H82" s="25"/>
      <c r="I82" s="25"/>
      <c r="J82" s="25"/>
    </row>
    <row r="83" spans="1:10">
      <c r="A83" s="98" t="s">
        <v>291</v>
      </c>
      <c r="B83" s="43">
        <f>IF(B60=43.47,('Input prices producer prices'!C31+'Input prices producer prices'!C39)*B62/100, IF(B60=39.14, ('Input prices producer prices'!C32+'Input prices producer prices'!C40)*B62/100, IF(B60=25.625, ('Input prices producer prices'!C33+'Input prices producer prices'!C41)*B62/100, IF(B60=30.9,'Input prices producer prices'!C34+'Input prices producer prices'!C42)*B62/100)))</f>
        <v>0.56485861182519281</v>
      </c>
      <c r="D83" s="42"/>
      <c r="E83" s="9"/>
      <c r="H83" s="25"/>
      <c r="I83" s="25"/>
      <c r="J83" s="25"/>
    </row>
    <row r="84" spans="1:10">
      <c r="A84" s="9" t="s">
        <v>166</v>
      </c>
      <c r="B84" s="4">
        <f>IF(AND(F93="No",B91="E5.14"),'Input prices producer prices'!E137, IF(AND(F93="E5.14",B91="None"),'Input prices producer prices'!E137, IF(AND(F93="No", B91="None"), 0, IF(AND(F93="E5.5",B91="None"), 'Input prices producer prices'!E126, IF(F93="E5.6",'Input prices producer prices'!E127,IF(F93="E5.8",'Input prices producer prices'!E129,IF(F93="E5.9.1.2.2",'Input prices producer prices'!E131,IF(F93="E5.9.1.2.4",'Input prices producer prices'!E132,IF(F93="E5.10",'Input prices producer prices'!E133,IF(F93="E5.11",'Input prices producer prices'!E134,IF(F93="E5.14",'Input prices producer prices'!E137,IF(F93="E5.15",'Input prices producer prices'!E138,IF(F93="E7.1",'Input prices producer prices'!E141, IF(F93="E7.2",'Input prices producer prices'!E142, IF(F93="E5.13", 'Input prices producer prices'!E136, 0)))))))))))))))</f>
        <v>-7.0000000000000007E-2</v>
      </c>
      <c r="F84" s="42"/>
      <c r="H84" s="25"/>
      <c r="I84" s="25"/>
      <c r="J84" s="25"/>
    </row>
    <row r="85" spans="1:10">
      <c r="A85" s="9" t="s">
        <v>167</v>
      </c>
      <c r="B85" s="4">
        <f>IF(AND(F94="No",B92="E7.7"),'Input prices producer prices'!E147,IF(AND(F94="E7.7",B92="None"),'Input prices producer prices'!E147,IF(AND(F94="No",B92="None"),0,IF(F94="E5.4",'Input prices producer prices'!E125,IF(F94="E5.7",'Input prices producer prices'!E128,IF(F94="E5.12",'Input prices producer prices'!E135,IF(F94="E5.13",'Input prices producer prices'!E136,IF(F94="E7.3",'Input prices producer prices'!E143,IF(F94="E7.4",'Input prices producer prices'!E144,IF(F94="E7.5",'Input prices producer prices'!E145,IF(F94="E7.6",'Input prices producer prices'!E146,IF(F94="E7.7",'Input prices producer prices'!E147,IF(F94="E7.11",'Input prices producer prices'!E148,IF(F94="E7.12",'Input prices producer prices'!E149,IF(F94="E5.16",'Input prices producer prices'!E139, IF(F94="E7.2", 'Input prices producer prices'!E142, 0))))))))))))))))</f>
        <v>-0.15</v>
      </c>
      <c r="F85" s="42"/>
      <c r="H85" s="25"/>
      <c r="I85" s="25"/>
      <c r="J85" s="25"/>
    </row>
    <row r="86" spans="1:10">
      <c r="A86" s="98" t="s">
        <v>234</v>
      </c>
      <c r="B86" s="4">
        <f>IF(B60=43.47, (B83+B84+B85)/B62*100, IF(B60=39.14,(B83+(B84+B85)*'Input prices producer prices'!I116)/B62*100, IF(B60=25.625,(B83+B84+B85)/B62*100, IF(B60=30.9,(B83+(B84+B85)*'Input prices producer prices'!I118)/B62*100))))</f>
        <v>4.8979091564527755</v>
      </c>
      <c r="H86" s="25"/>
      <c r="I86" s="25"/>
      <c r="J86" s="25"/>
    </row>
    <row r="87" spans="1:10">
      <c r="B87" s="8"/>
      <c r="H87" s="25"/>
      <c r="I87" s="25"/>
      <c r="J87" s="25"/>
    </row>
    <row r="88" spans="1:10">
      <c r="A88" s="22" t="s">
        <v>79</v>
      </c>
      <c r="I88" s="25"/>
      <c r="J88" s="25"/>
    </row>
    <row r="89" spans="1:10">
      <c r="A89" s="24" t="s">
        <v>243</v>
      </c>
      <c r="E89" s="23" t="s">
        <v>237</v>
      </c>
    </row>
    <row r="90" spans="1:10">
      <c r="A90" s="14" t="s">
        <v>227</v>
      </c>
      <c r="B90" s="98" t="s">
        <v>245</v>
      </c>
      <c r="E90" s="98" t="s">
        <v>240</v>
      </c>
      <c r="F90" s="13" t="s">
        <v>5</v>
      </c>
    </row>
    <row r="91" spans="1:10">
      <c r="A91" s="14" t="s">
        <v>258</v>
      </c>
      <c r="B91" s="13" t="s">
        <v>46</v>
      </c>
      <c r="E91" s="12" t="s">
        <v>203</v>
      </c>
      <c r="F91" s="13" t="s">
        <v>5</v>
      </c>
    </row>
    <row r="92" spans="1:10">
      <c r="A92" s="14" t="s">
        <v>259</v>
      </c>
      <c r="B92" s="13" t="s">
        <v>54</v>
      </c>
      <c r="E92" s="12"/>
      <c r="F92" s="12"/>
    </row>
    <row r="93" spans="1:10">
      <c r="E93" s="98" t="s">
        <v>256</v>
      </c>
      <c r="F93" s="62" t="s">
        <v>5</v>
      </c>
      <c r="G93" s="38" t="s">
        <v>214</v>
      </c>
    </row>
    <row r="94" spans="1:10">
      <c r="E94" s="98" t="s">
        <v>257</v>
      </c>
      <c r="F94" s="62" t="s">
        <v>5</v>
      </c>
    </row>
    <row r="95" spans="1:10">
      <c r="C95" s="28"/>
      <c r="H95" s="25"/>
      <c r="I95" s="25"/>
      <c r="J95" s="25"/>
    </row>
    <row r="96" spans="1:10">
      <c r="C96" s="28"/>
      <c r="H96" s="25" t="s">
        <v>241</v>
      </c>
      <c r="I96" s="25"/>
      <c r="J96" s="25"/>
    </row>
    <row r="97" spans="1:15">
      <c r="A97" s="23" t="s">
        <v>235</v>
      </c>
      <c r="B97" s="98" t="s">
        <v>265</v>
      </c>
      <c r="C97" s="98" t="s">
        <v>225</v>
      </c>
      <c r="D97" s="98" t="s">
        <v>121</v>
      </c>
      <c r="E97" s="98" t="s">
        <v>226</v>
      </c>
      <c r="G97" s="23" t="s">
        <v>236</v>
      </c>
      <c r="I97" s="25" t="s">
        <v>121</v>
      </c>
      <c r="J97" s="35" t="s">
        <v>242</v>
      </c>
    </row>
    <row r="98" spans="1:15">
      <c r="A98" s="98" t="s">
        <v>227</v>
      </c>
      <c r="B98" s="73">
        <f>'Input prices producer prices'!C123*'Input prices producer prices'!B264</f>
        <v>1350000</v>
      </c>
      <c r="C98" s="78">
        <f>B15</f>
        <v>864000</v>
      </c>
      <c r="D98" s="78">
        <f>C98*('Input prices producer prices'!B246/100)</f>
        <v>34560</v>
      </c>
      <c r="E98" s="78">
        <f>C98-D98</f>
        <v>829440</v>
      </c>
      <c r="G98" s="98" t="s">
        <v>240</v>
      </c>
      <c r="H98" s="80">
        <f>'Input prices producer prices'!H242*B46</f>
        <v>0</v>
      </c>
      <c r="I98" s="80">
        <f>H99*('Input prices producer prices'!B246/100)</f>
        <v>0</v>
      </c>
      <c r="J98" s="80">
        <f>H98-I98</f>
        <v>0</v>
      </c>
    </row>
    <row r="99" spans="1:15">
      <c r="A99" s="98" t="s">
        <v>244</v>
      </c>
      <c r="B99" s="73">
        <f>IF(B91="E5.14", 'Input prices producer prices'!C137*'Input prices producer prices'!B264, IF(B91="None", 0))</f>
        <v>18900</v>
      </c>
      <c r="C99" s="78">
        <f>IF(B91="E5.14", 'Input prices producer prices'!C137*'Input prices producer prices'!B264*(1-('Input prices producer prices'!B247/100)*(B5-1)), IF(B91="None", 0))</f>
        <v>5292.0000000000009</v>
      </c>
      <c r="D99" s="78">
        <f>C99*('Input prices producer prices'!B247/100)</f>
        <v>423.36000000000007</v>
      </c>
      <c r="E99" s="78">
        <f>C99-D99</f>
        <v>4868.6400000000012</v>
      </c>
      <c r="G99" s="98" t="s">
        <v>203</v>
      </c>
      <c r="H99" s="80">
        <f>'Input prices producer prices'!H241*B46*0.2</f>
        <v>0</v>
      </c>
      <c r="I99" s="80">
        <f>H99*('Input prices producer prices'!H248/100)</f>
        <v>0</v>
      </c>
      <c r="J99" s="80">
        <f>H99-I99</f>
        <v>0</v>
      </c>
    </row>
    <row r="100" spans="1:15">
      <c r="A100" s="98" t="s">
        <v>239</v>
      </c>
      <c r="B100" s="73">
        <f>IF(B92="E7.7", 'Input prices producer prices'!C147*'Input prices producer prices'!B264, IF(B92="None", 0))</f>
        <v>83700</v>
      </c>
      <c r="C100" s="78">
        <f>IF(B92="E7.7", 'Input prices producer prices'!C147*'Input prices producer prices'!B264*(1-('Input prices producer prices'!B247/100)*(B6-1)), IF(B92="None", 0))</f>
        <v>23436.000000000004</v>
      </c>
      <c r="D100" s="78">
        <f>C100*('Input prices producer prices'!B247/100)</f>
        <v>1874.8800000000003</v>
      </c>
      <c r="E100" s="78">
        <f>C100-D100</f>
        <v>21561.120000000003</v>
      </c>
      <c r="G100" s="98" t="s">
        <v>238</v>
      </c>
      <c r="H100" s="79">
        <f>IF(F93="No",0,IF(F93="E5.5",'Input prices producer prices'!C126*'Input prices producer prices'!B264*(1-('Input prices producer prices'!B247/100)*(B8-1)),IF(F93="E5.6",'Input prices producer prices'!C127*'Input prices producer prices'!B264*(1-('Input prices producer prices'!B247/100)*(B8-1)),IF(F93="E5.8",'Input prices producer prices'!C129*'Input prices producer prices'!B264*(1-('Input prices producer prices'!B247/100)*(B8-1)),IF(F93="E5.9.1.2.2",'Input prices producer prices'!C131*'Input prices producer prices'!B264*(1-('Input prices producer prices'!B247/100)*(B8-1)),IF(F93="E5.9.1.2.4",'Input prices producer prices'!C132*'Input prices producer prices'!B264*(1-('Input prices producer prices'!B247/100)*(B8-1)),IF(F93="E5.10",'Input prices producer prices'!C133*'Input prices producer prices'!B264*(1-('Input prices producer prices'!B247/100)*(B8-1)),IF(F93="E5.11",'Input prices producer prices'!C134*'Input prices producer prices'!B264*(1-('Input prices producer prices'!B247/100)*(B8-1)),IF(F93="E5.14",'Input prices producer prices'!C137*'Input prices producer prices'!B264*(1-('Input prices producer prices'!B247/100)*(B8-1)),IF(F93="E5.15",'Input prices producer prices'!C138*'Input prices producer prices'!B264*(1-('Input prices producer prices'!B247/100)*(B8-1)),IF(F93="E7.1",'Input prices producer prices'!C141*'Input prices producer prices'!B264*(1-('Input prices producer prices'!B247/100)*(B8-1)),IF(F93="E7.2",'Input prices producer prices'!C142*'Input prices producer prices'!B264*(1-('Input prices producer prices'!B247/100)*(B8-1)),IF(F93="E5.13",'Input prices producer prices'!C136*'Input prices producer prices'!B264*(1-('Input prices producer prices'!B247/100)*(B8-1)),IF(F93="E5.16",'Input prices producer prices'!C139*'Input prices producer prices'!B264*(1-('Input prices producer prices'!B247/100)*(B9-1))))))))))))))))</f>
        <v>0</v>
      </c>
      <c r="I100" s="79">
        <f>H101*('Input prices producer prices'!B247/100)</f>
        <v>0</v>
      </c>
      <c r="J100" s="79">
        <f>H100-I100</f>
        <v>0</v>
      </c>
    </row>
    <row r="101" spans="1:15">
      <c r="G101" s="98" t="s">
        <v>239</v>
      </c>
      <c r="H101" s="79">
        <f>IF(F93="No",0,IF(F93="E5.5",'Input prices producer prices'!C126*'Input prices producer prices'!B264*(1-('Input prices producer prices'!B247/100)*(B8-1)),IF(F93="E5.6",'Input prices producer prices'!C127*'Input prices producer prices'!B264*(1-('Input prices producer prices'!B247/100)*(B8-1)),IF(F93="E5.8",'Input prices producer prices'!C129*'Input prices producer prices'!B264*(1-('Input prices producer prices'!B247/100)*(B8-1)),IF(F93="E5.9.1.2.2",'Input prices producer prices'!C131*'Input prices producer prices'!B264*(1-('Input prices producer prices'!B247/100)*(B8-1)),IF(F93="E5.9.1.2.4",'Input prices producer prices'!C132*'Input prices producer prices'!B264*(1-('Input prices producer prices'!B247/100)*(B8-1)),IF(F93="E5.10",'Input prices producer prices'!C133*'Input prices producer prices'!B264*(1-('Input prices producer prices'!B247/100)*(B8-1)),IF(F93="E5.11",'Input prices producer prices'!C134*'Input prices producer prices'!B264*(1-('Input prices producer prices'!B247/100)*(B8-1)),IF(F93="E5.14",'Input prices producer prices'!C137*'Input prices producer prices'!B264*(1-('Input prices producer prices'!B247/100)*(B8-1)),IF(F93="E5.15",'Input prices producer prices'!C138*'Input prices producer prices'!B264*(1-('Input prices producer prices'!B247/100)*(B8-1)),IF(F93="E7.1",'Input prices producer prices'!C141*'Input prices producer prices'!B264*(1-('Input prices producer prices'!B247/100)*(B8-1)),IF(F93="E7.2",'Input prices producer prices'!C142*'Input prices producer prices'!B264*(1-('Input prices producer prices'!B247/100)*(B8-1)),IF(F93="E5.13",'Input prices producer prices'!C136*'Input prices producer prices'!B264*(1-('Input prices producer prices'!B247/100)*(B8-1)),IF(F93="E5.16",'Input prices producer prices'!C139*'Input prices producer prices'!B264*(1-('Input prices producer prices'!B247/100)*(B9-1))))))))))))))))</f>
        <v>0</v>
      </c>
      <c r="I101" s="79">
        <f>H102*('Input prices producer prices'!B247/100)</f>
        <v>0</v>
      </c>
      <c r="J101" s="79">
        <f>H101-I101</f>
        <v>0</v>
      </c>
    </row>
    <row r="102" spans="1:15">
      <c r="G102" s="98" t="s">
        <v>287</v>
      </c>
      <c r="H102" s="74">
        <f>IF(F94="No",0,IF(F94="E5.4",'Input prices producer prices'!C125*'Input prices producer prices'!B264*(1-('Input prices producer prices'!B247/100)*(B9-1)),IF(F94="E5.7",'Input prices producer prices'!C128*'Input prices producer prices'!B264*(1-('Input prices producer prices'!B247/100)*(B9-1)),IF(F94="E5.12",'Input prices producer prices'!C135*'Input prices producer prices'!B264*(1-('Input prices producer prices'!B247/100)*(B9-1)),IF(F94="E5.13",'Input prices producer prices'!C136*'Input prices producer prices'!B264*(1-('Input prices producer prices'!B247/100)*(B9-1)),IF(F94="E7.3",'Input prices producer prices'!C143*'Input prices producer prices'!B264*(1-('Input prices producer prices'!B247/100)*(B9-1)),IF(F94="E7.4",'Input prices producer prices'!C144*'Input prices producer prices'!B264*(1-('Input prices producer prices'!B247/100)*(B9-1)),IF(F94="E7.5",'Input prices producer prices'!C145*'Input prices producer prices'!B264*(1-('Input prices producer prices'!B247/100)*(B9-1)),IF(F94="E7.6",'Input prices producer prices'!C146*'Input prices producer prices'!B264*(1-('Input prices producer prices'!B247/100)*(B9-1)),IF(F94="E7.7",'Input prices producer prices'!C147*'Input prices producer prices'!B264*(1-('Input prices producer prices'!B247/100)*(B9-1)),IF(F94="E7.11",'Input prices producer prices'!C148*'Input prices producer prices'!B264*(1-('Input prices producer prices'!B247/100)*(B9-1)), IF(F94="E7.12",'Input prices producer prices'!C149*'Input prices producer prices'!B264*(1-('Input prices producer prices'!B247/100)*(B9-1)),IF(F94="E5.16",'Input prices producer prices'!C139*'Input prices producer prices'!B264*(1-('Input prices producer prices'!B247/100)*(B9-1)),IF(F94="E7.2", 'Input prices producer prices'!C142*'Input prices producer prices'!B264*(1-('Input prices producer prices'!B247/100)*(B9-1))))))))))))))))</f>
        <v>0</v>
      </c>
    </row>
    <row r="103" spans="1:15">
      <c r="A103" s="22" t="s">
        <v>77</v>
      </c>
      <c r="B103" s="22" t="s">
        <v>155</v>
      </c>
      <c r="C103" s="38"/>
      <c r="D103" s="38"/>
      <c r="E103" s="22" t="s">
        <v>25</v>
      </c>
      <c r="G103" s="98" t="s">
        <v>286</v>
      </c>
      <c r="H103" s="74">
        <f>IF(F94="E7.2", H101*0.4, 0)</f>
        <v>0</v>
      </c>
      <c r="I103" s="25"/>
      <c r="J103" s="25"/>
    </row>
    <row r="104" spans="1:15">
      <c r="A104" s="98" t="s">
        <v>154</v>
      </c>
      <c r="B104" s="4">
        <f>'Input prices producer prices'!F4</f>
        <v>105.07378885383827</v>
      </c>
      <c r="E104" s="8">
        <f>B104*($B$58/1000)</f>
        <v>250.07561747213506</v>
      </c>
      <c r="H104" s="111">
        <f>IF(F94="E7.2", H102*0.4, 0)</f>
        <v>0</v>
      </c>
      <c r="I104" s="25"/>
      <c r="J104" s="25"/>
    </row>
    <row r="105" spans="1:15">
      <c r="H105" s="74"/>
      <c r="I105" s="25"/>
      <c r="J105" s="25"/>
    </row>
    <row r="106" spans="1:15">
      <c r="A106" s="22" t="s">
        <v>160</v>
      </c>
      <c r="B106" s="22" t="s">
        <v>155</v>
      </c>
      <c r="C106" s="38"/>
      <c r="D106" s="38"/>
      <c r="E106" s="22" t="s">
        <v>25</v>
      </c>
      <c r="G106" s="88"/>
      <c r="H106" s="94"/>
      <c r="I106" s="25"/>
      <c r="J106" s="25"/>
    </row>
    <row r="107" spans="1:15">
      <c r="A107" s="23" t="s">
        <v>76</v>
      </c>
      <c r="H107" s="35"/>
      <c r="I107" s="25"/>
      <c r="J107" s="25"/>
    </row>
    <row r="108" spans="1:15">
      <c r="A108" s="98" t="s">
        <v>75</v>
      </c>
      <c r="B108" s="4">
        <f>B55*(B69/100)*(1-B56/100)*100</f>
        <v>58.576683333333335</v>
      </c>
      <c r="C108" s="4"/>
      <c r="E108" s="29">
        <f>B108*($B$58/1000)</f>
        <v>139.41250633333334</v>
      </c>
      <c r="G108" s="44"/>
      <c r="H108" s="40"/>
      <c r="I108" s="35"/>
      <c r="J108" s="34"/>
      <c r="O108" s="4"/>
    </row>
    <row r="109" spans="1:15">
      <c r="A109" s="98" t="s">
        <v>74</v>
      </c>
      <c r="B109" s="29">
        <f>B70/(B58/1000)</f>
        <v>14.915966386554622</v>
      </c>
      <c r="C109" s="4"/>
      <c r="E109" s="4">
        <f>B109*($B$58/1000)</f>
        <v>35.5</v>
      </c>
      <c r="G109" s="44"/>
      <c r="H109" s="34"/>
      <c r="I109" s="35"/>
      <c r="J109" s="34"/>
    </row>
    <row r="110" spans="1:15">
      <c r="A110" s="98" t="s">
        <v>73</v>
      </c>
      <c r="B110" s="4">
        <f>(B75/($B$58/1000))</f>
        <v>1.8907563025210086</v>
      </c>
      <c r="C110" s="4"/>
      <c r="E110" s="4">
        <f>B110*($B$58/1000)</f>
        <v>4.5</v>
      </c>
      <c r="G110" s="44"/>
      <c r="H110" s="25"/>
      <c r="I110" s="35"/>
      <c r="J110" s="34"/>
      <c r="K110" s="4"/>
    </row>
    <row r="111" spans="1:15">
      <c r="A111" s="98" t="s">
        <v>11</v>
      </c>
      <c r="B111" s="4">
        <f>(B73/($B$58/1000))</f>
        <v>0.52521008403361347</v>
      </c>
      <c r="C111" s="4"/>
      <c r="D111" s="4"/>
      <c r="E111" s="4">
        <f>B111*($B$58/1000)</f>
        <v>1.25</v>
      </c>
      <c r="G111" s="41"/>
      <c r="I111" s="25"/>
      <c r="J111" s="25"/>
    </row>
    <row r="112" spans="1:15">
      <c r="A112" s="98" t="s">
        <v>72</v>
      </c>
      <c r="B112" s="4">
        <f>(B72/($B$58/1000))</f>
        <v>0.25210084033613445</v>
      </c>
      <c r="C112" s="4"/>
      <c r="E112" s="4">
        <f t="shared" ref="E112:E118" si="0">B112*($B$58/1000)</f>
        <v>0.6</v>
      </c>
      <c r="I112" s="25"/>
      <c r="J112" s="25"/>
      <c r="K112" s="25"/>
    </row>
    <row r="113" spans="1:11">
      <c r="A113" s="98" t="s">
        <v>10</v>
      </c>
      <c r="B113" s="4">
        <f>(B109+B108/2)*(B56/100)</f>
        <v>1.3261292415966386</v>
      </c>
      <c r="C113" s="4"/>
      <c r="E113" s="4">
        <f>B113*($B$58/1000)</f>
        <v>3.1561875949999996</v>
      </c>
      <c r="I113" s="25"/>
      <c r="J113" s="25"/>
      <c r="K113" s="25"/>
    </row>
    <row r="114" spans="1:11">
      <c r="A114" s="98" t="s">
        <v>70</v>
      </c>
      <c r="B114" s="4">
        <f>(B80/($B$58/1000))</f>
        <v>2.0168067226890756</v>
      </c>
      <c r="C114" s="4"/>
      <c r="E114" s="4">
        <f t="shared" si="0"/>
        <v>4.8</v>
      </c>
      <c r="I114" s="25"/>
      <c r="J114" s="25"/>
      <c r="K114" s="25"/>
    </row>
    <row r="115" spans="1:11">
      <c r="A115" s="98" t="s">
        <v>71</v>
      </c>
      <c r="B115" s="4">
        <f>(B74/($B$58/1000))</f>
        <v>0.39915966386554624</v>
      </c>
      <c r="C115" s="4"/>
      <c r="E115" s="4">
        <f t="shared" si="0"/>
        <v>0.95000000000000007</v>
      </c>
      <c r="H115" s="44"/>
      <c r="I115" s="25"/>
      <c r="J115" s="25"/>
      <c r="K115" s="25"/>
    </row>
    <row r="116" spans="1:11">
      <c r="A116" s="98" t="s">
        <v>170</v>
      </c>
      <c r="B116" s="4">
        <f>B86/($B$58/1000)</f>
        <v>2.0579450237196535</v>
      </c>
      <c r="C116" s="4"/>
      <c r="E116" s="29">
        <f>B116*($B$58/1000)</f>
        <v>4.8979091564527755</v>
      </c>
      <c r="H116" s="44"/>
      <c r="I116" s="25"/>
      <c r="J116" s="25"/>
      <c r="K116" s="25"/>
    </row>
    <row r="117" spans="1:11">
      <c r="A117" s="98" t="s">
        <v>151</v>
      </c>
      <c r="B117" s="4">
        <f>(B70+(0.5*B108*(B58/1000)))*('Input prices producer prices'!H245/100)*('Input prices producer prices'!B261/365)/(B58/1000)</f>
        <v>0.22344369413203638</v>
      </c>
      <c r="C117" s="4"/>
      <c r="D117" s="4"/>
      <c r="E117" s="4">
        <f>B117*($B$58/1000)</f>
        <v>0.53179599203424655</v>
      </c>
      <c r="I117" s="25"/>
    </row>
    <row r="118" spans="1:11">
      <c r="A118" s="98" t="s">
        <v>24</v>
      </c>
      <c r="B118" s="43">
        <f>IF(B43&gt;B39,(B43-B39)*B81*'Input prices producer prices'!C270/(B62*B51*(1-(B56/100))),0)</f>
        <v>1.3851433374917455</v>
      </c>
      <c r="C118" s="4"/>
      <c r="D118" s="4"/>
      <c r="E118" s="4">
        <f t="shared" si="0"/>
        <v>3.296641143230354</v>
      </c>
      <c r="I118" s="25"/>
    </row>
    <row r="119" spans="1:11">
      <c r="A119" s="98" t="s">
        <v>119</v>
      </c>
      <c r="B119" s="4">
        <f>B78/(B58/1000)</f>
        <v>0.84033613445378152</v>
      </c>
      <c r="C119" s="4"/>
      <c r="E119" s="4">
        <f>B119*($B$58/1000)</f>
        <v>2</v>
      </c>
      <c r="H119" s="25"/>
      <c r="I119" s="25"/>
      <c r="J119" s="25"/>
      <c r="K119" s="25"/>
    </row>
    <row r="120" spans="1:11">
      <c r="A120" s="98" t="s">
        <v>117</v>
      </c>
      <c r="B120" s="4">
        <f>B82/(B58/1000)</f>
        <v>0.33193277310924374</v>
      </c>
      <c r="C120" s="4"/>
      <c r="E120" s="4">
        <f>B120*($B$58/1000)</f>
        <v>0.79</v>
      </c>
      <c r="H120" s="25"/>
      <c r="I120" s="25"/>
      <c r="J120" s="25"/>
    </row>
    <row r="121" spans="1:11">
      <c r="A121" s="98" t="s">
        <v>168</v>
      </c>
      <c r="B121" s="4">
        <f>B76/(B58/1000)</f>
        <v>0.25210084033613445</v>
      </c>
      <c r="C121" s="4"/>
      <c r="E121" s="4">
        <f>B121*(B58/1000)</f>
        <v>0.6</v>
      </c>
      <c r="H121" s="25"/>
      <c r="I121" s="25"/>
    </row>
    <row r="122" spans="1:11">
      <c r="C122" s="4"/>
      <c r="E122" s="4"/>
      <c r="G122" s="40"/>
      <c r="H122" s="25"/>
      <c r="I122" s="25"/>
    </row>
    <row r="123" spans="1:11">
      <c r="A123" s="23" t="s">
        <v>69</v>
      </c>
      <c r="C123" s="4"/>
      <c r="D123" s="4"/>
      <c r="E123" s="4"/>
      <c r="G123" s="64"/>
      <c r="H123" s="25"/>
      <c r="I123" s="25"/>
    </row>
    <row r="124" spans="1:11">
      <c r="A124" s="98" t="s">
        <v>68</v>
      </c>
      <c r="B124" s="29">
        <f>IF(B60=43.47,'Input prices producer prices'!C100-'Scenario producer price + 1 SD'!B113-'Scenario producer price + 1 SD'!B119, IF(B60=39.14, 'Input prices producer prices'!C101-'Scenario producer price + 1 SD'!B113-'Scenario producer price + 1 SD'!B119, IF(B60=25.625, 'Input prices producer prices'!C102-'Scenario producer price + 1 SD'!B113-'Scenario producer price + 1 SD'!B119, IF(B60=30.9, 'Input prices producer prices'!C103-'Scenario producer price + 1 SD'!B113-'Scenario producer price + 1 SD'!B119))))</f>
        <v>1.1493240976337904</v>
      </c>
      <c r="C124" s="4"/>
      <c r="E124" s="4">
        <f>B124*($B$58/1000)</f>
        <v>2.735391352368421</v>
      </c>
      <c r="H124" s="25"/>
      <c r="I124" s="25"/>
      <c r="J124" s="25"/>
    </row>
    <row r="125" spans="1:11">
      <c r="A125" s="98" t="s">
        <v>23</v>
      </c>
      <c r="B125" s="4">
        <f>('Input prices producer prices'!H244*B39)/((B51*B62)*(1-(B56/100)))/(B58/1000)*100</f>
        <v>5.2825945338853266</v>
      </c>
      <c r="C125" s="85"/>
      <c r="E125" s="4">
        <f>B125*($B$58/1000)</f>
        <v>12.572574990647077</v>
      </c>
      <c r="H125" s="9"/>
      <c r="I125" s="25"/>
      <c r="J125" s="25"/>
    </row>
    <row r="126" spans="1:11">
      <c r="A126" s="98" t="s">
        <v>67</v>
      </c>
      <c r="B126" s="43">
        <f>(B98+H98+H99)*('Input prices producer prices'!H248/100)/B64*100+B98*('Input prices producer prices'!H246/100)/B64*100+B98*(B24*(B31/100/2))/B64*100</f>
        <v>6.0735201223096373</v>
      </c>
      <c r="C126" s="4"/>
      <c r="E126" s="4">
        <f>B126*($B$58/1000)</f>
        <v>14.454977891096936</v>
      </c>
      <c r="G126" s="44"/>
      <c r="H126" s="87"/>
      <c r="I126" s="37"/>
      <c r="J126" s="25"/>
    </row>
    <row r="127" spans="1:11">
      <c r="A127" s="98" t="s">
        <v>222</v>
      </c>
      <c r="B127" s="43">
        <f>(D98+I98+I99)/B63/(B58/1000)*100</f>
        <v>2.7282350435361766</v>
      </c>
      <c r="C127" s="4"/>
      <c r="E127" s="4">
        <f>B127*($B$58/1000)</f>
        <v>6.4931994036161003</v>
      </c>
      <c r="H127" s="63"/>
      <c r="I127" s="37"/>
      <c r="J127" s="34"/>
    </row>
    <row r="128" spans="1:11">
      <c r="A128" s="98" t="s">
        <v>223</v>
      </c>
      <c r="B128" s="43">
        <f>(C98+I98+I99)*'Input prices producer prices'!H246/B63/(B58/1000)</f>
        <v>0.68205876088404416</v>
      </c>
      <c r="C128" s="4"/>
      <c r="E128" s="4">
        <f t="shared" ref="E128:E135" si="1">B128*($B$58/1000)</f>
        <v>1.6232998509040251</v>
      </c>
      <c r="G128" s="44"/>
      <c r="H128" s="63"/>
      <c r="I128" s="37"/>
      <c r="J128" s="25"/>
    </row>
    <row r="129" spans="1:13">
      <c r="A129" s="98" t="s">
        <v>224</v>
      </c>
      <c r="B129" s="43">
        <f>(B98+H98+H99)*(B31/100)/B63/(B58/1000)</f>
        <v>2.4831201763434733E-2</v>
      </c>
      <c r="C129" s="4"/>
      <c r="E129" s="4">
        <f t="shared" si="1"/>
        <v>5.9098260196974658E-2</v>
      </c>
      <c r="G129" s="44"/>
      <c r="H129" s="63"/>
      <c r="I129" s="37"/>
      <c r="J129" s="25"/>
    </row>
    <row r="130" spans="1:13">
      <c r="A130" s="98" t="s">
        <v>266</v>
      </c>
      <c r="B130" s="43">
        <f>B126-B127-B128-B129</f>
        <v>2.6383951161259818</v>
      </c>
      <c r="C130" s="4"/>
      <c r="E130" s="4">
        <f t="shared" si="1"/>
        <v>6.2793803763798364</v>
      </c>
      <c r="G130" s="44"/>
      <c r="H130" s="63"/>
      <c r="I130" s="37"/>
      <c r="J130" s="25"/>
    </row>
    <row r="131" spans="1:13">
      <c r="A131" s="98" t="s">
        <v>6</v>
      </c>
      <c r="B131" s="43">
        <f>'Input prices producer prices'!H235/B62*100/(B58/1000)</f>
        <v>0.83162031936062109</v>
      </c>
      <c r="C131" s="4"/>
      <c r="E131" s="4">
        <f t="shared" si="1"/>
        <v>1.979256360078278</v>
      </c>
      <c r="G131" s="44"/>
      <c r="H131" s="63"/>
      <c r="I131" s="37"/>
      <c r="J131" s="34"/>
    </row>
    <row r="132" spans="1:13">
      <c r="A132" s="98" t="s">
        <v>222</v>
      </c>
      <c r="B132" s="43">
        <f>(B99+B100+H100+H101)*('Input prices producer prices'!H249/100)/B64*100</f>
        <v>0.64795582283984199</v>
      </c>
      <c r="C132" s="4"/>
      <c r="E132" s="4">
        <f t="shared" si="1"/>
        <v>1.5421348583588239</v>
      </c>
      <c r="G132" s="44"/>
      <c r="H132" s="63"/>
      <c r="I132" s="37"/>
      <c r="J132" s="25"/>
    </row>
    <row r="133" spans="1:13">
      <c r="A133" s="98" t="s">
        <v>223</v>
      </c>
      <c r="B133" s="43">
        <f>(B99+B100+H100+H101)*('Input prices producer prices'!H246/100)/B64*100</f>
        <v>8.0994477854980249E-2</v>
      </c>
      <c r="C133" s="4"/>
      <c r="E133" s="4">
        <f t="shared" si="1"/>
        <v>0.19276685729485299</v>
      </c>
      <c r="G133" s="44"/>
      <c r="H133" s="63"/>
      <c r="I133" s="37"/>
      <c r="J133" s="25"/>
    </row>
    <row r="134" spans="1:13">
      <c r="A134" s="98" t="s">
        <v>224</v>
      </c>
      <c r="B134" s="4">
        <f>(B99+B100+H100+H101)*(B31/100)/B64*100</f>
        <v>0.18871713340210397</v>
      </c>
      <c r="C134" s="4"/>
      <c r="D134" s="4"/>
      <c r="E134" s="4">
        <f t="shared" si="1"/>
        <v>0.44914677749700743</v>
      </c>
      <c r="G134" s="44"/>
      <c r="H134" s="63"/>
      <c r="I134" s="37"/>
      <c r="J134" s="34"/>
    </row>
    <row r="135" spans="1:13">
      <c r="A135" s="98" t="s">
        <v>267</v>
      </c>
      <c r="B135" s="43">
        <f>B131-B132-B133-B134</f>
        <v>-8.6047114736305122E-2</v>
      </c>
      <c r="C135" s="4"/>
      <c r="D135" s="4"/>
      <c r="E135" s="4">
        <f t="shared" si="1"/>
        <v>-0.20479213307240618</v>
      </c>
      <c r="G135" s="44"/>
      <c r="H135" s="25"/>
      <c r="I135" s="37"/>
      <c r="J135" s="34"/>
    </row>
    <row r="136" spans="1:13">
      <c r="E136" s="4"/>
      <c r="G136" s="44"/>
      <c r="H136" s="34"/>
      <c r="I136" s="25"/>
      <c r="J136" s="34"/>
      <c r="K136" s="4"/>
    </row>
    <row r="137" spans="1:13">
      <c r="A137" s="98" t="s">
        <v>220</v>
      </c>
      <c r="B137" s="4">
        <f>SUM(B108:B121)+SUM(B124:B126)+B131</f>
        <v>98.330773451361964</v>
      </c>
      <c r="D137" s="4"/>
      <c r="E137" s="4">
        <f>SUM(E108:E121)+SUM(E124:E126)+E131</f>
        <v>234.0272408142414</v>
      </c>
      <c r="G137" s="4"/>
      <c r="H137" s="25"/>
      <c r="I137" s="71"/>
      <c r="J137" s="34"/>
      <c r="M137" s="4"/>
    </row>
    <row r="138" spans="1:13">
      <c r="A138" s="98" t="s">
        <v>221</v>
      </c>
      <c r="B138" s="4">
        <f>B137-B125</f>
        <v>93.048178917476633</v>
      </c>
      <c r="E138" s="4">
        <f>E137-E125</f>
        <v>221.45466582359433</v>
      </c>
      <c r="G138" s="44"/>
      <c r="H138" s="25"/>
      <c r="I138" s="25"/>
      <c r="J138" s="25"/>
      <c r="K138" s="49"/>
    </row>
    <row r="139" spans="1:13">
      <c r="E139" s="4"/>
      <c r="H139" s="25"/>
      <c r="I139" s="25"/>
      <c r="J139" s="25"/>
    </row>
    <row r="140" spans="1:13">
      <c r="A140" s="98" t="s">
        <v>194</v>
      </c>
      <c r="B140" s="82">
        <f>(E137/100)*B63</f>
        <v>1245608.049251643</v>
      </c>
      <c r="C140" s="54"/>
      <c r="H140" s="25"/>
      <c r="I140" s="25"/>
      <c r="J140" s="25"/>
      <c r="K140" s="49"/>
    </row>
    <row r="141" spans="1:13">
      <c r="A141" s="98" t="s">
        <v>195</v>
      </c>
      <c r="B141" s="82">
        <f>(E138/100)*B63</f>
        <v>1178690.6230850015</v>
      </c>
      <c r="E141" s="4"/>
      <c r="H141" s="25"/>
      <c r="I141" s="25"/>
      <c r="J141" s="25"/>
    </row>
    <row r="142" spans="1:13">
      <c r="G142" s="4"/>
      <c r="H142" s="25"/>
      <c r="I142" s="25"/>
      <c r="J142" s="25"/>
    </row>
    <row r="143" spans="1:13">
      <c r="A143" s="22" t="s">
        <v>66</v>
      </c>
      <c r="H143" s="25"/>
      <c r="I143" s="25"/>
      <c r="J143" s="25"/>
    </row>
    <row r="144" spans="1:13">
      <c r="A144" s="98" t="s">
        <v>159</v>
      </c>
      <c r="B144" s="4">
        <f>B104</f>
        <v>105.07378885383827</v>
      </c>
      <c r="I144" s="25"/>
      <c r="J144" s="25"/>
    </row>
    <row r="145" spans="1:10">
      <c r="A145" s="98" t="s">
        <v>233</v>
      </c>
      <c r="B145" s="4">
        <f>E104</f>
        <v>250.07561747213506</v>
      </c>
      <c r="G145" s="4"/>
    </row>
    <row r="146" spans="1:10">
      <c r="A146" s="98" t="s">
        <v>201</v>
      </c>
      <c r="B146" s="83">
        <f>(B145/100)*B63</f>
        <v>1331025.4009793489</v>
      </c>
      <c r="G146" s="4"/>
    </row>
    <row r="147" spans="1:10">
      <c r="A147" s="9" t="s">
        <v>202</v>
      </c>
      <c r="B147" s="73">
        <f>B146</f>
        <v>1331025.4009793489</v>
      </c>
      <c r="E147" s="73"/>
      <c r="F147" s="4"/>
      <c r="G147" s="4"/>
    </row>
    <row r="148" spans="1:10">
      <c r="G148" s="4"/>
    </row>
    <row r="150" spans="1:10">
      <c r="A150" s="22" t="s">
        <v>229</v>
      </c>
    </row>
    <row r="151" spans="1:10">
      <c r="A151" s="98" t="s">
        <v>232</v>
      </c>
      <c r="B151" s="4">
        <f>B144-B138</f>
        <v>12.025609936361633</v>
      </c>
      <c r="C151" s="54"/>
      <c r="D151" s="15"/>
      <c r="J151" s="25"/>
    </row>
    <row r="152" spans="1:10">
      <c r="A152" s="98" t="s">
        <v>285</v>
      </c>
      <c r="B152" s="44">
        <f>B153/B51*100</f>
        <v>187.0777974141109</v>
      </c>
      <c r="C152" s="54"/>
      <c r="D152" s="75"/>
      <c r="J152" s="25"/>
    </row>
    <row r="153" spans="1:10">
      <c r="A153" s="98" t="s">
        <v>230</v>
      </c>
      <c r="B153" s="76">
        <f>B147-B141</f>
        <v>152334.77789434744</v>
      </c>
      <c r="C153" s="25"/>
      <c r="D153" s="93"/>
      <c r="J153" s="25"/>
    </row>
    <row r="154" spans="1:10">
      <c r="C154" s="54"/>
      <c r="J154" s="25"/>
    </row>
    <row r="155" spans="1:10">
      <c r="A155" s="22" t="s">
        <v>292</v>
      </c>
      <c r="B155" s="73"/>
      <c r="C155" s="54"/>
      <c r="J155" s="25"/>
    </row>
    <row r="156" spans="1:10">
      <c r="A156" s="98" t="s">
        <v>293</v>
      </c>
      <c r="B156" s="73">
        <v>152334.77789434744</v>
      </c>
      <c r="C156" s="54"/>
      <c r="J156" s="25"/>
    </row>
    <row r="157" spans="1:10">
      <c r="A157" s="98" t="s">
        <v>294</v>
      </c>
      <c r="B157" s="73">
        <f>B153</f>
        <v>152334.77789434744</v>
      </c>
      <c r="C157" s="54"/>
      <c r="J157" s="25"/>
    </row>
    <row r="158" spans="1:10">
      <c r="A158" s="98" t="s">
        <v>300</v>
      </c>
      <c r="B158" s="73">
        <f>B157-B156</f>
        <v>0</v>
      </c>
      <c r="J158" s="25"/>
    </row>
    <row r="159" spans="1:10">
      <c r="A159" s="98" t="s">
        <v>295</v>
      </c>
      <c r="B159" s="3">
        <f>B32/100</f>
        <v>2.67272549075155E-3</v>
      </c>
      <c r="C159" s="54"/>
      <c r="J159" s="25"/>
    </row>
    <row r="160" spans="1:10">
      <c r="A160" s="98" t="s">
        <v>296</v>
      </c>
      <c r="B160" s="98">
        <v>12</v>
      </c>
      <c r="C160" s="54"/>
      <c r="J160" s="25"/>
    </row>
    <row r="161" spans="1:10">
      <c r="A161" s="98" t="s">
        <v>292</v>
      </c>
      <c r="B161" s="92">
        <f>NPV(B159,I206,I207,I208,I209,I210,I211,I212,I213,I214,I215,I216,I218,I217)</f>
        <v>33207.523993656941</v>
      </c>
      <c r="C161" s="54"/>
      <c r="H161" s="25"/>
      <c r="J161" s="25"/>
    </row>
    <row r="162" spans="1:10">
      <c r="C162" s="54"/>
      <c r="H162" s="25"/>
      <c r="I162" s="25"/>
      <c r="J162" s="25"/>
    </row>
    <row r="163" spans="1:10">
      <c r="C163" s="54"/>
      <c r="H163" s="25"/>
      <c r="I163" s="25"/>
      <c r="J163" s="25"/>
    </row>
    <row r="164" spans="1:10">
      <c r="A164" s="22" t="s">
        <v>297</v>
      </c>
      <c r="C164" s="54"/>
      <c r="H164" s="25"/>
      <c r="I164" s="25"/>
      <c r="J164" s="25"/>
    </row>
    <row r="165" spans="1:10">
      <c r="A165" s="98" t="s">
        <v>298</v>
      </c>
      <c r="B165" s="73">
        <f>B156-B153</f>
        <v>0</v>
      </c>
      <c r="C165" s="54"/>
      <c r="H165" s="25"/>
      <c r="I165" s="25"/>
      <c r="J165" s="25"/>
    </row>
    <row r="166" spans="1:10">
      <c r="A166" s="98" t="s">
        <v>299</v>
      </c>
      <c r="B166" s="4">
        <f>B165/B64*100</f>
        <v>0</v>
      </c>
      <c r="D166" s="41"/>
      <c r="E166" s="75"/>
      <c r="F166" s="54"/>
      <c r="H166" s="25"/>
      <c r="I166" s="25"/>
      <c r="J166" s="25"/>
    </row>
    <row r="167" spans="1:10">
      <c r="H167" s="25"/>
      <c r="I167" s="25"/>
      <c r="J167" s="25"/>
    </row>
    <row r="168" spans="1:10">
      <c r="I168" s="25"/>
    </row>
    <row r="169" spans="1:10">
      <c r="A169" s="22" t="s">
        <v>271</v>
      </c>
      <c r="E169" s="1"/>
    </row>
    <row r="170" spans="1:10">
      <c r="A170" s="98" t="s">
        <v>211</v>
      </c>
      <c r="B170" s="8">
        <f>'Emission factors'!C3*1000*(1+AVERAGE(10%,15%,15%))</f>
        <v>77.066666666666663</v>
      </c>
      <c r="H170" s="16"/>
    </row>
    <row r="171" spans="1:10">
      <c r="A171" s="98" t="s">
        <v>269</v>
      </c>
      <c r="B171" s="47">
        <f>IF(AND(B91="None",F93="E5.5"),'Emission factors'!C10,IF(AND(B91="None",F93="E5.5"),'Emission factors'!C10,IF(AND(B91="None",F93="E5.6"),'Emission factors'!C11,IF(AND(B91="None",F93="E5.8"),'Emission factors'!C13,IF(AND(B91="None",F93="E5.9.1.2.2"),'Emission factors'!C14,IF(AND(B91="None",F93="E5.9.1.2.4"),'Emission factors'!C15,IF(AND(B91="None",F93="E5.10"),'Emission factors'!C16,IF(AND(B91="None",F93="E5.11"),'Emission factors'!C17,IF(AND(B91="None",F93="E5.15"),'Emission factors'!C21,IF(AND(B91="None",F93="E7.1"),0,IF(AND(B91="None",F93="E7.2"), 'Emission factors'!C28, IF(B91="E5.14", 'Emission factors'!C20, IF(AND(B91="None",F93="E5.13"), 'Emission factors'!C19,  0)))))))))))))</f>
        <v>0.48529411764705882</v>
      </c>
      <c r="F171" s="47"/>
      <c r="G171" s="16"/>
      <c r="H171" s="47"/>
    </row>
    <row r="172" spans="1:10">
      <c r="A172" s="98" t="s">
        <v>270</v>
      </c>
      <c r="B172" s="47">
        <f>IF(AND(B92="None",F94="E5.4"),'Emission factors'!C9,IF(AND(B92="None",F94="E5.7"),'Emission factors'!C12,IF(AND(B92="None",F94="E5.12"),'Emission factors'!C18,IF(AND(B92="None",F94="E5.13"),'Emission factors'!C19,IF(AND(B92="None",F94="E7.3"),'Emission factors'!C29,IF(AND(B92="None",F94="E7.4"),'Emission factors'!C30,IF(AND(B92="None",F94="E7.5"),'Emission factors'!C31,IF(AND(B92="None",F94="E7.6"),'Emission factors'!C32,IF(AND(B92="None",F94="E7.11"),'Emission factors'!C34,IF(AND(B92="None",F94="E7.12"),'Emission factors'!C35,IF(AND(B92="None",F94="E5.16"),'Emission factors'!C22, IF(B92="E7.7",'Emission factors'!C33, IF(B92="E7.2", 'Emission factors'!C28, IF(AND(B92="None", F94="E5.13"), 'Emission factors'!C19, 0))))))))))))))</f>
        <v>0</v>
      </c>
      <c r="F172" s="90"/>
      <c r="G172" s="47"/>
      <c r="H172" s="16"/>
    </row>
    <row r="173" spans="1:10">
      <c r="B173" s="47"/>
      <c r="C173" s="28"/>
      <c r="F173" s="47"/>
      <c r="G173" s="16"/>
      <c r="H173" s="8"/>
    </row>
    <row r="174" spans="1:10">
      <c r="A174" s="98" t="s">
        <v>273</v>
      </c>
      <c r="B174" s="4">
        <f>B170*(1-B171)*(1-B172)*(1-B173)</f>
        <v>39.666666666666657</v>
      </c>
      <c r="F174" s="8"/>
      <c r="G174" s="8"/>
    </row>
    <row r="176" spans="1:10">
      <c r="A176" s="22" t="s">
        <v>272</v>
      </c>
    </row>
    <row r="177" spans="1:8">
      <c r="A177" s="98" t="s">
        <v>211</v>
      </c>
      <c r="B177" s="8">
        <f>('Emission factors'!D3)*(1+(AVERAGE(75%,20%,20%)))</f>
        <v>30.433333333333334</v>
      </c>
      <c r="H177" s="16"/>
    </row>
    <row r="178" spans="1:8">
      <c r="A178" s="98" t="s">
        <v>269</v>
      </c>
      <c r="B178" s="47">
        <f>IF(AND(B91="None",F93="E5.5"),'Emission factors'!D10,IF(AND(B91="None",F93="E5.6"),'Emission factors'!D11,IF(AND(B91="None",F93="E5.8"),'Emission factors'!D13,IF(AND(B91="None",F93="E5.9.1.2.2"),'Emission factors'!D14,IF(AND(B91="None",F93="E5.9.1.2.4"),'Emission factors'!D15,IF(AND(B91="None",F93="E5.10"),'Emission factors'!D16,IF(AND(B91="None",F93="E5.11"),'Emission factors'!D17,IF(AND(B91="None",F93="E5.14"),'Emission factors'!D20,IF(AND(B91="None",F93="E5.15"),'Emission factors'!D21,IF(AND(B91="None",F93="E7.1"),'Emission factors'!D27,IF(AND(B91="None",F93="E7.2"),'Emission factors'!D28,IF(B91="E5.14",'Emission factors'!D20,IF(AND(B91="None",F93="E5.13"),'Emission factors'!D19,0)))))))))))))</f>
        <v>0</v>
      </c>
      <c r="F178" s="47"/>
      <c r="G178" s="16"/>
      <c r="H178" s="47"/>
    </row>
    <row r="179" spans="1:8">
      <c r="A179" s="98" t="s">
        <v>270</v>
      </c>
      <c r="B179" s="47">
        <f>IF(AND(B92="None",F94="E5.4"),'Emission factors'!D9,IF(AND(B92="None",F94="E5.7"),'Emission factors'!D12,IF(AND(B92="None",F94="E5.12"),'Emission factors'!D18,IF(AND(B92="None",F94="E5.13"),'Emission factors'!D19,IF(AND(B92="None",F94="E7.3"),'Emission factors'!D29,IF(AND(B92="None",F94="E7.4"),'Emission factors'!D30,IF(AND(B92="None",F94="E7.5"),'Emission factors'!D31,IF(AND(B92="None",F94="E7.6"),'Emission factors'!D32,IF(AND(B92="None",F94="E7.7"),'Emission factors'!D33,IF(AND(B92="None",F94="E7.11"),'Emission factors'!D34,IF(AND(B92="None",F94="E7.12"),'Emission factors'!D35,IF(AND(B92="E7.7"),'Emission factors'!D33,IF(AND(B92="None",F94="E5.16"),'Emission factors'!D22, IF(AND(B92="None", F94="E7.2"), 'Emission factors'!D28, 0))))))))))))))</f>
        <v>0.13</v>
      </c>
      <c r="F179" s="86"/>
      <c r="G179" s="47"/>
      <c r="H179" s="47"/>
    </row>
    <row r="180" spans="1:8">
      <c r="A180" s="98" t="s">
        <v>273</v>
      </c>
      <c r="B180" s="4">
        <f>B177*(1-B178)*(1-B179)</f>
        <v>26.477</v>
      </c>
      <c r="F180" s="47"/>
      <c r="G180" s="47"/>
      <c r="H180" s="8"/>
    </row>
    <row r="181" spans="1:8">
      <c r="C181" s="4"/>
      <c r="F181" s="8"/>
      <c r="G181" s="8"/>
    </row>
    <row r="182" spans="1:8">
      <c r="A182" s="22" t="s">
        <v>282</v>
      </c>
    </row>
    <row r="183" spans="1:8">
      <c r="A183" s="14" t="s">
        <v>172</v>
      </c>
      <c r="B183" s="6">
        <f>IF(B60=39.14,('Default scenario'!B174*'Input prices producer prices'!C264)/1000, IF(B60=30.9,('Default scenario'!B174*'Input prices producer prices'!E264)/1000, 0))</f>
        <v>3229.9999999999991</v>
      </c>
    </row>
    <row r="185" spans="1:8">
      <c r="A185" s="22" t="s">
        <v>283</v>
      </c>
    </row>
    <row r="186" spans="1:8">
      <c r="A186" s="14" t="s">
        <v>172</v>
      </c>
      <c r="B186" s="6">
        <f>IF(B60=39.14,('Default scenario'!B180*'Input prices producer prices'!C264)/1000, IF(B60=30.9, ('Default scenario'!B180*'Input prices producer prices'!E264)/1000, 0))</f>
        <v>2155.9842857142853</v>
      </c>
    </row>
    <row r="187" spans="1:8">
      <c r="A187" s="14"/>
      <c r="B187" s="6"/>
      <c r="F187" s="47"/>
      <c r="G187" s="16"/>
      <c r="H187" s="47"/>
    </row>
    <row r="188" spans="1:8">
      <c r="B188" s="4"/>
      <c r="F188" s="47"/>
      <c r="G188" s="47"/>
      <c r="H188" s="16"/>
    </row>
    <row r="189" spans="1:8">
      <c r="A189" s="22" t="s">
        <v>382</v>
      </c>
      <c r="B189" s="6"/>
      <c r="F189" s="47"/>
      <c r="G189" s="47"/>
      <c r="H189" s="16"/>
    </row>
    <row r="190" spans="1:8">
      <c r="A190" s="14" t="s">
        <v>384</v>
      </c>
      <c r="B190" s="110">
        <v>593.1</v>
      </c>
      <c r="F190" s="47"/>
      <c r="G190" s="47"/>
      <c r="H190" s="16"/>
    </row>
    <row r="191" spans="1:8">
      <c r="A191" s="14" t="s">
        <v>383</v>
      </c>
      <c r="B191" s="8">
        <v>678.7</v>
      </c>
      <c r="F191" s="47"/>
      <c r="G191" s="47"/>
      <c r="H191" s="16"/>
    </row>
    <row r="192" spans="1:8">
      <c r="A192" s="14" t="s">
        <v>391</v>
      </c>
      <c r="B192" s="8"/>
      <c r="F192" s="47"/>
      <c r="G192" s="47"/>
      <c r="H192" s="16"/>
    </row>
    <row r="193" spans="1:9">
      <c r="A193" s="14" t="s">
        <v>387</v>
      </c>
      <c r="B193" s="8">
        <v>21.2</v>
      </c>
      <c r="F193" s="47"/>
      <c r="G193" s="47"/>
      <c r="H193" s="16"/>
    </row>
    <row r="194" spans="1:9">
      <c r="A194" s="14" t="s">
        <v>388</v>
      </c>
      <c r="B194" s="8">
        <v>61.6</v>
      </c>
      <c r="F194" s="47"/>
      <c r="G194" s="47"/>
      <c r="H194" s="16"/>
    </row>
    <row r="195" spans="1:9">
      <c r="A195" s="14" t="s">
        <v>386</v>
      </c>
      <c r="B195" s="8">
        <v>59.8</v>
      </c>
      <c r="F195" s="47"/>
      <c r="G195" s="47"/>
      <c r="H195" s="16"/>
    </row>
    <row r="196" spans="1:9">
      <c r="A196" s="14" t="s">
        <v>389</v>
      </c>
      <c r="B196" s="8">
        <v>71.3</v>
      </c>
      <c r="F196" s="47"/>
      <c r="G196" s="47"/>
      <c r="H196" s="16"/>
    </row>
    <row r="197" spans="1:9">
      <c r="A197" s="14"/>
      <c r="B197" s="8"/>
      <c r="F197" s="47"/>
      <c r="G197" s="47"/>
      <c r="H197" s="16"/>
    </row>
    <row r="198" spans="1:9">
      <c r="A198" s="14" t="s">
        <v>390</v>
      </c>
      <c r="B198" s="98">
        <f>IF(AND(B41="Provision of grains (2g) and straw bales (2 bales)",F90="yes", B60=39.14),(B191-B190)+B193, IF(AND(B41="Provision of grains (2g) and straw bales (2 bales)",F90="no", B60=30.9),(B191-B190)+B194, IF(AND(B41="Provision of grains (2g) and straw bales (2 bales)",F90="yes", B60=30.9), (B191-B190)+B196, IF(AND(B60=30.9,F90="yes", B41="Provision of straw bales (1bale)"),(B191-B190)+B195,(B191-B190)))))</f>
        <v>85.600000000000023</v>
      </c>
      <c r="F198" s="47"/>
      <c r="G198" s="47"/>
      <c r="H198" s="16"/>
    </row>
    <row r="199" spans="1:9">
      <c r="B199" s="4"/>
      <c r="F199" s="47"/>
      <c r="G199" s="47"/>
      <c r="H199" s="16"/>
    </row>
    <row r="200" spans="1:9">
      <c r="B200" s="4"/>
      <c r="F200" s="47"/>
      <c r="G200" s="47"/>
      <c r="H200" s="16"/>
    </row>
    <row r="201" spans="1:9">
      <c r="B201" s="4"/>
      <c r="F201" s="47"/>
      <c r="G201" s="47"/>
      <c r="H201" s="16"/>
    </row>
    <row r="202" spans="1:9">
      <c r="B202" s="4"/>
      <c r="F202" s="47"/>
      <c r="G202" s="47"/>
      <c r="H202" s="16"/>
    </row>
    <row r="203" spans="1:9">
      <c r="F203" s="47"/>
      <c r="G203" s="16"/>
      <c r="H203" s="8"/>
    </row>
    <row r="204" spans="1:9">
      <c r="H204" s="98" t="s">
        <v>311</v>
      </c>
    </row>
    <row r="205" spans="1:9">
      <c r="A205" s="96" t="s">
        <v>302</v>
      </c>
      <c r="B205" s="98" t="s">
        <v>304</v>
      </c>
      <c r="C205" s="98" t="s">
        <v>110</v>
      </c>
      <c r="D205" s="98" t="s">
        <v>303</v>
      </c>
      <c r="E205" s="98" t="s">
        <v>305</v>
      </c>
      <c r="F205" s="98" t="s">
        <v>309</v>
      </c>
      <c r="G205" s="98" t="s">
        <v>310</v>
      </c>
      <c r="H205" s="91">
        <f t="shared" ref="H205:H217" si="2">G206-F206</f>
        <v>-2705.13</v>
      </c>
      <c r="I205" s="98" t="s">
        <v>312</v>
      </c>
    </row>
    <row r="206" spans="1:9">
      <c r="A206" s="98">
        <v>1</v>
      </c>
      <c r="B206" s="95">
        <f t="shared" ref="B206:B217" si="3">IF($B$223=0,0,$B$223/$B$220)</f>
        <v>0</v>
      </c>
      <c r="C206" s="91">
        <f>B223*B221</f>
        <v>0</v>
      </c>
      <c r="D206" s="91">
        <f t="shared" ref="D206:D217" si="4">B206-C206</f>
        <v>0</v>
      </c>
      <c r="E206" s="91">
        <f>B223-D206</f>
        <v>0</v>
      </c>
      <c r="F206" s="74">
        <f>($E$129+$E$134)/100*$B$63</f>
        <v>2705.13</v>
      </c>
      <c r="G206" s="74">
        <f t="shared" ref="G206:G217" si="5">C206</f>
        <v>0</v>
      </c>
      <c r="H206" s="91">
        <f t="shared" si="2"/>
        <v>-2705.13</v>
      </c>
      <c r="I206" s="73">
        <f>$B$158-H205</f>
        <v>2705.13</v>
      </c>
    </row>
    <row r="207" spans="1:9">
      <c r="A207" s="98">
        <v>2</v>
      </c>
      <c r="B207" s="95">
        <f t="shared" si="3"/>
        <v>0</v>
      </c>
      <c r="C207" s="91">
        <f t="shared" ref="C207:C217" si="6">$B$221*E206</f>
        <v>0</v>
      </c>
      <c r="D207" s="91">
        <f t="shared" si="4"/>
        <v>0</v>
      </c>
      <c r="E207" s="91">
        <f t="shared" ref="E207:E217" si="7">E206-D207</f>
        <v>0</v>
      </c>
      <c r="F207" s="74">
        <f>($E$129+$E$134)/100*$B$63</f>
        <v>2705.13</v>
      </c>
      <c r="G207" s="74">
        <f t="shared" si="5"/>
        <v>0</v>
      </c>
      <c r="H207" s="91">
        <f t="shared" si="2"/>
        <v>-2705.13</v>
      </c>
      <c r="I207" s="73">
        <f t="shared" ref="I207:I218" si="8">$B$158-H206</f>
        <v>2705.13</v>
      </c>
    </row>
    <row r="208" spans="1:9">
      <c r="A208" s="98">
        <v>3</v>
      </c>
      <c r="B208" s="95">
        <f t="shared" si="3"/>
        <v>0</v>
      </c>
      <c r="C208" s="91">
        <f t="shared" si="6"/>
        <v>0</v>
      </c>
      <c r="D208" s="91">
        <f t="shared" si="4"/>
        <v>0</v>
      </c>
      <c r="E208" s="91">
        <f t="shared" si="7"/>
        <v>0</v>
      </c>
      <c r="F208" s="74">
        <f>($E$129+$E$134)/100*$B$63</f>
        <v>2705.13</v>
      </c>
      <c r="G208" s="74">
        <f t="shared" si="5"/>
        <v>0</v>
      </c>
      <c r="H208" s="91">
        <f t="shared" si="2"/>
        <v>-2705.13</v>
      </c>
      <c r="I208" s="73">
        <f t="shared" si="8"/>
        <v>2705.13</v>
      </c>
    </row>
    <row r="209" spans="1:9">
      <c r="A209" s="98">
        <v>4</v>
      </c>
      <c r="B209" s="95">
        <f t="shared" si="3"/>
        <v>0</v>
      </c>
      <c r="C209" s="91">
        <f t="shared" si="6"/>
        <v>0</v>
      </c>
      <c r="D209" s="91">
        <f t="shared" si="4"/>
        <v>0</v>
      </c>
      <c r="E209" s="91">
        <f t="shared" si="7"/>
        <v>0</v>
      </c>
      <c r="F209" s="74">
        <f>($E$129+$E$134)/100*$B$63</f>
        <v>2705.13</v>
      </c>
      <c r="G209" s="74">
        <f t="shared" si="5"/>
        <v>0</v>
      </c>
      <c r="H209" s="91">
        <f t="shared" si="2"/>
        <v>-2705.13</v>
      </c>
      <c r="I209" s="73">
        <f t="shared" si="8"/>
        <v>2705.13</v>
      </c>
    </row>
    <row r="210" spans="1:9">
      <c r="A210" s="98">
        <v>5</v>
      </c>
      <c r="B210" s="95">
        <f t="shared" si="3"/>
        <v>0</v>
      </c>
      <c r="C210" s="91">
        <f t="shared" si="6"/>
        <v>0</v>
      </c>
      <c r="D210" s="91">
        <f t="shared" si="4"/>
        <v>0</v>
      </c>
      <c r="E210" s="91">
        <f t="shared" si="7"/>
        <v>0</v>
      </c>
      <c r="F210" s="74">
        <f>($E$129+$E$134)/100*$B$63</f>
        <v>2705.13</v>
      </c>
      <c r="G210" s="74">
        <f t="shared" si="5"/>
        <v>0</v>
      </c>
      <c r="H210" s="91">
        <f t="shared" si="2"/>
        <v>-2705.13</v>
      </c>
      <c r="I210" s="73">
        <f t="shared" si="8"/>
        <v>2705.13</v>
      </c>
    </row>
    <row r="211" spans="1:9">
      <c r="A211" s="98">
        <v>6</v>
      </c>
      <c r="B211" s="95">
        <f t="shared" si="3"/>
        <v>0</v>
      </c>
      <c r="C211" s="91">
        <f t="shared" si="6"/>
        <v>0</v>
      </c>
      <c r="D211" s="91">
        <f t="shared" si="4"/>
        <v>0</v>
      </c>
      <c r="E211" s="91">
        <f t="shared" si="7"/>
        <v>0</v>
      </c>
      <c r="F211" s="74">
        <f>($E$129+$E$134)/100*$B$63</f>
        <v>2705.13</v>
      </c>
      <c r="G211" s="74">
        <f t="shared" si="5"/>
        <v>0</v>
      </c>
      <c r="H211" s="91">
        <f t="shared" si="2"/>
        <v>-2705.13</v>
      </c>
      <c r="I211" s="73">
        <f t="shared" si="8"/>
        <v>2705.13</v>
      </c>
    </row>
    <row r="212" spans="1:9">
      <c r="A212" s="98">
        <v>7</v>
      </c>
      <c r="B212" s="95">
        <f t="shared" si="3"/>
        <v>0</v>
      </c>
      <c r="C212" s="91">
        <f t="shared" si="6"/>
        <v>0</v>
      </c>
      <c r="D212" s="91">
        <f t="shared" si="4"/>
        <v>0</v>
      </c>
      <c r="E212" s="91">
        <f t="shared" si="7"/>
        <v>0</v>
      </c>
      <c r="F212" s="74">
        <f>($E$129+$E$134)/100*$B$63</f>
        <v>2705.13</v>
      </c>
      <c r="G212" s="74">
        <f t="shared" si="5"/>
        <v>0</v>
      </c>
      <c r="H212" s="91">
        <f t="shared" si="2"/>
        <v>-2705.13</v>
      </c>
      <c r="I212" s="73">
        <f t="shared" si="8"/>
        <v>2705.13</v>
      </c>
    </row>
    <row r="213" spans="1:9">
      <c r="A213" s="98">
        <v>8</v>
      </c>
      <c r="B213" s="95">
        <f t="shared" si="3"/>
        <v>0</v>
      </c>
      <c r="C213" s="91">
        <f t="shared" si="6"/>
        <v>0</v>
      </c>
      <c r="D213" s="91">
        <f t="shared" si="4"/>
        <v>0</v>
      </c>
      <c r="E213" s="91">
        <f t="shared" si="7"/>
        <v>0</v>
      </c>
      <c r="F213" s="74">
        <f>($E$129+$E$134)/100*$B$63</f>
        <v>2705.13</v>
      </c>
      <c r="G213" s="74">
        <f t="shared" si="5"/>
        <v>0</v>
      </c>
      <c r="H213" s="91">
        <f t="shared" si="2"/>
        <v>-2705.13</v>
      </c>
      <c r="I213" s="73">
        <f t="shared" si="8"/>
        <v>2705.13</v>
      </c>
    </row>
    <row r="214" spans="1:9">
      <c r="A214" s="98">
        <v>9</v>
      </c>
      <c r="B214" s="95">
        <f t="shared" si="3"/>
        <v>0</v>
      </c>
      <c r="C214" s="91">
        <f t="shared" si="6"/>
        <v>0</v>
      </c>
      <c r="D214" s="91">
        <f t="shared" si="4"/>
        <v>0</v>
      </c>
      <c r="E214" s="91">
        <f t="shared" si="7"/>
        <v>0</v>
      </c>
      <c r="F214" s="74">
        <f>($E$129+$E$134)/100*$B$63</f>
        <v>2705.13</v>
      </c>
      <c r="G214" s="74">
        <f t="shared" si="5"/>
        <v>0</v>
      </c>
      <c r="H214" s="91">
        <f t="shared" si="2"/>
        <v>-2705.13</v>
      </c>
      <c r="I214" s="73">
        <f t="shared" si="8"/>
        <v>2705.13</v>
      </c>
    </row>
    <row r="215" spans="1:9">
      <c r="A215" s="98">
        <v>10</v>
      </c>
      <c r="B215" s="95">
        <f t="shared" si="3"/>
        <v>0</v>
      </c>
      <c r="C215" s="91">
        <f t="shared" si="6"/>
        <v>0</v>
      </c>
      <c r="D215" s="91">
        <f t="shared" si="4"/>
        <v>0</v>
      </c>
      <c r="E215" s="91">
        <f t="shared" si="7"/>
        <v>0</v>
      </c>
      <c r="F215" s="74">
        <f>($E$129+$E$134)/100*$B$63</f>
        <v>2705.13</v>
      </c>
      <c r="G215" s="74">
        <f t="shared" si="5"/>
        <v>0</v>
      </c>
      <c r="H215" s="91">
        <f t="shared" si="2"/>
        <v>-2705.13</v>
      </c>
      <c r="I215" s="73">
        <f t="shared" si="8"/>
        <v>2705.13</v>
      </c>
    </row>
    <row r="216" spans="1:9">
      <c r="A216" s="25">
        <v>11</v>
      </c>
      <c r="B216" s="95">
        <f t="shared" si="3"/>
        <v>0</v>
      </c>
      <c r="C216" s="91">
        <f t="shared" si="6"/>
        <v>0</v>
      </c>
      <c r="D216" s="91">
        <f t="shared" si="4"/>
        <v>0</v>
      </c>
      <c r="E216" s="91">
        <f t="shared" si="7"/>
        <v>0</v>
      </c>
      <c r="F216" s="74">
        <f>($E$129+$E$134)/100*$B$63</f>
        <v>2705.13</v>
      </c>
      <c r="G216" s="74">
        <f t="shared" si="5"/>
        <v>0</v>
      </c>
      <c r="H216" s="91">
        <f t="shared" si="2"/>
        <v>-2705.13</v>
      </c>
      <c r="I216" s="73">
        <f t="shared" si="8"/>
        <v>2705.13</v>
      </c>
    </row>
    <row r="217" spans="1:9">
      <c r="A217" s="35">
        <v>12</v>
      </c>
      <c r="B217" s="95">
        <f t="shared" si="3"/>
        <v>0</v>
      </c>
      <c r="C217" s="91">
        <f t="shared" si="6"/>
        <v>0</v>
      </c>
      <c r="D217" s="91">
        <f t="shared" si="4"/>
        <v>0</v>
      </c>
      <c r="E217" s="91">
        <f t="shared" si="7"/>
        <v>0</v>
      </c>
      <c r="F217" s="74">
        <f>($E$129+$E$134)/100*$B$63</f>
        <v>2705.13</v>
      </c>
      <c r="G217" s="74">
        <f t="shared" si="5"/>
        <v>0</v>
      </c>
      <c r="H217" s="91">
        <f t="shared" si="2"/>
        <v>-1352.5650000000001</v>
      </c>
      <c r="I217" s="73">
        <f t="shared" si="8"/>
        <v>2705.13</v>
      </c>
    </row>
    <row r="218" spans="1:9">
      <c r="A218" s="35">
        <v>12.5</v>
      </c>
      <c r="B218" s="95">
        <v>0</v>
      </c>
      <c r="C218" s="91">
        <v>0</v>
      </c>
      <c r="D218" s="91">
        <v>0</v>
      </c>
      <c r="E218" s="91">
        <v>0</v>
      </c>
      <c r="F218" s="74">
        <f>($E$129+$E$134)/100*$B$63/2</f>
        <v>1352.5650000000001</v>
      </c>
      <c r="G218" s="74">
        <f>0</f>
        <v>0</v>
      </c>
      <c r="I218" s="73">
        <f t="shared" si="8"/>
        <v>1352.5650000000001</v>
      </c>
    </row>
    <row r="220" spans="1:9">
      <c r="A220" s="98" t="s">
        <v>307</v>
      </c>
      <c r="B220" s="4">
        <f>(1-(1/((1+B221)^B222)))/B221</f>
        <v>10.364152829379517</v>
      </c>
    </row>
    <row r="221" spans="1:9">
      <c r="A221" s="98" t="s">
        <v>308</v>
      </c>
      <c r="B221" s="5">
        <f>B31/100</f>
        <v>2.3300000000000001E-2</v>
      </c>
      <c r="I221" s="73"/>
    </row>
    <row r="222" spans="1:9">
      <c r="A222" s="98" t="s">
        <v>302</v>
      </c>
      <c r="B222" s="98">
        <v>12</v>
      </c>
    </row>
    <row r="223" spans="1:9">
      <c r="A223" s="98" t="s">
        <v>306</v>
      </c>
      <c r="B223" s="74">
        <f>SUM(H98:H103)</f>
        <v>0</v>
      </c>
    </row>
  </sheetData>
  <conditionalFormatting sqref="A113">
    <cfRule type="expression" dxfId="12" priority="3" stopIfTrue="1">
      <formula>IF(RiskSelectedNameCell1=CELL("address",$A$113),TRUE)</formula>
    </cfRule>
  </conditionalFormatting>
  <conditionalFormatting sqref="E108">
    <cfRule type="expression" dxfId="11" priority="4" stopIfTrue="1">
      <formula>IF(RiskSelectedCell=CELL("address",E108),TRUE)</formula>
    </cfRule>
  </conditionalFormatting>
  <conditionalFormatting sqref="A108">
    <cfRule type="expression" dxfId="10" priority="5" stopIfTrue="1">
      <formula>IF(RiskSelectedNameCell1=CELL("address",$A$108),TRUE)</formula>
    </cfRule>
  </conditionalFormatting>
  <conditionalFormatting sqref="E138">
    <cfRule type="expression" dxfId="9" priority="6" stopIfTrue="1">
      <formula>IF(RiskSelectedCell=CELL("address",E138),TRUE)</formula>
    </cfRule>
  </conditionalFormatting>
  <conditionalFormatting sqref="A138">
    <cfRule type="expression" dxfId="8" priority="7" stopIfTrue="1">
      <formula>IF(RiskSelectedNameCell1=CELL("address",$A$138),TRUE)</formula>
    </cfRule>
  </conditionalFormatting>
  <conditionalFormatting sqref="G178">
    <cfRule type="expression" dxfId="7" priority="8" stopIfTrue="1">
      <formula>IF(RiskSelectedNameCell2=CELL("address",$G$178),TRUE)</formula>
    </cfRule>
  </conditionalFormatting>
  <conditionalFormatting sqref="B145">
    <cfRule type="expression" dxfId="6" priority="9" stopIfTrue="1">
      <formula>IF(RiskSelectedCell=CELL("address",B145),TRUE)</formula>
    </cfRule>
  </conditionalFormatting>
  <conditionalFormatting sqref="A145">
    <cfRule type="expression" dxfId="5" priority="10" stopIfTrue="1">
      <formula>IF(RiskSelectedNameCell1=CELL("address",$A$145),TRUE)</formula>
    </cfRule>
  </conditionalFormatting>
  <conditionalFormatting sqref="A186">
    <cfRule type="expression" dxfId="4" priority="11" stopIfTrue="1">
      <formula>IF(RiskSelectedNameCell1=CELL("address",$A$186),TRUE)</formula>
    </cfRule>
  </conditionalFormatting>
  <conditionalFormatting sqref="B186">
    <cfRule type="expression" dxfId="3" priority="13" stopIfTrue="1">
      <formula>IF(RiskSelectedCell=CELL("address",B186),TRUE)</formula>
    </cfRule>
  </conditionalFormatting>
  <conditionalFormatting sqref="B147">
    <cfRule type="expression" dxfId="2" priority="16" stopIfTrue="1">
      <formula>IF(RiskSelectedCell=CELL("address",B147),TRUE)</formula>
    </cfRule>
  </conditionalFormatting>
  <conditionalFormatting sqref="A147">
    <cfRule type="expression" dxfId="1" priority="17" stopIfTrue="1">
      <formula>IF(RiskSelectedNameCell1=CELL("address",$A$147),TRUE)</formula>
    </cfRule>
  </conditionalFormatting>
  <conditionalFormatting sqref="B106">
    <cfRule type="expression" dxfId="0" priority="18" stopIfTrue="1">
      <formula>IF(RiskSelectedNameCell2=CELL("address",$B$106),TRUE)</formula>
    </cfRule>
  </conditionalFormatting>
  <dataValidations count="10">
    <dataValidation type="list" allowBlank="1" showInputMessage="1" showErrorMessage="1" sqref="B68" xr:uid="{CA2D2B55-4E11-45CB-8E4D-83B648F540E8}">
      <formula1>"Compound feed conventional, Compound feed NDRS, Compound feed Extensive Indoor+"</formula1>
    </dataValidation>
    <dataValidation type="list" allowBlank="1" showInputMessage="1" showErrorMessage="1" sqref="B71" xr:uid="{D7B538CD-8698-49C5-9E3B-5157F6C51AE0}">
      <formula1>"None, 1 bale/1000 broilers, 2g/broiler 1 bale/1000 broilers, 2g/broiler 2 bales/1000 broilers"</formula1>
    </dataValidation>
    <dataValidation type="list" allowBlank="1" showInputMessage="1" showErrorMessage="1" sqref="B41" xr:uid="{1A7DE249-0BD1-4453-8D17-49F5B418E638}">
      <formula1>"No extra activity, Provision of straw bales (1bale), Provision of grains (2g) and straw bales (1 bale), Provision of grains (2g) and straw bales (2 bales)"</formula1>
    </dataValidation>
    <dataValidation type="list" allowBlank="1" showInputMessage="1" showErrorMessage="1" sqref="F93" xr:uid="{EDA70BCD-23F9-417D-A743-A61AB7E4614E}">
      <formula1>"No, E5.5, E5.6, E5.8, 5.9.1.2.2, 5.9.1.2.4, E5.10, E5.11, E5.14, E5.15, E7.1, E7.2, E5.13"</formula1>
    </dataValidation>
    <dataValidation type="list" allowBlank="1" showInputMessage="1" showErrorMessage="1" sqref="F94" xr:uid="{FE799754-702E-46E9-A537-D4646F195CC5}">
      <formula1>"No, E5.4, E5.7, E5.12, E5.13, E7.2, E7.3, E7.4, E7.5, E7.6, E7.7, E7.11, E7.12, E5.16"</formula1>
    </dataValidation>
    <dataValidation type="list" allowBlank="1" showInputMessage="1" showErrorMessage="1" sqref="B54" xr:uid="{E20858F4-86F0-4A0B-9036-DCF9352709D0}">
      <formula1>"Ross 308, Hubbard JA 987, Hubbard JA 757"</formula1>
    </dataValidation>
    <dataValidation type="list" allowBlank="1" showInputMessage="1" showErrorMessage="1" sqref="F90:F91" xr:uid="{180119FD-1BB6-4A74-B9CF-9B5AD2913DE4}">
      <formula1>"Yes, No"</formula1>
    </dataValidation>
    <dataValidation type="list" allowBlank="1" showInputMessage="1" showErrorMessage="1" sqref="B91" xr:uid="{D722FC6E-8719-4FE0-9573-8AACD0789514}">
      <formula1>"None, E5.14"</formula1>
    </dataValidation>
    <dataValidation type="list" allowBlank="1" showInputMessage="1" showErrorMessage="1" sqref="B92" xr:uid="{17466B8E-F192-46CA-A09E-B2F3D660F1C8}">
      <formula1>"None, E7.7"</formula1>
    </dataValidation>
    <dataValidation type="list" allowBlank="1" showInputMessage="1" showErrorMessage="1" sqref="B60" xr:uid="{06BF3A6A-4B38-45C8-865C-3643DEE2A889}">
      <mc:AlternateContent xmlns:x12ac="http://schemas.microsoft.com/office/spreadsheetml/2011/1/ac" xmlns:mc="http://schemas.openxmlformats.org/markup-compatibility/2006">
        <mc:Choice Requires="x12ac">
          <x12ac:list>"43,47"," 39,14"," 25,625"," 30,9"</x12ac:list>
        </mc:Choice>
        <mc:Fallback>
          <formula1>"43,47, 39,14, 25,625, 30,9"</formula1>
        </mc:Fallback>
      </mc:AlternateContent>
    </dataValidation>
  </dataValidations>
  <pageMargins left="0.7" right="0.7" top="0.75" bottom="0.75" header="0.3" footer="0.3"/>
  <pageSetup paperSize="9"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RiskSerializationData</vt:lpstr>
      <vt:lpstr>Default scenario</vt:lpstr>
      <vt:lpstr>Scenario feed price + 1 SD</vt:lpstr>
      <vt:lpstr>Scenario producer price + 1 SD</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Vissers, Luuk</dc:creator>
  <cp:lastModifiedBy>Vissers, Luuk</cp:lastModifiedBy>
  <cp:lastPrinted>2020-04-28T08:46:21Z</cp:lastPrinted>
  <dcterms:created xsi:type="dcterms:W3CDTF">2019-09-12T11:45:09Z</dcterms:created>
  <dcterms:modified xsi:type="dcterms:W3CDTF">2021-07-30T07:45:24Z</dcterms:modified>
</cp:coreProperties>
</file>