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ximallaart/Desktop/Thesis/"/>
    </mc:Choice>
  </mc:AlternateContent>
  <xr:revisionPtr revIDLastSave="0" documentId="13_ncr:1_{A6A5B7A8-43E1-0C4A-8018-F3C79F1D8997}" xr6:coauthVersionLast="47" xr6:coauthVersionMax="47" xr10:uidLastSave="{00000000-0000-0000-0000-000000000000}"/>
  <bookViews>
    <workbookView xWindow="3080" yWindow="2100" windowWidth="27840" windowHeight="16740" xr2:uid="{78A80AE5-1D06-9445-8514-2349236A190F}"/>
  </bookViews>
  <sheets>
    <sheet name="pH 7.0 overall" sheetId="1" r:id="rId1"/>
    <sheet name="pH 5.5 overall" sheetId="2" r:id="rId2"/>
    <sheet name="pH 7.0 cumulative gases" sheetId="3" r:id="rId3"/>
    <sheet name="pH 5.5 cumulative gases" sheetId="4" r:id="rId4"/>
  </sheets>
  <externalReferences>
    <externalReference r:id="rId5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0" i="4" l="1"/>
  <c r="E100" i="4"/>
  <c r="G100" i="4" s="1"/>
  <c r="D100" i="4"/>
  <c r="C100" i="4"/>
  <c r="G99" i="4"/>
  <c r="E99" i="4"/>
  <c r="D99" i="4"/>
  <c r="C99" i="4"/>
  <c r="F99" i="4" s="1"/>
  <c r="L99" i="4" s="1"/>
  <c r="F98" i="4"/>
  <c r="L98" i="4" s="1"/>
  <c r="E98" i="4"/>
  <c r="G98" i="4" s="1"/>
  <c r="D98" i="4"/>
  <c r="C98" i="4"/>
  <c r="E97" i="4"/>
  <c r="D97" i="4"/>
  <c r="G97" i="4" s="1"/>
  <c r="C97" i="4"/>
  <c r="F97" i="4" s="1"/>
  <c r="L97" i="4" s="1"/>
  <c r="F96" i="4"/>
  <c r="E96" i="4"/>
  <c r="G96" i="4" s="1"/>
  <c r="D96" i="4"/>
  <c r="C96" i="4"/>
  <c r="E95" i="4"/>
  <c r="D95" i="4"/>
  <c r="G95" i="4" s="1"/>
  <c r="C95" i="4"/>
  <c r="F94" i="4"/>
  <c r="E94" i="4"/>
  <c r="G94" i="4" s="1"/>
  <c r="D94" i="4"/>
  <c r="C94" i="4"/>
  <c r="G93" i="4"/>
  <c r="E93" i="4"/>
  <c r="D93" i="4"/>
  <c r="C93" i="4"/>
  <c r="F92" i="4"/>
  <c r="E92" i="4"/>
  <c r="G92" i="4" s="1"/>
  <c r="D92" i="4"/>
  <c r="C92" i="4"/>
  <c r="G91" i="4"/>
  <c r="E91" i="4"/>
  <c r="D91" i="4"/>
  <c r="C91" i="4"/>
  <c r="F91" i="4" s="1"/>
  <c r="L91" i="4" s="1"/>
  <c r="F90" i="4"/>
  <c r="L90" i="4" s="1"/>
  <c r="E90" i="4"/>
  <c r="G90" i="4" s="1"/>
  <c r="D90" i="4"/>
  <c r="C90" i="4"/>
  <c r="L89" i="4"/>
  <c r="E89" i="4"/>
  <c r="D89" i="4"/>
  <c r="F89" i="4" s="1"/>
  <c r="L88" i="4"/>
  <c r="E88" i="4"/>
  <c r="G88" i="4" s="1"/>
  <c r="D88" i="4"/>
  <c r="F88" i="4" s="1"/>
  <c r="C88" i="4"/>
  <c r="G87" i="4"/>
  <c r="E87" i="4"/>
  <c r="D87" i="4"/>
  <c r="C87" i="4"/>
  <c r="F87" i="4" s="1"/>
  <c r="L87" i="4" s="1"/>
  <c r="E86" i="4"/>
  <c r="D86" i="4"/>
  <c r="F86" i="4" s="1"/>
  <c r="L86" i="4" s="1"/>
  <c r="C86" i="4"/>
  <c r="G85" i="4"/>
  <c r="E85" i="4"/>
  <c r="D85" i="4"/>
  <c r="C85" i="4"/>
  <c r="F85" i="4" s="1"/>
  <c r="L85" i="4" s="1"/>
  <c r="E84" i="4"/>
  <c r="D84" i="4"/>
  <c r="F84" i="4" s="1"/>
  <c r="L84" i="4" s="1"/>
  <c r="C84" i="4"/>
  <c r="G83" i="4"/>
  <c r="F83" i="4"/>
  <c r="E83" i="4"/>
  <c r="D83" i="4"/>
  <c r="C83" i="4"/>
  <c r="E82" i="4"/>
  <c r="G82" i="4" s="1"/>
  <c r="D82" i="4"/>
  <c r="F82" i="4" s="1"/>
  <c r="C82" i="4"/>
  <c r="G81" i="4"/>
  <c r="F81" i="4"/>
  <c r="L81" i="4" s="1"/>
  <c r="E81" i="4"/>
  <c r="D81" i="4"/>
  <c r="C81" i="4"/>
  <c r="L80" i="4"/>
  <c r="E80" i="4"/>
  <c r="G80" i="4" s="1"/>
  <c r="D80" i="4"/>
  <c r="F80" i="4" s="1"/>
  <c r="C80" i="4"/>
  <c r="G79" i="4"/>
  <c r="E79" i="4"/>
  <c r="D79" i="4"/>
  <c r="C79" i="4"/>
  <c r="F79" i="4" s="1"/>
  <c r="L79" i="4" s="1"/>
  <c r="E78" i="4"/>
  <c r="D78" i="4"/>
  <c r="F78" i="4" s="1"/>
  <c r="L78" i="4" s="1"/>
  <c r="C78" i="4"/>
  <c r="G77" i="4"/>
  <c r="E77" i="4"/>
  <c r="D77" i="4"/>
  <c r="C77" i="4"/>
  <c r="F77" i="4" s="1"/>
  <c r="L77" i="4" s="1"/>
  <c r="E76" i="4"/>
  <c r="D76" i="4"/>
  <c r="F76" i="4" s="1"/>
  <c r="L76" i="4" s="1"/>
  <c r="C76" i="4"/>
  <c r="G75" i="4"/>
  <c r="F75" i="4"/>
  <c r="E75" i="4"/>
  <c r="D75" i="4"/>
  <c r="C75" i="4"/>
  <c r="E74" i="4"/>
  <c r="G74" i="4" s="1"/>
  <c r="D74" i="4"/>
  <c r="F74" i="4" s="1"/>
  <c r="C74" i="4"/>
  <c r="G73" i="4"/>
  <c r="F73" i="4"/>
  <c r="L73" i="4" s="1"/>
  <c r="F72" i="4"/>
  <c r="E72" i="4"/>
  <c r="G72" i="4" s="1"/>
  <c r="D72" i="4"/>
  <c r="C72" i="4"/>
  <c r="E71" i="4"/>
  <c r="D71" i="4"/>
  <c r="G71" i="4" s="1"/>
  <c r="C71" i="4"/>
  <c r="F70" i="4"/>
  <c r="E70" i="4"/>
  <c r="G70" i="4" s="1"/>
  <c r="D70" i="4"/>
  <c r="C70" i="4"/>
  <c r="G69" i="4"/>
  <c r="E69" i="4"/>
  <c r="D69" i="4"/>
  <c r="C69" i="4"/>
  <c r="F68" i="4"/>
  <c r="E68" i="4"/>
  <c r="G68" i="4" s="1"/>
  <c r="D68" i="4"/>
  <c r="C68" i="4"/>
  <c r="G67" i="4"/>
  <c r="E67" i="4"/>
  <c r="D67" i="4"/>
  <c r="C67" i="4"/>
  <c r="F67" i="4" s="1"/>
  <c r="L67" i="4" s="1"/>
  <c r="F66" i="4"/>
  <c r="L66" i="4" s="1"/>
  <c r="E66" i="4"/>
  <c r="G66" i="4" s="1"/>
  <c r="D66" i="4"/>
  <c r="C66" i="4"/>
  <c r="E65" i="4"/>
  <c r="D65" i="4"/>
  <c r="G65" i="4" s="1"/>
  <c r="C65" i="4"/>
  <c r="F65" i="4" s="1"/>
  <c r="L65" i="4" s="1"/>
  <c r="F64" i="4"/>
  <c r="E64" i="4"/>
  <c r="G64" i="4" s="1"/>
  <c r="D64" i="4"/>
  <c r="C64" i="4"/>
  <c r="E63" i="4"/>
  <c r="D63" i="4"/>
  <c r="G63" i="4" s="1"/>
  <c r="C63" i="4"/>
  <c r="F62" i="4"/>
  <c r="E62" i="4"/>
  <c r="G62" i="4" s="1"/>
  <c r="D62" i="4"/>
  <c r="C62" i="4"/>
  <c r="G61" i="4"/>
  <c r="E61" i="4"/>
  <c r="D61" i="4"/>
  <c r="C61" i="4"/>
  <c r="F60" i="4"/>
  <c r="E60" i="4"/>
  <c r="G60" i="4" s="1"/>
  <c r="D60" i="4"/>
  <c r="C60" i="4"/>
  <c r="G59" i="4"/>
  <c r="F59" i="4"/>
  <c r="G58" i="4"/>
  <c r="F58" i="4"/>
  <c r="E58" i="4"/>
  <c r="D58" i="4"/>
  <c r="C58" i="4"/>
  <c r="E57" i="4"/>
  <c r="G57" i="4" s="1"/>
  <c r="D57" i="4"/>
  <c r="F57" i="4" s="1"/>
  <c r="C57" i="4"/>
  <c r="G56" i="4"/>
  <c r="F56" i="4"/>
  <c r="L56" i="4" s="1"/>
  <c r="E56" i="4"/>
  <c r="D56" i="4"/>
  <c r="C56" i="4"/>
  <c r="L55" i="4"/>
  <c r="E55" i="4"/>
  <c r="G55" i="4" s="1"/>
  <c r="D55" i="4"/>
  <c r="F55" i="4" s="1"/>
  <c r="C55" i="4"/>
  <c r="G54" i="4"/>
  <c r="E54" i="4"/>
  <c r="D54" i="4"/>
  <c r="C54" i="4"/>
  <c r="F54" i="4" s="1"/>
  <c r="L54" i="4" s="1"/>
  <c r="E53" i="4"/>
  <c r="D53" i="4"/>
  <c r="F53" i="4" s="1"/>
  <c r="L53" i="4" s="1"/>
  <c r="C53" i="4"/>
  <c r="G52" i="4"/>
  <c r="E52" i="4"/>
  <c r="D52" i="4"/>
  <c r="C52" i="4"/>
  <c r="F52" i="4" s="1"/>
  <c r="L52" i="4" s="1"/>
  <c r="E51" i="4"/>
  <c r="D51" i="4"/>
  <c r="F51" i="4" s="1"/>
  <c r="L51" i="4" s="1"/>
  <c r="C51" i="4"/>
  <c r="G50" i="4"/>
  <c r="F50" i="4"/>
  <c r="E50" i="4"/>
  <c r="D50" i="4"/>
  <c r="C50" i="4"/>
  <c r="E49" i="4"/>
  <c r="G49" i="4" s="1"/>
  <c r="D49" i="4"/>
  <c r="F49" i="4" s="1"/>
  <c r="C49" i="4"/>
  <c r="G48" i="4"/>
  <c r="F48" i="4"/>
  <c r="L48" i="4" s="1"/>
  <c r="E48" i="4"/>
  <c r="D48" i="4"/>
  <c r="C48" i="4"/>
  <c r="L47" i="4"/>
  <c r="G47" i="4"/>
  <c r="F47" i="4"/>
  <c r="G46" i="4"/>
  <c r="E46" i="4"/>
  <c r="D46" i="4"/>
  <c r="C46" i="4"/>
  <c r="F46" i="4" s="1"/>
  <c r="L46" i="4" s="1"/>
  <c r="F45" i="4"/>
  <c r="L45" i="4" s="1"/>
  <c r="E45" i="4"/>
  <c r="G45" i="4" s="1"/>
  <c r="D45" i="4"/>
  <c r="C45" i="4"/>
  <c r="E44" i="4"/>
  <c r="D44" i="4"/>
  <c r="G44" i="4" s="1"/>
  <c r="C44" i="4"/>
  <c r="F44" i="4" s="1"/>
  <c r="L44" i="4" s="1"/>
  <c r="F43" i="4"/>
  <c r="E43" i="4"/>
  <c r="G43" i="4" s="1"/>
  <c r="D43" i="4"/>
  <c r="C43" i="4"/>
  <c r="E42" i="4"/>
  <c r="D42" i="4"/>
  <c r="G42" i="4" s="1"/>
  <c r="C42" i="4"/>
  <c r="F41" i="4"/>
  <c r="E41" i="4"/>
  <c r="G41" i="4" s="1"/>
  <c r="D41" i="4"/>
  <c r="C41" i="4"/>
  <c r="G40" i="4"/>
  <c r="E40" i="4"/>
  <c r="D40" i="4"/>
  <c r="C40" i="4"/>
  <c r="F39" i="4"/>
  <c r="E39" i="4"/>
  <c r="G39" i="4" s="1"/>
  <c r="D39" i="4"/>
  <c r="C39" i="4"/>
  <c r="G38" i="4"/>
  <c r="E38" i="4"/>
  <c r="D38" i="4"/>
  <c r="C38" i="4"/>
  <c r="F38" i="4" s="1"/>
  <c r="L38" i="4" s="1"/>
  <c r="F37" i="4"/>
  <c r="L37" i="4" s="1"/>
  <c r="E37" i="4"/>
  <c r="G37" i="4" s="1"/>
  <c r="D37" i="4"/>
  <c r="C37" i="4"/>
  <c r="E36" i="4"/>
  <c r="D36" i="4"/>
  <c r="G36" i="4" s="1"/>
  <c r="C36" i="4"/>
  <c r="F36" i="4" s="1"/>
  <c r="L36" i="4" s="1"/>
  <c r="F35" i="4"/>
  <c r="E35" i="4"/>
  <c r="G35" i="4" s="1"/>
  <c r="D35" i="4"/>
  <c r="C35" i="4"/>
  <c r="E34" i="4"/>
  <c r="D34" i="4"/>
  <c r="G34" i="4" s="1"/>
  <c r="C34" i="4"/>
  <c r="F33" i="4"/>
  <c r="E33" i="4"/>
  <c r="G33" i="4" s="1"/>
  <c r="D33" i="4"/>
  <c r="C33" i="4"/>
  <c r="G32" i="4"/>
  <c r="E32" i="4"/>
  <c r="D32" i="4"/>
  <c r="C32" i="4"/>
  <c r="F31" i="4"/>
  <c r="E31" i="4"/>
  <c r="G31" i="4" s="1"/>
  <c r="D31" i="4"/>
  <c r="C31" i="4"/>
  <c r="G30" i="4"/>
  <c r="E30" i="4"/>
  <c r="D30" i="4"/>
  <c r="C30" i="4"/>
  <c r="F30" i="4" s="1"/>
  <c r="L30" i="4" s="1"/>
  <c r="F29" i="4"/>
  <c r="L29" i="4" s="1"/>
  <c r="E29" i="4"/>
  <c r="G29" i="4" s="1"/>
  <c r="D29" i="4"/>
  <c r="C29" i="4"/>
  <c r="E28" i="4"/>
  <c r="D28" i="4"/>
  <c r="G28" i="4" s="1"/>
  <c r="C28" i="4"/>
  <c r="F28" i="4" s="1"/>
  <c r="L28" i="4" s="1"/>
  <c r="F27" i="4"/>
  <c r="E27" i="4"/>
  <c r="G27" i="4" s="1"/>
  <c r="D27" i="4"/>
  <c r="C27" i="4"/>
  <c r="E26" i="4"/>
  <c r="D26" i="4"/>
  <c r="G26" i="4" s="1"/>
  <c r="C26" i="4"/>
  <c r="F25" i="4"/>
  <c r="E25" i="4"/>
  <c r="G25" i="4" s="1"/>
  <c r="D25" i="4"/>
  <c r="C25" i="4"/>
  <c r="G24" i="4"/>
  <c r="E24" i="4"/>
  <c r="D24" i="4"/>
  <c r="F24" i="4" s="1"/>
  <c r="L24" i="4" s="1"/>
  <c r="E23" i="4"/>
  <c r="D23" i="4"/>
  <c r="F23" i="4" s="1"/>
  <c r="L23" i="4" s="1"/>
  <c r="C23" i="4"/>
  <c r="G22" i="4"/>
  <c r="F22" i="4"/>
  <c r="E22" i="4"/>
  <c r="D22" i="4"/>
  <c r="C22" i="4"/>
  <c r="E21" i="4"/>
  <c r="G21" i="4" s="1"/>
  <c r="D21" i="4"/>
  <c r="F21" i="4" s="1"/>
  <c r="C21" i="4"/>
  <c r="G20" i="4"/>
  <c r="F20" i="4"/>
  <c r="L20" i="4" s="1"/>
  <c r="E20" i="4"/>
  <c r="D20" i="4"/>
  <c r="C20" i="4"/>
  <c r="L19" i="4"/>
  <c r="E19" i="4"/>
  <c r="G19" i="4" s="1"/>
  <c r="D19" i="4"/>
  <c r="F19" i="4" s="1"/>
  <c r="C19" i="4"/>
  <c r="G18" i="4"/>
  <c r="E18" i="4"/>
  <c r="D18" i="4"/>
  <c r="C18" i="4"/>
  <c r="F18" i="4" s="1"/>
  <c r="L18" i="4" s="1"/>
  <c r="E17" i="4"/>
  <c r="D17" i="4"/>
  <c r="F17" i="4" s="1"/>
  <c r="L17" i="4" s="1"/>
  <c r="C17" i="4"/>
  <c r="G16" i="4"/>
  <c r="E16" i="4"/>
  <c r="D16" i="4"/>
  <c r="C16" i="4"/>
  <c r="F16" i="4" s="1"/>
  <c r="L16" i="4" s="1"/>
  <c r="E15" i="4"/>
  <c r="D15" i="4"/>
  <c r="F15" i="4" s="1"/>
  <c r="L15" i="4" s="1"/>
  <c r="C15" i="4"/>
  <c r="G14" i="4"/>
  <c r="F14" i="4"/>
  <c r="L14" i="4" s="1"/>
  <c r="E14" i="4"/>
  <c r="D14" i="4"/>
  <c r="C14" i="4"/>
  <c r="L13" i="4"/>
  <c r="E13" i="4"/>
  <c r="G13" i="4" s="1"/>
  <c r="D13" i="4"/>
  <c r="F13" i="4" s="1"/>
  <c r="C13" i="4"/>
  <c r="G12" i="4"/>
  <c r="F12" i="4"/>
  <c r="L12" i="4" s="1"/>
  <c r="E12" i="4"/>
  <c r="D12" i="4"/>
  <c r="C12" i="4"/>
  <c r="L11" i="4"/>
  <c r="E11" i="4"/>
  <c r="G11" i="4" s="1"/>
  <c r="D11" i="4"/>
  <c r="F11" i="4" s="1"/>
  <c r="C11" i="4"/>
  <c r="G10" i="4"/>
  <c r="E10" i="4"/>
  <c r="D10" i="4"/>
  <c r="C10" i="4"/>
  <c r="F10" i="4" s="1"/>
  <c r="L10" i="4" s="1"/>
  <c r="E9" i="4"/>
  <c r="D9" i="4"/>
  <c r="F9" i="4" s="1"/>
  <c r="L9" i="4" s="1"/>
  <c r="C9" i="4"/>
  <c r="G8" i="4"/>
  <c r="E8" i="4"/>
  <c r="D8" i="4"/>
  <c r="C8" i="4"/>
  <c r="F8" i="4" s="1"/>
  <c r="L8" i="4" s="1"/>
  <c r="E7" i="4"/>
  <c r="D7" i="4"/>
  <c r="F7" i="4" s="1"/>
  <c r="L7" i="4" s="1"/>
  <c r="C7" i="4"/>
  <c r="G6" i="4"/>
  <c r="F6" i="4"/>
  <c r="L6" i="4" s="1"/>
  <c r="E6" i="4"/>
  <c r="D6" i="4"/>
  <c r="C6" i="4"/>
  <c r="F5" i="4"/>
  <c r="L5" i="4" s="1"/>
  <c r="E5" i="4"/>
  <c r="G5" i="4" s="1"/>
  <c r="D5" i="4"/>
  <c r="C5" i="4"/>
  <c r="G4" i="4"/>
  <c r="E4" i="4"/>
  <c r="D4" i="4"/>
  <c r="C4" i="4"/>
  <c r="F4" i="4" s="1"/>
  <c r="L4" i="4" s="1"/>
  <c r="E3" i="4"/>
  <c r="D3" i="4"/>
  <c r="F3" i="4" s="1"/>
  <c r="L3" i="4" s="1"/>
  <c r="C3" i="4"/>
  <c r="N4" i="4"/>
  <c r="L82" i="4" s="1"/>
  <c r="C3" i="3"/>
  <c r="D3" i="3"/>
  <c r="E3" i="3"/>
  <c r="G3" i="3" s="1"/>
  <c r="F3" i="3"/>
  <c r="B4" i="3"/>
  <c r="C4" i="3"/>
  <c r="F4" i="3" s="1"/>
  <c r="D4" i="3"/>
  <c r="E4" i="3"/>
  <c r="G4" i="3"/>
  <c r="B5" i="3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C5" i="3"/>
  <c r="D5" i="3"/>
  <c r="E5" i="3"/>
  <c r="G5" i="3" s="1"/>
  <c r="F5" i="3"/>
  <c r="C6" i="3"/>
  <c r="F6" i="3" s="1"/>
  <c r="D6" i="3"/>
  <c r="G6" i="3" s="1"/>
  <c r="E6" i="3"/>
  <c r="C7" i="3"/>
  <c r="D7" i="3"/>
  <c r="E7" i="3"/>
  <c r="G7" i="3" s="1"/>
  <c r="F7" i="3"/>
  <c r="C8" i="3"/>
  <c r="F8" i="3" s="1"/>
  <c r="D8" i="3"/>
  <c r="E8" i="3"/>
  <c r="G8" i="3"/>
  <c r="C9" i="3"/>
  <c r="D9" i="3"/>
  <c r="E9" i="3"/>
  <c r="G9" i="3" s="1"/>
  <c r="F9" i="3"/>
  <c r="D10" i="3"/>
  <c r="F10" i="3" s="1"/>
  <c r="E10" i="3"/>
  <c r="G10" i="3" s="1"/>
  <c r="C11" i="3"/>
  <c r="D11" i="3"/>
  <c r="E11" i="3"/>
  <c r="F11" i="3"/>
  <c r="G11" i="3"/>
  <c r="C12" i="3"/>
  <c r="D12" i="3"/>
  <c r="F12" i="3" s="1"/>
  <c r="E12" i="3"/>
  <c r="G12" i="3" s="1"/>
  <c r="C13" i="3"/>
  <c r="D13" i="3"/>
  <c r="E13" i="3"/>
  <c r="F13" i="3"/>
  <c r="G13" i="3"/>
  <c r="C14" i="3"/>
  <c r="D14" i="3"/>
  <c r="F14" i="3" s="1"/>
  <c r="E14" i="3"/>
  <c r="G14" i="3" s="1"/>
  <c r="C15" i="3"/>
  <c r="D15" i="3"/>
  <c r="E15" i="3"/>
  <c r="F15" i="3"/>
  <c r="G15" i="3"/>
  <c r="C16" i="3"/>
  <c r="D16" i="3"/>
  <c r="F16" i="3" s="1"/>
  <c r="E16" i="3"/>
  <c r="G16" i="3" s="1"/>
  <c r="C17" i="3"/>
  <c r="F17" i="3" s="1"/>
  <c r="D17" i="3"/>
  <c r="E17" i="3"/>
  <c r="G17" i="3"/>
  <c r="C18" i="3"/>
  <c r="D18" i="3"/>
  <c r="F18" i="3" s="1"/>
  <c r="E18" i="3"/>
  <c r="G18" i="3" s="1"/>
  <c r="C19" i="3"/>
  <c r="F19" i="3" s="1"/>
  <c r="D19" i="3"/>
  <c r="E19" i="3"/>
  <c r="G19" i="3"/>
  <c r="C20" i="3"/>
  <c r="D20" i="3"/>
  <c r="F20" i="3" s="1"/>
  <c r="E20" i="3"/>
  <c r="G20" i="3" s="1"/>
  <c r="C21" i="3"/>
  <c r="F21" i="3" s="1"/>
  <c r="D21" i="3"/>
  <c r="E21" i="3"/>
  <c r="G21" i="3"/>
  <c r="C22" i="3"/>
  <c r="D22" i="3"/>
  <c r="F22" i="3" s="1"/>
  <c r="E22" i="3"/>
  <c r="G22" i="3" s="1"/>
  <c r="C23" i="3"/>
  <c r="F23" i="3" s="1"/>
  <c r="D23" i="3"/>
  <c r="E23" i="3"/>
  <c r="G23" i="3"/>
  <c r="D24" i="3"/>
  <c r="E24" i="3"/>
  <c r="G24" i="3" s="1"/>
  <c r="F24" i="3"/>
  <c r="C25" i="3"/>
  <c r="F25" i="3" s="1"/>
  <c r="D25" i="3"/>
  <c r="G25" i="3" s="1"/>
  <c r="E25" i="3"/>
  <c r="C26" i="3"/>
  <c r="D26" i="3"/>
  <c r="E26" i="3"/>
  <c r="G26" i="3" s="1"/>
  <c r="F26" i="3"/>
  <c r="C27" i="3"/>
  <c r="F27" i="3" s="1"/>
  <c r="D27" i="3"/>
  <c r="G27" i="3" s="1"/>
  <c r="E27" i="3"/>
  <c r="C28" i="3"/>
  <c r="D28" i="3"/>
  <c r="E28" i="3"/>
  <c r="G28" i="3" s="1"/>
  <c r="F28" i="3"/>
  <c r="C29" i="3"/>
  <c r="F29" i="3" s="1"/>
  <c r="D29" i="3"/>
  <c r="G29" i="3" s="1"/>
  <c r="E29" i="3"/>
  <c r="C30" i="3"/>
  <c r="D30" i="3"/>
  <c r="E30" i="3"/>
  <c r="G30" i="3" s="1"/>
  <c r="F30" i="3"/>
  <c r="C31" i="3"/>
  <c r="F31" i="3" s="1"/>
  <c r="D31" i="3"/>
  <c r="G31" i="3" s="1"/>
  <c r="E31" i="3"/>
  <c r="C32" i="3"/>
  <c r="D32" i="3"/>
  <c r="E32" i="3"/>
  <c r="G32" i="3" s="1"/>
  <c r="F32" i="3"/>
  <c r="C33" i="3"/>
  <c r="F33" i="3" s="1"/>
  <c r="D33" i="3"/>
  <c r="G33" i="3" s="1"/>
  <c r="E33" i="3"/>
  <c r="C34" i="3"/>
  <c r="D34" i="3"/>
  <c r="E34" i="3"/>
  <c r="G34" i="3" s="1"/>
  <c r="F34" i="3"/>
  <c r="C35" i="3"/>
  <c r="F35" i="3" s="1"/>
  <c r="D35" i="3"/>
  <c r="G35" i="3" s="1"/>
  <c r="E35" i="3"/>
  <c r="C36" i="3"/>
  <c r="D36" i="3"/>
  <c r="E36" i="3"/>
  <c r="G36" i="3" s="1"/>
  <c r="F36" i="3"/>
  <c r="C37" i="3"/>
  <c r="F37" i="3" s="1"/>
  <c r="D37" i="3"/>
  <c r="G37" i="3" s="1"/>
  <c r="E37" i="3"/>
  <c r="C38" i="3"/>
  <c r="D38" i="3"/>
  <c r="E38" i="3"/>
  <c r="G38" i="3" s="1"/>
  <c r="F38" i="3"/>
  <c r="C39" i="3"/>
  <c r="F39" i="3" s="1"/>
  <c r="D39" i="3"/>
  <c r="G39" i="3" s="1"/>
  <c r="E39" i="3"/>
  <c r="C40" i="3"/>
  <c r="D40" i="3"/>
  <c r="E40" i="3"/>
  <c r="G40" i="3" s="1"/>
  <c r="F40" i="3"/>
  <c r="C41" i="3"/>
  <c r="F41" i="3" s="1"/>
  <c r="D41" i="3"/>
  <c r="G41" i="3" s="1"/>
  <c r="E41" i="3"/>
  <c r="C42" i="3"/>
  <c r="D42" i="3"/>
  <c r="E42" i="3"/>
  <c r="G42" i="3" s="1"/>
  <c r="F42" i="3"/>
  <c r="C43" i="3"/>
  <c r="F43" i="3" s="1"/>
  <c r="D43" i="3"/>
  <c r="G43" i="3" s="1"/>
  <c r="E43" i="3"/>
  <c r="C44" i="3"/>
  <c r="D44" i="3"/>
  <c r="E44" i="3"/>
  <c r="G44" i="3" s="1"/>
  <c r="F44" i="3"/>
  <c r="C45" i="3"/>
  <c r="F45" i="3" s="1"/>
  <c r="D45" i="3"/>
  <c r="G45" i="3" s="1"/>
  <c r="E45" i="3"/>
  <c r="D46" i="3"/>
  <c r="E46" i="3"/>
  <c r="F46" i="3"/>
  <c r="G46" i="3"/>
  <c r="C47" i="3"/>
  <c r="D47" i="3"/>
  <c r="F47" i="3" s="1"/>
  <c r="E47" i="3"/>
  <c r="G47" i="3" s="1"/>
  <c r="C48" i="3"/>
  <c r="F48" i="3" s="1"/>
  <c r="D48" i="3"/>
  <c r="E48" i="3"/>
  <c r="G48" i="3"/>
  <c r="C49" i="3"/>
  <c r="F49" i="3" s="1"/>
  <c r="D49" i="3"/>
  <c r="E49" i="3"/>
  <c r="G49" i="3" s="1"/>
  <c r="C50" i="3"/>
  <c r="F50" i="3" s="1"/>
  <c r="D50" i="3"/>
  <c r="E50" i="3"/>
  <c r="G50" i="3"/>
  <c r="C51" i="3"/>
  <c r="F51" i="3" s="1"/>
  <c r="D51" i="3"/>
  <c r="E51" i="3"/>
  <c r="G51" i="3" s="1"/>
  <c r="C52" i="3"/>
  <c r="F52" i="3" s="1"/>
  <c r="D52" i="3"/>
  <c r="E52" i="3"/>
  <c r="G52" i="3"/>
  <c r="C53" i="3"/>
  <c r="F53" i="3" s="1"/>
  <c r="D53" i="3"/>
  <c r="E53" i="3"/>
  <c r="G53" i="3" s="1"/>
  <c r="C54" i="3"/>
  <c r="F54" i="3" s="1"/>
  <c r="D54" i="3"/>
  <c r="E54" i="3"/>
  <c r="G54" i="3"/>
  <c r="C55" i="3"/>
  <c r="D55" i="3"/>
  <c r="F55" i="3" s="1"/>
  <c r="E55" i="3"/>
  <c r="G55" i="3" s="1"/>
  <c r="D56" i="3"/>
  <c r="F56" i="3" s="1"/>
  <c r="E56" i="3"/>
  <c r="C57" i="3"/>
  <c r="D57" i="3"/>
  <c r="E57" i="3"/>
  <c r="G57" i="3" s="1"/>
  <c r="F57" i="3"/>
  <c r="C58" i="3"/>
  <c r="F58" i="3" s="1"/>
  <c r="D58" i="3"/>
  <c r="G58" i="3" s="1"/>
  <c r="E58" i="3"/>
  <c r="C59" i="3"/>
  <c r="D59" i="3"/>
  <c r="E59" i="3"/>
  <c r="G59" i="3" s="1"/>
  <c r="F59" i="3"/>
  <c r="C60" i="3"/>
  <c r="F60" i="3" s="1"/>
  <c r="D60" i="3"/>
  <c r="G60" i="3" s="1"/>
  <c r="E60" i="3"/>
  <c r="C61" i="3"/>
  <c r="D61" i="3"/>
  <c r="E61" i="3"/>
  <c r="G61" i="3" s="1"/>
  <c r="F61" i="3"/>
  <c r="C62" i="3"/>
  <c r="F62" i="3" s="1"/>
  <c r="D62" i="3"/>
  <c r="G62" i="3" s="1"/>
  <c r="E62" i="3"/>
  <c r="C63" i="3"/>
  <c r="D63" i="3"/>
  <c r="E63" i="3"/>
  <c r="G63" i="3" s="1"/>
  <c r="F63" i="3"/>
  <c r="C64" i="3"/>
  <c r="F64" i="3" s="1"/>
  <c r="D64" i="3"/>
  <c r="G64" i="3" s="1"/>
  <c r="E64" i="3"/>
  <c r="C65" i="3"/>
  <c r="D65" i="3"/>
  <c r="E65" i="3"/>
  <c r="G65" i="3" s="1"/>
  <c r="F65" i="3"/>
  <c r="C66" i="3"/>
  <c r="F66" i="3" s="1"/>
  <c r="D66" i="3"/>
  <c r="G66" i="3" s="1"/>
  <c r="E66" i="3"/>
  <c r="C67" i="3"/>
  <c r="D67" i="3"/>
  <c r="E67" i="3"/>
  <c r="G67" i="3" s="1"/>
  <c r="F67" i="3"/>
  <c r="C68" i="3"/>
  <c r="F68" i="3" s="1"/>
  <c r="D68" i="3"/>
  <c r="G68" i="3" s="1"/>
  <c r="E68" i="3"/>
  <c r="C69" i="3"/>
  <c r="D69" i="3"/>
  <c r="E69" i="3"/>
  <c r="G69" i="3" s="1"/>
  <c r="F69" i="3"/>
  <c r="C70" i="3"/>
  <c r="F70" i="3" s="1"/>
  <c r="D70" i="3"/>
  <c r="G70" i="3" s="1"/>
  <c r="E70" i="3"/>
  <c r="C71" i="3"/>
  <c r="D71" i="3"/>
  <c r="E71" i="3"/>
  <c r="G71" i="3" s="1"/>
  <c r="F71" i="3"/>
  <c r="D72" i="3"/>
  <c r="F72" i="3" s="1"/>
  <c r="E72" i="3"/>
  <c r="G72" i="3" s="1"/>
  <c r="C73" i="3"/>
  <c r="F73" i="3" s="1"/>
  <c r="D73" i="3"/>
  <c r="E73" i="3"/>
  <c r="G73" i="3"/>
  <c r="C85" i="3"/>
  <c r="D85" i="3"/>
  <c r="E85" i="3"/>
  <c r="G85" i="3" s="1"/>
  <c r="F85" i="3"/>
  <c r="C86" i="3"/>
  <c r="D86" i="3"/>
  <c r="G86" i="3" s="1"/>
  <c r="E86" i="3"/>
  <c r="C87" i="3"/>
  <c r="D87" i="3"/>
  <c r="E87" i="3"/>
  <c r="G87" i="3" s="1"/>
  <c r="F87" i="3"/>
  <c r="D88" i="3"/>
  <c r="F88" i="3" s="1"/>
  <c r="E88" i="3"/>
  <c r="G88" i="3" s="1"/>
  <c r="C89" i="3"/>
  <c r="F89" i="3" s="1"/>
  <c r="D89" i="3"/>
  <c r="E89" i="3"/>
  <c r="G89" i="3"/>
  <c r="C90" i="3"/>
  <c r="D90" i="3"/>
  <c r="F90" i="3" s="1"/>
  <c r="E90" i="3"/>
  <c r="G90" i="3" s="1"/>
  <c r="C91" i="3"/>
  <c r="F91" i="3" s="1"/>
  <c r="D91" i="3"/>
  <c r="E91" i="3"/>
  <c r="G91" i="3"/>
  <c r="C92" i="3"/>
  <c r="D92" i="3"/>
  <c r="F92" i="3" s="1"/>
  <c r="E92" i="3"/>
  <c r="G92" i="3" s="1"/>
  <c r="C93" i="3"/>
  <c r="F93" i="3" s="1"/>
  <c r="D93" i="3"/>
  <c r="E93" i="3"/>
  <c r="G93" i="3"/>
  <c r="C94" i="3"/>
  <c r="D94" i="3"/>
  <c r="F94" i="3" s="1"/>
  <c r="E94" i="3"/>
  <c r="G94" i="3" s="1"/>
  <c r="C95" i="3"/>
  <c r="F95" i="3" s="1"/>
  <c r="D95" i="3"/>
  <c r="E95" i="3"/>
  <c r="G95" i="3"/>
  <c r="C96" i="3"/>
  <c r="D96" i="3"/>
  <c r="F96" i="3" s="1"/>
  <c r="E96" i="3"/>
  <c r="G96" i="3" s="1"/>
  <c r="C97" i="3"/>
  <c r="F97" i="3" s="1"/>
  <c r="D97" i="3"/>
  <c r="E97" i="3"/>
  <c r="G97" i="3"/>
  <c r="C98" i="3"/>
  <c r="D98" i="3"/>
  <c r="F98" i="3" s="1"/>
  <c r="E98" i="3"/>
  <c r="G98" i="3" s="1"/>
  <c r="C99" i="3"/>
  <c r="F99" i="3" s="1"/>
  <c r="D99" i="3"/>
  <c r="E99" i="3"/>
  <c r="G99" i="3"/>
  <c r="D100" i="3"/>
  <c r="E100" i="3"/>
  <c r="G100" i="3" s="1"/>
  <c r="F100" i="3"/>
  <c r="C101" i="3"/>
  <c r="D101" i="3"/>
  <c r="G101" i="3" s="1"/>
  <c r="E101" i="3"/>
  <c r="C102" i="3"/>
  <c r="D102" i="3"/>
  <c r="E102" i="3"/>
  <c r="G102" i="3" s="1"/>
  <c r="F102" i="3"/>
  <c r="C103" i="3"/>
  <c r="D103" i="3"/>
  <c r="G103" i="3" s="1"/>
  <c r="E103" i="3"/>
  <c r="C104" i="3"/>
  <c r="D104" i="3"/>
  <c r="E104" i="3"/>
  <c r="G104" i="3" s="1"/>
  <c r="F104" i="3"/>
  <c r="C105" i="3"/>
  <c r="D105" i="3"/>
  <c r="G105" i="3" s="1"/>
  <c r="E105" i="3"/>
  <c r="C106" i="3"/>
  <c r="D106" i="3"/>
  <c r="E106" i="3"/>
  <c r="G106" i="3" s="1"/>
  <c r="F106" i="3"/>
  <c r="C107" i="3"/>
  <c r="F107" i="3" s="1"/>
  <c r="D107" i="3"/>
  <c r="E107" i="3"/>
  <c r="G107" i="3"/>
  <c r="AI18" i="2"/>
  <c r="AH18" i="2"/>
  <c r="AG18" i="2"/>
  <c r="V18" i="2"/>
  <c r="Q18" i="2"/>
  <c r="P18" i="2"/>
  <c r="AB18" i="2" s="1"/>
  <c r="E18" i="2"/>
  <c r="Y18" i="2" s="1"/>
  <c r="C18" i="2"/>
  <c r="B18" i="2" s="1"/>
  <c r="AI17" i="2"/>
  <c r="AH17" i="2" s="1"/>
  <c r="AG17" i="2"/>
  <c r="V17" i="2"/>
  <c r="Q17" i="2"/>
  <c r="AA17" i="2" s="1"/>
  <c r="P17" i="2"/>
  <c r="AB17" i="2" s="1"/>
  <c r="N17" i="2"/>
  <c r="R17" i="2" s="1"/>
  <c r="E17" i="2"/>
  <c r="F17" i="2" s="1"/>
  <c r="C17" i="2"/>
  <c r="B17" i="2"/>
  <c r="AI16" i="2"/>
  <c r="AH16" i="2" s="1"/>
  <c r="AG16" i="2"/>
  <c r="AB16" i="2"/>
  <c r="V16" i="2"/>
  <c r="S16" i="2"/>
  <c r="Q16" i="2"/>
  <c r="AA16" i="2" s="1"/>
  <c r="P16" i="2"/>
  <c r="O16" i="2"/>
  <c r="N16" i="2"/>
  <c r="R16" i="2" s="1"/>
  <c r="E16" i="2"/>
  <c r="Y16" i="2" s="1"/>
  <c r="C16" i="2"/>
  <c r="B16" i="2" s="1"/>
  <c r="AI15" i="2"/>
  <c r="AH15" i="2" s="1"/>
  <c r="AG15" i="2"/>
  <c r="V15" i="2"/>
  <c r="Q15" i="2"/>
  <c r="AA15" i="2" s="1"/>
  <c r="AK15" i="2" s="1"/>
  <c r="AJ15" i="2" s="1"/>
  <c r="P15" i="2"/>
  <c r="E15" i="2"/>
  <c r="Y15" i="2" s="1"/>
  <c r="C15" i="2"/>
  <c r="B15" i="2" s="1"/>
  <c r="AI14" i="2"/>
  <c r="AH14" i="2"/>
  <c r="AG14" i="2"/>
  <c r="V14" i="2"/>
  <c r="Q14" i="2"/>
  <c r="P14" i="2"/>
  <c r="AB14" i="2" s="1"/>
  <c r="E14" i="2"/>
  <c r="Y14" i="2" s="1"/>
  <c r="C14" i="2"/>
  <c r="B14" i="2" s="1"/>
  <c r="AI13" i="2"/>
  <c r="AH13" i="2"/>
  <c r="AG13" i="2"/>
  <c r="Y13" i="2"/>
  <c r="V13" i="2"/>
  <c r="Q13" i="2"/>
  <c r="P13" i="2"/>
  <c r="AB13" i="2" s="1"/>
  <c r="F13" i="2"/>
  <c r="AI12" i="2"/>
  <c r="AH12" i="2" s="1"/>
  <c r="AG12" i="2"/>
  <c r="Q12" i="2"/>
  <c r="AA12" i="2" s="1"/>
  <c r="AF12" i="2" s="1"/>
  <c r="P12" i="2"/>
  <c r="AB12" i="2" s="1"/>
  <c r="F12" i="2"/>
  <c r="D12" i="2"/>
  <c r="Y12" i="2" s="1"/>
  <c r="C12" i="2"/>
  <c r="B12" i="2" s="1"/>
  <c r="AI11" i="2"/>
  <c r="AH11" i="2"/>
  <c r="AG11" i="2"/>
  <c r="Y11" i="2"/>
  <c r="V11" i="2"/>
  <c r="Q11" i="2"/>
  <c r="AA11" i="2" s="1"/>
  <c r="P11" i="2"/>
  <c r="F11" i="2"/>
  <c r="C11" i="2"/>
  <c r="B11" i="2" s="1"/>
  <c r="AI10" i="2"/>
  <c r="AH10" i="2" s="1"/>
  <c r="AG10" i="2"/>
  <c r="AB10" i="2"/>
  <c r="Y10" i="2"/>
  <c r="V10" i="2"/>
  <c r="S10" i="2"/>
  <c r="Q10" i="2"/>
  <c r="AA10" i="2" s="1"/>
  <c r="P10" i="2"/>
  <c r="O10" i="2"/>
  <c r="F10" i="2"/>
  <c r="AI9" i="2"/>
  <c r="AH9" i="2"/>
  <c r="AG9" i="2"/>
  <c r="Y9" i="2"/>
  <c r="V9" i="2"/>
  <c r="Q9" i="2"/>
  <c r="P9" i="2"/>
  <c r="F9" i="2"/>
  <c r="C9" i="2"/>
  <c r="B9" i="2" s="1"/>
  <c r="AI8" i="2"/>
  <c r="AH8" i="2"/>
  <c r="AG8" i="2"/>
  <c r="Q8" i="2"/>
  <c r="P8" i="2"/>
  <c r="F8" i="2"/>
  <c r="D8" i="2"/>
  <c r="Y8" i="2" s="1"/>
  <c r="C8" i="2"/>
  <c r="B8" i="2"/>
  <c r="AI7" i="2"/>
  <c r="AH7" i="2" s="1"/>
  <c r="AG7" i="2"/>
  <c r="Q7" i="2"/>
  <c r="N7" i="2" s="1"/>
  <c r="R7" i="2" s="1"/>
  <c r="P7" i="2"/>
  <c r="AB7" i="2" s="1"/>
  <c r="O7" i="2"/>
  <c r="S7" i="2" s="1"/>
  <c r="F7" i="2"/>
  <c r="D7" i="2"/>
  <c r="Y7" i="2" s="1"/>
  <c r="C7" i="2"/>
  <c r="B7" i="2" s="1"/>
  <c r="AI6" i="2"/>
  <c r="AH6" i="2" s="1"/>
  <c r="AG6" i="2"/>
  <c r="AA6" i="2"/>
  <c r="Y6" i="2"/>
  <c r="V6" i="2"/>
  <c r="Q6" i="2"/>
  <c r="N6" i="2" s="1"/>
  <c r="R6" i="2" s="1"/>
  <c r="P6" i="2"/>
  <c r="AB6" i="2" s="1"/>
  <c r="F6" i="2"/>
  <c r="C6" i="2"/>
  <c r="B6" i="2" s="1"/>
  <c r="AI5" i="2"/>
  <c r="AH5" i="2" s="1"/>
  <c r="AG5" i="2"/>
  <c r="AA5" i="2"/>
  <c r="AK5" i="2" s="1"/>
  <c r="AJ5" i="2" s="1"/>
  <c r="Y5" i="2"/>
  <c r="V5" i="2"/>
  <c r="Q5" i="2"/>
  <c r="P5" i="2"/>
  <c r="AB5" i="2" s="1"/>
  <c r="N5" i="2"/>
  <c r="R5" i="2" s="1"/>
  <c r="F5" i="2"/>
  <c r="C5" i="2"/>
  <c r="B5" i="2" s="1"/>
  <c r="AI4" i="2"/>
  <c r="AH4" i="2" s="1"/>
  <c r="AG4" i="2"/>
  <c r="AA4" i="2"/>
  <c r="Q4" i="2"/>
  <c r="P4" i="2"/>
  <c r="AB4" i="2" s="1"/>
  <c r="N4" i="2"/>
  <c r="R4" i="2" s="1"/>
  <c r="F4" i="2"/>
  <c r="D4" i="2"/>
  <c r="C4" i="2"/>
  <c r="B4" i="2"/>
  <c r="AG20" i="1"/>
  <c r="AF20" i="1" s="1"/>
  <c r="AE20" i="1"/>
  <c r="X20" i="1"/>
  <c r="U20" i="1"/>
  <c r="P20" i="1"/>
  <c r="Z20" i="1" s="1"/>
  <c r="O20" i="1"/>
  <c r="N20" i="1" s="1"/>
  <c r="R20" i="1" s="1"/>
  <c r="E20" i="1"/>
  <c r="B20" i="1"/>
  <c r="AG19" i="1"/>
  <c r="AF19" i="1" s="1"/>
  <c r="AE19" i="1"/>
  <c r="X19" i="1"/>
  <c r="U19" i="1"/>
  <c r="P19" i="1"/>
  <c r="O19" i="1"/>
  <c r="AA19" i="1" s="1"/>
  <c r="E19" i="1"/>
  <c r="B19" i="1"/>
  <c r="AG18" i="1"/>
  <c r="AF18" i="1" s="1"/>
  <c r="AE18" i="1"/>
  <c r="Z18" i="1"/>
  <c r="X18" i="1"/>
  <c r="U18" i="1"/>
  <c r="P18" i="1"/>
  <c r="M18" i="1" s="1"/>
  <c r="Q18" i="1" s="1"/>
  <c r="O18" i="1"/>
  <c r="E18" i="1"/>
  <c r="B18" i="1"/>
  <c r="AG17" i="1"/>
  <c r="AE17" i="1"/>
  <c r="X17" i="1"/>
  <c r="U17" i="1"/>
  <c r="P17" i="1"/>
  <c r="O17" i="1"/>
  <c r="AA17" i="1" s="1"/>
  <c r="B17" i="1"/>
  <c r="AG16" i="1"/>
  <c r="AF16" i="1" s="1"/>
  <c r="AE16" i="1"/>
  <c r="X16" i="1"/>
  <c r="U16" i="1"/>
  <c r="P16" i="1"/>
  <c r="M16" i="1" s="1"/>
  <c r="Q16" i="1" s="1"/>
  <c r="O16" i="1"/>
  <c r="AA16" i="1" s="1"/>
  <c r="E16" i="1"/>
  <c r="B16" i="1"/>
  <c r="AG15" i="1"/>
  <c r="AF15" i="1" s="1"/>
  <c r="AE15" i="1"/>
  <c r="P15" i="1"/>
  <c r="O15" i="1"/>
  <c r="E15" i="1"/>
  <c r="C15" i="1"/>
  <c r="X15" i="1" s="1"/>
  <c r="B15" i="1"/>
  <c r="AG14" i="1"/>
  <c r="AF14" i="1" s="1"/>
  <c r="AE14" i="1"/>
  <c r="P14" i="1"/>
  <c r="Z14" i="1" s="1"/>
  <c r="AH14" i="1" s="1"/>
  <c r="O14" i="1"/>
  <c r="E14" i="1"/>
  <c r="C14" i="1"/>
  <c r="X14" i="1" s="1"/>
  <c r="B14" i="1"/>
  <c r="AG13" i="1"/>
  <c r="AF13" i="1" s="1"/>
  <c r="AE13" i="1"/>
  <c r="P13" i="1"/>
  <c r="Z13" i="1" s="1"/>
  <c r="O13" i="1"/>
  <c r="E13" i="1"/>
  <c r="C13" i="1"/>
  <c r="U13" i="1" s="1"/>
  <c r="B13" i="1"/>
  <c r="AG12" i="1"/>
  <c r="AF12" i="1" s="1"/>
  <c r="AE12" i="1"/>
  <c r="P12" i="1"/>
  <c r="M12" i="1" s="1"/>
  <c r="Q12" i="1" s="1"/>
  <c r="O12" i="1"/>
  <c r="E12" i="1"/>
  <c r="C12" i="1"/>
  <c r="B12" i="1"/>
  <c r="AG11" i="1"/>
  <c r="AF11" i="1" s="1"/>
  <c r="AE11" i="1"/>
  <c r="X11" i="1"/>
  <c r="U11" i="1"/>
  <c r="P11" i="1"/>
  <c r="Z11" i="1" s="1"/>
  <c r="O11" i="1"/>
  <c r="E11" i="1"/>
  <c r="B11" i="1"/>
  <c r="AG10" i="1"/>
  <c r="AE10" i="1"/>
  <c r="P10" i="1"/>
  <c r="O10" i="1"/>
  <c r="N10" i="1" s="1"/>
  <c r="R10" i="1" s="1"/>
  <c r="E10" i="1"/>
  <c r="C10" i="1"/>
  <c r="B10" i="1"/>
  <c r="AG9" i="1"/>
  <c r="AF9" i="1" s="1"/>
  <c r="AE9" i="1"/>
  <c r="P9" i="1"/>
  <c r="O9" i="1"/>
  <c r="AA9" i="1" s="1"/>
  <c r="N9" i="1"/>
  <c r="R9" i="1" s="1"/>
  <c r="E9" i="1"/>
  <c r="C9" i="1"/>
  <c r="U9" i="1" s="1"/>
  <c r="B9" i="1"/>
  <c r="AG8" i="1"/>
  <c r="AF8" i="1" s="1"/>
  <c r="AE8" i="1"/>
  <c r="P8" i="1"/>
  <c r="Z8" i="1" s="1"/>
  <c r="O8" i="1"/>
  <c r="AA8" i="1" s="1"/>
  <c r="N8" i="1"/>
  <c r="R8" i="1" s="1"/>
  <c r="E8" i="1"/>
  <c r="B8" i="1"/>
  <c r="AG7" i="1"/>
  <c r="AF7" i="1" s="1"/>
  <c r="AE7" i="1"/>
  <c r="U7" i="1"/>
  <c r="P7" i="1"/>
  <c r="Z7" i="1" s="1"/>
  <c r="O7" i="1"/>
  <c r="AA7" i="1" s="1"/>
  <c r="E7" i="1"/>
  <c r="C7" i="1"/>
  <c r="B7" i="1"/>
  <c r="AG6" i="1"/>
  <c r="AF6" i="1" s="1"/>
  <c r="AE6" i="1"/>
  <c r="P6" i="1"/>
  <c r="M6" i="1" s="1"/>
  <c r="Q6" i="1" s="1"/>
  <c r="O6" i="1"/>
  <c r="N6" i="1" s="1"/>
  <c r="R6" i="1" s="1"/>
  <c r="E6" i="1"/>
  <c r="B6" i="1"/>
  <c r="AG5" i="1"/>
  <c r="AF5" i="1" s="1"/>
  <c r="AE5" i="1"/>
  <c r="P5" i="1"/>
  <c r="M5" i="1" s="1"/>
  <c r="Q5" i="1" s="1"/>
  <c r="O5" i="1"/>
  <c r="AA5" i="1" s="1"/>
  <c r="E5" i="1"/>
  <c r="C5" i="1"/>
  <c r="C6" i="1" s="1"/>
  <c r="X6" i="1" s="1"/>
  <c r="B5" i="1"/>
  <c r="AG4" i="1"/>
  <c r="AE4" i="1"/>
  <c r="P4" i="1"/>
  <c r="Z4" i="1" s="1"/>
  <c r="O4" i="1"/>
  <c r="AA4" i="1" s="1"/>
  <c r="E4" i="1"/>
  <c r="C4" i="1"/>
  <c r="U4" i="1" s="1"/>
  <c r="B4" i="1"/>
  <c r="C8" i="1" l="1"/>
  <c r="X8" i="1" s="1"/>
  <c r="AB8" i="1"/>
  <c r="AB16" i="1"/>
  <c r="AD16" i="1" s="1"/>
  <c r="Z16" i="1"/>
  <c r="N7" i="1"/>
  <c r="R7" i="1" s="1"/>
  <c r="AA20" i="1"/>
  <c r="T20" i="1" s="1"/>
  <c r="V20" i="1" s="1"/>
  <c r="AJ11" i="1"/>
  <c r="AI11" i="1" s="1"/>
  <c r="AA6" i="1"/>
  <c r="AB6" i="1" s="1"/>
  <c r="M11" i="1"/>
  <c r="Q11" i="1" s="1"/>
  <c r="U14" i="1"/>
  <c r="N16" i="1"/>
  <c r="R16" i="1" s="1"/>
  <c r="N19" i="1"/>
  <c r="R19" i="1" s="1"/>
  <c r="M7" i="1"/>
  <c r="Q7" i="1" s="1"/>
  <c r="U5" i="1"/>
  <c r="U6" i="1"/>
  <c r="AB7" i="1"/>
  <c r="M13" i="1"/>
  <c r="Q13" i="1" s="1"/>
  <c r="M14" i="1"/>
  <c r="Q14" i="1" s="1"/>
  <c r="N5" i="1"/>
  <c r="R5" i="1" s="1"/>
  <c r="Z6" i="1"/>
  <c r="W6" i="1" s="1"/>
  <c r="M8" i="1"/>
  <c r="Q8" i="1" s="1"/>
  <c r="N17" i="1"/>
  <c r="R17" i="1" s="1"/>
  <c r="AF10" i="2"/>
  <c r="X10" i="2"/>
  <c r="X12" i="2"/>
  <c r="X16" i="2"/>
  <c r="AM16" i="2" s="1"/>
  <c r="AF16" i="2"/>
  <c r="N10" i="2"/>
  <c r="R10" i="2" s="1"/>
  <c r="F14" i="2"/>
  <c r="AC17" i="2"/>
  <c r="AE17" i="2" s="1"/>
  <c r="V7" i="2"/>
  <c r="AA7" i="2"/>
  <c r="N12" i="2"/>
  <c r="R12" i="2" s="1"/>
  <c r="N15" i="2"/>
  <c r="R15" i="2" s="1"/>
  <c r="AK4" i="2"/>
  <c r="AJ4" i="2" s="1"/>
  <c r="O12" i="2"/>
  <c r="S12" i="2" s="1"/>
  <c r="F16" i="2"/>
  <c r="F18" i="2"/>
  <c r="G3" i="4"/>
  <c r="G9" i="4"/>
  <c r="G17" i="4"/>
  <c r="L25" i="4"/>
  <c r="F32" i="4"/>
  <c r="L32" i="4" s="1"/>
  <c r="L33" i="4"/>
  <c r="F40" i="4"/>
  <c r="L40" i="4" s="1"/>
  <c r="L41" i="4"/>
  <c r="G53" i="4"/>
  <c r="F61" i="4"/>
  <c r="L61" i="4" s="1"/>
  <c r="L62" i="4"/>
  <c r="F69" i="4"/>
  <c r="L69" i="4" s="1"/>
  <c r="L70" i="4"/>
  <c r="G78" i="4"/>
  <c r="G86" i="4"/>
  <c r="F93" i="4"/>
  <c r="L93" i="4" s="1"/>
  <c r="L94" i="4"/>
  <c r="F26" i="4"/>
  <c r="L26" i="4" s="1"/>
  <c r="L27" i="4"/>
  <c r="F34" i="4"/>
  <c r="L34" i="4" s="1"/>
  <c r="L35" i="4"/>
  <c r="F42" i="4"/>
  <c r="L42" i="4" s="1"/>
  <c r="L43" i="4"/>
  <c r="F63" i="4"/>
  <c r="L63" i="4" s="1"/>
  <c r="L64" i="4"/>
  <c r="F71" i="4"/>
  <c r="L71" i="4" s="1"/>
  <c r="L72" i="4"/>
  <c r="G89" i="4"/>
  <c r="F95" i="4"/>
  <c r="L95" i="4" s="1"/>
  <c r="L96" i="4"/>
  <c r="G7" i="4"/>
  <c r="G15" i="4"/>
  <c r="L21" i="4"/>
  <c r="L22" i="4"/>
  <c r="G23" i="4"/>
  <c r="L31" i="4"/>
  <c r="L39" i="4"/>
  <c r="L49" i="4"/>
  <c r="L50" i="4"/>
  <c r="G51" i="4"/>
  <c r="L57" i="4"/>
  <c r="L58" i="4"/>
  <c r="L59" i="4"/>
  <c r="L60" i="4"/>
  <c r="L68" i="4"/>
  <c r="L74" i="4"/>
  <c r="L75" i="4"/>
  <c r="G76" i="4"/>
  <c r="L83" i="4"/>
  <c r="G84" i="4"/>
  <c r="L92" i="4"/>
  <c r="L100" i="4"/>
  <c r="F101" i="3"/>
  <c r="F105" i="3"/>
  <c r="F103" i="3"/>
  <c r="F86" i="3"/>
  <c r="G56" i="3"/>
  <c r="AC5" i="2"/>
  <c r="AE5" i="2" s="1"/>
  <c r="U5" i="2"/>
  <c r="W5" i="2" s="1"/>
  <c r="AN12" i="2"/>
  <c r="AP12" i="2"/>
  <c r="AL12" i="2"/>
  <c r="AO12" i="2"/>
  <c r="AM12" i="2"/>
  <c r="AC4" i="2"/>
  <c r="AE4" i="2" s="1"/>
  <c r="U4" i="2"/>
  <c r="U6" i="2"/>
  <c r="W6" i="2" s="1"/>
  <c r="AC6" i="2"/>
  <c r="AE6" i="2" s="1"/>
  <c r="AK6" i="2"/>
  <c r="AJ6" i="2" s="1"/>
  <c r="AD7" i="2"/>
  <c r="AK7" i="2"/>
  <c r="AJ7" i="2" s="1"/>
  <c r="AB8" i="2"/>
  <c r="AC8" i="2" s="1"/>
  <c r="O8" i="2"/>
  <c r="S8" i="2" s="1"/>
  <c r="AA9" i="2"/>
  <c r="N9" i="2"/>
  <c r="R9" i="2" s="1"/>
  <c r="AK11" i="2"/>
  <c r="AJ11" i="2" s="1"/>
  <c r="AF11" i="2"/>
  <c r="AB15" i="2"/>
  <c r="O15" i="2"/>
  <c r="S15" i="2" s="1"/>
  <c r="AC16" i="2"/>
  <c r="AE16" i="2" s="1"/>
  <c r="AC18" i="2"/>
  <c r="AC12" i="2"/>
  <c r="AE12" i="2" s="1"/>
  <c r="AA14" i="2"/>
  <c r="N14" i="2"/>
  <c r="R14" i="2" s="1"/>
  <c r="O4" i="2"/>
  <c r="S4" i="2" s="1"/>
  <c r="X4" i="2"/>
  <c r="AF4" i="2"/>
  <c r="O5" i="2"/>
  <c r="S5" i="2" s="1"/>
  <c r="X5" i="2"/>
  <c r="AF5" i="2"/>
  <c r="O6" i="2"/>
  <c r="S6" i="2" s="1"/>
  <c r="X6" i="2"/>
  <c r="Z6" i="2" s="1"/>
  <c r="AF6" i="2"/>
  <c r="AA8" i="2"/>
  <c r="N8" i="2"/>
  <c r="R8" i="2" s="1"/>
  <c r="Z10" i="2"/>
  <c r="Z12" i="2"/>
  <c r="AC14" i="2"/>
  <c r="AE14" i="2" s="1"/>
  <c r="AM17" i="2"/>
  <c r="AF17" i="2"/>
  <c r="X17" i="2"/>
  <c r="AK17" i="2"/>
  <c r="AJ17" i="2" s="1"/>
  <c r="AD17" i="2"/>
  <c r="U17" i="2"/>
  <c r="W17" i="2" s="1"/>
  <c r="AA18" i="2"/>
  <c r="N18" i="2"/>
  <c r="R18" i="2" s="1"/>
  <c r="Y4" i="2"/>
  <c r="Z4" i="2" s="1"/>
  <c r="AF7" i="2"/>
  <c r="X7" i="2"/>
  <c r="U7" i="2"/>
  <c r="W7" i="2" s="1"/>
  <c r="AC13" i="2"/>
  <c r="F15" i="2"/>
  <c r="AF15" i="2"/>
  <c r="AN16" i="2"/>
  <c r="AP16" i="2"/>
  <c r="AL16" i="2"/>
  <c r="AO16" i="2"/>
  <c r="V4" i="2"/>
  <c r="W4" i="2" s="1"/>
  <c r="AD4" i="2"/>
  <c r="AD5" i="2"/>
  <c r="AD6" i="2"/>
  <c r="AC7" i="2"/>
  <c r="AE7" i="2" s="1"/>
  <c r="V8" i="2"/>
  <c r="AB9" i="2"/>
  <c r="O9" i="2"/>
  <c r="S9" i="2" s="1"/>
  <c r="AC10" i="2"/>
  <c r="AE10" i="2" s="1"/>
  <c r="AB11" i="2"/>
  <c r="X11" i="2" s="1"/>
  <c r="O11" i="2"/>
  <c r="S11" i="2" s="1"/>
  <c r="AA13" i="2"/>
  <c r="N13" i="2"/>
  <c r="R13" i="2" s="1"/>
  <c r="AD10" i="2"/>
  <c r="AK10" i="2"/>
  <c r="AJ10" i="2" s="1"/>
  <c r="N11" i="2"/>
  <c r="R11" i="2" s="1"/>
  <c r="V12" i="2"/>
  <c r="AD12" i="2"/>
  <c r="AK12" i="2"/>
  <c r="AJ12" i="2" s="1"/>
  <c r="O13" i="2"/>
  <c r="S13" i="2" s="1"/>
  <c r="O14" i="2"/>
  <c r="S14" i="2" s="1"/>
  <c r="AD16" i="2"/>
  <c r="AK16" i="2"/>
  <c r="AJ16" i="2" s="1"/>
  <c r="Y17" i="2"/>
  <c r="Z17" i="2" s="1"/>
  <c r="O18" i="2"/>
  <c r="S18" i="2" s="1"/>
  <c r="U10" i="2"/>
  <c r="W10" i="2" s="1"/>
  <c r="U12" i="2"/>
  <c r="AD15" i="2"/>
  <c r="U16" i="2"/>
  <c r="W16" i="2" s="1"/>
  <c r="O17" i="2"/>
  <c r="S17" i="2" s="1"/>
  <c r="T8" i="1"/>
  <c r="AH8" i="1"/>
  <c r="AC8" i="1"/>
  <c r="AJ8" i="1"/>
  <c r="AI8" i="1" s="1"/>
  <c r="AD8" i="1"/>
  <c r="W8" i="1"/>
  <c r="AJ4" i="1"/>
  <c r="AI4" i="1" s="1"/>
  <c r="AC4" i="1"/>
  <c r="AH4" i="1"/>
  <c r="T4" i="1"/>
  <c r="V4" i="1" s="1"/>
  <c r="AB5" i="1"/>
  <c r="T7" i="1"/>
  <c r="V7" i="1" s="1"/>
  <c r="AH7" i="1"/>
  <c r="W7" i="1"/>
  <c r="AJ7" i="1"/>
  <c r="AI7" i="1" s="1"/>
  <c r="AD7" i="1"/>
  <c r="AC7" i="1"/>
  <c r="AB9" i="1"/>
  <c r="W4" i="1"/>
  <c r="AB4" i="1"/>
  <c r="AD4" i="1" s="1"/>
  <c r="M4" i="1"/>
  <c r="Q4" i="1" s="1"/>
  <c r="Z5" i="1"/>
  <c r="X4" i="1"/>
  <c r="Y4" i="1" s="1"/>
  <c r="AF4" i="1"/>
  <c r="X5" i="1"/>
  <c r="AC6" i="1"/>
  <c r="AA10" i="1"/>
  <c r="AA12" i="1"/>
  <c r="N12" i="1"/>
  <c r="R12" i="1" s="1"/>
  <c r="Z12" i="1"/>
  <c r="U15" i="1"/>
  <c r="AB17" i="1"/>
  <c r="Z10" i="1"/>
  <c r="M10" i="1"/>
  <c r="Q10" i="1" s="1"/>
  <c r="T16" i="1"/>
  <c r="V16" i="1" s="1"/>
  <c r="AC16" i="1"/>
  <c r="W16" i="1"/>
  <c r="AJ16" i="1"/>
  <c r="AI16" i="1" s="1"/>
  <c r="T6" i="1"/>
  <c r="V6" i="1" s="1"/>
  <c r="AH6" i="1"/>
  <c r="AJ10" i="1"/>
  <c r="AI10" i="1" s="1"/>
  <c r="X10" i="1"/>
  <c r="U10" i="1"/>
  <c r="X12" i="1"/>
  <c r="U12" i="1"/>
  <c r="AA13" i="1"/>
  <c r="N13" i="1"/>
  <c r="R13" i="1" s="1"/>
  <c r="W17" i="1"/>
  <c r="AF17" i="1"/>
  <c r="Z19" i="1"/>
  <c r="M19" i="1"/>
  <c r="Q19" i="1" s="1"/>
  <c r="AB19" i="1"/>
  <c r="N4" i="1"/>
  <c r="R4" i="1" s="1"/>
  <c r="U8" i="1"/>
  <c r="AK8" i="1"/>
  <c r="X9" i="1"/>
  <c r="Z9" i="1"/>
  <c r="M9" i="1"/>
  <c r="Q9" i="1" s="1"/>
  <c r="AF10" i="1"/>
  <c r="AC13" i="1"/>
  <c r="AH13" i="1"/>
  <c r="AJ13" i="1"/>
  <c r="AI13" i="1" s="1"/>
  <c r="Z15" i="1"/>
  <c r="AJ15" i="1" s="1"/>
  <c r="AI15" i="1" s="1"/>
  <c r="M15" i="1"/>
  <c r="Q15" i="1" s="1"/>
  <c r="AH16" i="1"/>
  <c r="Z17" i="1"/>
  <c r="M17" i="1"/>
  <c r="Q17" i="1" s="1"/>
  <c r="AA18" i="1"/>
  <c r="N18" i="1"/>
  <c r="R18" i="1" s="1"/>
  <c r="AA11" i="1"/>
  <c r="N11" i="1"/>
  <c r="R11" i="1" s="1"/>
  <c r="AA14" i="1"/>
  <c r="N14" i="1"/>
  <c r="R14" i="1" s="1"/>
  <c r="AJ14" i="1"/>
  <c r="AI14" i="1" s="1"/>
  <c r="AH18" i="1"/>
  <c r="AJ18" i="1"/>
  <c r="AI18" i="1" s="1"/>
  <c r="X7" i="1"/>
  <c r="Y7" i="1" s="1"/>
  <c r="AH11" i="1"/>
  <c r="X13" i="1"/>
  <c r="AA15" i="1"/>
  <c r="N15" i="1"/>
  <c r="R15" i="1" s="1"/>
  <c r="AJ20" i="1"/>
  <c r="AI20" i="1" s="1"/>
  <c r="AH20" i="1"/>
  <c r="AC20" i="1"/>
  <c r="W20" i="1"/>
  <c r="M20" i="1"/>
  <c r="Q20" i="1" s="1"/>
  <c r="AB20" i="1" l="1"/>
  <c r="AD20" i="1" s="1"/>
  <c r="AJ6" i="1"/>
  <c r="AI6" i="1" s="1"/>
  <c r="AJ12" i="1"/>
  <c r="AI12" i="1" s="1"/>
  <c r="V8" i="1"/>
  <c r="AD6" i="1"/>
  <c r="Z16" i="2"/>
  <c r="AO11" i="2"/>
  <c r="AM11" i="2"/>
  <c r="AP11" i="2"/>
  <c r="AL11" i="2"/>
  <c r="AN11" i="2"/>
  <c r="Z11" i="2"/>
  <c r="U13" i="2"/>
  <c r="W13" i="2" s="1"/>
  <c r="AF13" i="2"/>
  <c r="X13" i="2"/>
  <c r="Z13" i="2" s="1"/>
  <c r="AD13" i="2"/>
  <c r="AK13" i="2"/>
  <c r="AJ13" i="2" s="1"/>
  <c r="AC9" i="2"/>
  <c r="AE9" i="2" s="1"/>
  <c r="AM7" i="2"/>
  <c r="AN7" i="2"/>
  <c r="AP7" i="2"/>
  <c r="AO7" i="2"/>
  <c r="AL7" i="2"/>
  <c r="U18" i="2"/>
  <c r="W18" i="2" s="1"/>
  <c r="AF18" i="2"/>
  <c r="X18" i="2"/>
  <c r="AK18" i="2"/>
  <c r="AJ18" i="2" s="1"/>
  <c r="AD18" i="2"/>
  <c r="U11" i="2"/>
  <c r="W11" i="2" s="1"/>
  <c r="AF8" i="2"/>
  <c r="X8" i="2"/>
  <c r="AD8" i="2"/>
  <c r="U8" i="2"/>
  <c r="W8" i="2" s="1"/>
  <c r="AK8" i="2"/>
  <c r="AJ8" i="2" s="1"/>
  <c r="AE18" i="2"/>
  <c r="AE8" i="2"/>
  <c r="AO5" i="2"/>
  <c r="AM5" i="2"/>
  <c r="AP5" i="2"/>
  <c r="AL5" i="2"/>
  <c r="AN5" i="2"/>
  <c r="AO4" i="2"/>
  <c r="AM4" i="2"/>
  <c r="AP4" i="2"/>
  <c r="AN4" i="2"/>
  <c r="U14" i="2"/>
  <c r="W14" i="2" s="1"/>
  <c r="AF14" i="2"/>
  <c r="X14" i="2"/>
  <c r="AK14" i="2"/>
  <c r="AJ14" i="2" s="1"/>
  <c r="AD14" i="2"/>
  <c r="X15" i="2"/>
  <c r="AC15" i="2"/>
  <c r="AE15" i="2" s="1"/>
  <c r="U15" i="2"/>
  <c r="W15" i="2" s="1"/>
  <c r="AL4" i="2"/>
  <c r="W12" i="2"/>
  <c r="AC11" i="2"/>
  <c r="AE11" i="2" s="1"/>
  <c r="AE13" i="2"/>
  <c r="AO17" i="2"/>
  <c r="AN17" i="2"/>
  <c r="AL17" i="2"/>
  <c r="AP17" i="2"/>
  <c r="AO6" i="2"/>
  <c r="AN6" i="2"/>
  <c r="AM6" i="2"/>
  <c r="AL6" i="2"/>
  <c r="AP6" i="2"/>
  <c r="AD11" i="2"/>
  <c r="AF9" i="2"/>
  <c r="X9" i="2"/>
  <c r="AK9" i="2"/>
  <c r="AJ9" i="2" s="1"/>
  <c r="AD9" i="2"/>
  <c r="U9" i="2"/>
  <c r="W9" i="2" s="1"/>
  <c r="Z5" i="2"/>
  <c r="Z7" i="2"/>
  <c r="AJ19" i="1"/>
  <c r="AI19" i="1" s="1"/>
  <c r="AH19" i="1"/>
  <c r="AC19" i="1"/>
  <c r="T19" i="1"/>
  <c r="V19" i="1" s="1"/>
  <c r="AD19" i="1"/>
  <c r="AM7" i="1"/>
  <c r="AK7" i="1"/>
  <c r="AO7" i="1"/>
  <c r="AL7" i="1"/>
  <c r="AN7" i="1"/>
  <c r="AO20" i="1"/>
  <c r="AK20" i="1"/>
  <c r="AN20" i="1"/>
  <c r="AM20" i="1"/>
  <c r="AL20" i="1"/>
  <c r="W11" i="1"/>
  <c r="AB11" i="1"/>
  <c r="AD11" i="1" s="1"/>
  <c r="T11" i="1"/>
  <c r="V11" i="1" s="1"/>
  <c r="AC11" i="1"/>
  <c r="AD9" i="1"/>
  <c r="AC9" i="1"/>
  <c r="AH9" i="1"/>
  <c r="T9" i="1"/>
  <c r="V9" i="1" s="1"/>
  <c r="AM16" i="1"/>
  <c r="AN16" i="1"/>
  <c r="AL16" i="1"/>
  <c r="AO16" i="1"/>
  <c r="AK16" i="1"/>
  <c r="Y16" i="1"/>
  <c r="W10" i="1"/>
  <c r="Y10" i="1" s="1"/>
  <c r="AB10" i="1"/>
  <c r="AD10" i="1" s="1"/>
  <c r="AO8" i="1"/>
  <c r="AM8" i="1"/>
  <c r="AN8" i="1"/>
  <c r="Y8" i="1"/>
  <c r="AL8" i="1"/>
  <c r="AO17" i="1"/>
  <c r="AK17" i="1"/>
  <c r="AL17" i="1"/>
  <c r="AN17" i="1"/>
  <c r="AM17" i="1"/>
  <c r="W18" i="1"/>
  <c r="AB18" i="1"/>
  <c r="AD18" i="1" s="1"/>
  <c r="T18" i="1"/>
  <c r="V18" i="1" s="1"/>
  <c r="W15" i="1"/>
  <c r="AB15" i="1"/>
  <c r="AD15" i="1" s="1"/>
  <c r="Y20" i="1"/>
  <c r="AD17" i="1"/>
  <c r="AH17" i="1"/>
  <c r="AJ17" i="1"/>
  <c r="AI17" i="1" s="1"/>
  <c r="T17" i="1"/>
  <c r="V17" i="1" s="1"/>
  <c r="AC17" i="1"/>
  <c r="AJ9" i="1"/>
  <c r="AI9" i="1" s="1"/>
  <c r="W13" i="1"/>
  <c r="Y13" i="1" s="1"/>
  <c r="AB13" i="1"/>
  <c r="AD13" i="1" s="1"/>
  <c r="T13" i="1"/>
  <c r="V13" i="1" s="1"/>
  <c r="T10" i="1"/>
  <c r="V10" i="1" s="1"/>
  <c r="AC10" i="1"/>
  <c r="AH10" i="1"/>
  <c r="W12" i="1"/>
  <c r="Y12" i="1" s="1"/>
  <c r="AB12" i="1"/>
  <c r="AM6" i="1"/>
  <c r="AL6" i="1"/>
  <c r="AK6" i="1"/>
  <c r="AN6" i="1"/>
  <c r="AO6" i="1"/>
  <c r="Y6" i="1"/>
  <c r="W9" i="1"/>
  <c r="Y9" i="1" s="1"/>
  <c r="W19" i="1"/>
  <c r="AL4" i="1"/>
  <c r="AO4" i="1"/>
  <c r="AM4" i="1"/>
  <c r="AK4" i="1"/>
  <c r="AN4" i="1"/>
  <c r="T15" i="1"/>
  <c r="V15" i="1" s="1"/>
  <c r="AH15" i="1"/>
  <c r="AC15" i="1"/>
  <c r="W14" i="1"/>
  <c r="AB14" i="1"/>
  <c r="AD14" i="1" s="1"/>
  <c r="AC14" i="1"/>
  <c r="T14" i="1"/>
  <c r="V14" i="1" s="1"/>
  <c r="Y17" i="1"/>
  <c r="AC18" i="1"/>
  <c r="AD12" i="1"/>
  <c r="T12" i="1"/>
  <c r="V12" i="1" s="1"/>
  <c r="AC12" i="1"/>
  <c r="AH12" i="1"/>
  <c r="AD5" i="1"/>
  <c r="AH5" i="1"/>
  <c r="AJ5" i="1"/>
  <c r="AI5" i="1" s="1"/>
  <c r="AC5" i="1"/>
  <c r="T5" i="1"/>
  <c r="V5" i="1" s="1"/>
  <c r="W5" i="1"/>
  <c r="AP8" i="2" l="1"/>
  <c r="AM8" i="2"/>
  <c r="AN8" i="2"/>
  <c r="AO8" i="2"/>
  <c r="Z8" i="2"/>
  <c r="AL8" i="2"/>
  <c r="AO15" i="2"/>
  <c r="AP15" i="2"/>
  <c r="AL15" i="2"/>
  <c r="AN15" i="2"/>
  <c r="Z15" i="2"/>
  <c r="AM15" i="2"/>
  <c r="AP18" i="2"/>
  <c r="AL18" i="2"/>
  <c r="AN18" i="2"/>
  <c r="AO18" i="2"/>
  <c r="Z18" i="2"/>
  <c r="AM18" i="2"/>
  <c r="AP14" i="2"/>
  <c r="AL14" i="2"/>
  <c r="AN14" i="2"/>
  <c r="AO14" i="2"/>
  <c r="Z14" i="2"/>
  <c r="AM14" i="2"/>
  <c r="AP9" i="2"/>
  <c r="AL9" i="2"/>
  <c r="AN9" i="2"/>
  <c r="AM9" i="2"/>
  <c r="AO9" i="2"/>
  <c r="Z9" i="2"/>
  <c r="AM5" i="1"/>
  <c r="AL5" i="1"/>
  <c r="AK5" i="1"/>
  <c r="AN5" i="1"/>
  <c r="AO5" i="1"/>
  <c r="AO10" i="1"/>
  <c r="AN10" i="1"/>
  <c r="AL10" i="1"/>
  <c r="AM10" i="1"/>
  <c r="AK10" i="1"/>
  <c r="AL11" i="1"/>
  <c r="AO11" i="1"/>
  <c r="AN11" i="1"/>
  <c r="AK11" i="1"/>
  <c r="AM11" i="1"/>
  <c r="Y11" i="1"/>
  <c r="AL13" i="1"/>
  <c r="AM13" i="1"/>
  <c r="AO13" i="1"/>
  <c r="AN13" i="1"/>
  <c r="AK13" i="1"/>
  <c r="AO9" i="1"/>
  <c r="AN9" i="1"/>
  <c r="AM9" i="1"/>
  <c r="AL9" i="1"/>
  <c r="AK9" i="1"/>
  <c r="AL12" i="1"/>
  <c r="AN12" i="1"/>
  <c r="AM12" i="1"/>
  <c r="AO12" i="1"/>
  <c r="AK12" i="1"/>
  <c r="AL14" i="1"/>
  <c r="AO14" i="1"/>
  <c r="AN14" i="1"/>
  <c r="Y14" i="1"/>
  <c r="AM14" i="1"/>
  <c r="AK14" i="1"/>
  <c r="AN19" i="1"/>
  <c r="Y19" i="1"/>
  <c r="AM19" i="1"/>
  <c r="AO19" i="1"/>
  <c r="AL19" i="1"/>
  <c r="AK19" i="1"/>
  <c r="AL15" i="1"/>
  <c r="AO15" i="1"/>
  <c r="AN15" i="1"/>
  <c r="AM15" i="1"/>
  <c r="AK15" i="1"/>
  <c r="Y15" i="1"/>
  <c r="AL18" i="1"/>
  <c r="AK18" i="1"/>
  <c r="AO18" i="1"/>
  <c r="AN18" i="1"/>
  <c r="Y18" i="1"/>
  <c r="AM18" i="1"/>
  <c r="Y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AB2" authorId="0" shapeId="0" xr:uid="{6D29DF84-FB0C-AF42-AABC-AA0B23FEE6C2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accounting for the production of acetate in caproate formation</t>
        </r>
      </text>
    </comment>
    <comment ref="AF2" authorId="0" shapeId="0" xr:uid="{7BEA199C-9824-4740-964D-2C7DBDBDA5CA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Based on the balance + the amount of butyrate thats needed to make the caproate (1:1)</t>
        </r>
      </text>
    </comment>
    <comment ref="AH2" authorId="0" shapeId="0" xr:uid="{9249064D-C218-6D48-B707-01312E447DC1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calculated with H2 production corrected for methane </t>
        </r>
      </text>
    </comment>
    <comment ref="A12" authorId="0" shapeId="0" xr:uid="{854B97C4-09C4-BD47-948F-E04C10C10BB2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software error so no effluent removed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AH2" authorId="0" shapeId="0" xr:uid="{073A7F43-BC2F-0048-A4E3-A8CDCA6A1ADA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Based on the balance + the amount of butyrate thats needed to make the caproate (1:1)
</t>
        </r>
      </text>
    </comment>
    <comment ref="K4" authorId="0" shapeId="0" xr:uid="{B15D8D9E-11B1-3D43-950C-78E6ECA24914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see if they should be changed to HPLC measured values</t>
        </r>
      </text>
    </comment>
    <comment ref="D7" authorId="0" shapeId="0" xr:uid="{AD68A77C-A17E-EB48-9C7E-5A9D36A5233F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similar OD as 24/8 so Cx estimated to be equal</t>
        </r>
      </text>
    </comment>
    <comment ref="A11" authorId="0" shapeId="0" xr:uid="{E43517DE-FFC5-924C-8DC9-CD36E0E2F2A2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software error so no effluent removed</t>
        </r>
      </text>
    </comment>
    <comment ref="D12" authorId="0" shapeId="0" xr:uid="{5D8C44F4-073D-B246-A223-5B404DF525D5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Estimated from VSS of previous days and proportion between ODs of the two days</t>
        </r>
      </text>
    </comment>
    <comment ref="M17" authorId="0" shapeId="0" xr:uid="{C8DBC597-ECCB-CA47-9F4C-9ACFDD490A90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measured with HPLC because GC was wrong</t>
        </r>
      </text>
    </comment>
  </commentList>
</comments>
</file>

<file path=xl/sharedStrings.xml><?xml version="1.0" encoding="utf-8"?>
<sst xmlns="http://schemas.openxmlformats.org/spreadsheetml/2006/main" count="218" uniqueCount="94">
  <si>
    <t>Sample</t>
  </si>
  <si>
    <t>VSS</t>
  </si>
  <si>
    <t>MS</t>
  </si>
  <si>
    <t>HPLC/GC end of cycle</t>
  </si>
  <si>
    <t>Start  of cycle (calc)</t>
  </si>
  <si>
    <t>Fed amounts</t>
  </si>
  <si>
    <t>% substrate consumed</t>
  </si>
  <si>
    <t>Balances</t>
  </si>
  <si>
    <t>Fractions of product</t>
  </si>
  <si>
    <t>Date</t>
  </si>
  <si>
    <t>Cycles</t>
  </si>
  <si>
    <t>Biomass</t>
  </si>
  <si>
    <t>H2 cum</t>
  </si>
  <si>
    <t>H2 corrected for CH4</t>
  </si>
  <si>
    <t>CH4 estimation</t>
  </si>
  <si>
    <t>CO2 cum</t>
  </si>
  <si>
    <t>CO2 liq</t>
  </si>
  <si>
    <t>Butyrate</t>
  </si>
  <si>
    <t>Acetate</t>
  </si>
  <si>
    <t>Hexanoate</t>
  </si>
  <si>
    <t>Ethanol</t>
  </si>
  <si>
    <t>Ethanol start</t>
  </si>
  <si>
    <t>Acetate start</t>
  </si>
  <si>
    <t>Vreactor</t>
  </si>
  <si>
    <t xml:space="preserve"> C consumed</t>
  </si>
  <si>
    <t>C produced</t>
  </si>
  <si>
    <t>C-bal</t>
  </si>
  <si>
    <t>e consumed</t>
  </si>
  <si>
    <t>e produced</t>
  </si>
  <si>
    <t>e-bal</t>
  </si>
  <si>
    <t>EtOH consumed</t>
  </si>
  <si>
    <t>Ac consumed</t>
  </si>
  <si>
    <t>Net ac consumption</t>
  </si>
  <si>
    <t xml:space="preserve">obs Et/Ac consumption ratio </t>
  </si>
  <si>
    <t>Et/Ac net</t>
  </si>
  <si>
    <t>But net</t>
  </si>
  <si>
    <t>But produced</t>
  </si>
  <si>
    <t>Cap produced</t>
  </si>
  <si>
    <t>EtOH/H2</t>
  </si>
  <si>
    <t>YXEtOH</t>
  </si>
  <si>
    <t>H2</t>
  </si>
  <si>
    <t>Caproate</t>
  </si>
  <si>
    <t>Methane</t>
  </si>
  <si>
    <t>[dd/mm/yy]</t>
  </si>
  <si>
    <t>[-]</t>
  </si>
  <si>
    <t>[mCmol/L]</t>
  </si>
  <si>
    <t>[mmol]</t>
  </si>
  <si>
    <t>[mM]</t>
  </si>
  <si>
    <t>%</t>
  </si>
  <si>
    <t>[L]</t>
  </si>
  <si>
    <t>[Cmol]</t>
  </si>
  <si>
    <t>[mol/mol]</t>
  </si>
  <si>
    <t>[gX/molS]</t>
  </si>
  <si>
    <t>[CmolX/molS]</t>
  </si>
  <si>
    <t>[memol/memol substrate consumed]</t>
  </si>
  <si>
    <t>no gasdata</t>
  </si>
  <si>
    <t>GC/HPLC eoc</t>
  </si>
  <si>
    <t>Cycle start (calc)</t>
  </si>
  <si>
    <t>% consumed</t>
  </si>
  <si>
    <t>cycles</t>
  </si>
  <si>
    <t>Cycles -plot</t>
  </si>
  <si>
    <t>H2 corrected for methane</t>
  </si>
  <si>
    <t>EtOH</t>
  </si>
  <si>
    <t>Ac</t>
  </si>
  <si>
    <t>Ac cons net</t>
  </si>
  <si>
    <t>Et/Ac consumption ratio</t>
  </si>
  <si>
    <t>Ac/Et net</t>
  </si>
  <si>
    <t>Et/H2</t>
  </si>
  <si>
    <t>But produced (net)</t>
  </si>
  <si>
    <t>Data for plotting</t>
  </si>
  <si>
    <t>Raw' data</t>
  </si>
  <si>
    <t>Cycle start Date and Time</t>
  </si>
  <si>
    <t>Number of cycles</t>
  </si>
  <si>
    <r>
      <rPr>
        <sz val="12"/>
        <color theme="1"/>
        <rFont val="Calibri (Body)"/>
      </rPr>
      <t>H</t>
    </r>
    <r>
      <rPr>
        <vertAlign val="subscript"/>
        <sz val="12"/>
        <color theme="1"/>
        <rFont val="Calibri"/>
        <family val="2"/>
        <scheme val="minor"/>
      </rPr>
      <t>2</t>
    </r>
  </si>
  <si>
    <r>
      <t>CH</t>
    </r>
    <r>
      <rPr>
        <vertAlign val="subscript"/>
        <sz val="12"/>
        <color theme="1"/>
        <rFont val="Calibri (Body)"/>
      </rPr>
      <t>4</t>
    </r>
  </si>
  <si>
    <r>
      <t>CO</t>
    </r>
    <r>
      <rPr>
        <vertAlign val="subscript"/>
        <sz val="12"/>
        <color theme="1"/>
        <rFont val="Calibri (Body)"/>
      </rPr>
      <t>2</t>
    </r>
  </si>
  <si>
    <t>CO2 corrected for CH4</t>
  </si>
  <si>
    <t>CH4</t>
  </si>
  <si>
    <t>CO2</t>
  </si>
  <si>
    <t>Comments</t>
  </si>
  <si>
    <t>reactor cleaning</t>
  </si>
  <si>
    <t>Feed disturbance</t>
  </si>
  <si>
    <t>Gas bottle switch</t>
  </si>
  <si>
    <t>recalculated H2</t>
  </si>
  <si>
    <t>First cycle where a bit of base dosage at the end of the cycle was needed</t>
  </si>
  <si>
    <t>reactor not effluented</t>
  </si>
  <si>
    <t>continuous BES addition from here</t>
  </si>
  <si>
    <t>no proper end of cycle</t>
  </si>
  <si>
    <t>gas production from previous substrate</t>
  </si>
  <si>
    <t>new cycle started approx 1600 with less substrate</t>
  </si>
  <si>
    <t>strongly impacted by cleaning/oxygen</t>
  </si>
  <si>
    <t>Reactor cleaning</t>
  </si>
  <si>
    <t>cyclestart at 12:45 instead of 10:45</t>
  </si>
  <si>
    <t>Gas flow correction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</si>
</sst>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yyyy\-mm\-dd;@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1F497D"/>
      <name val="Calibri"/>
      <family val="2"/>
      <scheme val="minor"/>
    </font>
    <font>
      <sz val="11"/>
      <color rgb="FFF79646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i/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2"/>
      <color theme="1"/>
      <name val="Calibri (Body)"/>
    </font>
    <font>
      <vertAlign val="subscript"/>
      <sz val="12"/>
      <color theme="1"/>
      <name val="Calibri (Body)"/>
    </font>
    <font>
      <sz val="12"/>
      <color rgb="FF000000"/>
      <name val="Helvetica Neue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D8E4BC"/>
        <bgColor rgb="FF000000"/>
      </patternFill>
    </fill>
    <fill>
      <patternFill patternType="solid">
        <fgColor rgb="FFD9E5B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rgb="FF95B3D7"/>
      </bottom>
      <diagonal/>
    </border>
    <border>
      <left/>
      <right style="thin">
        <color indexed="64"/>
      </right>
      <top/>
      <bottom style="medium">
        <color rgb="FF95B3D7"/>
      </bottom>
      <diagonal/>
    </border>
    <border>
      <left style="thin">
        <color indexed="64"/>
      </left>
      <right style="thin">
        <color indexed="64"/>
      </right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/>
      <top style="thin">
        <color indexed="64"/>
      </top>
      <bottom style="medium">
        <color rgb="FF95B3D7"/>
      </bottom>
      <diagonal/>
    </border>
    <border>
      <left style="thin">
        <color indexed="64"/>
      </left>
      <right/>
      <top style="thin">
        <color indexed="64"/>
      </top>
      <bottom style="medium">
        <color rgb="FF95B3D7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rgb="FF95B3D7"/>
      </top>
      <bottom/>
      <diagonal/>
    </border>
    <border>
      <left/>
      <right/>
      <top style="medium">
        <color rgb="FF95B3D7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2" fillId="2" borderId="0" applyNumberFormat="0" applyBorder="0" applyAlignment="0" applyProtection="0"/>
  </cellStyleXfs>
  <cellXfs count="78">
    <xf numFmtId="0" fontId="0" fillId="0" borderId="0" xfId="0"/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1" fillId="6" borderId="1" xfId="4" applyFill="1" applyBorder="1" applyAlignment="1">
      <alignment horizontal="center"/>
    </xf>
    <xf numFmtId="0" fontId="1" fillId="6" borderId="4" xfId="4" applyFill="1" applyBorder="1" applyAlignment="1">
      <alignment horizontal="center"/>
    </xf>
    <xf numFmtId="0" fontId="1" fillId="6" borderId="2" xfId="4" applyFill="1" applyBorder="1" applyAlignment="1">
      <alignment horizontal="center"/>
    </xf>
    <xf numFmtId="0" fontId="1" fillId="6" borderId="0" xfId="4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center"/>
    </xf>
    <xf numFmtId="16" fontId="0" fillId="0" borderId="0" xfId="0" applyNumberFormat="1"/>
    <xf numFmtId="164" fontId="4" fillId="0" borderId="14" xfId="0" applyNumberFormat="1" applyFont="1" applyBorder="1" applyAlignment="1">
      <alignment horizontal="center"/>
    </xf>
    <xf numFmtId="164" fontId="3" fillId="3" borderId="15" xfId="3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5" fontId="6" fillId="0" borderId="15" xfId="0" applyNumberFormat="1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164" fontId="7" fillId="0" borderId="13" xfId="0" applyNumberFormat="1" applyFon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9" fontId="0" fillId="0" borderId="13" xfId="1" applyFont="1" applyBorder="1" applyAlignment="1">
      <alignment horizontal="center"/>
    </xf>
    <xf numFmtId="9" fontId="0" fillId="0" borderId="0" xfId="1" applyFont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9" fontId="4" fillId="0" borderId="0" xfId="1" applyFont="1" applyBorder="1"/>
    <xf numFmtId="2" fontId="4" fillId="0" borderId="13" xfId="0" applyNumberFormat="1" applyFont="1" applyBorder="1"/>
    <xf numFmtId="2" fontId="4" fillId="0" borderId="0" xfId="0" applyNumberFormat="1" applyFont="1"/>
    <xf numFmtId="2" fontId="4" fillId="0" borderId="14" xfId="0" applyNumberFormat="1" applyFont="1" applyBorder="1"/>
    <xf numFmtId="165" fontId="0" fillId="0" borderId="0" xfId="0" applyNumberFormat="1" applyAlignment="1">
      <alignment horizontal="center"/>
    </xf>
    <xf numFmtId="164" fontId="4" fillId="0" borderId="15" xfId="0" applyNumberFormat="1" applyFont="1" applyBorder="1" applyAlignment="1">
      <alignment horizontal="center"/>
    </xf>
    <xf numFmtId="165" fontId="4" fillId="0" borderId="15" xfId="0" applyNumberFormat="1" applyFon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7" fillId="0" borderId="16" xfId="0" applyNumberFormat="1" applyFont="1" applyBorder="1" applyAlignment="1">
      <alignment horizontal="center"/>
    </xf>
    <xf numFmtId="164" fontId="7" fillId="0" borderId="17" xfId="0" applyNumberFormat="1" applyFont="1" applyBorder="1" applyAlignment="1">
      <alignment horizontal="center"/>
    </xf>
    <xf numFmtId="9" fontId="3" fillId="3" borderId="0" xfId="3" applyNumberFormat="1" applyBorder="1"/>
    <xf numFmtId="9" fontId="0" fillId="0" borderId="0" xfId="1" applyFont="1"/>
    <xf numFmtId="164" fontId="8" fillId="0" borderId="0" xfId="0" applyNumberFormat="1" applyFont="1" applyAlignment="1">
      <alignment horizontal="center"/>
    </xf>
    <xf numFmtId="166" fontId="4" fillId="0" borderId="13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164" fontId="2" fillId="2" borderId="17" xfId="2" applyNumberFormat="1" applyBorder="1" applyAlignment="1">
      <alignment horizontal="center"/>
    </xf>
    <xf numFmtId="16" fontId="4" fillId="0" borderId="13" xfId="0" applyNumberFormat="1" applyFon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4" xfId="0" applyNumberFormat="1" applyBorder="1" applyAlignment="1">
      <alignment horizontal="center"/>
    </xf>
    <xf numFmtId="4" fontId="8" fillId="0" borderId="0" xfId="0" applyNumberFormat="1" applyFont="1" applyAlignment="1">
      <alignment horizontal="center"/>
    </xf>
    <xf numFmtId="9" fontId="2" fillId="2" borderId="0" xfId="5" applyNumberFormat="1"/>
    <xf numFmtId="9" fontId="2" fillId="2" borderId="0" xfId="5" applyNumberFormat="1" applyBorder="1"/>
    <xf numFmtId="164" fontId="2" fillId="2" borderId="18" xfId="2" applyNumberFormat="1" applyBorder="1" applyAlignment="1">
      <alignment horizontal="center"/>
    </xf>
    <xf numFmtId="9" fontId="1" fillId="0" borderId="0" xfId="1"/>
    <xf numFmtId="1" fontId="0" fillId="0" borderId="0" xfId="0" applyNumberFormat="1"/>
    <xf numFmtId="2" fontId="2" fillId="2" borderId="0" xfId="5" applyNumberFormat="1" applyAlignment="1">
      <alignment horizontal="center"/>
    </xf>
    <xf numFmtId="164" fontId="11" fillId="0" borderId="0" xfId="0" applyNumberFormat="1" applyFont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9" fontId="0" fillId="0" borderId="0" xfId="1" applyFont="1" applyBorder="1" applyAlignment="1">
      <alignment horizontal="center"/>
    </xf>
    <xf numFmtId="164" fontId="2" fillId="2" borderId="0" xfId="5" applyNumberFormat="1" applyAlignment="1">
      <alignment horizontal="center"/>
    </xf>
    <xf numFmtId="164" fontId="2" fillId="2" borderId="0" xfId="2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12" fillId="0" borderId="0" xfId="0" applyFont="1"/>
    <xf numFmtId="22" fontId="0" fillId="0" borderId="0" xfId="0" applyNumberFormat="1"/>
    <xf numFmtId="0" fontId="2" fillId="2" borderId="0" xfId="5" applyAlignment="1">
      <alignment horizontal="center"/>
    </xf>
    <xf numFmtId="3" fontId="15" fillId="0" borderId="0" xfId="0" applyNumberFormat="1" applyFont="1"/>
    <xf numFmtId="0" fontId="15" fillId="0" borderId="0" xfId="0" applyFont="1"/>
    <xf numFmtId="3" fontId="0" fillId="0" borderId="0" xfId="0" applyNumberFormat="1"/>
    <xf numFmtId="0" fontId="2" fillId="2" borderId="0" xfId="5" applyAlignment="1">
      <alignment horizontal="center" vertical="center"/>
    </xf>
  </cellXfs>
  <cellStyles count="6">
    <cellStyle name="40% - Accent6" xfId="4" builtinId="51"/>
    <cellStyle name="Bad 2" xfId="5" xr:uid="{2F8DC46D-387E-FD49-82D1-220C04852E11}"/>
    <cellStyle name="Neutraal" xfId="3" builtinId="28"/>
    <cellStyle name="Ongeldig" xfId="2" builtinId="27"/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Volumes/FREECOM%20HDD/PhD/Experiments/Chain%20elongation%20enrichment/Chain%20Elongation.xlsx" TargetMode="External"/><Relationship Id="rId1" Type="http://schemas.openxmlformats.org/officeDocument/2006/relationships/externalLinkPath" Target="/Volumes/FREECOM%20HDD/PhD/Experiments/Chain%20elongation%20enrichment/Chain%20Elong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hermodynamics"/>
      <sheetName val="Thermo summary"/>
      <sheetName val="Enrichment medium"/>
      <sheetName val="TSS VSS R1"/>
      <sheetName val="TSS VSS R2"/>
      <sheetName val="ODs"/>
      <sheetName val="HPLC"/>
      <sheetName val="Gas R1"/>
      <sheetName val="Gas R2"/>
      <sheetName val="Gas pH 6"/>
      <sheetName val="R1 over time"/>
      <sheetName val="R2 over time"/>
      <sheetName val="pH 6"/>
      <sheetName val="R1 vs R2"/>
      <sheetName val="Sheet1"/>
      <sheetName val="Stoichiometries"/>
      <sheetName val="Cyclemeasurements"/>
      <sheetName val="Enrichment over time"/>
      <sheetName val="Base"/>
      <sheetName val="Cyclemeasurement 11.06"/>
      <sheetName val="Cyclemeasurement 24.06"/>
      <sheetName val="pKa"/>
      <sheetName val="Sheet4"/>
      <sheetName val="R2 HPLC"/>
      <sheetName val="R2 over time HPLC"/>
    </sheetNames>
    <sheetDataSet>
      <sheetData sheetId="0"/>
      <sheetData sheetId="1"/>
      <sheetData sheetId="2">
        <row r="32">
          <cell r="F32">
            <v>22.563760944544342</v>
          </cell>
        </row>
        <row r="33">
          <cell r="F33">
            <v>134.44168994349877</v>
          </cell>
        </row>
      </sheetData>
      <sheetData sheetId="3">
        <row r="42">
          <cell r="M42">
            <v>13.856193950395323</v>
          </cell>
        </row>
        <row r="44">
          <cell r="M44">
            <v>18.536327767783931</v>
          </cell>
        </row>
        <row r="46">
          <cell r="M46">
            <v>20.864929115877285</v>
          </cell>
        </row>
        <row r="48">
          <cell r="M48">
            <v>15.463045391007137</v>
          </cell>
        </row>
        <row r="50">
          <cell r="M50">
            <v>17.014555993356993</v>
          </cell>
        </row>
        <row r="52">
          <cell r="M52">
            <v>15.93910878850377</v>
          </cell>
        </row>
        <row r="54">
          <cell r="M54">
            <v>20.03175880253772</v>
          </cell>
        </row>
        <row r="56">
          <cell r="M56">
            <v>27.389533401671567</v>
          </cell>
        </row>
      </sheetData>
      <sheetData sheetId="4"/>
      <sheetData sheetId="5"/>
      <sheetData sheetId="6"/>
      <sheetData sheetId="7"/>
      <sheetData sheetId="8">
        <row r="66">
          <cell r="L66">
            <v>13.075236489270386</v>
          </cell>
        </row>
        <row r="70">
          <cell r="L70">
            <v>13.546265578326182</v>
          </cell>
        </row>
        <row r="82">
          <cell r="L82">
            <v>14.190247982832618</v>
          </cell>
        </row>
        <row r="92">
          <cell r="L92">
            <v>14.639068973175966</v>
          </cell>
        </row>
        <row r="98">
          <cell r="L98">
            <v>14.371088320815451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93F0D-36A1-6446-9BEB-0D99A5AE40F1}">
  <dimension ref="A1:AO20"/>
  <sheetViews>
    <sheetView tabSelected="1" topLeftCell="Y1" workbookViewId="0">
      <selection activeCell="AJ29" sqref="AJ29"/>
    </sheetView>
  </sheetViews>
  <sheetFormatPr baseColWidth="10" defaultRowHeight="16" x14ac:dyDescent="0.2"/>
  <sheetData>
    <row r="1" spans="1:41" x14ac:dyDescent="0.2">
      <c r="A1" s="1" t="s">
        <v>0</v>
      </c>
      <c r="B1" s="2"/>
      <c r="C1" s="3" t="s">
        <v>1</v>
      </c>
      <c r="D1" s="4" t="s">
        <v>2</v>
      </c>
      <c r="E1" s="4"/>
      <c r="F1" s="4"/>
      <c r="G1" s="2"/>
      <c r="H1" s="3"/>
      <c r="I1" s="4" t="s">
        <v>3</v>
      </c>
      <c r="J1" s="4"/>
      <c r="K1" s="4"/>
      <c r="L1" s="4"/>
      <c r="M1" s="1" t="s">
        <v>4</v>
      </c>
      <c r="N1" s="2"/>
      <c r="O1" s="1" t="s">
        <v>5</v>
      </c>
      <c r="P1" s="4"/>
      <c r="Q1" s="1" t="s">
        <v>6</v>
      </c>
      <c r="R1" s="2"/>
      <c r="S1" s="1" t="s">
        <v>7</v>
      </c>
      <c r="T1" s="4"/>
      <c r="U1" s="4"/>
      <c r="V1" s="4"/>
      <c r="W1" s="4"/>
      <c r="X1" s="4"/>
      <c r="Y1" s="4"/>
      <c r="Z1" s="5"/>
      <c r="AA1" s="6"/>
      <c r="AB1" s="6"/>
      <c r="AC1" s="6"/>
      <c r="AD1" s="6"/>
      <c r="AE1" s="6"/>
      <c r="AF1" s="6"/>
      <c r="AG1" s="6"/>
      <c r="AH1" s="6"/>
      <c r="AI1" s="6"/>
      <c r="AJ1" s="7"/>
      <c r="AK1" s="8" t="s">
        <v>8</v>
      </c>
      <c r="AL1" s="9"/>
      <c r="AM1" s="9"/>
      <c r="AN1" s="10"/>
      <c r="AO1" s="11"/>
    </row>
    <row r="2" spans="1:41" ht="17" thickBot="1" x14ac:dyDescent="0.25">
      <c r="A2" s="12" t="s">
        <v>9</v>
      </c>
      <c r="B2" s="13" t="s">
        <v>10</v>
      </c>
      <c r="C2" s="14" t="s">
        <v>11</v>
      </c>
      <c r="D2" s="15" t="s">
        <v>12</v>
      </c>
      <c r="E2" s="15" t="s">
        <v>13</v>
      </c>
      <c r="F2" s="15" t="s">
        <v>14</v>
      </c>
      <c r="G2" s="15" t="s">
        <v>15</v>
      </c>
      <c r="H2" s="14" t="s">
        <v>16</v>
      </c>
      <c r="I2" s="15" t="s">
        <v>17</v>
      </c>
      <c r="J2" s="15" t="s">
        <v>18</v>
      </c>
      <c r="K2" s="15" t="s">
        <v>19</v>
      </c>
      <c r="L2" s="16" t="s">
        <v>20</v>
      </c>
      <c r="M2" s="17" t="s">
        <v>21</v>
      </c>
      <c r="N2" s="16" t="s">
        <v>22</v>
      </c>
      <c r="O2" s="17" t="s">
        <v>18</v>
      </c>
      <c r="P2" s="15" t="s">
        <v>20</v>
      </c>
      <c r="Q2" s="12" t="s">
        <v>20</v>
      </c>
      <c r="R2" s="15" t="s">
        <v>18</v>
      </c>
      <c r="S2" s="12" t="s">
        <v>23</v>
      </c>
      <c r="T2" s="15" t="s">
        <v>24</v>
      </c>
      <c r="U2" s="15" t="s">
        <v>25</v>
      </c>
      <c r="V2" s="15" t="s">
        <v>26</v>
      </c>
      <c r="W2" s="15" t="s">
        <v>27</v>
      </c>
      <c r="X2" s="15" t="s">
        <v>28</v>
      </c>
      <c r="Y2" s="15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39</v>
      </c>
      <c r="AK2" s="18" t="s">
        <v>11</v>
      </c>
      <c r="AL2" s="18" t="s">
        <v>40</v>
      </c>
      <c r="AM2" s="18" t="s">
        <v>17</v>
      </c>
      <c r="AN2" s="18" t="s">
        <v>41</v>
      </c>
      <c r="AO2" s="19" t="s">
        <v>42</v>
      </c>
    </row>
    <row r="3" spans="1:41" ht="17" thickBot="1" x14ac:dyDescent="0.25">
      <c r="A3" s="12" t="s">
        <v>43</v>
      </c>
      <c r="B3" s="13" t="s">
        <v>44</v>
      </c>
      <c r="C3" s="14" t="s">
        <v>45</v>
      </c>
      <c r="D3" s="15" t="s">
        <v>46</v>
      </c>
      <c r="E3" s="15" t="s">
        <v>46</v>
      </c>
      <c r="F3" s="15" t="s">
        <v>46</v>
      </c>
      <c r="G3" s="15" t="s">
        <v>46</v>
      </c>
      <c r="H3" s="14" t="s">
        <v>46</v>
      </c>
      <c r="I3" s="15" t="s">
        <v>47</v>
      </c>
      <c r="J3" s="15" t="s">
        <v>47</v>
      </c>
      <c r="K3" s="15" t="s">
        <v>47</v>
      </c>
      <c r="L3" s="15" t="s">
        <v>47</v>
      </c>
      <c r="M3" s="12" t="s">
        <v>47</v>
      </c>
      <c r="N3" s="15" t="s">
        <v>47</v>
      </c>
      <c r="O3" s="12" t="s">
        <v>46</v>
      </c>
      <c r="P3" s="15" t="s">
        <v>46</v>
      </c>
      <c r="Q3" s="12" t="s">
        <v>48</v>
      </c>
      <c r="R3" s="15" t="s">
        <v>48</v>
      </c>
      <c r="S3" s="12" t="s">
        <v>49</v>
      </c>
      <c r="T3" s="15" t="s">
        <v>50</v>
      </c>
      <c r="U3" s="15" t="s">
        <v>50</v>
      </c>
      <c r="V3" s="15" t="s">
        <v>44</v>
      </c>
      <c r="W3" s="15" t="s">
        <v>44</v>
      </c>
      <c r="X3" s="15"/>
      <c r="Y3" s="15"/>
      <c r="Z3" s="13" t="s">
        <v>46</v>
      </c>
      <c r="AA3" s="13" t="s">
        <v>46</v>
      </c>
      <c r="AB3" s="13" t="s">
        <v>46</v>
      </c>
      <c r="AC3" s="13" t="s">
        <v>51</v>
      </c>
      <c r="AD3" s="13"/>
      <c r="AE3" s="13"/>
      <c r="AF3" s="13" t="s">
        <v>46</v>
      </c>
      <c r="AG3" s="13" t="s">
        <v>46</v>
      </c>
      <c r="AH3" s="13" t="s">
        <v>51</v>
      </c>
      <c r="AI3" s="13" t="s">
        <v>52</v>
      </c>
      <c r="AJ3" s="13" t="s">
        <v>53</v>
      </c>
      <c r="AK3" s="20" t="s">
        <v>54</v>
      </c>
      <c r="AL3" s="21"/>
      <c r="AM3" s="21"/>
      <c r="AN3" s="21"/>
      <c r="AO3" s="21"/>
    </row>
    <row r="4" spans="1:41" x14ac:dyDescent="0.2">
      <c r="A4" s="22">
        <v>44057</v>
      </c>
      <c r="B4" s="23">
        <f>2*(A4-$H$1)</f>
        <v>88114</v>
      </c>
      <c r="C4" s="24">
        <f>C5</f>
        <v>13.856193950395323</v>
      </c>
      <c r="D4" s="25">
        <v>15.486376</v>
      </c>
      <c r="E4" s="25">
        <f>D4+4*F4</f>
        <v>16.776388000000001</v>
      </c>
      <c r="F4" s="25">
        <v>0.32250299999999998</v>
      </c>
      <c r="G4" s="25">
        <v>-3.7996569999999998</v>
      </c>
      <c r="H4" s="26"/>
      <c r="I4" s="27">
        <v>17.751289505101489</v>
      </c>
      <c r="J4" s="27">
        <v>21.163472736529101</v>
      </c>
      <c r="K4" s="27">
        <v>41.159744289385714</v>
      </c>
      <c r="L4" s="27">
        <v>130.5878340724928</v>
      </c>
      <c r="M4" s="28">
        <f>L4/2+P4</f>
        <v>199.73560697974517</v>
      </c>
      <c r="N4" s="27">
        <f>J4/2+O4</f>
        <v>33.145497312808892</v>
      </c>
      <c r="O4" s="29">
        <f>'[1]Enrichment medium'!$F$32</f>
        <v>22.563760944544342</v>
      </c>
      <c r="P4" s="25">
        <f>'[1]Enrichment medium'!$F$33</f>
        <v>134.44168994349877</v>
      </c>
      <c r="Q4" s="30">
        <f>(M4-L4)/M4</f>
        <v>0.34619652425951536</v>
      </c>
      <c r="R4" s="31">
        <f>(N4-J4)/N4</f>
        <v>0.36149780657083108</v>
      </c>
      <c r="S4" s="32">
        <v>1</v>
      </c>
      <c r="T4" s="33">
        <f t="shared" ref="T4:T20" si="0">2*Z4+2*AA4-G4</f>
        <v>166.05925196706434</v>
      </c>
      <c r="U4" s="34">
        <f t="shared" ref="U4:U15" si="1">(K4*6+I4*4+C4)/2+F4</f>
        <v>166.23241185355781</v>
      </c>
      <c r="V4" s="35">
        <f>U4/T4</f>
        <v>1.0010427596441769</v>
      </c>
      <c r="W4" s="34">
        <f>8*AA4+12*Z4</f>
        <v>925.62947149726688</v>
      </c>
      <c r="X4" s="34">
        <f t="shared" ref="X4:X15" si="2">((K4*32+I4*20+C4*4.2)/2)+D4*2+F4*8</f>
        <v>898.71958697701643</v>
      </c>
      <c r="Y4" s="35">
        <f>X4/W4</f>
        <v>0.97092801671848028</v>
      </c>
      <c r="Z4" s="36">
        <f t="shared" ref="Z4:Z20" si="3">(P4+(L4/2)-L4)</f>
        <v>69.147772907252374</v>
      </c>
      <c r="AA4" s="37">
        <f t="shared" ref="AA4:AA20" si="4">(O4+(J4/2)-J4)</f>
        <v>11.982024576279791</v>
      </c>
      <c r="AB4" s="37">
        <f>AA4+AG4*0.2</f>
        <v>16.097999005218362</v>
      </c>
      <c r="AC4" s="37">
        <f>Z4/AA4</f>
        <v>5.770959028421685</v>
      </c>
      <c r="AD4" s="37">
        <f>Z4/AB4</f>
        <v>4.295426585927685</v>
      </c>
      <c r="AE4" s="37">
        <f t="shared" ref="AE4:AE20" si="5">I4/2</f>
        <v>8.8756447525507447</v>
      </c>
      <c r="AF4" s="37">
        <f t="shared" ref="AF4:AF20" si="6">AG4+I4/2</f>
        <v>29.455516897243601</v>
      </c>
      <c r="AG4" s="37">
        <f t="shared" ref="AG4:AG20" si="7">K4/2</f>
        <v>20.579872144692857</v>
      </c>
      <c r="AH4" s="37">
        <f>Z4/E4</f>
        <v>4.1217318595190076</v>
      </c>
      <c r="AI4" s="37">
        <f>AJ4*24.6</f>
        <v>2.4647386086962069</v>
      </c>
      <c r="AJ4" s="38">
        <f>C4/2/Z4</f>
        <v>0.1001926263697645</v>
      </c>
      <c r="AK4" s="39">
        <f>C4*4.2/W4/2</f>
        <v>3.1435912740291456E-2</v>
      </c>
      <c r="AL4" s="39">
        <f>D4*2/W4</f>
        <v>3.3461285485972617E-2</v>
      </c>
      <c r="AM4" s="39">
        <f>I4*20/W4/2</f>
        <v>0.19177532751185639</v>
      </c>
      <c r="AN4" s="39">
        <f>K4*32/W4/2</f>
        <v>0.71146817264246531</v>
      </c>
      <c r="AO4" s="39">
        <f>F4*8/W4</f>
        <v>2.7873183378945795E-3</v>
      </c>
    </row>
    <row r="5" spans="1:41" x14ac:dyDescent="0.2">
      <c r="A5" s="22">
        <v>44060</v>
      </c>
      <c r="B5" s="23">
        <f t="shared" ref="B5:B20" si="8">2*(A5-$H$1)</f>
        <v>88120</v>
      </c>
      <c r="C5" s="40">
        <f>'[1]TSS VSS R1'!M42</f>
        <v>13.856193950395323</v>
      </c>
      <c r="D5" s="25">
        <v>24.773149</v>
      </c>
      <c r="E5" s="25">
        <f t="shared" ref="E5:E16" si="9">D5+4*F5</f>
        <v>28.981005</v>
      </c>
      <c r="F5" s="25">
        <v>1.0519639999999999</v>
      </c>
      <c r="G5" s="25">
        <v>-4.413551</v>
      </c>
      <c r="H5" s="41"/>
      <c r="I5" s="27">
        <v>16.325262262060225</v>
      </c>
      <c r="J5" s="27">
        <v>16.139939594934717</v>
      </c>
      <c r="K5" s="27">
        <v>56.413045324361036</v>
      </c>
      <c r="L5" s="27">
        <v>88.612830217421504</v>
      </c>
      <c r="M5" s="28">
        <f t="shared" ref="M5:M20" si="10">L5/2+P5</f>
        <v>178.74810505220952</v>
      </c>
      <c r="N5" s="27">
        <f t="shared" ref="N5:N20" si="11">J5/2+O5</f>
        <v>30.6337307420117</v>
      </c>
      <c r="O5" s="29">
        <f>'[1]Enrichment medium'!$F$32</f>
        <v>22.563760944544342</v>
      </c>
      <c r="P5" s="25">
        <f>'[1]Enrichment medium'!$F$33</f>
        <v>134.44168994349877</v>
      </c>
      <c r="Q5" s="30">
        <f t="shared" ref="Q5:Q20" si="12">(M5-L5)/M5</f>
        <v>0.50425863148849004</v>
      </c>
      <c r="R5" s="31">
        <f t="shared" ref="R5:R20" si="13">(N5-J5)/N5</f>
        <v>0.4731317667162202</v>
      </c>
      <c r="S5" s="32">
        <v>1</v>
      </c>
      <c r="T5" s="33">
        <f t="shared" si="0"/>
        <v>213.67168296373003</v>
      </c>
      <c r="U5" s="34">
        <f t="shared" si="1"/>
        <v>209.86972147240121</v>
      </c>
      <c r="V5" s="35">
        <f t="shared" ref="V5:V20" si="14">U5/T5</f>
        <v>0.98220652620602888</v>
      </c>
      <c r="W5" s="34">
        <f t="shared" ref="W5:W20" si="15">8*AA5+12*Z5</f>
        <v>1197.5736271940723</v>
      </c>
      <c r="X5" s="34">
        <f t="shared" si="2"/>
        <v>1152.9213651062091</v>
      </c>
      <c r="Y5" s="35">
        <f t="shared" ref="Y5:Y9" si="16">X5/W5</f>
        <v>0.96271439093687805</v>
      </c>
      <c r="Z5" s="36">
        <f t="shared" si="3"/>
        <v>90.135274834788021</v>
      </c>
      <c r="AA5" s="37">
        <f t="shared" si="4"/>
        <v>14.493791147076983</v>
      </c>
      <c r="AB5" s="37">
        <f t="shared" ref="AB5:AB20" si="17">AA5+AG5*0.2</f>
        <v>20.135095679513086</v>
      </c>
      <c r="AC5" s="37">
        <f t="shared" ref="AC5:AC20" si="18">Z5/AA5</f>
        <v>6.2188887586506958</v>
      </c>
      <c r="AD5" s="37">
        <f t="shared" ref="AD5:AD20" si="19">Z5/AB5</f>
        <v>4.4765257771532827</v>
      </c>
      <c r="AE5" s="37">
        <f t="shared" si="5"/>
        <v>8.1626311310301123</v>
      </c>
      <c r="AF5" s="37">
        <f t="shared" si="6"/>
        <v>36.369153793210629</v>
      </c>
      <c r="AG5" s="37">
        <f t="shared" si="7"/>
        <v>28.206522662180518</v>
      </c>
      <c r="AH5" s="37">
        <f>Z5/E5</f>
        <v>3.1101500736357495</v>
      </c>
      <c r="AI5" s="37">
        <f>AJ5*24.6</f>
        <v>1.8908378090847511</v>
      </c>
      <c r="AJ5" s="38">
        <f>C5/2/Z5</f>
        <v>7.686332557255085E-2</v>
      </c>
      <c r="AK5" s="39">
        <f>C5*4.2/W5/2</f>
        <v>2.4297468343559902E-2</v>
      </c>
      <c r="AL5" s="39">
        <f>D5*2/W5</f>
        <v>4.1372235389057037E-2</v>
      </c>
      <c r="AM5" s="39">
        <f>I5*20/W5/2</f>
        <v>0.13631948709751138</v>
      </c>
      <c r="AN5" s="39">
        <f>K5*32/W5/2</f>
        <v>0.75369789772725571</v>
      </c>
      <c r="AO5" s="39">
        <f>F5*8/W5</f>
        <v>7.0273023794938617E-3</v>
      </c>
    </row>
    <row r="6" spans="1:41" x14ac:dyDescent="0.2">
      <c r="A6" s="22">
        <v>44062</v>
      </c>
      <c r="B6" s="23">
        <f t="shared" si="8"/>
        <v>88124</v>
      </c>
      <c r="C6" s="24">
        <f>AVERAGE(C5,C7)</f>
        <v>16.196260859089627</v>
      </c>
      <c r="D6" s="25">
        <v>25.690815000000001</v>
      </c>
      <c r="E6" s="25">
        <f t="shared" si="9"/>
        <v>30.452511000000001</v>
      </c>
      <c r="F6" s="25">
        <v>1.1904239999999999</v>
      </c>
      <c r="G6" s="25">
        <v>-4.922688</v>
      </c>
      <c r="H6" s="41"/>
      <c r="I6" s="27">
        <v>16.837690186681847</v>
      </c>
      <c r="J6" s="27">
        <v>14.839625155111541</v>
      </c>
      <c r="K6" s="27">
        <v>58.423421347741879</v>
      </c>
      <c r="L6" s="27">
        <v>84.342023010801981</v>
      </c>
      <c r="M6" s="28">
        <f t="shared" si="10"/>
        <v>176.61270144889977</v>
      </c>
      <c r="N6" s="27">
        <f t="shared" si="11"/>
        <v>29.983573522100112</v>
      </c>
      <c r="O6" s="29">
        <f>'[1]Enrichment medium'!$F$32</f>
        <v>22.563760944544342</v>
      </c>
      <c r="P6" s="25">
        <f>'[1]Enrichment medium'!$F$33</f>
        <v>134.44168994349877</v>
      </c>
      <c r="Q6" s="30">
        <f t="shared" si="12"/>
        <v>0.52244644740228341</v>
      </c>
      <c r="R6" s="31">
        <f t="shared" si="13"/>
        <v>0.50507483225194494</v>
      </c>
      <c r="S6" s="32">
        <v>1</v>
      </c>
      <c r="T6" s="33">
        <f t="shared" si="0"/>
        <v>219.75194161017271</v>
      </c>
      <c r="U6" s="34">
        <f t="shared" si="1"/>
        <v>218.23419884613418</v>
      </c>
      <c r="V6" s="35">
        <f t="shared" si="14"/>
        <v>0.99309338177893813</v>
      </c>
      <c r="W6" s="34">
        <f t="shared" si="15"/>
        <v>1228.3997281930822</v>
      </c>
      <c r="X6" s="34">
        <f t="shared" si="2"/>
        <v>1198.0688132347771</v>
      </c>
      <c r="Y6" s="35">
        <f t="shared" si="16"/>
        <v>0.97530859518918933</v>
      </c>
      <c r="Z6" s="36">
        <f t="shared" si="3"/>
        <v>92.270678438097789</v>
      </c>
      <c r="AA6" s="37">
        <f t="shared" si="4"/>
        <v>15.143948366988571</v>
      </c>
      <c r="AB6" s="37">
        <f t="shared" si="17"/>
        <v>20.98629050176276</v>
      </c>
      <c r="AC6" s="37">
        <f t="shared" si="18"/>
        <v>6.0929076223763001</v>
      </c>
      <c r="AD6" s="37">
        <f t="shared" si="19"/>
        <v>4.3967121502653095</v>
      </c>
      <c r="AE6" s="37">
        <f t="shared" si="5"/>
        <v>8.4188450933409236</v>
      </c>
      <c r="AF6" s="37">
        <f t="shared" si="6"/>
        <v>37.63055576721186</v>
      </c>
      <c r="AG6" s="37">
        <f t="shared" si="7"/>
        <v>29.21171067387094</v>
      </c>
      <c r="AH6" s="37">
        <f>Z6/E6</f>
        <v>3.0299858832034503</v>
      </c>
      <c r="AI6" s="37">
        <f>AJ6*24.6</f>
        <v>2.1590174900518408</v>
      </c>
      <c r="AJ6" s="38">
        <f>C6/2/Z6</f>
        <v>8.7764938619993529E-2</v>
      </c>
      <c r="AK6" s="39">
        <f>C6*4.2/W6/2</f>
        <v>2.7688175944257553E-2</v>
      </c>
      <c r="AL6" s="39">
        <f>D6*2/W6</f>
        <v>4.1828102710165807E-2</v>
      </c>
      <c r="AM6" s="39">
        <f>I6*20/W6/2</f>
        <v>0.13707012302460608</v>
      </c>
      <c r="AN6" s="39">
        <f>K6*32/W6/2</f>
        <v>0.76096951188590656</v>
      </c>
      <c r="AO6" s="39">
        <f>F6*8/W6</f>
        <v>7.752681624253091E-3</v>
      </c>
    </row>
    <row r="7" spans="1:41" x14ac:dyDescent="0.2">
      <c r="A7" s="22">
        <v>44067</v>
      </c>
      <c r="B7" s="23">
        <f t="shared" si="8"/>
        <v>88134</v>
      </c>
      <c r="C7" s="40">
        <f>'[1]TSS VSS R1'!M44</f>
        <v>18.536327767783931</v>
      </c>
      <c r="D7" s="25">
        <v>11.245449000000001</v>
      </c>
      <c r="E7" s="25">
        <f t="shared" si="9"/>
        <v>37.299565000000001</v>
      </c>
      <c r="F7" s="25">
        <v>6.5135290000000001</v>
      </c>
      <c r="G7" s="25">
        <v>-8.7689529999999998</v>
      </c>
      <c r="H7" s="41"/>
      <c r="I7" s="27">
        <v>23.114666603583466</v>
      </c>
      <c r="J7" s="27">
        <v>10.700537313712752</v>
      </c>
      <c r="K7" s="27">
        <v>59.202930474811907</v>
      </c>
      <c r="L7" s="27">
        <v>70.071077538920548</v>
      </c>
      <c r="M7" s="28">
        <f t="shared" si="10"/>
        <v>169.47722871295906</v>
      </c>
      <c r="N7" s="27">
        <f t="shared" si="11"/>
        <v>27.914029601400717</v>
      </c>
      <c r="O7" s="29">
        <f>'[1]Enrichment medium'!$F$32</f>
        <v>22.563760944544342</v>
      </c>
      <c r="P7" s="25">
        <f>'[1]Enrichment medium'!$F$33</f>
        <v>134.44168994349877</v>
      </c>
      <c r="Q7" s="30">
        <f t="shared" si="12"/>
        <v>0.58654576741044762</v>
      </c>
      <c r="R7" s="31">
        <f t="shared" si="13"/>
        <v>0.61666095986457636</v>
      </c>
      <c r="S7" s="32">
        <v>1</v>
      </c>
      <c r="T7" s="33">
        <f t="shared" si="0"/>
        <v>242.00823992345295</v>
      </c>
      <c r="U7" s="34">
        <f t="shared" si="1"/>
        <v>239.61981751549459</v>
      </c>
      <c r="V7" s="35">
        <f t="shared" si="14"/>
        <v>0.9901308219558399</v>
      </c>
      <c r="W7" s="34">
        <f t="shared" si="15"/>
        <v>1330.5817523899657</v>
      </c>
      <c r="X7" s="34">
        <f t="shared" si="2"/>
        <v>1291.9189719451715</v>
      </c>
      <c r="Y7" s="35">
        <f t="shared" si="16"/>
        <v>0.97094295004771503</v>
      </c>
      <c r="Z7" s="36">
        <f t="shared" si="3"/>
        <v>99.406151174038513</v>
      </c>
      <c r="AA7" s="37">
        <f t="shared" si="4"/>
        <v>17.213492287687963</v>
      </c>
      <c r="AB7" s="37">
        <f t="shared" si="17"/>
        <v>23.133785335169154</v>
      </c>
      <c r="AC7" s="37">
        <f t="shared" si="18"/>
        <v>5.7748973603188745</v>
      </c>
      <c r="AD7" s="37">
        <f t="shared" si="19"/>
        <v>4.2970119128284745</v>
      </c>
      <c r="AE7" s="37">
        <f t="shared" si="5"/>
        <v>11.557333301791733</v>
      </c>
      <c r="AF7" s="37">
        <f t="shared" si="6"/>
        <v>41.15879853919769</v>
      </c>
      <c r="AG7" s="37">
        <f t="shared" si="7"/>
        <v>29.601465237405954</v>
      </c>
      <c r="AH7" s="37">
        <f>Z7/E7</f>
        <v>2.665075348037933</v>
      </c>
      <c r="AI7" s="37">
        <f t="shared" ref="AI7:AI20" si="20">AJ7*24.6</f>
        <v>2.2935887653930949</v>
      </c>
      <c r="AJ7" s="38">
        <f>C7/2/Z7</f>
        <v>9.3235315666385973E-2</v>
      </c>
      <c r="AK7" s="39">
        <f>C7*4.2/W7/2</f>
        <v>2.9255089544424909E-2</v>
      </c>
      <c r="AL7" s="39">
        <f>D7*2/W7</f>
        <v>1.6903056095277331E-2</v>
      </c>
      <c r="AM7" s="39">
        <f>I7*20/W7/2</f>
        <v>0.17371849991227775</v>
      </c>
      <c r="AN7" s="39">
        <f>K7*32/W7/2</f>
        <v>0.71190431245247698</v>
      </c>
      <c r="AO7" s="39">
        <f>F7*8/W7</f>
        <v>3.9161992043257911E-2</v>
      </c>
    </row>
    <row r="8" spans="1:41" x14ac:dyDescent="0.2">
      <c r="A8" s="22">
        <v>44069</v>
      </c>
      <c r="B8" s="23">
        <f t="shared" si="8"/>
        <v>88138</v>
      </c>
      <c r="C8" s="40">
        <f>AVERAGE(C7,C9)</f>
        <v>19.700628441830609</v>
      </c>
      <c r="D8" s="25">
        <v>13.066865</v>
      </c>
      <c r="E8" s="25">
        <f t="shared" si="9"/>
        <v>31.882916999999999</v>
      </c>
      <c r="F8" s="25">
        <v>4.7040129999999998</v>
      </c>
      <c r="G8" s="25">
        <v>-6.8753500000000001</v>
      </c>
      <c r="H8" s="41"/>
      <c r="I8" s="27">
        <v>30.576951319812544</v>
      </c>
      <c r="J8" s="27">
        <v>9.5901295208216712</v>
      </c>
      <c r="K8" s="27">
        <v>50.916434348629053</v>
      </c>
      <c r="L8" s="27">
        <v>81.96439677619469</v>
      </c>
      <c r="M8" s="28">
        <f t="shared" si="10"/>
        <v>175.42388833159612</v>
      </c>
      <c r="N8" s="27">
        <f t="shared" si="11"/>
        <v>27.358825704955176</v>
      </c>
      <c r="O8" s="29">
        <f>'[1]Enrichment medium'!$F$32</f>
        <v>22.563760944544342</v>
      </c>
      <c r="P8" s="25">
        <f>'[1]Enrichment medium'!$F$33</f>
        <v>134.44168994349877</v>
      </c>
      <c r="Q8" s="30">
        <f t="shared" si="12"/>
        <v>0.53276376692060912</v>
      </c>
      <c r="R8" s="31">
        <f t="shared" si="13"/>
        <v>0.64946852528525278</v>
      </c>
      <c r="S8" s="32">
        <v>1</v>
      </c>
      <c r="T8" s="33">
        <f t="shared" si="0"/>
        <v>229.33172547906986</v>
      </c>
      <c r="U8" s="34">
        <f t="shared" si="1"/>
        <v>228.45753290642756</v>
      </c>
      <c r="V8" s="35">
        <f t="shared" si="14"/>
        <v>0.99618808705679018</v>
      </c>
      <c r="W8" s="34">
        <f t="shared" si="15"/>
        <v>1263.663468137885</v>
      </c>
      <c r="X8" s="34">
        <f t="shared" si="2"/>
        <v>1225.5696165040347</v>
      </c>
      <c r="Y8" s="35">
        <f t="shared" si="16"/>
        <v>0.96985443308732755</v>
      </c>
      <c r="Z8" s="36">
        <f t="shared" si="3"/>
        <v>93.459491555401428</v>
      </c>
      <c r="AA8" s="37">
        <f t="shared" si="4"/>
        <v>17.768696184133503</v>
      </c>
      <c r="AB8" s="37">
        <f t="shared" si="17"/>
        <v>22.860339618996409</v>
      </c>
      <c r="AC8" s="37">
        <f t="shared" si="18"/>
        <v>5.2597833058148495</v>
      </c>
      <c r="AD8" s="37">
        <f t="shared" si="19"/>
        <v>4.0882809753945546</v>
      </c>
      <c r="AE8" s="37">
        <f t="shared" si="5"/>
        <v>15.288475659906272</v>
      </c>
      <c r="AF8" s="37">
        <f t="shared" si="6"/>
        <v>40.746692834220795</v>
      </c>
      <c r="AG8" s="37">
        <f t="shared" si="7"/>
        <v>25.458217174314527</v>
      </c>
      <c r="AH8" s="37">
        <f>Z8/E8</f>
        <v>2.9313344056756612</v>
      </c>
      <c r="AI8" s="37">
        <f t="shared" si="20"/>
        <v>2.5927567741032926</v>
      </c>
      <c r="AJ8" s="38">
        <f>C8/2/Z8</f>
        <v>0.10539661683346717</v>
      </c>
      <c r="AK8" s="39">
        <f>C8*4.2/W8/2</f>
        <v>3.2739191067071377E-2</v>
      </c>
      <c r="AL8" s="39">
        <f>D8*2/W8</f>
        <v>2.0680925467055133E-2</v>
      </c>
      <c r="AM8" s="39">
        <f>I8*20/W8/2</f>
        <v>0.24197068357820192</v>
      </c>
      <c r="AN8" s="39">
        <f>K8*32/W8/2</f>
        <v>0.64468347002112802</v>
      </c>
      <c r="AO8" s="39">
        <f>F8*8/W8</f>
        <v>2.9780162953871005E-2</v>
      </c>
    </row>
    <row r="9" spans="1:41" ht="17" thickBot="1" x14ac:dyDescent="0.25">
      <c r="A9" s="22">
        <v>44071</v>
      </c>
      <c r="B9" s="23">
        <f t="shared" si="8"/>
        <v>88142</v>
      </c>
      <c r="C9" s="42">
        <f>'[1]TSS VSS R1'!M46</f>
        <v>20.864929115877285</v>
      </c>
      <c r="D9" s="25">
        <v>7.1058130000000004</v>
      </c>
      <c r="E9" s="25">
        <f t="shared" si="9"/>
        <v>35.128920999999998</v>
      </c>
      <c r="F9" s="25">
        <v>7.0057770000000001</v>
      </c>
      <c r="G9" s="25">
        <v>-8.3639069999999993</v>
      </c>
      <c r="H9" s="41"/>
      <c r="I9" s="27">
        <v>40.043350972230137</v>
      </c>
      <c r="J9" s="27">
        <v>8.4859910430920511</v>
      </c>
      <c r="K9" s="27">
        <v>42.840266975633845</v>
      </c>
      <c r="L9" s="27">
        <v>94.517776394811619</v>
      </c>
      <c r="M9" s="28">
        <f t="shared" si="10"/>
        <v>181.70057814090458</v>
      </c>
      <c r="N9" s="27">
        <f t="shared" si="11"/>
        <v>26.806756466090366</v>
      </c>
      <c r="O9" s="29">
        <f>'[1]Enrichment medium'!$F$32</f>
        <v>22.563760944544342</v>
      </c>
      <c r="P9" s="25">
        <f>'[1]Enrichment medium'!$F$33</f>
        <v>134.44168994349877</v>
      </c>
      <c r="Q9" s="30">
        <f t="shared" si="12"/>
        <v>0.47981576414404542</v>
      </c>
      <c r="R9" s="31">
        <f t="shared" si="13"/>
        <v>0.68343835055813107</v>
      </c>
      <c r="S9" s="32">
        <v>1</v>
      </c>
      <c r="T9" s="33">
        <f t="shared" si="0"/>
        <v>219.37104133818255</v>
      </c>
      <c r="U9" s="34">
        <f t="shared" si="1"/>
        <v>226.04574442930044</v>
      </c>
      <c r="V9" s="35">
        <f t="shared" si="14"/>
        <v>1.0304265460491122</v>
      </c>
      <c r="W9" s="34">
        <f t="shared" si="15"/>
        <v>1192.7597443371019</v>
      </c>
      <c r="X9" s="34">
        <f t="shared" si="2"/>
        <v>1199.9519744757852</v>
      </c>
      <c r="Y9" s="35">
        <f t="shared" si="16"/>
        <v>1.0060299068381793</v>
      </c>
      <c r="Z9" s="36">
        <f t="shared" si="3"/>
        <v>87.182801746092963</v>
      </c>
      <c r="AA9" s="37">
        <f t="shared" si="4"/>
        <v>18.320765422998313</v>
      </c>
      <c r="AB9" s="37">
        <f t="shared" si="17"/>
        <v>22.604792120561697</v>
      </c>
      <c r="AC9" s="37">
        <f t="shared" si="18"/>
        <v>4.7586877367389446</v>
      </c>
      <c r="AD9" s="37">
        <f t="shared" si="19"/>
        <v>3.8568282902628432</v>
      </c>
      <c r="AE9" s="37">
        <f t="shared" si="5"/>
        <v>20.021675486115068</v>
      </c>
      <c r="AF9" s="37">
        <f t="shared" si="6"/>
        <v>41.441808973931991</v>
      </c>
      <c r="AG9" s="37">
        <f t="shared" si="7"/>
        <v>21.420133487816923</v>
      </c>
      <c r="AH9" s="37">
        <f>Z9/E9</f>
        <v>2.481795604997175</v>
      </c>
      <c r="AI9" s="37">
        <f t="shared" si="20"/>
        <v>2.9436841095416124</v>
      </c>
      <c r="AJ9" s="38">
        <f>C9/2/Z9</f>
        <v>0.11966195567242327</v>
      </c>
      <c r="AK9" s="39">
        <f>C9*4.2/W9/2</f>
        <v>3.6735269907766752E-2</v>
      </c>
      <c r="AL9" s="39">
        <f>D9*2/W9</f>
        <v>1.1914910833864848E-2</v>
      </c>
      <c r="AM9" s="39">
        <f>I9*20/W9/2</f>
        <v>0.33572017468182552</v>
      </c>
      <c r="AN9" s="39">
        <f>K9*32/W9/2</f>
        <v>0.57467086298346681</v>
      </c>
      <c r="AO9" s="39">
        <f>F9*8/W9</f>
        <v>4.6988688431255463E-2</v>
      </c>
    </row>
    <row r="10" spans="1:41" x14ac:dyDescent="0.2">
      <c r="A10" s="22">
        <v>44076</v>
      </c>
      <c r="B10" s="23">
        <f t="shared" si="8"/>
        <v>88152</v>
      </c>
      <c r="C10" s="24">
        <f>AVERAGE('[1]TSS VSS R1'!M48,'[1]TSS VSS R1'!M50)</f>
        <v>16.238800692182064</v>
      </c>
      <c r="D10" s="25">
        <v>5.4026630000000004</v>
      </c>
      <c r="E10" s="25">
        <f t="shared" si="9"/>
        <v>45.995835</v>
      </c>
      <c r="F10" s="25">
        <v>10.148293000000001</v>
      </c>
      <c r="G10" s="25">
        <v>-10.711626000000001</v>
      </c>
      <c r="H10" s="41"/>
      <c r="I10" s="27">
        <v>50.468914138918535</v>
      </c>
      <c r="J10" s="43">
        <v>5.2813072996936192</v>
      </c>
      <c r="K10" s="27">
        <v>37.154244350350602</v>
      </c>
      <c r="L10" s="27">
        <v>75.54467088878846</v>
      </c>
      <c r="M10" s="28">
        <f t="shared" si="10"/>
        <v>172.214025387893</v>
      </c>
      <c r="N10" s="27">
        <f t="shared" si="11"/>
        <v>25.204414594391153</v>
      </c>
      <c r="O10" s="29">
        <f>'[1]Enrichment medium'!$F$32</f>
        <v>22.563760944544342</v>
      </c>
      <c r="P10" s="25">
        <f>'[1]Enrichment medium'!$F$33</f>
        <v>134.44168994349877</v>
      </c>
      <c r="Q10" s="30">
        <f t="shared" si="12"/>
        <v>0.56133264570854513</v>
      </c>
      <c r="R10" s="31">
        <f t="shared" si="13"/>
        <v>0.79046102102808247</v>
      </c>
      <c r="S10" s="32">
        <v>1</v>
      </c>
      <c r="T10" s="33">
        <f t="shared" si="0"/>
        <v>243.89654958760414</v>
      </c>
      <c r="U10" s="34">
        <f t="shared" si="1"/>
        <v>230.66825467497989</v>
      </c>
      <c r="V10" s="35">
        <f t="shared" si="14"/>
        <v>0.94576268120647256</v>
      </c>
      <c r="W10" s="34">
        <f t="shared" si="15"/>
        <v>1319.4171123468348</v>
      </c>
      <c r="X10" s="34">
        <f t="shared" si="2"/>
        <v>1225.2502024483774</v>
      </c>
      <c r="Y10" s="35">
        <f>X10/W10</f>
        <v>0.92862991618248492</v>
      </c>
      <c r="Z10" s="36">
        <f t="shared" si="3"/>
        <v>96.669354499104543</v>
      </c>
      <c r="AA10" s="37">
        <f t="shared" si="4"/>
        <v>19.923107294697534</v>
      </c>
      <c r="AB10" s="37">
        <f t="shared" si="17"/>
        <v>23.638531729732595</v>
      </c>
      <c r="AC10" s="37">
        <f t="shared" si="18"/>
        <v>4.8521223657131411</v>
      </c>
      <c r="AD10" s="37">
        <f t="shared" si="19"/>
        <v>4.0894821896875104</v>
      </c>
      <c r="AE10" s="37">
        <f t="shared" si="5"/>
        <v>25.234457069459268</v>
      </c>
      <c r="AF10" s="37">
        <f t="shared" si="6"/>
        <v>43.811579244634572</v>
      </c>
      <c r="AG10" s="37">
        <f t="shared" si="7"/>
        <v>18.577122175175301</v>
      </c>
      <c r="AH10" s="37">
        <f>Z10/E10</f>
        <v>2.101698001549587</v>
      </c>
      <c r="AI10" s="37">
        <f t="shared" si="20"/>
        <v>2.0661899476704337</v>
      </c>
      <c r="AJ10" s="38">
        <f>C10/2/Z10</f>
        <v>8.3991461287415997E-2</v>
      </c>
      <c r="AK10" s="39">
        <f>C10*4.2/W10/2</f>
        <v>2.5845868705557679E-2</v>
      </c>
      <c r="AL10" s="39">
        <f>D10*2/W10</f>
        <v>8.1894693489162566E-3</v>
      </c>
      <c r="AM10" s="39">
        <f>I10*20/W10/2</f>
        <v>0.38250916762137455</v>
      </c>
      <c r="AN10" s="39">
        <f>K10*32/W10/2</f>
        <v>0.45055343305972073</v>
      </c>
      <c r="AO10" s="39">
        <f>F10*8/W10</f>
        <v>6.1531977446915645E-2</v>
      </c>
    </row>
    <row r="11" spans="1:41" x14ac:dyDescent="0.2">
      <c r="A11" s="22">
        <v>44078</v>
      </c>
      <c r="B11" s="23">
        <f t="shared" si="8"/>
        <v>88156</v>
      </c>
      <c r="C11" s="40">
        <v>15.93910878850377</v>
      </c>
      <c r="D11" s="25">
        <v>16.959603999999999</v>
      </c>
      <c r="E11" s="25">
        <f t="shared" si="9"/>
        <v>34.999871999999996</v>
      </c>
      <c r="F11" s="25">
        <v>4.5100670000000003</v>
      </c>
      <c r="G11" s="25">
        <v>-6.8546360000000002</v>
      </c>
      <c r="H11" s="41"/>
      <c r="I11" s="27">
        <v>33.85554373755469</v>
      </c>
      <c r="J11" s="44">
        <v>2.8951197357528446</v>
      </c>
      <c r="K11" s="27">
        <v>41.767170210082078</v>
      </c>
      <c r="L11" s="27">
        <v>73.124976100261449</v>
      </c>
      <c r="M11" s="28">
        <f t="shared" si="10"/>
        <v>171.0041779936295</v>
      </c>
      <c r="N11" s="27">
        <f t="shared" si="11"/>
        <v>24.011320812420763</v>
      </c>
      <c r="O11" s="29">
        <f>'[1]Enrichment medium'!$F$32</f>
        <v>22.563760944544342</v>
      </c>
      <c r="P11" s="25">
        <f>'[1]Enrichment medium'!$F$33</f>
        <v>134.44168994349877</v>
      </c>
      <c r="Q11" s="30">
        <f t="shared" si="12"/>
        <v>0.57237900875740233</v>
      </c>
      <c r="R11" s="31">
        <f t="shared" si="13"/>
        <v>0.87942688541085035</v>
      </c>
      <c r="S11" s="32">
        <v>1</v>
      </c>
      <c r="T11" s="33">
        <f t="shared" si="0"/>
        <v>244.84544194007194</v>
      </c>
      <c r="U11" s="34">
        <f t="shared" si="1"/>
        <v>205.49221949960747</v>
      </c>
      <c r="V11" s="45">
        <f t="shared" si="14"/>
        <v>0.83927320791172211</v>
      </c>
      <c r="W11" s="34">
        <f t="shared" si="15"/>
        <v>1343.4800313337598</v>
      </c>
      <c r="X11" s="34">
        <f t="shared" si="2"/>
        <v>1110.302033192718</v>
      </c>
      <c r="Y11" s="45">
        <f t="shared" ref="Y11:Y20" si="21">X11/W11</f>
        <v>0.82643731748692173</v>
      </c>
      <c r="Z11" s="36">
        <f t="shared" si="3"/>
        <v>97.879201893368048</v>
      </c>
      <c r="AA11" s="37">
        <f t="shared" si="4"/>
        <v>21.11620107666792</v>
      </c>
      <c r="AB11" s="37">
        <f t="shared" si="17"/>
        <v>25.292918097676129</v>
      </c>
      <c r="AC11" s="37">
        <f t="shared" si="18"/>
        <v>4.635265668194382</v>
      </c>
      <c r="AD11" s="37">
        <f t="shared" si="19"/>
        <v>3.8698263883739465</v>
      </c>
      <c r="AE11" s="37">
        <f t="shared" si="5"/>
        <v>16.927771868777345</v>
      </c>
      <c r="AF11" s="37">
        <f t="shared" si="6"/>
        <v>37.811356973818384</v>
      </c>
      <c r="AG11" s="37">
        <f t="shared" si="7"/>
        <v>20.883585105041039</v>
      </c>
      <c r="AH11" s="37">
        <f>Z11/E11</f>
        <v>2.7965588529400351</v>
      </c>
      <c r="AI11" s="37">
        <f t="shared" si="20"/>
        <v>2.0029897496730622</v>
      </c>
      <c r="AJ11" s="38">
        <f>C11/2/Z11</f>
        <v>8.1422347547685445E-2</v>
      </c>
      <c r="AK11" s="39">
        <f>C11*4.2/W11/2</f>
        <v>2.4914496438497837E-2</v>
      </c>
      <c r="AL11" s="39">
        <f>D11*2/W11</f>
        <v>2.5247273654172737E-2</v>
      </c>
      <c r="AM11" s="39">
        <f>I11*20/W11/2</f>
        <v>0.25199886077907757</v>
      </c>
      <c r="AN11" s="39">
        <f>K11*32/W11/2</f>
        <v>0.49742065961179455</v>
      </c>
      <c r="AO11" s="39">
        <f>F11*8/W11</f>
        <v>2.6856027003379062E-2</v>
      </c>
    </row>
    <row r="12" spans="1:41" x14ac:dyDescent="0.2">
      <c r="A12" s="22">
        <v>44081</v>
      </c>
      <c r="B12" s="23">
        <f t="shared" si="8"/>
        <v>88162</v>
      </c>
      <c r="C12" s="40">
        <f>'[1]TSS VSS R1'!M52</f>
        <v>15.93910878850377</v>
      </c>
      <c r="D12" s="25">
        <v>12.1755</v>
      </c>
      <c r="E12" s="25">
        <f t="shared" si="9"/>
        <v>15.690624</v>
      </c>
      <c r="F12" s="25">
        <v>0.87878100000000003</v>
      </c>
      <c r="G12" s="25">
        <v>-2.1157339999999998</v>
      </c>
      <c r="H12" s="41"/>
      <c r="I12" s="27">
        <v>32.674948515481887</v>
      </c>
      <c r="J12" s="44">
        <v>2.1874845227219999</v>
      </c>
      <c r="K12" s="27">
        <v>58.179432842582102</v>
      </c>
      <c r="L12" s="27">
        <v>49.314510439481076</v>
      </c>
      <c r="M12" s="28">
        <f t="shared" si="10"/>
        <v>159.09894516323931</v>
      </c>
      <c r="N12" s="27">
        <f t="shared" si="11"/>
        <v>23.657503205905343</v>
      </c>
      <c r="O12" s="29">
        <f>'[1]Enrichment medium'!$F$32</f>
        <v>22.563760944544342</v>
      </c>
      <c r="P12" s="25">
        <f>'[1]Enrichment medium'!$F$33</f>
        <v>134.44168994349877</v>
      </c>
      <c r="Q12" s="30">
        <f t="shared" si="12"/>
        <v>0.69003873414193162</v>
      </c>
      <c r="R12" s="31">
        <f t="shared" si="13"/>
        <v>0.90753527522820066</v>
      </c>
      <c r="S12" s="32">
        <v>2</v>
      </c>
      <c r="T12" s="33">
        <f t="shared" si="0"/>
        <v>264.62464081388316</v>
      </c>
      <c r="U12" s="34">
        <f t="shared" si="1"/>
        <v>248.73653095296194</v>
      </c>
      <c r="V12" s="46">
        <f t="shared" si="14"/>
        <v>0.93995982455732185</v>
      </c>
      <c r="W12" s="34">
        <f t="shared" si="15"/>
        <v>1489.1733661505657</v>
      </c>
      <c r="X12" s="34">
        <f t="shared" si="2"/>
        <v>1322.4737870919903</v>
      </c>
      <c r="Y12" s="35">
        <f t="shared" si="21"/>
        <v>0.88805898436829755</v>
      </c>
      <c r="Z12" s="36">
        <f t="shared" si="3"/>
        <v>109.78443472375824</v>
      </c>
      <c r="AA12" s="37">
        <f t="shared" si="4"/>
        <v>21.470018683183344</v>
      </c>
      <c r="AB12" s="37">
        <f t="shared" si="17"/>
        <v>27.287961967441554</v>
      </c>
      <c r="AC12" s="37">
        <f t="shared" si="18"/>
        <v>5.1133832878193184</v>
      </c>
      <c r="AD12" s="37">
        <f t="shared" si="19"/>
        <v>4.0231819017758372</v>
      </c>
      <c r="AE12" s="37">
        <f t="shared" si="5"/>
        <v>16.337474257740944</v>
      </c>
      <c r="AF12" s="37">
        <f t="shared" si="6"/>
        <v>45.427190679031995</v>
      </c>
      <c r="AG12" s="37">
        <f t="shared" si="7"/>
        <v>29.089716421291051</v>
      </c>
      <c r="AH12" s="37">
        <f>Z12/E12</f>
        <v>6.9968176360454652</v>
      </c>
      <c r="AI12" s="37">
        <f t="shared" si="20"/>
        <v>1.7857817330107302</v>
      </c>
      <c r="AJ12" s="38">
        <f>C12/2/Z12</f>
        <v>7.2592753374419922E-2</v>
      </c>
      <c r="AK12" s="39">
        <f>C12*4.2/W12/2</f>
        <v>2.2476985700047535E-2</v>
      </c>
      <c r="AL12" s="39">
        <f>D12*2/W12</f>
        <v>1.635202492436864E-2</v>
      </c>
      <c r="AM12" s="39">
        <f>I12*20/W12/2</f>
        <v>0.21941668618439572</v>
      </c>
      <c r="AN12" s="39">
        <f>K12*32/W12/2</f>
        <v>0.62509238120982902</v>
      </c>
      <c r="AO12" s="39">
        <f>F12*8/W12</f>
        <v>4.7209063496568031E-3</v>
      </c>
    </row>
    <row r="13" spans="1:41" x14ac:dyDescent="0.2">
      <c r="A13" s="22">
        <v>44083</v>
      </c>
      <c r="B13" s="23">
        <f t="shared" si="8"/>
        <v>88166</v>
      </c>
      <c r="C13" s="24">
        <f>AVERAGE('[1]TSS VSS R1'!M52,'[1]TSS VSS R1'!M54)</f>
        <v>17.985433795520745</v>
      </c>
      <c r="D13" s="25">
        <v>25.763362999999998</v>
      </c>
      <c r="E13" s="25">
        <f t="shared" si="9"/>
        <v>27.641734999999997</v>
      </c>
      <c r="F13" s="25">
        <v>0.46959299999999998</v>
      </c>
      <c r="G13" s="25">
        <v>-3.8558119999999998</v>
      </c>
      <c r="H13" s="41"/>
      <c r="I13" s="27">
        <v>29.898325388159748</v>
      </c>
      <c r="J13" s="44">
        <v>3.6668193499634123</v>
      </c>
      <c r="K13" s="27">
        <v>47.435436656557115</v>
      </c>
      <c r="L13" s="27">
        <v>75.944570952872766</v>
      </c>
      <c r="M13" s="28">
        <f t="shared" si="10"/>
        <v>172.41397541993516</v>
      </c>
      <c r="N13" s="27">
        <f t="shared" si="11"/>
        <v>24.397170619526047</v>
      </c>
      <c r="O13" s="29">
        <f>'[1]Enrichment medium'!$F$32</f>
        <v>22.563760944544342</v>
      </c>
      <c r="P13" s="25">
        <f>'[1]Enrichment medium'!$F$33</f>
        <v>134.44168994349877</v>
      </c>
      <c r="Q13" s="30">
        <f t="shared" si="12"/>
        <v>0.5595219542505151</v>
      </c>
      <c r="R13" s="31">
        <f t="shared" si="13"/>
        <v>0.84970309028257951</v>
      </c>
      <c r="S13" s="32">
        <v>1</v>
      </c>
      <c r="T13" s="33">
        <f t="shared" si="0"/>
        <v>238.25532347325003</v>
      </c>
      <c r="U13" s="34">
        <f t="shared" si="1"/>
        <v>211.56527064375123</v>
      </c>
      <c r="V13" s="46">
        <f t="shared" si="14"/>
        <v>0.8879770976764958</v>
      </c>
      <c r="W13" s="34">
        <f t="shared" si="15"/>
        <v>1323.4756637612497</v>
      </c>
      <c r="X13" s="34">
        <f t="shared" si="2"/>
        <v>1151.0031213571049</v>
      </c>
      <c r="Y13" s="35">
        <f t="shared" si="21"/>
        <v>0.86968212024844738</v>
      </c>
      <c r="Z13" s="36">
        <f t="shared" si="3"/>
        <v>96.46940446706239</v>
      </c>
      <c r="AA13" s="37">
        <f t="shared" si="4"/>
        <v>20.730351269562636</v>
      </c>
      <c r="AB13" s="37">
        <f t="shared" si="17"/>
        <v>25.473894935218347</v>
      </c>
      <c r="AC13" s="37">
        <f t="shared" si="18"/>
        <v>4.653534482491076</v>
      </c>
      <c r="AD13" s="37">
        <f t="shared" si="19"/>
        <v>3.7869907492509456</v>
      </c>
      <c r="AE13" s="37">
        <f t="shared" si="5"/>
        <v>14.949162694079874</v>
      </c>
      <c r="AF13" s="37">
        <f t="shared" si="6"/>
        <v>38.666881022358432</v>
      </c>
      <c r="AG13" s="37">
        <f t="shared" si="7"/>
        <v>23.717718328278558</v>
      </c>
      <c r="AH13" s="37">
        <f>Z13/E13</f>
        <v>3.4899909309984487</v>
      </c>
      <c r="AI13" s="37">
        <f t="shared" si="20"/>
        <v>2.2931709478981674</v>
      </c>
      <c r="AJ13" s="38">
        <f>C13/2/Z13</f>
        <v>9.3218331215372652E-2</v>
      </c>
      <c r="AK13" s="39">
        <f>C13*4.2/W13/2</f>
        <v>2.8538047207649325E-2</v>
      </c>
      <c r="AL13" s="39">
        <f>D13*2/W13</f>
        <v>3.8932885137882844E-2</v>
      </c>
      <c r="AM13" s="39">
        <f>I13*20/W13/2</f>
        <v>0.22590763250750109</v>
      </c>
      <c r="AN13" s="39">
        <f>K13*32/W13/2</f>
        <v>0.57346501132326733</v>
      </c>
      <c r="AO13" s="39">
        <f>F13*8/W13</f>
        <v>2.8385440721467644E-3</v>
      </c>
    </row>
    <row r="14" spans="1:41" x14ac:dyDescent="0.2">
      <c r="A14" s="22">
        <v>44085</v>
      </c>
      <c r="B14" s="23">
        <f t="shared" si="8"/>
        <v>88170</v>
      </c>
      <c r="C14" s="42">
        <f>'[1]TSS VSS R1'!M54</f>
        <v>20.03175880253772</v>
      </c>
      <c r="D14" s="25">
        <v>26.964108</v>
      </c>
      <c r="E14" s="25">
        <f t="shared" si="9"/>
        <v>27.481767999999999</v>
      </c>
      <c r="F14" s="25">
        <v>0.129415</v>
      </c>
      <c r="G14" s="25">
        <v>-3.4070079999999998</v>
      </c>
      <c r="H14" s="41"/>
      <c r="I14" s="27">
        <v>24.532134475845279</v>
      </c>
      <c r="J14" s="44">
        <v>8.8802307259664843</v>
      </c>
      <c r="K14" s="27">
        <v>48.352303695961048</v>
      </c>
      <c r="L14" s="27">
        <v>94.879783376100292</v>
      </c>
      <c r="M14" s="28">
        <f t="shared" si="10"/>
        <v>181.88158163154893</v>
      </c>
      <c r="N14" s="27">
        <f t="shared" si="11"/>
        <v>27.003876307527584</v>
      </c>
      <c r="O14" s="29">
        <f>'[1]Enrichment medium'!$F$32</f>
        <v>22.563760944544342</v>
      </c>
      <c r="P14" s="25">
        <f>'[1]Enrichment medium'!$F$33</f>
        <v>134.44168994349877</v>
      </c>
      <c r="Q14" s="30">
        <f t="shared" si="12"/>
        <v>0.47834309265956715</v>
      </c>
      <c r="R14" s="31">
        <f t="shared" si="13"/>
        <v>0.67114977772687257</v>
      </c>
      <c r="S14" s="32">
        <v>1</v>
      </c>
      <c r="T14" s="33">
        <f t="shared" si="0"/>
        <v>213.65789567401944</v>
      </c>
      <c r="U14" s="34">
        <f t="shared" si="1"/>
        <v>204.26647444084256</v>
      </c>
      <c r="V14" s="35">
        <f t="shared" si="14"/>
        <v>0.95604458611955301</v>
      </c>
      <c r="W14" s="34">
        <f t="shared" si="15"/>
        <v>1189.0107437178724</v>
      </c>
      <c r="X14" s="34">
        <f t="shared" si="2"/>
        <v>1115.9884333791588</v>
      </c>
      <c r="Y14" s="35">
        <f t="shared" si="21"/>
        <v>0.93858565978101849</v>
      </c>
      <c r="Z14" s="36">
        <f t="shared" si="3"/>
        <v>87.001798255448634</v>
      </c>
      <c r="AA14" s="37">
        <f t="shared" si="4"/>
        <v>18.1236455815611</v>
      </c>
      <c r="AB14" s="37">
        <f t="shared" si="17"/>
        <v>22.958875951157204</v>
      </c>
      <c r="AC14" s="37">
        <f t="shared" si="18"/>
        <v>4.8004579356795523</v>
      </c>
      <c r="AD14" s="37">
        <f t="shared" si="19"/>
        <v>3.7894624475752461</v>
      </c>
      <c r="AE14" s="37">
        <f t="shared" si="5"/>
        <v>12.266067237922639</v>
      </c>
      <c r="AF14" s="37">
        <f t="shared" si="6"/>
        <v>36.442219085903162</v>
      </c>
      <c r="AG14" s="37">
        <f t="shared" si="7"/>
        <v>24.176151847980524</v>
      </c>
      <c r="AH14" s="37">
        <f>Z14/E14</f>
        <v>3.1658006229966222</v>
      </c>
      <c r="AI14" s="37">
        <f t="shared" si="20"/>
        <v>2.8320177078154054</v>
      </c>
      <c r="AJ14" s="38">
        <f>C14/2/Z14</f>
        <v>0.11512267104940671</v>
      </c>
      <c r="AK14" s="39">
        <f>C14*4.2/W14/2</f>
        <v>3.5379573908468201E-2</v>
      </c>
      <c r="AL14" s="39">
        <f>D14*2/W14</f>
        <v>4.5355532979772677E-2</v>
      </c>
      <c r="AM14" s="39">
        <f>I14*20/W14/2</f>
        <v>0.20632390922841187</v>
      </c>
      <c r="AN14" s="39">
        <f>K14*32/W14/2</f>
        <v>0.65065590300414033</v>
      </c>
      <c r="AO14" s="39">
        <f>F14*8/W14</f>
        <v>8.70740660225405E-4</v>
      </c>
    </row>
    <row r="15" spans="1:41" x14ac:dyDescent="0.2">
      <c r="A15" s="22">
        <v>44088</v>
      </c>
      <c r="B15" s="23">
        <f t="shared" si="8"/>
        <v>88176</v>
      </c>
      <c r="C15" s="40">
        <f>'[1]TSS VSS R1'!M56</f>
        <v>27.389533401671567</v>
      </c>
      <c r="D15" s="47">
        <v>27.318901</v>
      </c>
      <c r="E15" s="25">
        <f>D15+4*F15</f>
        <v>27.793385000000001</v>
      </c>
      <c r="F15" s="47">
        <v>0.118621</v>
      </c>
      <c r="G15" s="47">
        <v>-3.4217179999999998</v>
      </c>
      <c r="H15" s="41"/>
      <c r="I15" s="27">
        <v>26.881642988410164</v>
      </c>
      <c r="J15" s="44">
        <v>5.197080498142614</v>
      </c>
      <c r="K15" s="27">
        <v>51.187308703260101</v>
      </c>
      <c r="L15" s="27">
        <v>85.007144016720062</v>
      </c>
      <c r="M15" s="28">
        <f t="shared" si="10"/>
        <v>176.94526195185881</v>
      </c>
      <c r="N15" s="27">
        <f t="shared" si="11"/>
        <v>25.162301193615647</v>
      </c>
      <c r="O15" s="29">
        <f>'[1]Enrichment medium'!$F$32</f>
        <v>22.563760944544342</v>
      </c>
      <c r="P15" s="25">
        <f>'[1]Enrichment medium'!$F$33</f>
        <v>134.44168994349877</v>
      </c>
      <c r="Q15" s="30">
        <f t="shared" si="12"/>
        <v>0.51958507914245367</v>
      </c>
      <c r="R15" s="31">
        <f t="shared" si="13"/>
        <v>0.7934576627887574</v>
      </c>
      <c r="S15" s="32">
        <v>1</v>
      </c>
      <c r="T15" s="33">
        <f t="shared" si="0"/>
        <v>227.22839526122357</v>
      </c>
      <c r="U15" s="34">
        <f t="shared" si="1"/>
        <v>221.13859978743639</v>
      </c>
      <c r="V15" s="35">
        <f t="shared" si="14"/>
        <v>0.973199672220603</v>
      </c>
      <c r="W15" s="34">
        <f t="shared" si="15"/>
        <v>1262.9791807854492</v>
      </c>
      <c r="X15" s="34">
        <f t="shared" si="2"/>
        <v>1200.9181592797734</v>
      </c>
      <c r="Y15" s="35">
        <f t="shared" si="21"/>
        <v>0.95086140575406797</v>
      </c>
      <c r="Z15" s="36">
        <f t="shared" si="3"/>
        <v>91.938117935138749</v>
      </c>
      <c r="AA15" s="37">
        <f t="shared" si="4"/>
        <v>19.965220695473032</v>
      </c>
      <c r="AB15" s="37">
        <f t="shared" si="17"/>
        <v>25.083951565799044</v>
      </c>
      <c r="AC15" s="37">
        <f t="shared" si="18"/>
        <v>4.6049136815194354</v>
      </c>
      <c r="AD15" s="37">
        <f t="shared" si="19"/>
        <v>3.6652166902001464</v>
      </c>
      <c r="AE15" s="37">
        <f t="shared" si="5"/>
        <v>13.440821494205082</v>
      </c>
      <c r="AF15" s="37">
        <f t="shared" si="6"/>
        <v>39.034475845835132</v>
      </c>
      <c r="AG15" s="37">
        <f t="shared" si="7"/>
        <v>25.59365435163005</v>
      </c>
      <c r="AH15" s="37">
        <f>Z15/E15</f>
        <v>3.3079136612952595</v>
      </c>
      <c r="AI15" s="37">
        <f t="shared" si="20"/>
        <v>3.6643262708317899</v>
      </c>
      <c r="AJ15" s="38">
        <f>C15/2/Z15</f>
        <v>0.14895635247283698</v>
      </c>
      <c r="AK15" s="39">
        <f>C15*4.2/W15/2</f>
        <v>4.5541542583259147E-2</v>
      </c>
      <c r="AL15" s="39">
        <f>D15*2/W15</f>
        <v>4.3261047237548797E-2</v>
      </c>
      <c r="AM15" s="39">
        <f>I15*20/W15/2</f>
        <v>0.21284312043601872</v>
      </c>
      <c r="AN15" s="39">
        <f>K15*32/W15/2</f>
        <v>0.64846432285829592</v>
      </c>
      <c r="AO15" s="39">
        <f>F15*8/W15</f>
        <v>7.5137263894550896E-4</v>
      </c>
    </row>
    <row r="16" spans="1:41" x14ac:dyDescent="0.2">
      <c r="A16" s="48">
        <v>44091</v>
      </c>
      <c r="B16" s="23">
        <f t="shared" si="8"/>
        <v>88182</v>
      </c>
      <c r="C16" s="40">
        <v>17.620947737826665</v>
      </c>
      <c r="D16" s="49">
        <v>24.091574000000001</v>
      </c>
      <c r="E16" s="25">
        <f t="shared" si="9"/>
        <v>24.566058000000002</v>
      </c>
      <c r="F16" s="47">
        <v>0.118621</v>
      </c>
      <c r="G16" s="49">
        <v>-3.465433</v>
      </c>
      <c r="H16" s="41"/>
      <c r="I16" s="25">
        <v>26.934192343054583</v>
      </c>
      <c r="J16" s="50">
        <v>4.3678855228732907</v>
      </c>
      <c r="K16" s="25">
        <v>46.572184347341199</v>
      </c>
      <c r="L16" s="25">
        <v>92.712147202848342</v>
      </c>
      <c r="M16" s="28">
        <f t="shared" si="10"/>
        <v>180.79776354492293</v>
      </c>
      <c r="N16" s="27">
        <f t="shared" si="11"/>
        <v>24.747703705980989</v>
      </c>
      <c r="O16" s="29">
        <f>'[1]Enrichment medium'!$F$32</f>
        <v>22.563760944544342</v>
      </c>
      <c r="P16" s="25">
        <f>'[1]Enrichment medium'!$F$33</f>
        <v>134.44168994349877</v>
      </c>
      <c r="Q16" s="30">
        <f t="shared" si="12"/>
        <v>0.48720523205027311</v>
      </c>
      <c r="R16" s="31">
        <f t="shared" si="13"/>
        <v>0.82350340157751012</v>
      </c>
      <c r="S16" s="32">
        <v>1</v>
      </c>
      <c r="T16" s="33">
        <f t="shared" si="0"/>
        <v>220.39630205036457</v>
      </c>
      <c r="U16" s="34">
        <f>(K16*6+I16*4+C16)/2+G16</f>
        <v>198.92997859704613</v>
      </c>
      <c r="V16" s="46">
        <f t="shared" si="14"/>
        <v>0.90260125395201507</v>
      </c>
      <c r="W16" s="34">
        <f t="shared" si="15"/>
        <v>1220.0659415697567</v>
      </c>
      <c r="X16" s="34">
        <f t="shared" ref="X16:X20" si="22">((K16*32+I16*20+C16*4.2)/2)+D16*2</f>
        <v>1099.6840112374409</v>
      </c>
      <c r="Y16" s="35">
        <f t="shared" si="21"/>
        <v>0.90133161968489151</v>
      </c>
      <c r="Z16" s="36">
        <f t="shared" si="3"/>
        <v>88.085616342074587</v>
      </c>
      <c r="AA16" s="37">
        <f t="shared" si="4"/>
        <v>20.379818183107698</v>
      </c>
      <c r="AB16" s="37">
        <f t="shared" si="17"/>
        <v>25.037036617841817</v>
      </c>
      <c r="AC16" s="37">
        <f t="shared" si="18"/>
        <v>4.3221983410571578</v>
      </c>
      <c r="AD16" s="37">
        <f t="shared" si="19"/>
        <v>3.5182125459409712</v>
      </c>
      <c r="AE16" s="37">
        <f t="shared" si="5"/>
        <v>13.467096171527292</v>
      </c>
      <c r="AF16" s="37">
        <f t="shared" si="6"/>
        <v>36.753188345197891</v>
      </c>
      <c r="AG16" s="37">
        <f t="shared" si="7"/>
        <v>23.2860921736706</v>
      </c>
      <c r="AH16" s="37">
        <f>Z16/E16</f>
        <v>3.5856634524788054</v>
      </c>
      <c r="AI16" s="37">
        <f t="shared" si="20"/>
        <v>2.4605340369485731</v>
      </c>
      <c r="AJ16" s="38">
        <f>C16/2/Z16</f>
        <v>0.10002170881904768</v>
      </c>
      <c r="AK16" s="39">
        <f>C16*4.2/W16/2</f>
        <v>3.0329500225066579E-2</v>
      </c>
      <c r="AL16" s="39">
        <f>D16*2/W16</f>
        <v>3.9492249032053776E-2</v>
      </c>
      <c r="AM16" s="39">
        <f>I16*20/W16/2</f>
        <v>0.22076013619723384</v>
      </c>
      <c r="AN16" s="39">
        <f>K16*32/W16/2</f>
        <v>0.61074973423053736</v>
      </c>
      <c r="AO16" s="39">
        <f>G16*8/W16</f>
        <v>-2.2722922635091788E-2</v>
      </c>
    </row>
    <row r="17" spans="1:41" x14ac:dyDescent="0.2">
      <c r="A17" s="51">
        <v>44097</v>
      </c>
      <c r="B17" s="23">
        <f t="shared" si="8"/>
        <v>88194</v>
      </c>
      <c r="C17" s="40">
        <v>20.596724837475268</v>
      </c>
      <c r="D17" s="52" t="s">
        <v>55</v>
      </c>
      <c r="E17" s="53"/>
      <c r="F17" s="53"/>
      <c r="G17" s="54"/>
      <c r="H17" s="41"/>
      <c r="I17" s="25">
        <v>28.450369597673095</v>
      </c>
      <c r="J17" s="50">
        <v>4.9296685332183197</v>
      </c>
      <c r="K17" s="25">
        <v>47.327417526187773</v>
      </c>
      <c r="L17" s="25">
        <v>89.299421021214599</v>
      </c>
      <c r="M17" s="28">
        <f t="shared" si="10"/>
        <v>179.09140045410606</v>
      </c>
      <c r="N17" s="27">
        <f t="shared" si="11"/>
        <v>25.028595211153501</v>
      </c>
      <c r="O17" s="29">
        <f>'[1]Enrichment medium'!$F$32</f>
        <v>22.563760944544342</v>
      </c>
      <c r="P17" s="25">
        <f>'[1]Enrichment medium'!$F$33</f>
        <v>134.44168994349877</v>
      </c>
      <c r="Q17" s="30">
        <f t="shared" si="12"/>
        <v>0.50137515930532661</v>
      </c>
      <c r="R17" s="31">
        <f t="shared" si="13"/>
        <v>0.80303854484723503</v>
      </c>
      <c r="S17" s="32">
        <v>1</v>
      </c>
      <c r="T17" s="33">
        <f t="shared" si="0"/>
        <v>219.7818122216533</v>
      </c>
      <c r="U17" s="34">
        <f>(K17*6+I17*4+C17)/2+G17</f>
        <v>209.18135419264715</v>
      </c>
      <c r="V17" s="46">
        <f t="shared" si="14"/>
        <v>0.95176826543628901</v>
      </c>
      <c r="W17" s="34">
        <f t="shared" si="15"/>
        <v>1238.2951666181789</v>
      </c>
      <c r="X17" s="34" t="e">
        <f t="shared" si="22"/>
        <v>#VALUE!</v>
      </c>
      <c r="Y17" s="35" t="e">
        <f t="shared" si="21"/>
        <v>#VALUE!</v>
      </c>
      <c r="Z17" s="36">
        <f t="shared" si="3"/>
        <v>89.791979432891466</v>
      </c>
      <c r="AA17" s="37">
        <f t="shared" si="4"/>
        <v>20.098926677935182</v>
      </c>
      <c r="AB17" s="37">
        <f t="shared" si="17"/>
        <v>24.831668430553961</v>
      </c>
      <c r="AC17" s="37">
        <f t="shared" si="18"/>
        <v>4.4675012189315595</v>
      </c>
      <c r="AD17" s="37">
        <f t="shared" si="19"/>
        <v>3.6160268362156254</v>
      </c>
      <c r="AE17" s="37">
        <f t="shared" si="5"/>
        <v>14.225184798836548</v>
      </c>
      <c r="AF17" s="37">
        <f t="shared" si="6"/>
        <v>37.888893561930431</v>
      </c>
      <c r="AG17" s="37">
        <f t="shared" si="7"/>
        <v>23.663708763093886</v>
      </c>
      <c r="AH17" s="37" t="e">
        <f>Z17/E17</f>
        <v>#DIV/0!</v>
      </c>
      <c r="AI17" s="37">
        <f t="shared" si="20"/>
        <v>2.8214069575143546</v>
      </c>
      <c r="AJ17" s="38">
        <f>C17/2/Z17</f>
        <v>0.11469133973635587</v>
      </c>
      <c r="AK17" s="39">
        <f>C17*4.2/W17/2</f>
        <v>3.4929573598210542E-2</v>
      </c>
      <c r="AL17" s="39" t="e">
        <f>D17*2/W17</f>
        <v>#VALUE!</v>
      </c>
      <c r="AM17" s="39">
        <f>I17*20/W17/2</f>
        <v>0.22975434585093235</v>
      </c>
      <c r="AN17" s="39">
        <f>K17*32/W17/2</f>
        <v>0.61151710903228818</v>
      </c>
      <c r="AO17" s="39">
        <f>G17*8/W17</f>
        <v>0</v>
      </c>
    </row>
    <row r="18" spans="1:41" x14ac:dyDescent="0.2">
      <c r="A18" s="51">
        <v>44102</v>
      </c>
      <c r="B18" s="23">
        <f t="shared" si="8"/>
        <v>88204</v>
      </c>
      <c r="C18" s="42">
        <v>15.477080366797161</v>
      </c>
      <c r="D18" s="49">
        <v>26.242726000000001</v>
      </c>
      <c r="E18" s="49">
        <f>D18+4*F18</f>
        <v>26.717210000000001</v>
      </c>
      <c r="F18" s="47">
        <v>0.118621</v>
      </c>
      <c r="G18" s="49">
        <v>-3.4319030000000001</v>
      </c>
      <c r="H18" s="41"/>
      <c r="I18" s="25">
        <v>24.378289770860345</v>
      </c>
      <c r="J18" s="50">
        <v>4.2757563611767653</v>
      </c>
      <c r="K18" s="25">
        <v>50.44929330258028</v>
      </c>
      <c r="L18" s="25">
        <v>79.712449629245214</v>
      </c>
      <c r="M18" s="28">
        <f t="shared" si="10"/>
        <v>174.29791475812138</v>
      </c>
      <c r="N18" s="27">
        <f t="shared" si="11"/>
        <v>24.701639125132726</v>
      </c>
      <c r="O18" s="29">
        <f>'[1]Enrichment medium'!$F$32</f>
        <v>22.563760944544342</v>
      </c>
      <c r="P18" s="25">
        <f>'[1]Enrichment medium'!$F$33</f>
        <v>134.44168994349877</v>
      </c>
      <c r="Q18" s="30">
        <f t="shared" si="12"/>
        <v>0.54266550038843175</v>
      </c>
      <c r="R18" s="31">
        <f t="shared" si="13"/>
        <v>0.82690394189969407</v>
      </c>
      <c r="S18" s="32">
        <v>1</v>
      </c>
      <c r="T18" s="33">
        <f t="shared" si="0"/>
        <v>233.45459878566427</v>
      </c>
      <c r="U18" s="34">
        <f>(K18*6+I18*4+C18)/2+G18</f>
        <v>204.41109663286011</v>
      </c>
      <c r="V18" s="46">
        <f t="shared" si="14"/>
        <v>0.87559250362221763</v>
      </c>
      <c r="W18" s="34">
        <f t="shared" si="15"/>
        <v>1298.4326436581616</v>
      </c>
      <c r="X18" s="34">
        <f t="shared" si="22"/>
        <v>1135.9589113201619</v>
      </c>
      <c r="Y18" s="35">
        <f t="shared" si="21"/>
        <v>0.87486934102314962</v>
      </c>
      <c r="Z18" s="36">
        <f t="shared" si="3"/>
        <v>94.585465128876166</v>
      </c>
      <c r="AA18" s="37">
        <f t="shared" si="4"/>
        <v>20.425882763955961</v>
      </c>
      <c r="AB18" s="37">
        <f t="shared" si="17"/>
        <v>25.47081209421399</v>
      </c>
      <c r="AC18" s="37">
        <f t="shared" si="18"/>
        <v>4.6306671893654512</v>
      </c>
      <c r="AD18" s="37">
        <f t="shared" si="19"/>
        <v>3.7134844691647042</v>
      </c>
      <c r="AE18" s="37">
        <f t="shared" si="5"/>
        <v>12.189144885430172</v>
      </c>
      <c r="AF18" s="37">
        <f t="shared" si="6"/>
        <v>37.413791536720311</v>
      </c>
      <c r="AG18" s="37">
        <f t="shared" si="7"/>
        <v>25.22464665129014</v>
      </c>
      <c r="AH18" s="37">
        <f>Z18/E18</f>
        <v>3.5402448507488677</v>
      </c>
      <c r="AI18" s="37">
        <f t="shared" si="20"/>
        <v>2.012656894505108</v>
      </c>
      <c r="AJ18" s="38">
        <f>C18/2/Z18</f>
        <v>8.1815320914841783E-2</v>
      </c>
      <c r="AK18" s="39">
        <f>C18*4.2/W18/2</f>
        <v>2.5031617103143937E-2</v>
      </c>
      <c r="AL18" s="39">
        <f>D18*2/W18</f>
        <v>4.0422159945185304E-2</v>
      </c>
      <c r="AM18" s="39">
        <f>I18*20/W18/2</f>
        <v>0.18775167036911325</v>
      </c>
      <c r="AN18" s="39">
        <f>K18*32/W18/2</f>
        <v>0.62166389360570717</v>
      </c>
      <c r="AO18" s="39">
        <f>G18*8/W18</f>
        <v>-2.1144896605994556E-2</v>
      </c>
    </row>
    <row r="19" spans="1:41" x14ac:dyDescent="0.2">
      <c r="A19" s="51">
        <v>44105</v>
      </c>
      <c r="B19" s="23">
        <f t="shared" si="8"/>
        <v>88210</v>
      </c>
      <c r="C19" s="40">
        <v>17.964103278867746</v>
      </c>
      <c r="D19" s="55">
        <v>28.135321000000001</v>
      </c>
      <c r="E19" s="49">
        <f t="shared" ref="E19:E20" si="23">D19+4*F19</f>
        <v>28.653417000000001</v>
      </c>
      <c r="F19" s="55">
        <v>0.129524</v>
      </c>
      <c r="G19" s="55">
        <v>-4.1129300000000004</v>
      </c>
      <c r="H19" s="41"/>
      <c r="I19" s="25">
        <v>27.078756157008009</v>
      </c>
      <c r="J19" s="50">
        <v>6.275118517994291</v>
      </c>
      <c r="K19" s="25">
        <v>51.541903509511783</v>
      </c>
      <c r="L19" s="25">
        <v>107.25638886022963</v>
      </c>
      <c r="M19" s="28">
        <f t="shared" si="10"/>
        <v>188.0698843736136</v>
      </c>
      <c r="N19" s="27">
        <f t="shared" si="11"/>
        <v>25.701320203541488</v>
      </c>
      <c r="O19" s="29">
        <f>'[1]Enrichment medium'!$F$32</f>
        <v>22.563760944544342</v>
      </c>
      <c r="P19" s="25">
        <f>'[1]Enrichment medium'!$F$33</f>
        <v>134.44168994349877</v>
      </c>
      <c r="Q19" s="30">
        <f t="shared" si="12"/>
        <v>0.42969928855192185</v>
      </c>
      <c r="R19" s="31">
        <f t="shared" si="13"/>
        <v>0.75584450649622203</v>
      </c>
      <c r="S19" s="32">
        <v>1</v>
      </c>
      <c r="T19" s="33">
        <f t="shared" si="0"/>
        <v>204.59232439786234</v>
      </c>
      <c r="U19" s="34">
        <f>(K19*6+I19*4+C19)/2+G19</f>
        <v>213.65234448198524</v>
      </c>
      <c r="V19" s="56">
        <f t="shared" si="14"/>
        <v>1.0442832843841408</v>
      </c>
      <c r="W19" s="34">
        <f t="shared" si="15"/>
        <v>1125.1715596449853</v>
      </c>
      <c r="X19" s="34">
        <f t="shared" si="22"/>
        <v>1189.4532766078908</v>
      </c>
      <c r="Y19" s="57">
        <f t="shared" si="21"/>
        <v>1.0571305916967788</v>
      </c>
      <c r="Z19" s="36">
        <f t="shared" si="3"/>
        <v>80.81349551338397</v>
      </c>
      <c r="AA19" s="37">
        <f t="shared" si="4"/>
        <v>19.426201685547198</v>
      </c>
      <c r="AB19" s="37">
        <f t="shared" si="17"/>
        <v>24.580392036498377</v>
      </c>
      <c r="AC19" s="37">
        <f t="shared" si="18"/>
        <v>4.1600255583420607</v>
      </c>
      <c r="AD19" s="37">
        <f t="shared" si="19"/>
        <v>3.28772199374963</v>
      </c>
      <c r="AE19" s="37">
        <f t="shared" si="5"/>
        <v>13.539378078504004</v>
      </c>
      <c r="AF19" s="37">
        <f t="shared" si="6"/>
        <v>39.3103298332599</v>
      </c>
      <c r="AG19" s="37">
        <f t="shared" si="7"/>
        <v>25.770951754755892</v>
      </c>
      <c r="AH19" s="37">
        <f>Z19/D19</f>
        <v>2.872314679238384</v>
      </c>
      <c r="AI19" s="37">
        <f t="shared" si="20"/>
        <v>2.7341778613385079</v>
      </c>
      <c r="AJ19" s="38">
        <f>C19/2/Z19</f>
        <v>0.11114544151782552</v>
      </c>
      <c r="AK19" s="39">
        <f>C19*4.2/W19/2</f>
        <v>3.3527879870626269E-2</v>
      </c>
      <c r="AL19" s="39">
        <f>D19*2/W19</f>
        <v>5.001072193626592E-2</v>
      </c>
      <c r="AM19" s="39">
        <f>I19*20/W19/2</f>
        <v>0.24066335417820114</v>
      </c>
      <c r="AN19" s="39">
        <f>K19*32/W19/2</f>
        <v>0.73292863571168554</v>
      </c>
      <c r="AO19" s="39">
        <f>G19*8/W19</f>
        <v>-2.9243042732418255E-2</v>
      </c>
    </row>
    <row r="20" spans="1:41" ht="17" thickBot="1" x14ac:dyDescent="0.25">
      <c r="A20" s="51">
        <v>44109</v>
      </c>
      <c r="B20" s="23">
        <f t="shared" si="8"/>
        <v>88218</v>
      </c>
      <c r="C20" s="40">
        <v>22.245025645860416</v>
      </c>
      <c r="D20" s="55">
        <v>20.305361999999999</v>
      </c>
      <c r="E20" s="49">
        <f t="shared" si="23"/>
        <v>20.627533999999997</v>
      </c>
      <c r="F20" s="55">
        <v>8.0543000000000003E-2</v>
      </c>
      <c r="G20" s="55">
        <v>-4.0779230000000002</v>
      </c>
      <c r="H20" s="41"/>
      <c r="I20" s="25">
        <v>15.912659262704036</v>
      </c>
      <c r="J20" s="58">
        <v>10.977380524584733</v>
      </c>
      <c r="K20" s="25">
        <v>47.613934320576462</v>
      </c>
      <c r="L20" s="25">
        <v>106.06764267651378</v>
      </c>
      <c r="M20" s="28">
        <f t="shared" si="10"/>
        <v>187.47551128175567</v>
      </c>
      <c r="N20" s="27">
        <f t="shared" si="11"/>
        <v>28.052451206836707</v>
      </c>
      <c r="O20" s="29">
        <f>'[1]Enrichment medium'!$F$32</f>
        <v>22.563760944544342</v>
      </c>
      <c r="P20" s="25">
        <f>'[1]Enrichment medium'!$F$33</f>
        <v>134.44168994349877</v>
      </c>
      <c r="Q20" s="30">
        <f t="shared" si="12"/>
        <v>0.43423201275015888</v>
      </c>
      <c r="R20" s="31">
        <f t="shared" si="13"/>
        <v>0.60868373164091216</v>
      </c>
      <c r="S20" s="32">
        <v>1</v>
      </c>
      <c r="T20" s="33">
        <f t="shared" si="0"/>
        <v>201.04380157498773</v>
      </c>
      <c r="U20" s="34">
        <f>(K20*6+I20*4+C20)/2+F20</f>
        <v>185.8701773100677</v>
      </c>
      <c r="V20" s="59">
        <f t="shared" si="14"/>
        <v>0.92452577922796397</v>
      </c>
      <c r="W20" s="34">
        <f t="shared" si="15"/>
        <v>1113.4949887209184</v>
      </c>
      <c r="X20" s="34">
        <f t="shared" si="22"/>
        <v>1008.2748196125707</v>
      </c>
      <c r="Y20" s="35">
        <f t="shared" si="21"/>
        <v>0.90550458675237055</v>
      </c>
      <c r="Z20" s="36">
        <f t="shared" si="3"/>
        <v>81.407868605241887</v>
      </c>
      <c r="AA20" s="37">
        <f t="shared" si="4"/>
        <v>17.075070682251976</v>
      </c>
      <c r="AB20" s="37">
        <f t="shared" si="17"/>
        <v>21.836464114309621</v>
      </c>
      <c r="AC20" s="37">
        <f t="shared" si="18"/>
        <v>4.7676446042392175</v>
      </c>
      <c r="AD20" s="37">
        <f t="shared" si="19"/>
        <v>3.7280700840157825</v>
      </c>
      <c r="AE20" s="37">
        <f t="shared" si="5"/>
        <v>7.956329631352018</v>
      </c>
      <c r="AF20" s="37">
        <f t="shared" si="6"/>
        <v>31.763296791640251</v>
      </c>
      <c r="AG20" s="37">
        <f t="shared" si="7"/>
        <v>23.806967160288231</v>
      </c>
      <c r="AH20" s="37">
        <f>Z20/D20</f>
        <v>4.0091808560340807</v>
      </c>
      <c r="AI20" s="37">
        <f t="shared" si="20"/>
        <v>3.3610241876110858</v>
      </c>
      <c r="AJ20" s="38">
        <f>C20/2/Z20</f>
        <v>0.1366269994963856</v>
      </c>
      <c r="AK20" s="39">
        <f>C20*4.2/W20/2</f>
        <v>4.195308854507581E-2</v>
      </c>
      <c r="AL20" s="39">
        <f>D20*2/W20</f>
        <v>3.6471402576000719E-2</v>
      </c>
      <c r="AM20" s="39">
        <f>I20*20/W20/2</f>
        <v>0.14290732714462459</v>
      </c>
      <c r="AN20" s="39">
        <f>K20*32/W20/2</f>
        <v>0.6841727684866693</v>
      </c>
      <c r="AO20" s="39">
        <f>F20*8/W20</f>
        <v>5.7866807352241771E-4</v>
      </c>
    </row>
  </sheetData>
  <mergeCells count="10">
    <mergeCell ref="S1:Y1"/>
    <mergeCell ref="AK1:AN1"/>
    <mergeCell ref="AK3:AO3"/>
    <mergeCell ref="D17:G17"/>
    <mergeCell ref="A1:B1"/>
    <mergeCell ref="D1:G1"/>
    <mergeCell ref="I1:L1"/>
    <mergeCell ref="M1:N1"/>
    <mergeCell ref="O1:P1"/>
    <mergeCell ref="Q1:R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E777D-B35D-3E48-94FF-DEB1C8073595}">
  <dimension ref="A1:AP18"/>
  <sheetViews>
    <sheetView topLeftCell="R1" workbookViewId="0">
      <selection activeCell="AP27" sqref="AP27"/>
    </sheetView>
  </sheetViews>
  <sheetFormatPr baseColWidth="10" defaultRowHeight="16" x14ac:dyDescent="0.2"/>
  <sheetData>
    <row r="1" spans="1:42" x14ac:dyDescent="0.2">
      <c r="A1" s="1" t="s">
        <v>0</v>
      </c>
      <c r="B1" s="4"/>
      <c r="C1" s="2"/>
      <c r="D1" s="3" t="s">
        <v>1</v>
      </c>
      <c r="E1" s="4" t="s">
        <v>2</v>
      </c>
      <c r="F1" s="4"/>
      <c r="G1" s="4"/>
      <c r="H1" s="2"/>
      <c r="I1" s="3"/>
      <c r="J1" s="4" t="s">
        <v>56</v>
      </c>
      <c r="K1" s="4"/>
      <c r="L1" s="4"/>
      <c r="M1" s="4"/>
      <c r="N1" s="1" t="s">
        <v>57</v>
      </c>
      <c r="O1" s="2"/>
      <c r="P1" s="1" t="s">
        <v>5</v>
      </c>
      <c r="Q1" s="4"/>
      <c r="R1" s="1" t="s">
        <v>58</v>
      </c>
      <c r="S1" s="2"/>
      <c r="T1" s="1" t="s">
        <v>7</v>
      </c>
      <c r="U1" s="4"/>
      <c r="V1" s="4"/>
      <c r="W1" s="4"/>
      <c r="X1" s="4"/>
      <c r="Y1" s="4"/>
      <c r="Z1" s="4"/>
      <c r="AA1" s="5"/>
      <c r="AB1" s="6"/>
      <c r="AC1" s="6"/>
      <c r="AD1" s="6"/>
      <c r="AE1" s="6"/>
      <c r="AF1" s="6"/>
      <c r="AG1" s="6"/>
      <c r="AH1" s="6"/>
      <c r="AI1" s="6"/>
      <c r="AJ1" s="6"/>
      <c r="AK1" s="7"/>
      <c r="AL1" s="8" t="s">
        <v>8</v>
      </c>
      <c r="AM1" s="9"/>
      <c r="AN1" s="9"/>
      <c r="AO1" s="10"/>
      <c r="AP1" s="11"/>
    </row>
    <row r="2" spans="1:42" ht="17" thickBot="1" x14ac:dyDescent="0.25">
      <c r="A2" s="12" t="s">
        <v>9</v>
      </c>
      <c r="B2" s="15" t="s">
        <v>59</v>
      </c>
      <c r="C2" s="13" t="s">
        <v>60</v>
      </c>
      <c r="D2" s="14" t="s">
        <v>11</v>
      </c>
      <c r="E2" s="15" t="s">
        <v>12</v>
      </c>
      <c r="F2" s="15" t="s">
        <v>61</v>
      </c>
      <c r="G2" s="15" t="s">
        <v>14</v>
      </c>
      <c r="H2" s="15" t="s">
        <v>15</v>
      </c>
      <c r="I2" s="14" t="s">
        <v>16</v>
      </c>
      <c r="J2" s="15" t="s">
        <v>17</v>
      </c>
      <c r="K2" s="15" t="s">
        <v>18</v>
      </c>
      <c r="L2" s="15" t="s">
        <v>19</v>
      </c>
      <c r="M2" s="16" t="s">
        <v>20</v>
      </c>
      <c r="N2" s="17" t="s">
        <v>62</v>
      </c>
      <c r="O2" s="16" t="s">
        <v>63</v>
      </c>
      <c r="P2" s="17" t="s">
        <v>18</v>
      </c>
      <c r="Q2" s="15" t="s">
        <v>20</v>
      </c>
      <c r="R2" s="12" t="s">
        <v>62</v>
      </c>
      <c r="S2" s="15" t="s">
        <v>63</v>
      </c>
      <c r="T2" s="12" t="s">
        <v>23</v>
      </c>
      <c r="U2" s="15" t="s">
        <v>24</v>
      </c>
      <c r="V2" s="15" t="s">
        <v>25</v>
      </c>
      <c r="W2" s="15" t="s">
        <v>26</v>
      </c>
      <c r="X2" s="15" t="s">
        <v>27</v>
      </c>
      <c r="Y2" s="15" t="s">
        <v>28</v>
      </c>
      <c r="Z2" s="15" t="s">
        <v>29</v>
      </c>
      <c r="AA2" s="16" t="s">
        <v>30</v>
      </c>
      <c r="AB2" s="16" t="s">
        <v>31</v>
      </c>
      <c r="AC2" s="16" t="s">
        <v>64</v>
      </c>
      <c r="AD2" s="16" t="s">
        <v>65</v>
      </c>
      <c r="AE2" s="16" t="s">
        <v>66</v>
      </c>
      <c r="AF2" s="16" t="s">
        <v>67</v>
      </c>
      <c r="AG2" s="16" t="s">
        <v>68</v>
      </c>
      <c r="AH2" s="16" t="s">
        <v>36</v>
      </c>
      <c r="AI2" s="16" t="s">
        <v>37</v>
      </c>
      <c r="AJ2" s="16" t="s">
        <v>39</v>
      </c>
      <c r="AK2" s="16" t="s">
        <v>39</v>
      </c>
      <c r="AL2" s="18" t="s">
        <v>11</v>
      </c>
      <c r="AM2" s="18" t="s">
        <v>40</v>
      </c>
      <c r="AN2" s="18" t="s">
        <v>17</v>
      </c>
      <c r="AO2" s="18" t="s">
        <v>41</v>
      </c>
      <c r="AP2" s="19" t="s">
        <v>42</v>
      </c>
    </row>
    <row r="3" spans="1:42" ht="17" thickBot="1" x14ac:dyDescent="0.25">
      <c r="A3" s="12" t="s">
        <v>43</v>
      </c>
      <c r="B3" s="15"/>
      <c r="C3" s="13" t="s">
        <v>44</v>
      </c>
      <c r="D3" s="14" t="s">
        <v>45</v>
      </c>
      <c r="E3" s="15" t="s">
        <v>46</v>
      </c>
      <c r="F3" s="15"/>
      <c r="G3" s="15" t="s">
        <v>46</v>
      </c>
      <c r="H3" s="15" t="s">
        <v>46</v>
      </c>
      <c r="I3" s="14" t="s">
        <v>46</v>
      </c>
      <c r="J3" s="15" t="s">
        <v>47</v>
      </c>
      <c r="K3" s="15" t="s">
        <v>47</v>
      </c>
      <c r="L3" s="15" t="s">
        <v>47</v>
      </c>
      <c r="M3" s="15" t="s">
        <v>47</v>
      </c>
      <c r="N3" s="12" t="s">
        <v>47</v>
      </c>
      <c r="O3" s="15" t="s">
        <v>47</v>
      </c>
      <c r="P3" s="12" t="s">
        <v>46</v>
      </c>
      <c r="Q3" s="15" t="s">
        <v>46</v>
      </c>
      <c r="R3" s="12"/>
      <c r="S3" s="15"/>
      <c r="T3" s="12" t="s">
        <v>49</v>
      </c>
      <c r="U3" s="15" t="s">
        <v>50</v>
      </c>
      <c r="V3" s="15" t="s">
        <v>50</v>
      </c>
      <c r="W3" s="15" t="s">
        <v>44</v>
      </c>
      <c r="X3" s="15" t="s">
        <v>44</v>
      </c>
      <c r="Y3" s="15"/>
      <c r="Z3" s="15"/>
      <c r="AA3" s="13" t="s">
        <v>46</v>
      </c>
      <c r="AB3" s="13" t="s">
        <v>46</v>
      </c>
      <c r="AC3" s="13" t="s">
        <v>46</v>
      </c>
      <c r="AD3" s="13" t="s">
        <v>51</v>
      </c>
      <c r="AE3" s="13" t="s">
        <v>51</v>
      </c>
      <c r="AF3" s="13" t="s">
        <v>51</v>
      </c>
      <c r="AG3" s="13" t="s">
        <v>46</v>
      </c>
      <c r="AH3" s="13" t="s">
        <v>46</v>
      </c>
      <c r="AI3" s="13" t="s">
        <v>46</v>
      </c>
      <c r="AJ3" s="13" t="s">
        <v>52</v>
      </c>
      <c r="AK3" s="13" t="s">
        <v>53</v>
      </c>
      <c r="AL3" s="20" t="s">
        <v>54</v>
      </c>
      <c r="AM3" s="21"/>
      <c r="AN3" s="21"/>
      <c r="AO3" s="21"/>
      <c r="AP3" s="21"/>
    </row>
    <row r="4" spans="1:42" x14ac:dyDescent="0.2">
      <c r="A4" s="22">
        <v>44057</v>
      </c>
      <c r="B4" s="60">
        <f>C4</f>
        <v>88114</v>
      </c>
      <c r="C4" s="23">
        <f>2*(A4-$I$1)</f>
        <v>88114</v>
      </c>
      <c r="D4" s="24">
        <f>D5</f>
        <v>3.8</v>
      </c>
      <c r="E4" s="61">
        <v>4.6611479999999998</v>
      </c>
      <c r="F4" s="49">
        <f>E4+4*G4</f>
        <v>4.6611479999999998</v>
      </c>
      <c r="G4" s="49">
        <v>0</v>
      </c>
      <c r="H4" s="49">
        <v>0</v>
      </c>
      <c r="I4" s="26"/>
      <c r="J4" s="25">
        <v>17.991281788007999</v>
      </c>
      <c r="K4" s="62">
        <v>24.272196023596592</v>
      </c>
      <c r="L4" s="25">
        <v>29.755887301717788</v>
      </c>
      <c r="M4" s="25">
        <v>155.05534256401739</v>
      </c>
      <c r="N4" s="29">
        <f>(M4/2)+Q4</f>
        <v>211.96936122550747</v>
      </c>
      <c r="O4" s="25">
        <f>K4/2+P4</f>
        <v>34.699858956342638</v>
      </c>
      <c r="P4" s="63">
        <f>'[1]Enrichment medium'!$F$32</f>
        <v>22.563760944544342</v>
      </c>
      <c r="Q4" s="64">
        <f>'[1]Enrichment medium'!$F$33</f>
        <v>134.44168994349877</v>
      </c>
      <c r="R4" s="30">
        <f>(N4-M4)/N4</f>
        <v>0.26850115664094049</v>
      </c>
      <c r="S4" s="65">
        <f>(O4-K4)/O4</f>
        <v>0.30051023970632068</v>
      </c>
      <c r="T4" s="32">
        <v>1</v>
      </c>
      <c r="U4" s="25">
        <f>AA4*2+AB4*2</f>
        <v>134.68336318847224</v>
      </c>
      <c r="V4" s="34">
        <f>(L4*6+J4*4+D4)/2+G4</f>
        <v>127.15022548116937</v>
      </c>
      <c r="W4" s="35">
        <f>V4/U4</f>
        <v>0.9440677933119237</v>
      </c>
      <c r="X4" s="34">
        <f>AA4*12+AB4*8</f>
        <v>766.38952739984927</v>
      </c>
      <c r="Y4" s="34">
        <f>((L4*32+J4*20+D4*4.2)/2)+E4*2+G4*8</f>
        <v>673.30931070756469</v>
      </c>
      <c r="Z4" s="35">
        <f>Y4/X4</f>
        <v>0.87854711818925768</v>
      </c>
      <c r="AA4" s="36">
        <f>(Q4+(M4/2)-M4)</f>
        <v>56.914018661490076</v>
      </c>
      <c r="AB4" s="37">
        <f>(P4+(K4/2)-K4)</f>
        <v>10.427662932746045</v>
      </c>
      <c r="AC4" s="37">
        <f>AB4+AI4*0.2</f>
        <v>13.403251662917825</v>
      </c>
      <c r="AD4" s="37">
        <f>AA4/AB4</f>
        <v>5.4579841167250125</v>
      </c>
      <c r="AE4" s="37">
        <f>AC4/AA4</f>
        <v>0.23550000471126303</v>
      </c>
      <c r="AF4" s="37">
        <f>AA4/E4</f>
        <v>12.210300694483436</v>
      </c>
      <c r="AG4" s="37">
        <f>J4/2</f>
        <v>8.9956408940039996</v>
      </c>
      <c r="AH4" s="37">
        <f>AI4+J4/2</f>
        <v>23.873584544862894</v>
      </c>
      <c r="AI4" s="37">
        <f>L4/2</f>
        <v>14.877943650858894</v>
      </c>
      <c r="AJ4" s="37">
        <f>AK4*24.6</f>
        <v>0.41061939658485097</v>
      </c>
      <c r="AK4" s="38">
        <f>D4/2/(AA4*2)</f>
        <v>1.6691845389628087E-2</v>
      </c>
      <c r="AL4" s="39">
        <f>D4*4.2/X4/2</f>
        <v>1.0412459610550739E-2</v>
      </c>
      <c r="AM4" s="39">
        <f>E4*2/X4</f>
        <v>1.2163913606215378E-2</v>
      </c>
      <c r="AN4" s="39">
        <f>J4*20/X4/2</f>
        <v>0.23475375308229371</v>
      </c>
      <c r="AO4" s="39">
        <f>L4*32/X4/2</f>
        <v>0.62121699189019775</v>
      </c>
      <c r="AP4" s="39">
        <f>G4*8/X4/2</f>
        <v>0</v>
      </c>
    </row>
    <row r="5" spans="1:42" x14ac:dyDescent="0.2">
      <c r="A5" s="22">
        <v>44060</v>
      </c>
      <c r="B5" s="60">
        <f t="shared" ref="B5:B18" si="0">C5</f>
        <v>88120</v>
      </c>
      <c r="C5" s="23">
        <f t="shared" ref="C5:C9" si="1">2*(A5-$I$1)</f>
        <v>88120</v>
      </c>
      <c r="D5" s="24">
        <v>3.8</v>
      </c>
      <c r="E5" s="61">
        <v>5.1980320000000004</v>
      </c>
      <c r="F5" s="49">
        <f t="shared" ref="F5:F18" si="2">E5+4*G5</f>
        <v>5.9325160000000006</v>
      </c>
      <c r="G5" s="49">
        <v>0.18362100000000001</v>
      </c>
      <c r="H5" s="49">
        <v>-0.78002700000000003</v>
      </c>
      <c r="I5" s="41"/>
      <c r="J5" s="25">
        <v>21.067963311458371</v>
      </c>
      <c r="K5" s="62">
        <v>24.986253952646926</v>
      </c>
      <c r="L5" s="25">
        <v>21.750881638095208</v>
      </c>
      <c r="M5" s="25">
        <v>168.76640711815486</v>
      </c>
      <c r="N5" s="29">
        <f t="shared" ref="N5:N18" si="3">(M5/2)+Q5</f>
        <v>218.8248935025762</v>
      </c>
      <c r="O5" s="25">
        <f t="shared" ref="O5:O18" si="4">K5/2+P5</f>
        <v>35.056887920867808</v>
      </c>
      <c r="P5" s="29">
        <f>'[1]Enrichment medium'!$F$32</f>
        <v>22.563760944544342</v>
      </c>
      <c r="Q5" s="25">
        <f>'[1]Enrichment medium'!$F$33</f>
        <v>134.44168994349877</v>
      </c>
      <c r="R5" s="30">
        <f t="shared" ref="R5:R18" si="5">(N5-M5)/N5</f>
        <v>0.22876047410863706</v>
      </c>
      <c r="S5" s="65">
        <f t="shared" ref="S5:S18" si="6">(O5-K5)/O5</f>
        <v>0.28726548662713103</v>
      </c>
      <c r="T5" s="32">
        <v>1</v>
      </c>
      <c r="U5" s="25">
        <f t="shared" ref="U5:U14" si="7">AA5*2+AB5*2</f>
        <v>120.25824070528445</v>
      </c>
      <c r="V5" s="34">
        <f t="shared" ref="V5:V18" si="8">(L5*6+J5*4+D5)/2+G5</f>
        <v>109.47219253720237</v>
      </c>
      <c r="W5" s="35">
        <f t="shared" ref="W5:W18" si="9">V5/U5</f>
        <v>0.91030928022209034</v>
      </c>
      <c r="X5" s="34">
        <f t="shared" ref="X5:X18" si="10">AA5*12+AB5*8</f>
        <v>681.26690835882323</v>
      </c>
      <c r="Y5" s="34">
        <f t="shared" ref="Y5:Y14" si="11">((L5*32+J5*20+D5*4.2)/2)+E5*2+G5*8</f>
        <v>578.53877132410707</v>
      </c>
      <c r="Z5" s="35">
        <f t="shared" ref="Z5:Z8" si="12">Y5/X5</f>
        <v>0.84921014689794794</v>
      </c>
      <c r="AA5" s="36">
        <f>(Q5+(M5/2)-M5)</f>
        <v>50.058486384421343</v>
      </c>
      <c r="AB5" s="37">
        <f>(P5+(K5/2)-K5)</f>
        <v>10.070633968220882</v>
      </c>
      <c r="AC5" s="37">
        <f t="shared" ref="AC5:AC18" si="13">AB5+AI5*0.2</f>
        <v>12.245722132030403</v>
      </c>
      <c r="AD5" s="37">
        <f t="shared" ref="AD5:AD18" si="14">AA5/AB5</f>
        <v>4.9707383410405965</v>
      </c>
      <c r="AE5" s="37">
        <f t="shared" ref="AE5:AE18" si="15">AC5/AA5</f>
        <v>0.24462829415156634</v>
      </c>
      <c r="AF5" s="37">
        <f t="shared" ref="AF5:AF18" si="16">AA5/E5</f>
        <v>9.630276686334625</v>
      </c>
      <c r="AG5" s="37">
        <f t="shared" ref="AG5:AG18" si="17">J5/2</f>
        <v>10.533981655729185</v>
      </c>
      <c r="AH5" s="37">
        <f t="shared" ref="AH5:AH18" si="18">AI5+J5/2</f>
        <v>21.40942247477679</v>
      </c>
      <c r="AI5" s="37">
        <f>L5/2</f>
        <v>10.875440819047604</v>
      </c>
      <c r="AJ5" s="37">
        <f>AK5*24.6</f>
        <v>0.4668539080572951</v>
      </c>
      <c r="AK5" s="38">
        <f>D5/2/(AA5*2)</f>
        <v>1.897780114054045E-2</v>
      </c>
      <c r="AL5" s="39">
        <f>D5*4.2/X5/2</f>
        <v>1.1713470744122705E-2</v>
      </c>
      <c r="AM5" s="39">
        <f>E5*2/X5</f>
        <v>1.5259898686469583E-2</v>
      </c>
      <c r="AN5" s="39">
        <f>J5*20/X5/2</f>
        <v>0.30924683193861924</v>
      </c>
      <c r="AO5" s="39">
        <f>L5*32/X5/2</f>
        <v>0.51083371574276482</v>
      </c>
      <c r="AP5" s="39">
        <f>G5*8/X5/2</f>
        <v>1.078114892985742E-3</v>
      </c>
    </row>
    <row r="6" spans="1:42" x14ac:dyDescent="0.2">
      <c r="A6" s="22">
        <v>44067</v>
      </c>
      <c r="B6" s="60">
        <f t="shared" si="0"/>
        <v>88134</v>
      </c>
      <c r="C6" s="23">
        <f t="shared" si="1"/>
        <v>88134</v>
      </c>
      <c r="D6" s="40">
        <v>3.323</v>
      </c>
      <c r="E6" s="61">
        <v>7.6951689999999999</v>
      </c>
      <c r="F6" s="49">
        <f t="shared" si="2"/>
        <v>8.517396999999999</v>
      </c>
      <c r="G6" s="49">
        <v>0.20555699999999999</v>
      </c>
      <c r="H6" s="49">
        <v>-0.99868599999999996</v>
      </c>
      <c r="I6" s="41"/>
      <c r="J6" s="25">
        <v>39.036787335597658</v>
      </c>
      <c r="K6" s="62">
        <v>14.110865118550858</v>
      </c>
      <c r="L6" s="25">
        <v>17.018638556738338</v>
      </c>
      <c r="M6" s="25">
        <v>160.05646685721004</v>
      </c>
      <c r="N6" s="29">
        <f t="shared" si="3"/>
        <v>214.46992337210378</v>
      </c>
      <c r="O6" s="25">
        <f t="shared" si="4"/>
        <v>29.619193503819773</v>
      </c>
      <c r="P6" s="29">
        <f>'[1]Enrichment medium'!$F$32</f>
        <v>22.563760944544342</v>
      </c>
      <c r="Q6" s="25">
        <f>'[1]Enrichment medium'!$F$33</f>
        <v>134.44168994349877</v>
      </c>
      <c r="R6" s="30">
        <f t="shared" si="5"/>
        <v>0.25371136269064071</v>
      </c>
      <c r="S6" s="65">
        <f t="shared" si="6"/>
        <v>0.52359050165457466</v>
      </c>
      <c r="T6" s="32">
        <v>2</v>
      </c>
      <c r="U6" s="25">
        <f t="shared" si="7"/>
        <v>139.8435698003253</v>
      </c>
      <c r="V6" s="34">
        <f t="shared" si="8"/>
        <v>130.99654734141032</v>
      </c>
      <c r="W6" s="35">
        <f t="shared" si="9"/>
        <v>0.93673629419252424</v>
      </c>
      <c r="X6" s="34">
        <f t="shared" si="10"/>
        <v>777.02810526087615</v>
      </c>
      <c r="Y6" s="34">
        <f t="shared" si="11"/>
        <v>686.67918426379003</v>
      </c>
      <c r="Z6" s="35">
        <f t="shared" si="12"/>
        <v>0.88372502823851817</v>
      </c>
      <c r="AA6" s="36">
        <f t="shared" ref="AA6:AA18" si="19">(Q6+(M6/2)-M6)</f>
        <v>54.413456514893738</v>
      </c>
      <c r="AB6" s="37">
        <f t="shared" ref="AB6:AB18" si="20">(P6+(K6/2)-K6)</f>
        <v>15.508328385268914</v>
      </c>
      <c r="AC6" s="37">
        <f t="shared" si="13"/>
        <v>17.210192240942749</v>
      </c>
      <c r="AD6" s="37">
        <f t="shared" si="14"/>
        <v>3.5086603251566504</v>
      </c>
      <c r="AE6" s="37">
        <f t="shared" si="15"/>
        <v>0.31628559079374191</v>
      </c>
      <c r="AF6" s="37">
        <f t="shared" si="16"/>
        <v>7.0711191027635314</v>
      </c>
      <c r="AG6" s="37">
        <f t="shared" si="17"/>
        <v>19.518393667798829</v>
      </c>
      <c r="AH6" s="37">
        <f t="shared" si="18"/>
        <v>28.027712946167998</v>
      </c>
      <c r="AI6" s="37">
        <f t="shared" ref="AI6:AI18" si="21">L6/2</f>
        <v>8.5093192783691691</v>
      </c>
      <c r="AJ6" s="37">
        <f t="shared" ref="AJ6:AJ18" si="22">AK6*24.6</f>
        <v>0.75115426620274539</v>
      </c>
      <c r="AK6" s="38">
        <f t="shared" ref="AK6:AK18" si="23">D6/2/AA6</f>
        <v>3.0534726268404283E-2</v>
      </c>
      <c r="AL6" s="39">
        <f>D6*4.2/X6/2</f>
        <v>8.9807562335948391E-3</v>
      </c>
      <c r="AM6" s="39">
        <f>E6*2/X6</f>
        <v>1.9806668376342595E-2</v>
      </c>
      <c r="AN6" s="39">
        <f>J6*20/X6/2</f>
        <v>0.50238578336225836</v>
      </c>
      <c r="AO6" s="39">
        <f>L6*32/X6/2</f>
        <v>0.35043547982912815</v>
      </c>
      <c r="AP6" s="39">
        <f>G6*8/X6/2</f>
        <v>1.0581702185971107E-3</v>
      </c>
    </row>
    <row r="7" spans="1:42" x14ac:dyDescent="0.2">
      <c r="A7" s="22">
        <v>44069</v>
      </c>
      <c r="B7" s="60">
        <f t="shared" si="0"/>
        <v>88138</v>
      </c>
      <c r="C7" s="23">
        <f t="shared" si="1"/>
        <v>88138</v>
      </c>
      <c r="D7" s="24">
        <f>D6</f>
        <v>3.323</v>
      </c>
      <c r="E7" s="61">
        <v>6.9833420000000004</v>
      </c>
      <c r="F7" s="49">
        <f t="shared" si="2"/>
        <v>7.9826220000000001</v>
      </c>
      <c r="G7" s="49">
        <v>0.24981999999999999</v>
      </c>
      <c r="H7" s="49">
        <v>-1.1119289999999999</v>
      </c>
      <c r="I7" s="41"/>
      <c r="J7" s="25">
        <v>41.628491534058995</v>
      </c>
      <c r="K7" s="62">
        <v>15.892463694792681</v>
      </c>
      <c r="L7" s="25">
        <v>13.953134919021036</v>
      </c>
      <c r="M7" s="25">
        <v>165.08671745724251</v>
      </c>
      <c r="N7" s="29">
        <f t="shared" si="3"/>
        <v>216.98504867212003</v>
      </c>
      <c r="O7" s="25">
        <f t="shared" si="4"/>
        <v>30.509992791940682</v>
      </c>
      <c r="P7" s="29">
        <f>'[1]Enrichment medium'!$F$32</f>
        <v>22.563760944544342</v>
      </c>
      <c r="Q7" s="25">
        <f>'[1]Enrichment medium'!$F$33</f>
        <v>134.44168994349877</v>
      </c>
      <c r="R7" s="30">
        <f t="shared" si="5"/>
        <v>0.23917929614265551</v>
      </c>
      <c r="S7" s="65">
        <f t="shared" si="6"/>
        <v>0.47910627828824892</v>
      </c>
      <c r="T7" s="32">
        <v>1</v>
      </c>
      <c r="U7" s="25">
        <f t="shared" si="7"/>
        <v>133.03172062405105</v>
      </c>
      <c r="V7" s="34">
        <f t="shared" si="8"/>
        <v>127.0277078251811</v>
      </c>
      <c r="W7" s="35">
        <f t="shared" si="9"/>
        <v>0.95486781069428284</v>
      </c>
      <c r="X7" s="34">
        <f t="shared" si="10"/>
        <v>739.72020735571414</v>
      </c>
      <c r="Y7" s="34">
        <f t="shared" si="11"/>
        <v>662.47861804492641</v>
      </c>
      <c r="Z7" s="35">
        <f t="shared" si="12"/>
        <v>0.89557999289095525</v>
      </c>
      <c r="AA7" s="36">
        <f t="shared" si="19"/>
        <v>51.898331214877516</v>
      </c>
      <c r="AB7" s="37">
        <f t="shared" si="20"/>
        <v>14.617529097148001</v>
      </c>
      <c r="AC7" s="37">
        <f t="shared" si="13"/>
        <v>16.012842589050106</v>
      </c>
      <c r="AD7" s="37">
        <f t="shared" si="14"/>
        <v>3.5504175069508364</v>
      </c>
      <c r="AE7" s="37">
        <f t="shared" si="15"/>
        <v>0.3085425333379459</v>
      </c>
      <c r="AF7" s="37">
        <f t="shared" si="16"/>
        <v>7.4317327169251506</v>
      </c>
      <c r="AG7" s="37">
        <f t="shared" si="17"/>
        <v>20.814245767029497</v>
      </c>
      <c r="AH7" s="37">
        <f t="shared" si="18"/>
        <v>27.790813226540017</v>
      </c>
      <c r="AI7" s="37">
        <f t="shared" si="21"/>
        <v>6.9765674595105178</v>
      </c>
      <c r="AJ7" s="37">
        <f t="shared" si="22"/>
        <v>0.7875571149055195</v>
      </c>
      <c r="AK7" s="38">
        <f t="shared" si="23"/>
        <v>3.2014516866078029E-2</v>
      </c>
      <c r="AL7" s="39">
        <f>D7*4.2/X7/2</f>
        <v>9.4337020005785758E-3</v>
      </c>
      <c r="AM7" s="39">
        <f>E7*2/X7</f>
        <v>1.8881036182486967E-2</v>
      </c>
      <c r="AN7" s="39">
        <f>J7*20/X7/2</f>
        <v>0.56275996140309337</v>
      </c>
      <c r="AO7" s="39">
        <f>L7*32/X7/2</f>
        <v>0.30180351501061642</v>
      </c>
      <c r="AP7" s="39">
        <f>G7*8/X7/2</f>
        <v>1.3508891470900017E-3</v>
      </c>
    </row>
    <row r="8" spans="1:42" x14ac:dyDescent="0.2">
      <c r="A8" s="22">
        <v>44071</v>
      </c>
      <c r="B8" s="60">
        <f t="shared" si="0"/>
        <v>88142</v>
      </c>
      <c r="C8" s="23">
        <f t="shared" si="1"/>
        <v>88142</v>
      </c>
      <c r="D8" s="24">
        <f>D6</f>
        <v>3.323</v>
      </c>
      <c r="E8" s="61">
        <v>7.3124339999999997</v>
      </c>
      <c r="F8" s="49">
        <f t="shared" si="2"/>
        <v>9.0023140000000001</v>
      </c>
      <c r="G8" s="49">
        <v>0.42247000000000001</v>
      </c>
      <c r="H8" s="49">
        <v>-1.194132</v>
      </c>
      <c r="I8" s="41"/>
      <c r="J8" s="25">
        <v>39.31377702781888</v>
      </c>
      <c r="K8" s="62">
        <v>15.165303292046936</v>
      </c>
      <c r="L8" s="25">
        <v>14.215725025929126</v>
      </c>
      <c r="M8" s="25">
        <v>167.1534616507787</v>
      </c>
      <c r="N8" s="29">
        <f t="shared" si="3"/>
        <v>218.01842076888812</v>
      </c>
      <c r="O8" s="25">
        <f t="shared" si="4"/>
        <v>30.14641259056781</v>
      </c>
      <c r="P8" s="29">
        <f>'[1]Enrichment medium'!$F$32</f>
        <v>22.563760944544342</v>
      </c>
      <c r="Q8" s="25">
        <f>'[1]Enrichment medium'!$F$33</f>
        <v>134.44168994349877</v>
      </c>
      <c r="R8" s="30">
        <f t="shared" si="5"/>
        <v>0.23330578645016956</v>
      </c>
      <c r="S8" s="65">
        <f t="shared" si="6"/>
        <v>0.49694500974249101</v>
      </c>
      <c r="T8" s="32">
        <v>1</v>
      </c>
      <c r="U8" s="25">
        <f t="shared" si="7"/>
        <v>131.69213683326061</v>
      </c>
      <c r="V8" s="34">
        <f t="shared" si="8"/>
        <v>123.35869913342515</v>
      </c>
      <c r="W8" s="35">
        <f t="shared" si="9"/>
        <v>0.93672030919821225</v>
      </c>
      <c r="X8" s="34">
        <f t="shared" si="10"/>
        <v>730.22838380548012</v>
      </c>
      <c r="Y8" s="34">
        <f t="shared" si="11"/>
        <v>645.57229869305479</v>
      </c>
      <c r="Z8" s="35">
        <f t="shared" si="12"/>
        <v>0.88406902964898137</v>
      </c>
      <c r="AA8" s="36">
        <f t="shared" si="19"/>
        <v>50.864959118109425</v>
      </c>
      <c r="AB8" s="37">
        <f t="shared" si="20"/>
        <v>14.981109298520874</v>
      </c>
      <c r="AC8" s="37">
        <f t="shared" si="13"/>
        <v>16.402681801113786</v>
      </c>
      <c r="AD8" s="37">
        <f t="shared" si="14"/>
        <v>3.3952732140557482</v>
      </c>
      <c r="AE8" s="37">
        <f t="shared" si="15"/>
        <v>0.32247508079238674</v>
      </c>
      <c r="AF8" s="37">
        <f t="shared" si="16"/>
        <v>6.9559546271610007</v>
      </c>
      <c r="AG8" s="37">
        <f t="shared" si="17"/>
        <v>19.65688851390944</v>
      </c>
      <c r="AH8" s="37">
        <f t="shared" si="18"/>
        <v>26.764751026874002</v>
      </c>
      <c r="AI8" s="37">
        <f t="shared" si="21"/>
        <v>7.1078625129645632</v>
      </c>
      <c r="AJ8" s="37">
        <f t="shared" si="22"/>
        <v>0.80355711886236514</v>
      </c>
      <c r="AK8" s="38">
        <f t="shared" si="23"/>
        <v>3.2664923530990451E-2</v>
      </c>
      <c r="AL8" s="39">
        <f>D8*4.2/X8/2</f>
        <v>9.5563253288424559E-3</v>
      </c>
      <c r="AM8" s="39">
        <f>E8*2/X8</f>
        <v>2.0027799965518466E-2</v>
      </c>
      <c r="AN8" s="39">
        <f>J8*20/X8/2</f>
        <v>0.53837645727958128</v>
      </c>
      <c r="AO8" s="39">
        <f>L8*32/X8/2</f>
        <v>0.31148008685931206</v>
      </c>
      <c r="AP8" s="39">
        <f>G8*8/X8/2</f>
        <v>2.3141801078635613E-3</v>
      </c>
    </row>
    <row r="9" spans="1:42" x14ac:dyDescent="0.2">
      <c r="A9" s="22">
        <v>44076</v>
      </c>
      <c r="B9" s="60">
        <f t="shared" si="0"/>
        <v>88152</v>
      </c>
      <c r="C9" s="23">
        <f t="shared" si="1"/>
        <v>88152</v>
      </c>
      <c r="D9" s="40">
        <v>4.0750000000000002</v>
      </c>
      <c r="E9" s="61">
        <v>6.978491</v>
      </c>
      <c r="F9" s="49">
        <f t="shared" si="2"/>
        <v>11.179743</v>
      </c>
      <c r="G9" s="49">
        <v>1.0503130000000001</v>
      </c>
      <c r="H9" s="49">
        <v>-1.5320530000000001</v>
      </c>
      <c r="I9" s="41"/>
      <c r="J9" s="25">
        <v>46.74470940354059</v>
      </c>
      <c r="K9" s="62">
        <v>14.778758140662575</v>
      </c>
      <c r="L9" s="25">
        <v>12.185474632151001</v>
      </c>
      <c r="M9" s="25">
        <v>157.55412420097889</v>
      </c>
      <c r="N9" s="29">
        <f t="shared" si="3"/>
        <v>213.21875204398822</v>
      </c>
      <c r="O9" s="25">
        <f t="shared" si="4"/>
        <v>29.953140014875629</v>
      </c>
      <c r="P9" s="29">
        <f>'[1]Enrichment medium'!$F$32</f>
        <v>22.563760944544342</v>
      </c>
      <c r="Q9" s="25">
        <f>'[1]Enrichment medium'!$F$33</f>
        <v>134.44168994349877</v>
      </c>
      <c r="R9" s="30">
        <f t="shared" si="5"/>
        <v>0.26106816267044564</v>
      </c>
      <c r="S9" s="65">
        <f t="shared" si="6"/>
        <v>0.50660404440659645</v>
      </c>
      <c r="T9" s="32">
        <v>1</v>
      </c>
      <c r="U9" s="25">
        <f t="shared" si="7"/>
        <v>141.67801943444476</v>
      </c>
      <c r="V9" s="34">
        <f t="shared" si="8"/>
        <v>133.13365570353417</v>
      </c>
      <c r="W9" s="35">
        <f t="shared" si="9"/>
        <v>0.93969167719157654</v>
      </c>
      <c r="X9" s="34">
        <f t="shared" si="10"/>
        <v>789.37058910981636</v>
      </c>
      <c r="Y9" s="34">
        <f t="shared" si="11"/>
        <v>693.33167414982199</v>
      </c>
      <c r="Z9" s="35">
        <f>Y9/X9</f>
        <v>0.87833481981093475</v>
      </c>
      <c r="AA9" s="36">
        <f t="shared" si="19"/>
        <v>55.664627843009328</v>
      </c>
      <c r="AB9" s="37">
        <f t="shared" si="20"/>
        <v>15.174381874213054</v>
      </c>
      <c r="AC9" s="37">
        <f t="shared" si="13"/>
        <v>16.392929337428154</v>
      </c>
      <c r="AD9" s="37">
        <f t="shared" si="14"/>
        <v>3.668329181671929</v>
      </c>
      <c r="AE9" s="37">
        <f t="shared" si="15"/>
        <v>0.29449454658461116</v>
      </c>
      <c r="AF9" s="37">
        <f t="shared" si="16"/>
        <v>7.9765995031030821</v>
      </c>
      <c r="AG9" s="37">
        <f t="shared" si="17"/>
        <v>23.372354701770295</v>
      </c>
      <c r="AH9" s="37">
        <f t="shared" si="18"/>
        <v>29.465092017845794</v>
      </c>
      <c r="AI9" s="37">
        <f t="shared" si="21"/>
        <v>6.0927373160755005</v>
      </c>
      <c r="AJ9" s="37">
        <f t="shared" si="22"/>
        <v>0.90043717064560713</v>
      </c>
      <c r="AK9" s="38">
        <f t="shared" si="23"/>
        <v>3.6603137018114108E-2</v>
      </c>
      <c r="AL9" s="39">
        <f>D9*4.2/X9/2</f>
        <v>1.0840915684039365E-2</v>
      </c>
      <c r="AM9" s="39">
        <f>E9*2/X9</f>
        <v>1.7681152797622564E-2</v>
      </c>
      <c r="AN9" s="39">
        <f>J9*20/X9/2</f>
        <v>0.59217698313608591</v>
      </c>
      <c r="AO9" s="39">
        <f>L9*32/X9/2</f>
        <v>0.24699120641710701</v>
      </c>
      <c r="AP9" s="39">
        <f>G9*8/X9/2</f>
        <v>5.3222808880399354E-3</v>
      </c>
    </row>
    <row r="10" spans="1:42" x14ac:dyDescent="0.2">
      <c r="A10" s="22">
        <v>44078</v>
      </c>
      <c r="B10" s="60">
        <v>42</v>
      </c>
      <c r="C10" s="23"/>
      <c r="D10" s="40">
        <v>4.2439999999999998</v>
      </c>
      <c r="E10" s="61">
        <v>7.0744790000000002</v>
      </c>
      <c r="F10" s="49">
        <f t="shared" si="2"/>
        <v>12.043127</v>
      </c>
      <c r="G10" s="49">
        <v>1.242162</v>
      </c>
      <c r="H10" s="49">
        <v>-1.784945</v>
      </c>
      <c r="I10" s="41"/>
      <c r="J10" s="25">
        <v>43.975752424372843</v>
      </c>
      <c r="K10" s="62">
        <v>15.954776894551607</v>
      </c>
      <c r="L10" s="25">
        <v>10.855159388587975</v>
      </c>
      <c r="M10" s="25">
        <v>114.95696504331221</v>
      </c>
      <c r="N10" s="29">
        <f t="shared" si="3"/>
        <v>191.92017246515488</v>
      </c>
      <c r="O10" s="25">
        <f t="shared" si="4"/>
        <v>30.541149391820145</v>
      </c>
      <c r="P10" s="29">
        <f>'[1]Enrichment medium'!$F$32</f>
        <v>22.563760944544342</v>
      </c>
      <c r="Q10" s="25">
        <f>'[1]Enrichment medium'!$F$33</f>
        <v>134.44168994349877</v>
      </c>
      <c r="R10" s="30">
        <f t="shared" si="5"/>
        <v>0.40101676876002257</v>
      </c>
      <c r="S10" s="65">
        <f t="shared" si="6"/>
        <v>0.4775973657748197</v>
      </c>
      <c r="T10" s="32">
        <v>1</v>
      </c>
      <c r="U10" s="25">
        <f t="shared" si="7"/>
        <v>183.09915983822242</v>
      </c>
      <c r="V10" s="34">
        <f t="shared" si="8"/>
        <v>123.8811450145096</v>
      </c>
      <c r="W10" s="57">
        <f t="shared" si="9"/>
        <v>0.67657953823471939</v>
      </c>
      <c r="X10" s="34">
        <f t="shared" si="10"/>
        <v>1040.2494690402602</v>
      </c>
      <c r="Y10" s="34">
        <f t="shared" si="11"/>
        <v>646.43872846113595</v>
      </c>
      <c r="Z10" s="57">
        <f t="shared" ref="Z10:Z13" si="24">Y10/X10</f>
        <v>0.62142663630248596</v>
      </c>
      <c r="AA10" s="36">
        <f t="shared" si="19"/>
        <v>76.963207421842668</v>
      </c>
      <c r="AB10" s="37">
        <f t="shared" si="20"/>
        <v>14.586372497268538</v>
      </c>
      <c r="AC10" s="37">
        <f t="shared" si="13"/>
        <v>15.671888436127336</v>
      </c>
      <c r="AD10" s="37">
        <f t="shared" si="14"/>
        <v>5.2763774842754696</v>
      </c>
      <c r="AE10" s="37">
        <f t="shared" si="15"/>
        <v>0.203628317492386</v>
      </c>
      <c r="AF10" s="37">
        <f t="shared" si="16"/>
        <v>10.878992986175048</v>
      </c>
      <c r="AG10" s="37">
        <f t="shared" si="17"/>
        <v>21.987876212186421</v>
      </c>
      <c r="AH10" s="37">
        <f t="shared" si="18"/>
        <v>27.41545590648041</v>
      </c>
      <c r="AI10" s="37">
        <f t="shared" si="21"/>
        <v>5.4275796942939873</v>
      </c>
      <c r="AJ10" s="37">
        <f t="shared" si="22"/>
        <v>0.67826175322813986</v>
      </c>
      <c r="AK10" s="38">
        <f t="shared" si="23"/>
        <v>2.7571615984883734E-2</v>
      </c>
      <c r="AL10" s="39"/>
      <c r="AM10" s="39"/>
      <c r="AN10" s="39"/>
      <c r="AO10" s="39"/>
      <c r="AP10" s="39"/>
    </row>
    <row r="11" spans="1:42" x14ac:dyDescent="0.2">
      <c r="A11" s="22">
        <v>44081</v>
      </c>
      <c r="B11" s="60">
        <f t="shared" si="0"/>
        <v>88162</v>
      </c>
      <c r="C11" s="23">
        <f>2*(A11-$I$1)</f>
        <v>88162</v>
      </c>
      <c r="D11" s="40">
        <v>2.919</v>
      </c>
      <c r="E11" s="61">
        <v>5.2194649999999996</v>
      </c>
      <c r="F11" s="49">
        <f t="shared" si="2"/>
        <v>5.9693649999999998</v>
      </c>
      <c r="G11" s="49">
        <v>0.187475</v>
      </c>
      <c r="H11" s="49">
        <v>-0.50075499999999995</v>
      </c>
      <c r="I11" s="41"/>
      <c r="J11" s="25">
        <v>38.502916939196872</v>
      </c>
      <c r="K11" s="62">
        <v>23.77592997366861</v>
      </c>
      <c r="L11" s="25">
        <v>9.5039847218617197</v>
      </c>
      <c r="M11" s="25">
        <v>165.1314100295215</v>
      </c>
      <c r="N11" s="29">
        <f t="shared" si="3"/>
        <v>217.00739495825951</v>
      </c>
      <c r="O11" s="25">
        <f t="shared" si="4"/>
        <v>34.451725931378647</v>
      </c>
      <c r="P11" s="29">
        <f>'[1]Enrichment medium'!$F$32</f>
        <v>22.563760944544342</v>
      </c>
      <c r="Q11" s="25">
        <f>'[1]Enrichment medium'!$F$33</f>
        <v>134.44168994349877</v>
      </c>
      <c r="R11" s="30">
        <f t="shared" si="5"/>
        <v>0.2390516919421854</v>
      </c>
      <c r="S11" s="65">
        <f t="shared" si="6"/>
        <v>0.30987695591722203</v>
      </c>
      <c r="T11" s="32">
        <v>1</v>
      </c>
      <c r="U11" s="25">
        <f t="shared" si="7"/>
        <v>125.10356177289609</v>
      </c>
      <c r="V11" s="34">
        <f t="shared" si="8"/>
        <v>107.16476304397891</v>
      </c>
      <c r="W11" s="46">
        <f t="shared" si="9"/>
        <v>0.85660840926749982</v>
      </c>
      <c r="X11" s="34">
        <f t="shared" si="10"/>
        <v>707.91818680653637</v>
      </c>
      <c r="Y11" s="34">
        <f t="shared" si="11"/>
        <v>555.16155494175632</v>
      </c>
      <c r="Z11" s="35">
        <f t="shared" si="24"/>
        <v>0.78421711051968468</v>
      </c>
      <c r="AA11" s="36">
        <f t="shared" si="19"/>
        <v>51.875984928738006</v>
      </c>
      <c r="AB11" s="37">
        <f t="shared" si="20"/>
        <v>10.675795957710037</v>
      </c>
      <c r="AC11" s="37">
        <f t="shared" si="13"/>
        <v>11.626194429896209</v>
      </c>
      <c r="AD11" s="37">
        <f t="shared" si="14"/>
        <v>4.8592147259308831</v>
      </c>
      <c r="AE11" s="37">
        <f t="shared" si="15"/>
        <v>0.22411515551689482</v>
      </c>
      <c r="AF11" s="37">
        <f t="shared" si="16"/>
        <v>9.9389467941135745</v>
      </c>
      <c r="AG11" s="37">
        <f t="shared" si="17"/>
        <v>19.251458469598436</v>
      </c>
      <c r="AH11" s="37">
        <f t="shared" si="18"/>
        <v>24.003450830529296</v>
      </c>
      <c r="AI11" s="37">
        <f t="shared" si="21"/>
        <v>4.7519923609308599</v>
      </c>
      <c r="AJ11" s="37">
        <f t="shared" si="22"/>
        <v>0.69210637734051483</v>
      </c>
      <c r="AK11" s="38">
        <f t="shared" si="23"/>
        <v>2.8134405582947754E-2</v>
      </c>
      <c r="AL11" s="39">
        <f>D11*4.2/X11/2</f>
        <v>8.6590514472475507E-3</v>
      </c>
      <c r="AM11" s="39">
        <f>E11*2/X11</f>
        <v>1.4745955386583118E-2</v>
      </c>
      <c r="AN11" s="39">
        <f>J11*20/X11/2</f>
        <v>0.54388935977031416</v>
      </c>
      <c r="AO11" s="39">
        <f>L11*32/X11/2</f>
        <v>0.21480413751729804</v>
      </c>
      <c r="AP11" s="39">
        <f>G11*8/X11/2</f>
        <v>1.0593031991208565E-3</v>
      </c>
    </row>
    <row r="12" spans="1:42" x14ac:dyDescent="0.2">
      <c r="A12" s="22">
        <v>44083</v>
      </c>
      <c r="B12" s="60">
        <f t="shared" si="0"/>
        <v>88166</v>
      </c>
      <c r="C12" s="23">
        <f>2*(A12-$I$1)</f>
        <v>88166</v>
      </c>
      <c r="D12" s="24">
        <f>AVERAGE(D11,D13)</f>
        <v>2.5905</v>
      </c>
      <c r="E12" s="61">
        <v>6.7321799999999996</v>
      </c>
      <c r="F12" s="49">
        <f t="shared" si="2"/>
        <v>7.3655119999999998</v>
      </c>
      <c r="G12" s="49">
        <v>0.158333</v>
      </c>
      <c r="H12" s="49">
        <v>-0.86640600000000001</v>
      </c>
      <c r="I12" s="41"/>
      <c r="J12" s="25">
        <v>31.844781031825296</v>
      </c>
      <c r="K12" s="62">
        <v>24.696115294600645</v>
      </c>
      <c r="L12" s="25">
        <v>10.879736268146139</v>
      </c>
      <c r="M12" s="25">
        <v>170.74779188534234</v>
      </c>
      <c r="N12" s="29">
        <f t="shared" si="3"/>
        <v>219.81558588616994</v>
      </c>
      <c r="O12" s="25">
        <f t="shared" si="4"/>
        <v>34.911818591844664</v>
      </c>
      <c r="P12" s="29">
        <f>'[1]Enrichment medium'!$F$32</f>
        <v>22.563760944544342</v>
      </c>
      <c r="Q12" s="25">
        <f>'[1]Enrichment medium'!$F$33</f>
        <v>134.44168994349877</v>
      </c>
      <c r="R12" s="30">
        <f t="shared" si="5"/>
        <v>0.22322254267373487</v>
      </c>
      <c r="S12" s="65">
        <f t="shared" si="6"/>
        <v>0.29261447009324199</v>
      </c>
      <c r="T12" s="32">
        <v>1</v>
      </c>
      <c r="U12" s="25">
        <f t="shared" si="7"/>
        <v>118.56699459614325</v>
      </c>
      <c r="V12" s="34">
        <f t="shared" si="8"/>
        <v>97.782353868089004</v>
      </c>
      <c r="W12" s="46">
        <f t="shared" si="9"/>
        <v>0.82470129399121728</v>
      </c>
      <c r="X12" s="34">
        <f t="shared" si="10"/>
        <v>670.5391543878834</v>
      </c>
      <c r="Y12" s="34">
        <f t="shared" si="11"/>
        <v>512.69466460859121</v>
      </c>
      <c r="Z12" s="35">
        <f t="shared" si="24"/>
        <v>0.76460063704499992</v>
      </c>
      <c r="AA12" s="36">
        <f t="shared" si="19"/>
        <v>49.067794000827604</v>
      </c>
      <c r="AB12" s="37">
        <f t="shared" si="20"/>
        <v>10.215703297244019</v>
      </c>
      <c r="AC12" s="37">
        <f t="shared" si="13"/>
        <v>11.303676924058633</v>
      </c>
      <c r="AD12" s="37">
        <f t="shared" si="14"/>
        <v>4.8031733668366288</v>
      </c>
      <c r="AE12" s="37">
        <f t="shared" si="15"/>
        <v>0.2303685575077612</v>
      </c>
      <c r="AF12" s="37">
        <f t="shared" si="16"/>
        <v>7.2885445726091111</v>
      </c>
      <c r="AG12" s="37">
        <f t="shared" si="17"/>
        <v>15.922390515912648</v>
      </c>
      <c r="AH12" s="37">
        <f t="shared" si="18"/>
        <v>21.362258649985719</v>
      </c>
      <c r="AI12" s="37">
        <f t="shared" si="21"/>
        <v>5.4398681340730697</v>
      </c>
      <c r="AJ12" s="37">
        <f t="shared" si="22"/>
        <v>0.64936993090544448</v>
      </c>
      <c r="AK12" s="38">
        <f t="shared" si="23"/>
        <v>2.6397151662822943E-2</v>
      </c>
      <c r="AL12" s="39">
        <f>D12*4.2/X12/2</f>
        <v>8.1129490565932296E-3</v>
      </c>
      <c r="AM12" s="39">
        <f>E12*2/X12</f>
        <v>2.0079901243487026E-2</v>
      </c>
      <c r="AN12" s="39">
        <f>J12*20/X12/2</f>
        <v>0.47491307291213308</v>
      </c>
      <c r="AO12" s="39">
        <f>L12*32/X12/2</f>
        <v>0.25960569066134132</v>
      </c>
      <c r="AP12" s="39">
        <f>G12*8/X12/2</f>
        <v>9.4451158572261341E-4</v>
      </c>
    </row>
    <row r="13" spans="1:42" x14ac:dyDescent="0.2">
      <c r="A13" s="22">
        <v>44085</v>
      </c>
      <c r="B13" s="60">
        <v>56</v>
      </c>
      <c r="C13" s="23"/>
      <c r="D13" s="42">
        <v>2.262</v>
      </c>
      <c r="E13" s="61">
        <v>5.0147719999999998</v>
      </c>
      <c r="F13" s="49">
        <f t="shared" si="2"/>
        <v>5.692348</v>
      </c>
      <c r="G13" s="49">
        <v>0.16939399999999999</v>
      </c>
      <c r="H13" s="49">
        <v>-0.58448800000000001</v>
      </c>
      <c r="I13" s="41"/>
      <c r="J13" s="25">
        <v>25.017916233428785</v>
      </c>
      <c r="K13" s="62">
        <v>30.189231909852495</v>
      </c>
      <c r="L13" s="25">
        <v>11.927072604025529</v>
      </c>
      <c r="M13" s="25">
        <v>171.73639304656183</v>
      </c>
      <c r="N13" s="29">
        <f t="shared" si="3"/>
        <v>220.30988646677969</v>
      </c>
      <c r="O13" s="25">
        <f t="shared" si="4"/>
        <v>37.658376899470589</v>
      </c>
      <c r="P13" s="29">
        <f>'[1]Enrichment medium'!$F$32</f>
        <v>22.563760944544342</v>
      </c>
      <c r="Q13" s="25">
        <f>'[1]Enrichment medium'!$F$33</f>
        <v>134.44168994349877</v>
      </c>
      <c r="R13" s="30">
        <f t="shared" si="5"/>
        <v>0.2204780466243044</v>
      </c>
      <c r="S13" s="65">
        <f t="shared" si="6"/>
        <v>0.19833953570428833</v>
      </c>
      <c r="T13" s="32">
        <v>1</v>
      </c>
      <c r="U13" s="25">
        <f t="shared" si="7"/>
        <v>112.0852768196719</v>
      </c>
      <c r="V13" s="34">
        <f t="shared" si="8"/>
        <v>87.117444278934158</v>
      </c>
      <c r="W13" s="35">
        <f t="shared" si="9"/>
        <v>0.77724253131919208</v>
      </c>
      <c r="X13" s="34">
        <f t="shared" si="10"/>
        <v>642.63508095955899</v>
      </c>
      <c r="Y13" s="34">
        <f>((L13*32+J13*20+D13*4.2)/2)+E13*2+G13*8</f>
        <v>457.1472199986963</v>
      </c>
      <c r="Z13" s="45">
        <f t="shared" si="24"/>
        <v>0.71136362384092222</v>
      </c>
      <c r="AA13" s="36">
        <f t="shared" si="19"/>
        <v>48.573493420217858</v>
      </c>
      <c r="AB13" s="37">
        <f t="shared" si="20"/>
        <v>7.4691449896180941</v>
      </c>
      <c r="AC13" s="37">
        <f t="shared" si="13"/>
        <v>8.6618522500206474</v>
      </c>
      <c r="AD13" s="37">
        <f t="shared" si="14"/>
        <v>6.5032200456322213</v>
      </c>
      <c r="AE13" s="37">
        <f t="shared" si="15"/>
        <v>0.17832467134050739</v>
      </c>
      <c r="AF13" s="37">
        <f t="shared" si="16"/>
        <v>9.6860821230193235</v>
      </c>
      <c r="AG13" s="37">
        <f t="shared" si="17"/>
        <v>12.508958116714393</v>
      </c>
      <c r="AH13" s="37">
        <f t="shared" si="18"/>
        <v>18.472494418727159</v>
      </c>
      <c r="AI13" s="37">
        <f t="shared" si="21"/>
        <v>5.9635363020127645</v>
      </c>
      <c r="AJ13" s="37">
        <f t="shared" si="22"/>
        <v>0.57279388491376937</v>
      </c>
      <c r="AK13" s="38">
        <f t="shared" si="23"/>
        <v>2.3284304264787371E-2</v>
      </c>
      <c r="AL13" s="39"/>
      <c r="AM13" s="39"/>
      <c r="AN13" s="39"/>
      <c r="AO13" s="39"/>
      <c r="AP13" s="39"/>
    </row>
    <row r="14" spans="1:42" x14ac:dyDescent="0.2">
      <c r="A14" s="22">
        <v>44088</v>
      </c>
      <c r="B14" s="60">
        <f t="shared" si="0"/>
        <v>88176</v>
      </c>
      <c r="C14" s="23">
        <f>2*(A14-$I$1)</f>
        <v>88176</v>
      </c>
      <c r="D14" s="40">
        <v>4.8949999999999996</v>
      </c>
      <c r="E14" s="49">
        <f>'[1]Gas R2'!L66</f>
        <v>13.075236489270386</v>
      </c>
      <c r="F14" s="49">
        <f t="shared" si="2"/>
        <v>13.614784489270386</v>
      </c>
      <c r="G14" s="49">
        <v>0.13488700000000001</v>
      </c>
      <c r="H14" s="49">
        <v>-0.86693799999999999</v>
      </c>
      <c r="I14" s="41"/>
      <c r="J14" s="25">
        <v>42.759721334333598</v>
      </c>
      <c r="K14" s="66">
        <v>10.71</v>
      </c>
      <c r="L14" s="25">
        <v>16.047524986492231</v>
      </c>
      <c r="M14" s="25">
        <v>150.67328830046463</v>
      </c>
      <c r="N14" s="29">
        <f t="shared" si="3"/>
        <v>209.77833409373108</v>
      </c>
      <c r="O14" s="25">
        <f t="shared" si="4"/>
        <v>27.918760944544342</v>
      </c>
      <c r="P14" s="29">
        <f>'[1]Enrichment medium'!$F$32</f>
        <v>22.563760944544342</v>
      </c>
      <c r="Q14" s="25">
        <f>'[1]Enrichment medium'!$F$33</f>
        <v>134.44168994349877</v>
      </c>
      <c r="R14" s="30">
        <f t="shared" si="5"/>
        <v>0.28175000077394891</v>
      </c>
      <c r="S14" s="65">
        <f t="shared" si="6"/>
        <v>0.616386987184943</v>
      </c>
      <c r="T14" s="32">
        <v>1</v>
      </c>
      <c r="U14" s="25">
        <f t="shared" si="7"/>
        <v>152.62761347562156</v>
      </c>
      <c r="V14" s="34">
        <f t="shared" si="8"/>
        <v>136.24440462814385</v>
      </c>
      <c r="W14" s="35">
        <f t="shared" si="9"/>
        <v>0.89265894634397525</v>
      </c>
      <c r="X14" s="34">
        <f t="shared" si="10"/>
        <v>846.930637075552</v>
      </c>
      <c r="Y14" s="34">
        <f t="shared" si="11"/>
        <v>721.86668210575237</v>
      </c>
      <c r="Z14" s="35">
        <f>Y14/X14</f>
        <v>0.85233270648745807</v>
      </c>
      <c r="AA14" s="36">
        <f t="shared" si="19"/>
        <v>59.105045793266441</v>
      </c>
      <c r="AB14" s="37">
        <f t="shared" si="20"/>
        <v>17.208760944544341</v>
      </c>
      <c r="AC14" s="37">
        <f t="shared" si="13"/>
        <v>18.813513443193564</v>
      </c>
      <c r="AD14" s="37">
        <f t="shared" si="14"/>
        <v>3.4345904381921462</v>
      </c>
      <c r="AE14" s="37">
        <f t="shared" si="15"/>
        <v>0.31830638468665051</v>
      </c>
      <c r="AF14" s="37">
        <f t="shared" si="16"/>
        <v>4.5203806326385285</v>
      </c>
      <c r="AG14" s="37">
        <f t="shared" si="17"/>
        <v>21.379860667166799</v>
      </c>
      <c r="AH14" s="37">
        <f t="shared" si="18"/>
        <v>29.403623160412913</v>
      </c>
      <c r="AI14" s="37">
        <f t="shared" si="21"/>
        <v>8.0237624932461156</v>
      </c>
      <c r="AJ14" s="37">
        <f t="shared" si="22"/>
        <v>1.018669374025919</v>
      </c>
      <c r="AK14" s="38">
        <f t="shared" si="23"/>
        <v>4.1409324147395073E-2</v>
      </c>
      <c r="AL14" s="39">
        <f>D14*4.2/X14/2</f>
        <v>1.2137357594590118E-2</v>
      </c>
      <c r="AM14" s="39">
        <f>E14*2/X14</f>
        <v>3.0876758773113046E-2</v>
      </c>
      <c r="AN14" s="39">
        <f>J14*20/X14/2</f>
        <v>0.50487866966275696</v>
      </c>
      <c r="AO14" s="39">
        <f>L14*32/X14/2</f>
        <v>0.30316579486422679</v>
      </c>
      <c r="AP14" s="39">
        <f>G14*8/X14/2</f>
        <v>6.3706279638561314E-4</v>
      </c>
    </row>
    <row r="15" spans="1:42" x14ac:dyDescent="0.2">
      <c r="A15" s="22">
        <v>44091</v>
      </c>
      <c r="B15" s="60">
        <f t="shared" si="0"/>
        <v>88182</v>
      </c>
      <c r="C15" s="23">
        <f>2*(A15-$I$1)</f>
        <v>88182</v>
      </c>
      <c r="D15" s="40">
        <v>5.4384741785711102</v>
      </c>
      <c r="E15" s="49">
        <f>'[1]Gas R2'!L70</f>
        <v>13.546265578326182</v>
      </c>
      <c r="F15" s="49">
        <f t="shared" si="2"/>
        <v>14.065649578326182</v>
      </c>
      <c r="G15" s="49">
        <v>0.12984599999999999</v>
      </c>
      <c r="H15" s="49">
        <v>-1.05829</v>
      </c>
      <c r="I15" s="41"/>
      <c r="J15" s="25">
        <v>47.177592726792923</v>
      </c>
      <c r="K15" s="67">
        <v>8.7651099238465768</v>
      </c>
      <c r="L15" s="25">
        <v>12.951876781037077</v>
      </c>
      <c r="M15" s="25">
        <v>157.70150976119854</v>
      </c>
      <c r="N15" s="29">
        <f t="shared" si="3"/>
        <v>213.29244482409803</v>
      </c>
      <c r="O15" s="25">
        <f t="shared" si="4"/>
        <v>26.946315906467632</v>
      </c>
      <c r="P15" s="29">
        <f>'[1]Enrichment medium'!$F$32</f>
        <v>22.563760944544342</v>
      </c>
      <c r="Q15" s="25">
        <f>'[1]Enrichment medium'!$F$33</f>
        <v>134.44168994349877</v>
      </c>
      <c r="R15" s="30">
        <f t="shared" si="5"/>
        <v>0.26063246219876779</v>
      </c>
      <c r="S15" s="65">
        <f t="shared" si="6"/>
        <v>0.67471954406417456</v>
      </c>
      <c r="T15" s="32">
        <v>1</v>
      </c>
      <c r="U15" s="25">
        <f>AA15*2+AB15*2</f>
        <v>147.54428209104108</v>
      </c>
      <c r="V15" s="34">
        <f t="shared" si="8"/>
        <v>136.05989888598262</v>
      </c>
      <c r="W15" s="35">
        <f t="shared" si="9"/>
        <v>0.92216314287278101</v>
      </c>
      <c r="X15" s="34">
        <f t="shared" si="10"/>
        <v>812.54086861576229</v>
      </c>
      <c r="Y15" s="34">
        <f>((L15*32+J15*20+D15*4.2)/2)+E15*2+G15*8</f>
        <v>718.55805069617418</v>
      </c>
      <c r="Z15" s="35">
        <f t="shared" ref="Z15:Z17" si="25">Y15/X15</f>
        <v>0.88433465743120532</v>
      </c>
      <c r="AA15" s="36">
        <f t="shared" si="19"/>
        <v>55.59093506289949</v>
      </c>
      <c r="AB15" s="37">
        <f t="shared" si="20"/>
        <v>18.181205982621055</v>
      </c>
      <c r="AC15" s="37">
        <f t="shared" si="13"/>
        <v>19.476393660724764</v>
      </c>
      <c r="AD15" s="37">
        <f t="shared" si="14"/>
        <v>3.0576043809215641</v>
      </c>
      <c r="AE15" s="37">
        <f t="shared" si="15"/>
        <v>0.35035197085078357</v>
      </c>
      <c r="AF15" s="37">
        <f t="shared" si="16"/>
        <v>4.1037830493921614</v>
      </c>
      <c r="AG15" s="37">
        <f t="shared" si="17"/>
        <v>23.588796363396462</v>
      </c>
      <c r="AH15" s="37">
        <f t="shared" si="18"/>
        <v>30.064734753915001</v>
      </c>
      <c r="AI15" s="37">
        <f t="shared" si="21"/>
        <v>6.4759383905185386</v>
      </c>
      <c r="AJ15" s="37">
        <f t="shared" si="22"/>
        <v>1.2033118766708448</v>
      </c>
      <c r="AK15" s="38">
        <f t="shared" si="23"/>
        <v>4.8915116937839218E-2</v>
      </c>
      <c r="AL15" s="39">
        <f>D15*4.2/X15/2</f>
        <v>1.4055657033541837E-2</v>
      </c>
      <c r="AM15" s="39">
        <f>E15*2/X15</f>
        <v>3.3342976585050997E-2</v>
      </c>
      <c r="AN15" s="39">
        <f>J15*20/X15/2</f>
        <v>0.58061809010498466</v>
      </c>
      <c r="AO15" s="39">
        <f>L15*32/X15/2</f>
        <v>0.25503951431960409</v>
      </c>
      <c r="AP15" s="39">
        <f>G15*8/X15/2</f>
        <v>6.392096940118447E-4</v>
      </c>
    </row>
    <row r="16" spans="1:42" x14ac:dyDescent="0.2">
      <c r="A16" s="22">
        <v>44097</v>
      </c>
      <c r="B16" s="60">
        <f t="shared" si="0"/>
        <v>88194</v>
      </c>
      <c r="C16" s="23">
        <f>2*(A16-$I$1)</f>
        <v>88194</v>
      </c>
      <c r="D16" s="40">
        <v>4.9597066317043295</v>
      </c>
      <c r="E16" s="49">
        <f>'[1]Gas R2'!L82</f>
        <v>14.190247982832618</v>
      </c>
      <c r="F16" s="49">
        <f t="shared" si="2"/>
        <v>14.576007982832618</v>
      </c>
      <c r="G16" s="49">
        <v>9.6439999999999998E-2</v>
      </c>
      <c r="H16" s="49">
        <v>-0.777169</v>
      </c>
      <c r="I16" s="41"/>
      <c r="J16" s="25">
        <v>44.824314589115986</v>
      </c>
      <c r="K16" s="67">
        <v>9.1120007702344452</v>
      </c>
      <c r="L16" s="25">
        <v>14.877463911336479</v>
      </c>
      <c r="M16" s="25">
        <v>160.72356672540425</v>
      </c>
      <c r="N16" s="29">
        <f t="shared" si="3"/>
        <v>214.80347330620089</v>
      </c>
      <c r="O16" s="25">
        <f t="shared" si="4"/>
        <v>27.119761329661564</v>
      </c>
      <c r="P16" s="29">
        <f>'[1]Enrichment medium'!$F$32</f>
        <v>22.563760944544342</v>
      </c>
      <c r="Q16" s="25">
        <f>'[1]Enrichment medium'!$F$33</f>
        <v>134.44168994349877</v>
      </c>
      <c r="R16" s="30">
        <f t="shared" si="5"/>
        <v>0.25176458158898618</v>
      </c>
      <c r="S16" s="65">
        <f t="shared" si="6"/>
        <v>0.66400881410897883</v>
      </c>
      <c r="T16" s="32">
        <v>1</v>
      </c>
      <c r="U16" s="25">
        <f t="shared" ref="U16:U18" si="26">AA16*2+AB16*2</f>
        <v>144.17533428044749</v>
      </c>
      <c r="V16" s="34">
        <f t="shared" si="8"/>
        <v>136.85731422809357</v>
      </c>
      <c r="W16" s="35">
        <f t="shared" si="9"/>
        <v>0.9492422189351819</v>
      </c>
      <c r="X16" s="34">
        <f t="shared" si="10"/>
        <v>793.02096344497659</v>
      </c>
      <c r="Y16" s="34">
        <f t="shared" ref="Y16:Y18" si="27">((L16*32+J16*20+D16*4.2)/2)+E16*2+G16*8</f>
        <v>725.84996836478786</v>
      </c>
      <c r="Z16" s="35">
        <f t="shared" si="25"/>
        <v>0.91529732733875024</v>
      </c>
      <c r="AA16" s="36">
        <f t="shared" si="19"/>
        <v>54.079906580796631</v>
      </c>
      <c r="AB16" s="37">
        <f t="shared" si="20"/>
        <v>18.007760559427119</v>
      </c>
      <c r="AC16" s="37">
        <f t="shared" si="13"/>
        <v>19.495506950560767</v>
      </c>
      <c r="AD16" s="37">
        <f t="shared" si="14"/>
        <v>3.0031444722028819</v>
      </c>
      <c r="AE16" s="37">
        <f t="shared" si="15"/>
        <v>0.36049446426897996</v>
      </c>
      <c r="AF16" s="37">
        <f t="shared" si="16"/>
        <v>3.8110614167012851</v>
      </c>
      <c r="AG16" s="37">
        <f t="shared" si="17"/>
        <v>22.412157294557993</v>
      </c>
      <c r="AH16" s="37">
        <f t="shared" si="18"/>
        <v>29.850889250226231</v>
      </c>
      <c r="AI16" s="37">
        <f t="shared" si="21"/>
        <v>7.4387319556682394</v>
      </c>
      <c r="AJ16" s="37">
        <f t="shared" si="22"/>
        <v>1.1280417335562754</v>
      </c>
      <c r="AK16" s="38">
        <f t="shared" si="23"/>
        <v>4.5855355022612815E-2</v>
      </c>
      <c r="AL16" s="39">
        <f>D16*4.2/X16/2</f>
        <v>1.3133806553276268E-2</v>
      </c>
      <c r="AM16" s="39">
        <f>E16*2/X16</f>
        <v>3.5787825636256848E-2</v>
      </c>
      <c r="AN16" s="39">
        <f>J16*20/X16/2</f>
        <v>0.56523492638068329</v>
      </c>
      <c r="AO16" s="39">
        <f>L16*32/X16/2</f>
        <v>0.30016788149875928</v>
      </c>
      <c r="AP16" s="39">
        <f>G16*8/X16/2</f>
        <v>4.8644363488729614E-4</v>
      </c>
    </row>
    <row r="17" spans="1:42" x14ac:dyDescent="0.2">
      <c r="A17" s="22">
        <v>44102</v>
      </c>
      <c r="B17" s="60">
        <f t="shared" si="0"/>
        <v>88204</v>
      </c>
      <c r="C17" s="23">
        <f>2*(A17-$I$1)</f>
        <v>88204</v>
      </c>
      <c r="D17" s="40">
        <v>5.6686253174921095</v>
      </c>
      <c r="E17" s="49">
        <f>'[1]Gas R2'!L92</f>
        <v>14.639068973175966</v>
      </c>
      <c r="F17" s="49">
        <f t="shared" si="2"/>
        <v>15.243864973175967</v>
      </c>
      <c r="G17" s="49">
        <v>0.151199</v>
      </c>
      <c r="H17" s="49">
        <v>-1.062602</v>
      </c>
      <c r="I17" s="41"/>
      <c r="J17" s="25">
        <v>57.419374374893842</v>
      </c>
      <c r="K17" s="67">
        <v>7.2649948162225026</v>
      </c>
      <c r="L17" s="25">
        <v>12.473433466427213</v>
      </c>
      <c r="M17" s="25">
        <v>142.02705303187636</v>
      </c>
      <c r="N17" s="29">
        <f t="shared" si="3"/>
        <v>205.45521645943694</v>
      </c>
      <c r="O17" s="25">
        <f t="shared" si="4"/>
        <v>26.196258352655594</v>
      </c>
      <c r="P17" s="29">
        <f>'[1]Enrichment medium'!$F$32</f>
        <v>22.563760944544342</v>
      </c>
      <c r="Q17" s="25">
        <f>'[1]Enrichment medium'!$F$33</f>
        <v>134.44168994349877</v>
      </c>
      <c r="R17" s="30">
        <f>(N17-M17)/N17</f>
        <v>0.30872014116070501</v>
      </c>
      <c r="S17" s="65">
        <f t="shared" si="6"/>
        <v>0.72267051582631736</v>
      </c>
      <c r="T17" s="32">
        <v>1</v>
      </c>
      <c r="U17" s="25">
        <f t="shared" si="26"/>
        <v>164.71885392798734</v>
      </c>
      <c r="V17" s="34">
        <f t="shared" si="8"/>
        <v>155.24456080781536</v>
      </c>
      <c r="W17" s="35">
        <f t="shared" si="9"/>
        <v>0.94248203594037872</v>
      </c>
      <c r="X17" s="34">
        <f t="shared" si="10"/>
        <v>912.58806942219167</v>
      </c>
      <c r="Y17" s="34">
        <f t="shared" si="27"/>
        <v>816.16052232485924</v>
      </c>
      <c r="Z17" s="35">
        <f t="shared" si="25"/>
        <v>0.89433617386825381</v>
      </c>
      <c r="AA17" s="36">
        <f t="shared" si="19"/>
        <v>63.428163427560577</v>
      </c>
      <c r="AB17" s="37">
        <f t="shared" si="20"/>
        <v>18.931263536433093</v>
      </c>
      <c r="AC17" s="37">
        <f t="shared" si="13"/>
        <v>20.178606883075815</v>
      </c>
      <c r="AD17" s="37">
        <f t="shared" si="14"/>
        <v>3.350445325822732</v>
      </c>
      <c r="AE17" s="37">
        <f t="shared" si="15"/>
        <v>0.31813323597365711</v>
      </c>
      <c r="AF17" s="37">
        <f t="shared" si="16"/>
        <v>4.332800367549587</v>
      </c>
      <c r="AG17" s="37">
        <f t="shared" si="17"/>
        <v>28.709687187446921</v>
      </c>
      <c r="AH17" s="37">
        <f t="shared" si="18"/>
        <v>34.946403920660529</v>
      </c>
      <c r="AI17" s="37">
        <f t="shared" si="21"/>
        <v>6.2367167332136066</v>
      </c>
      <c r="AJ17" s="37">
        <f t="shared" si="22"/>
        <v>1.099260764262594</v>
      </c>
      <c r="AK17" s="38">
        <f t="shared" si="23"/>
        <v>4.4685396921243653E-2</v>
      </c>
      <c r="AL17" s="39">
        <f>D17*4.2/X17/2</f>
        <v>1.304434450284953E-2</v>
      </c>
      <c r="AM17" s="39">
        <f>E17*2/X17</f>
        <v>3.2082534198468633E-2</v>
      </c>
      <c r="AN17" s="39">
        <f>J17*20/X17/2</f>
        <v>0.62919269162974178</v>
      </c>
      <c r="AO17" s="39">
        <f>L17*32/X17/2</f>
        <v>0.2186911511885061</v>
      </c>
      <c r="AP17" s="39">
        <f>G17*8/X17/2</f>
        <v>6.6272617434384024E-4</v>
      </c>
    </row>
    <row r="18" spans="1:42" x14ac:dyDescent="0.2">
      <c r="A18" s="22">
        <v>44105</v>
      </c>
      <c r="B18" s="60">
        <f t="shared" si="0"/>
        <v>88210</v>
      </c>
      <c r="C18" s="23">
        <f>2*(A18-$I$1)</f>
        <v>88210</v>
      </c>
      <c r="D18" s="40">
        <v>4.859299350942087</v>
      </c>
      <c r="E18" s="49">
        <f>'[1]Gas R2'!L98</f>
        <v>14.371088320815451</v>
      </c>
      <c r="F18" s="49">
        <f t="shared" si="2"/>
        <v>14.919596320815451</v>
      </c>
      <c r="G18" s="49">
        <v>0.137127</v>
      </c>
      <c r="H18" s="49">
        <v>-1.5956630000000001</v>
      </c>
      <c r="I18" s="41"/>
      <c r="J18" s="25">
        <v>46.777543155770054</v>
      </c>
      <c r="K18" s="67">
        <v>7.8829073476011366</v>
      </c>
      <c r="L18" s="25">
        <v>12.364445620308974</v>
      </c>
      <c r="M18" s="25">
        <v>141.17938354280543</v>
      </c>
      <c r="N18" s="29">
        <f t="shared" si="3"/>
        <v>205.0313817149015</v>
      </c>
      <c r="O18" s="25">
        <f t="shared" si="4"/>
        <v>26.505214618344908</v>
      </c>
      <c r="P18" s="29">
        <f>'[1]Enrichment medium'!$F$32</f>
        <v>22.563760944544342</v>
      </c>
      <c r="Q18" s="25">
        <f>'[1]Enrichment medium'!$F$33</f>
        <v>134.44168994349877</v>
      </c>
      <c r="R18" s="30">
        <f t="shared" si="5"/>
        <v>0.31142548832296812</v>
      </c>
      <c r="S18" s="65">
        <f t="shared" si="6"/>
        <v>0.70259032190046167</v>
      </c>
      <c r="T18" s="32">
        <v>1</v>
      </c>
      <c r="U18" s="25">
        <f t="shared" si="26"/>
        <v>164.9486108856797</v>
      </c>
      <c r="V18" s="34">
        <f t="shared" si="8"/>
        <v>133.21519984793807</v>
      </c>
      <c r="W18" s="35">
        <f t="shared" si="9"/>
        <v>0.80761637902040295</v>
      </c>
      <c r="X18" s="34">
        <f t="shared" si="10"/>
        <v>915.20243623110309</v>
      </c>
      <c r="Y18" s="34">
        <f t="shared" si="27"/>
        <v>705.65028276125338</v>
      </c>
      <c r="Z18" s="35">
        <f>Y18/X18</f>
        <v>0.77103191034673502</v>
      </c>
      <c r="AA18" s="36">
        <f t="shared" si="19"/>
        <v>63.851998172096074</v>
      </c>
      <c r="AB18" s="37">
        <f t="shared" si="20"/>
        <v>18.622307270743772</v>
      </c>
      <c r="AC18" s="37">
        <f t="shared" si="13"/>
        <v>19.858751832774669</v>
      </c>
      <c r="AD18" s="37">
        <f t="shared" si="14"/>
        <v>3.4287909249789665</v>
      </c>
      <c r="AE18" s="37">
        <f t="shared" si="15"/>
        <v>0.31101222203337608</v>
      </c>
      <c r="AF18" s="37">
        <f t="shared" si="16"/>
        <v>4.4430871724315555</v>
      </c>
      <c r="AG18" s="37">
        <f t="shared" si="17"/>
        <v>23.388771577885027</v>
      </c>
      <c r="AH18" s="37">
        <f t="shared" si="18"/>
        <v>29.570994388039516</v>
      </c>
      <c r="AI18" s="37">
        <f t="shared" si="21"/>
        <v>6.1822228101544869</v>
      </c>
      <c r="AJ18" s="37">
        <f t="shared" si="22"/>
        <v>0.93606126241335785</v>
      </c>
      <c r="AK18" s="38">
        <f t="shared" si="23"/>
        <v>3.8051270829811294E-2</v>
      </c>
      <c r="AL18" s="39">
        <f>D18*4.2/X18/2</f>
        <v>1.1150023462570392E-2</v>
      </c>
      <c r="AM18" s="39">
        <f>E18*2/X18</f>
        <v>3.1405266751686235E-2</v>
      </c>
      <c r="AN18" s="39">
        <f>J18*20/X18/2</f>
        <v>0.51111689943052097</v>
      </c>
      <c r="AO18" s="39">
        <f>L18*32/X18/2</f>
        <v>0.21616106130533516</v>
      </c>
      <c r="AP18" s="39">
        <f>G18*8/X18/2</f>
        <v>5.9932969831113191E-4</v>
      </c>
    </row>
  </sheetData>
  <mergeCells count="9">
    <mergeCell ref="T1:Z1"/>
    <mergeCell ref="AL1:AO1"/>
    <mergeCell ref="AL3:AP3"/>
    <mergeCell ref="A1:C1"/>
    <mergeCell ref="E1:H1"/>
    <mergeCell ref="J1:M1"/>
    <mergeCell ref="N1:O1"/>
    <mergeCell ref="P1:Q1"/>
    <mergeCell ref="R1:S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FE50D-36A0-3848-827B-2F103C0086EE}">
  <dimension ref="A1:K107"/>
  <sheetViews>
    <sheetView workbookViewId="0">
      <selection sqref="A1:K1048576"/>
    </sheetView>
  </sheetViews>
  <sheetFormatPr baseColWidth="10" defaultRowHeight="16" x14ac:dyDescent="0.2"/>
  <cols>
    <col min="1" max="1" width="22.5" bestFit="1" customWidth="1"/>
    <col min="10" max="10" width="12.33203125" bestFit="1" customWidth="1"/>
  </cols>
  <sheetData>
    <row r="1" spans="1:11" x14ac:dyDescent="0.2">
      <c r="C1" s="68" t="s">
        <v>69</v>
      </c>
      <c r="D1" s="68"/>
      <c r="E1" s="68"/>
      <c r="F1" s="69"/>
      <c r="G1" s="69"/>
      <c r="H1" s="70" t="s">
        <v>70</v>
      </c>
      <c r="I1" s="68"/>
      <c r="J1" s="68"/>
    </row>
    <row r="2" spans="1:11" ht="18" x14ac:dyDescent="0.25">
      <c r="A2" t="s">
        <v>71</v>
      </c>
      <c r="B2" t="s">
        <v>72</v>
      </c>
      <c r="C2" s="71" t="s">
        <v>73</v>
      </c>
      <c r="D2" t="s">
        <v>74</v>
      </c>
      <c r="E2" t="s">
        <v>75</v>
      </c>
      <c r="F2" t="s">
        <v>13</v>
      </c>
      <c r="G2" t="s">
        <v>76</v>
      </c>
      <c r="H2" t="s">
        <v>40</v>
      </c>
      <c r="I2" t="s">
        <v>77</v>
      </c>
      <c r="J2" t="s">
        <v>78</v>
      </c>
      <c r="K2" t="s">
        <v>79</v>
      </c>
    </row>
    <row r="3" spans="1:11" x14ac:dyDescent="0.2">
      <c r="A3" s="72">
        <v>44056.958333333336</v>
      </c>
      <c r="B3">
        <v>1</v>
      </c>
      <c r="C3" s="49">
        <f>H3</f>
        <v>15.486376</v>
      </c>
      <c r="D3" s="49">
        <f>I3</f>
        <v>0.32250299999999998</v>
      </c>
      <c r="E3" s="49">
        <f>J3</f>
        <v>-3.7996569999999998</v>
      </c>
      <c r="F3" s="49">
        <f>C3+D3*4</f>
        <v>16.776388000000001</v>
      </c>
      <c r="G3" s="49">
        <f>E3+D3</f>
        <v>-3.4771539999999996</v>
      </c>
      <c r="H3" s="74">
        <v>15.486376</v>
      </c>
      <c r="I3" s="75">
        <v>0.32250299999999998</v>
      </c>
      <c r="J3" s="74">
        <v>-3.7996569999999998</v>
      </c>
    </row>
    <row r="4" spans="1:11" x14ac:dyDescent="0.2">
      <c r="A4" s="72">
        <v>44057.458333333336</v>
      </c>
      <c r="B4">
        <f>B3+1</f>
        <v>2</v>
      </c>
      <c r="C4" s="49">
        <f>H4</f>
        <v>21.186768000000001</v>
      </c>
      <c r="D4" s="49">
        <f>I4</f>
        <v>0.39743899999999999</v>
      </c>
      <c r="E4" s="49">
        <f>J4</f>
        <v>-4.1434819999999997</v>
      </c>
      <c r="F4" s="49">
        <f>C4+D4*4</f>
        <v>22.776524000000002</v>
      </c>
      <c r="G4" s="49">
        <f>E4+D4</f>
        <v>-3.7460429999999998</v>
      </c>
      <c r="H4" s="74">
        <v>21.186768000000001</v>
      </c>
      <c r="I4" s="75">
        <v>0.39743899999999999</v>
      </c>
      <c r="J4" s="74">
        <v>-4.1434819999999997</v>
      </c>
    </row>
    <row r="5" spans="1:11" x14ac:dyDescent="0.2">
      <c r="A5" s="72">
        <v>44057.958333333336</v>
      </c>
      <c r="B5">
        <f>B4+1</f>
        <v>3</v>
      </c>
      <c r="C5" s="49">
        <f>H5</f>
        <v>23.360901999999999</v>
      </c>
      <c r="D5" s="49">
        <f>I5</f>
        <v>0.49112600000000001</v>
      </c>
      <c r="E5" s="49">
        <f>J5</f>
        <v>-4.3093560000000002</v>
      </c>
      <c r="F5" s="49">
        <f>C5+D5*4</f>
        <v>25.325406000000001</v>
      </c>
      <c r="G5" s="49">
        <f>E5+D5</f>
        <v>-3.8182300000000002</v>
      </c>
      <c r="H5" s="74">
        <v>23.360901999999999</v>
      </c>
      <c r="I5" s="75">
        <v>0.49112600000000001</v>
      </c>
      <c r="J5" s="74">
        <v>-4.3093560000000002</v>
      </c>
    </row>
    <row r="6" spans="1:11" x14ac:dyDescent="0.2">
      <c r="A6" s="72">
        <v>44058.458333333336</v>
      </c>
      <c r="B6">
        <f>B5+1</f>
        <v>4</v>
      </c>
      <c r="C6" s="49">
        <f>H6</f>
        <v>24.222760999999998</v>
      </c>
      <c r="D6" s="49">
        <f>I6</f>
        <v>0.59079499999999996</v>
      </c>
      <c r="E6" s="49">
        <f>J6</f>
        <v>-4.3517900000000003</v>
      </c>
      <c r="F6" s="49">
        <f>C6+D6*4</f>
        <v>26.585940999999998</v>
      </c>
      <c r="G6" s="49">
        <f>E6+D6</f>
        <v>-3.7609950000000003</v>
      </c>
      <c r="H6" s="74">
        <v>24.222760999999998</v>
      </c>
      <c r="I6" s="75">
        <v>0.59079499999999996</v>
      </c>
      <c r="J6" s="74">
        <v>-4.3517900000000003</v>
      </c>
    </row>
    <row r="7" spans="1:11" x14ac:dyDescent="0.2">
      <c r="A7" s="72">
        <v>44058.958333333336</v>
      </c>
      <c r="B7">
        <f>B6+1</f>
        <v>5</v>
      </c>
      <c r="C7" s="49">
        <f>H7</f>
        <v>24.81148</v>
      </c>
      <c r="D7" s="49">
        <f>I7</f>
        <v>0.70981700000000003</v>
      </c>
      <c r="E7" s="49">
        <f>J7</f>
        <v>-4.2681440000000004</v>
      </c>
      <c r="F7" s="49">
        <f>C7+D7*4</f>
        <v>27.650748</v>
      </c>
      <c r="G7" s="49">
        <f>E7+D7</f>
        <v>-3.5583270000000002</v>
      </c>
      <c r="H7" s="74">
        <v>24.81148</v>
      </c>
      <c r="I7" s="75">
        <v>0.70981700000000003</v>
      </c>
      <c r="J7" s="74">
        <v>-4.2681440000000004</v>
      </c>
    </row>
    <row r="8" spans="1:11" x14ac:dyDescent="0.2">
      <c r="A8" s="72">
        <v>44059.458333333336</v>
      </c>
      <c r="B8">
        <f>B7+1</f>
        <v>6</v>
      </c>
      <c r="C8" s="49">
        <f>H8</f>
        <v>25.001719999999999</v>
      </c>
      <c r="D8" s="49">
        <f>I8</f>
        <v>0.87207599999999996</v>
      </c>
      <c r="E8" s="49">
        <f>J8</f>
        <v>-4.4256209999999996</v>
      </c>
      <c r="F8" s="49">
        <f>C8+D8*4</f>
        <v>28.490023999999998</v>
      </c>
      <c r="G8" s="49">
        <f>E8+D8</f>
        <v>-3.5535449999999997</v>
      </c>
      <c r="H8" s="74">
        <v>25.001719999999999</v>
      </c>
      <c r="I8" s="75">
        <v>0.87207599999999996</v>
      </c>
      <c r="J8" s="74">
        <v>-4.4256209999999996</v>
      </c>
    </row>
    <row r="9" spans="1:11" x14ac:dyDescent="0.2">
      <c r="A9" s="72">
        <v>44059.958333333336</v>
      </c>
      <c r="B9">
        <f>B8+1</f>
        <v>7</v>
      </c>
      <c r="C9" s="49">
        <f>H9</f>
        <v>24.773149</v>
      </c>
      <c r="D9" s="49">
        <f>I9</f>
        <v>1.0519639999999999</v>
      </c>
      <c r="E9" s="49">
        <f>J9</f>
        <v>-4.413551</v>
      </c>
      <c r="F9" s="49">
        <f>C9+D9*4</f>
        <v>28.981005</v>
      </c>
      <c r="G9" s="49">
        <f>E9+D9</f>
        <v>-3.3615870000000001</v>
      </c>
      <c r="H9" s="74">
        <v>24.773149</v>
      </c>
      <c r="I9" s="74">
        <v>1.0519639999999999</v>
      </c>
      <c r="J9" s="74">
        <v>-4.413551</v>
      </c>
    </row>
    <row r="10" spans="1:11" x14ac:dyDescent="0.2">
      <c r="A10" s="72">
        <v>44060.458333333336</v>
      </c>
      <c r="B10">
        <f>B9+1</f>
        <v>8</v>
      </c>
      <c r="C10" s="49">
        <v>0</v>
      </c>
      <c r="D10" s="49">
        <f>I10</f>
        <v>0</v>
      </c>
      <c r="E10" s="49">
        <f>J10</f>
        <v>0</v>
      </c>
      <c r="F10" s="49">
        <f>C10+D10*4</f>
        <v>0</v>
      </c>
      <c r="G10" s="49">
        <f>E10+D10</f>
        <v>0</v>
      </c>
      <c r="H10" s="73" t="s">
        <v>80</v>
      </c>
      <c r="I10" s="73"/>
      <c r="J10" s="73"/>
    </row>
    <row r="11" spans="1:11" x14ac:dyDescent="0.2">
      <c r="A11" s="72">
        <v>44060.958333333336</v>
      </c>
      <c r="B11">
        <f>B10+1</f>
        <v>9</v>
      </c>
      <c r="C11" s="49">
        <f>H11</f>
        <v>20.885891000000001</v>
      </c>
      <c r="D11" s="49">
        <f>I11</f>
        <v>0.61021400000000003</v>
      </c>
      <c r="E11" s="49">
        <f>J11</f>
        <v>-7.1390039999999999</v>
      </c>
      <c r="F11" s="49">
        <f>C11+D11*4</f>
        <v>23.326747000000001</v>
      </c>
      <c r="G11" s="49">
        <f>E11+D11</f>
        <v>-6.5287899999999999</v>
      </c>
      <c r="H11" s="74">
        <v>20.885891000000001</v>
      </c>
      <c r="I11" s="75">
        <v>0.61021400000000003</v>
      </c>
      <c r="J11" s="74">
        <v>-7.1390039999999999</v>
      </c>
    </row>
    <row r="12" spans="1:11" x14ac:dyDescent="0.2">
      <c r="A12" s="72">
        <v>44061.458333333336</v>
      </c>
      <c r="B12">
        <f>B11+1</f>
        <v>10</v>
      </c>
      <c r="C12" s="49">
        <f>H12</f>
        <v>25.817557000000001</v>
      </c>
      <c r="D12" s="49">
        <f>I12</f>
        <v>0.97154099999999999</v>
      </c>
      <c r="E12" s="49">
        <f>J12</f>
        <v>-4.6701969999999999</v>
      </c>
      <c r="F12" s="49">
        <f>C12+D12*4</f>
        <v>29.703721000000002</v>
      </c>
      <c r="G12" s="49">
        <f>E12+D12</f>
        <v>-3.6986559999999997</v>
      </c>
      <c r="H12" s="74">
        <v>25.817557000000001</v>
      </c>
      <c r="I12" s="75">
        <v>0.97154099999999999</v>
      </c>
      <c r="J12" s="74">
        <v>-4.6701969999999999</v>
      </c>
    </row>
    <row r="13" spans="1:11" x14ac:dyDescent="0.2">
      <c r="A13" s="72">
        <v>44061.958333333336</v>
      </c>
      <c r="B13">
        <f>B12+1</f>
        <v>11</v>
      </c>
      <c r="C13" s="49">
        <f>H13</f>
        <v>25.690815000000001</v>
      </c>
      <c r="D13" s="49">
        <f>I13</f>
        <v>1.1904239999999999</v>
      </c>
      <c r="E13" s="49">
        <f>J13</f>
        <v>-4.922688</v>
      </c>
      <c r="F13" s="49">
        <f>C13+D13*4</f>
        <v>30.452511000000001</v>
      </c>
      <c r="G13" s="49">
        <f>E13+D13</f>
        <v>-3.7322639999999998</v>
      </c>
      <c r="H13" s="74">
        <v>25.690815000000001</v>
      </c>
      <c r="I13" s="74">
        <v>1.1904239999999999</v>
      </c>
      <c r="J13" s="74">
        <v>-4.922688</v>
      </c>
    </row>
    <row r="14" spans="1:11" x14ac:dyDescent="0.2">
      <c r="A14" s="72">
        <v>44062.458333333336</v>
      </c>
      <c r="B14">
        <f>B13+1</f>
        <v>12</v>
      </c>
      <c r="C14" s="49">
        <f>H14</f>
        <v>25.271201999999999</v>
      </c>
      <c r="D14" s="49">
        <f>I14</f>
        <v>1.260483</v>
      </c>
      <c r="E14" s="49">
        <f>J14</f>
        <v>-4.9216329999999999</v>
      </c>
      <c r="F14" s="49">
        <f>C14+D14*4</f>
        <v>30.313133999999998</v>
      </c>
      <c r="G14" s="49">
        <f>E14+D14</f>
        <v>-3.6611500000000001</v>
      </c>
      <c r="H14" s="74">
        <v>25.271201999999999</v>
      </c>
      <c r="I14" s="74">
        <v>1.260483</v>
      </c>
      <c r="J14" s="74">
        <v>-4.9216329999999999</v>
      </c>
    </row>
    <row r="15" spans="1:11" x14ac:dyDescent="0.2">
      <c r="A15" s="72">
        <v>44062.958333333336</v>
      </c>
      <c r="B15">
        <f>B14+1</f>
        <v>13</v>
      </c>
      <c r="C15" s="49">
        <f>H15</f>
        <v>24.810870000000001</v>
      </c>
      <c r="D15" s="49">
        <f>I15</f>
        <v>1.370474</v>
      </c>
      <c r="E15" s="49">
        <f>J15</f>
        <v>-5.136158</v>
      </c>
      <c r="F15" s="49">
        <f>C15+D15*4</f>
        <v>30.292766</v>
      </c>
      <c r="G15" s="49">
        <f>E15+D15</f>
        <v>-3.7656840000000003</v>
      </c>
      <c r="H15" s="74">
        <v>24.810870000000001</v>
      </c>
      <c r="I15" s="74">
        <v>1.370474</v>
      </c>
      <c r="J15" s="74">
        <v>-5.136158</v>
      </c>
    </row>
    <row r="16" spans="1:11" x14ac:dyDescent="0.2">
      <c r="A16" s="72">
        <v>44063.458333333336</v>
      </c>
      <c r="B16">
        <f>B15+1</f>
        <v>14</v>
      </c>
      <c r="C16" s="49">
        <f>H16</f>
        <v>24.545976</v>
      </c>
      <c r="D16" s="49">
        <f>I16</f>
        <v>1.5591900000000001</v>
      </c>
      <c r="E16" s="49">
        <f>J16</f>
        <v>-5.3258179999999999</v>
      </c>
      <c r="F16" s="49">
        <f>C16+D16*4</f>
        <v>30.782736</v>
      </c>
      <c r="G16" s="49">
        <f>E16+D16</f>
        <v>-3.7666279999999999</v>
      </c>
      <c r="H16" s="74">
        <v>24.545976</v>
      </c>
      <c r="I16" s="74">
        <v>1.5591900000000001</v>
      </c>
      <c r="J16" s="74">
        <v>-5.3258179999999999</v>
      </c>
    </row>
    <row r="17" spans="1:10" x14ac:dyDescent="0.2">
      <c r="A17" s="72">
        <v>44063.958333333336</v>
      </c>
      <c r="B17">
        <f>B16+1</f>
        <v>15</v>
      </c>
      <c r="C17" s="49">
        <f>H17</f>
        <v>23.480505000000001</v>
      </c>
      <c r="D17" s="49">
        <f>I17</f>
        <v>2.0005489999999999</v>
      </c>
      <c r="E17" s="49">
        <f>J17</f>
        <v>-5.3640629999999998</v>
      </c>
      <c r="F17" s="49">
        <f>C17+D17*4</f>
        <v>31.482700999999999</v>
      </c>
      <c r="G17" s="49">
        <f>E17+D17</f>
        <v>-3.3635139999999999</v>
      </c>
      <c r="H17" s="74">
        <v>23.480505000000001</v>
      </c>
      <c r="I17" s="74">
        <v>2.0005489999999999</v>
      </c>
      <c r="J17" s="74">
        <v>-5.3640629999999998</v>
      </c>
    </row>
    <row r="18" spans="1:10" x14ac:dyDescent="0.2">
      <c r="A18" s="72">
        <v>44064.458333333336</v>
      </c>
      <c r="B18">
        <f>B17+1</f>
        <v>16</v>
      </c>
      <c r="C18" s="49">
        <f>H18</f>
        <v>22.551392</v>
      </c>
      <c r="D18" s="49">
        <f>I18</f>
        <v>2.4119899999999999</v>
      </c>
      <c r="E18" s="49">
        <f>J18</f>
        <v>-5.834263</v>
      </c>
      <c r="F18" s="49">
        <f>C18+D18*4</f>
        <v>32.199351999999998</v>
      </c>
      <c r="G18" s="49">
        <f>E18+D18</f>
        <v>-3.4222730000000001</v>
      </c>
      <c r="H18" s="74">
        <v>22.551392</v>
      </c>
      <c r="I18" s="74">
        <v>2.4119899999999999</v>
      </c>
      <c r="J18" s="74">
        <v>-5.834263</v>
      </c>
    </row>
    <row r="19" spans="1:10" x14ac:dyDescent="0.2">
      <c r="A19" s="72">
        <v>44064.958333333336</v>
      </c>
      <c r="B19">
        <f>B18+1</f>
        <v>17</v>
      </c>
      <c r="C19" s="49">
        <f>H19</f>
        <v>20.674105999999998</v>
      </c>
      <c r="D19" s="49">
        <f>I19</f>
        <v>3.111656</v>
      </c>
      <c r="E19" s="49">
        <f>J19</f>
        <v>-6.2673389999999998</v>
      </c>
      <c r="F19" s="49">
        <f>C19+D19*4</f>
        <v>33.120729999999995</v>
      </c>
      <c r="G19" s="49">
        <f>E19+D19</f>
        <v>-3.1556829999999998</v>
      </c>
      <c r="H19" s="74">
        <v>20.674105999999998</v>
      </c>
      <c r="I19" s="74">
        <v>3.111656</v>
      </c>
      <c r="J19" s="74">
        <v>-6.2673389999999998</v>
      </c>
    </row>
    <row r="20" spans="1:10" x14ac:dyDescent="0.2">
      <c r="A20" s="72">
        <v>44065.458333333336</v>
      </c>
      <c r="B20">
        <f>B19+1</f>
        <v>18</v>
      </c>
      <c r="C20" s="49">
        <f>H20</f>
        <v>18.561978</v>
      </c>
      <c r="D20" s="49">
        <f>I20</f>
        <v>3.9263750000000002</v>
      </c>
      <c r="E20" s="49">
        <f>J20</f>
        <v>-6.8649040000000001</v>
      </c>
      <c r="F20" s="49">
        <f>C20+D20*4</f>
        <v>34.267477999999997</v>
      </c>
      <c r="G20" s="49">
        <f>E20+D20</f>
        <v>-2.9385289999999999</v>
      </c>
      <c r="H20" s="74">
        <v>18.561978</v>
      </c>
      <c r="I20" s="74">
        <v>3.9263750000000002</v>
      </c>
      <c r="J20" s="74">
        <v>-6.8649040000000001</v>
      </c>
    </row>
    <row r="21" spans="1:10" x14ac:dyDescent="0.2">
      <c r="A21" s="72">
        <v>44065.958333333336</v>
      </c>
      <c r="B21">
        <f>B20+1</f>
        <v>19</v>
      </c>
      <c r="C21" s="49">
        <f>H21</f>
        <v>16.026315</v>
      </c>
      <c r="D21" s="49">
        <f>I21</f>
        <v>4.8088009999999999</v>
      </c>
      <c r="E21" s="49">
        <f>J21</f>
        <v>-7.5812609999999996</v>
      </c>
      <c r="F21" s="49">
        <f>C21+D21*4</f>
        <v>35.261519</v>
      </c>
      <c r="G21" s="49">
        <f>E21+D21</f>
        <v>-2.7724599999999997</v>
      </c>
      <c r="H21" s="74">
        <v>16.026315</v>
      </c>
      <c r="I21" s="74">
        <v>4.8088009999999999</v>
      </c>
      <c r="J21" s="74">
        <v>-7.5812609999999996</v>
      </c>
    </row>
    <row r="22" spans="1:10" x14ac:dyDescent="0.2">
      <c r="A22" s="72">
        <v>44066.458333333336</v>
      </c>
      <c r="B22">
        <f>B21+1</f>
        <v>20</v>
      </c>
      <c r="C22" s="49">
        <f>H22</f>
        <v>13.287782</v>
      </c>
      <c r="D22" s="49">
        <f>I22</f>
        <v>5.8017950000000003</v>
      </c>
      <c r="E22" s="49">
        <f>J22</f>
        <v>-8.2607320000000009</v>
      </c>
      <c r="F22" s="49">
        <f>C22+D22*4</f>
        <v>36.494962000000001</v>
      </c>
      <c r="G22" s="49">
        <f>E22+D22</f>
        <v>-2.4589370000000006</v>
      </c>
      <c r="H22" s="74">
        <v>13.287782</v>
      </c>
      <c r="I22" s="74">
        <v>5.8017950000000003</v>
      </c>
      <c r="J22" s="74">
        <v>-8.2607320000000009</v>
      </c>
    </row>
    <row r="23" spans="1:10" x14ac:dyDescent="0.2">
      <c r="A23" s="72">
        <v>44066.958333333336</v>
      </c>
      <c r="B23">
        <f>B22+1</f>
        <v>21</v>
      </c>
      <c r="C23" s="49">
        <f>H23</f>
        <v>11.245449000000001</v>
      </c>
      <c r="D23" s="49">
        <f>I23</f>
        <v>6.5135290000000001</v>
      </c>
      <c r="E23" s="49">
        <f>J23</f>
        <v>-8.7689529999999998</v>
      </c>
      <c r="F23" s="49">
        <f>C23+D23*4</f>
        <v>37.299565000000001</v>
      </c>
      <c r="G23" s="49">
        <f>E23+D23</f>
        <v>-2.2554239999999997</v>
      </c>
      <c r="H23" s="74">
        <v>11.245449000000001</v>
      </c>
      <c r="I23" s="74">
        <v>6.5135290000000001</v>
      </c>
      <c r="J23" s="74">
        <v>-8.7689529999999998</v>
      </c>
    </row>
    <row r="24" spans="1:10" x14ac:dyDescent="0.2">
      <c r="A24" s="72">
        <v>44067.458333333336</v>
      </c>
      <c r="B24">
        <f>B23+1</f>
        <v>22</v>
      </c>
      <c r="C24" s="49">
        <v>0</v>
      </c>
      <c r="D24" s="49">
        <f>I24</f>
        <v>0</v>
      </c>
      <c r="E24" s="49">
        <f>J24</f>
        <v>0</v>
      </c>
      <c r="F24" s="49">
        <f>C24+D24*4</f>
        <v>0</v>
      </c>
      <c r="G24" s="49">
        <f>E24+D24</f>
        <v>0</v>
      </c>
      <c r="H24" s="73" t="s">
        <v>80</v>
      </c>
      <c r="I24" s="73"/>
      <c r="J24" s="73"/>
    </row>
    <row r="25" spans="1:10" x14ac:dyDescent="0.2">
      <c r="A25" s="72">
        <v>44067.958333333336</v>
      </c>
      <c r="B25">
        <f>B24+1</f>
        <v>23</v>
      </c>
      <c r="C25" s="49">
        <f>H25</f>
        <v>14.078203999999999</v>
      </c>
      <c r="D25" s="49">
        <f>I25</f>
        <v>3.9483959999999998</v>
      </c>
      <c r="E25" s="49">
        <f>J25</f>
        <v>-6.0487209999999996</v>
      </c>
      <c r="F25" s="49">
        <f>C25+D25*4</f>
        <v>29.871787999999999</v>
      </c>
      <c r="G25" s="49">
        <f>E25+D25</f>
        <v>-2.1003249999999998</v>
      </c>
      <c r="H25" s="74">
        <v>14.078203999999999</v>
      </c>
      <c r="I25" s="74">
        <v>3.9483959999999998</v>
      </c>
      <c r="J25" s="74">
        <v>-6.0487209999999996</v>
      </c>
    </row>
    <row r="26" spans="1:10" x14ac:dyDescent="0.2">
      <c r="A26" s="72">
        <v>44068.458333333336</v>
      </c>
      <c r="B26">
        <f>B25+1</f>
        <v>24</v>
      </c>
      <c r="C26" s="49">
        <f>H26</f>
        <v>13.805071</v>
      </c>
      <c r="D26" s="49">
        <f>I26</f>
        <v>4.6074169999999999</v>
      </c>
      <c r="E26" s="49">
        <f>J26</f>
        <v>-6.6999849999999999</v>
      </c>
      <c r="F26" s="49">
        <f>C26+D26*4</f>
        <v>32.234738999999998</v>
      </c>
      <c r="G26" s="49">
        <f>E26+D26</f>
        <v>-2.092568</v>
      </c>
      <c r="H26" s="74">
        <v>13.805071</v>
      </c>
      <c r="I26" s="74">
        <v>4.6074169999999999</v>
      </c>
      <c r="J26" s="74">
        <v>-6.6999849999999999</v>
      </c>
    </row>
    <row r="27" spans="1:10" x14ac:dyDescent="0.2">
      <c r="A27" s="72">
        <v>44068.958333333336</v>
      </c>
      <c r="B27">
        <f>B26+1</f>
        <v>25</v>
      </c>
      <c r="C27" s="49">
        <f>H27</f>
        <v>13.066865</v>
      </c>
      <c r="D27" s="49">
        <f>I27</f>
        <v>4.7040129999999998</v>
      </c>
      <c r="E27" s="49">
        <f>J27</f>
        <v>-6.8753500000000001</v>
      </c>
      <c r="F27" s="49">
        <f>C27+D27*4</f>
        <v>31.882916999999999</v>
      </c>
      <c r="G27" s="49">
        <f>E27+D27</f>
        <v>-2.1713370000000003</v>
      </c>
      <c r="H27" s="74">
        <v>13.066865</v>
      </c>
      <c r="I27" s="74">
        <v>4.7040129999999998</v>
      </c>
      <c r="J27" s="74">
        <v>-6.8753500000000001</v>
      </c>
    </row>
    <row r="28" spans="1:10" x14ac:dyDescent="0.2">
      <c r="A28" s="72">
        <v>44069.458333333336</v>
      </c>
      <c r="B28">
        <f>B27+1</f>
        <v>26</v>
      </c>
      <c r="C28" s="49">
        <f>H28</f>
        <v>10.978904999999999</v>
      </c>
      <c r="D28" s="49">
        <f>I28</f>
        <v>4.8241909999999999</v>
      </c>
      <c r="E28" s="49">
        <f>J28</f>
        <v>-6.8481079999999999</v>
      </c>
      <c r="F28" s="49">
        <f>C28+D28*4</f>
        <v>30.275669000000001</v>
      </c>
      <c r="G28" s="49">
        <f>E28+D28</f>
        <v>-2.023917</v>
      </c>
      <c r="H28" s="74">
        <v>10.978904999999999</v>
      </c>
      <c r="I28" s="74">
        <v>4.8241909999999999</v>
      </c>
      <c r="J28" s="74">
        <v>-6.8481079999999999</v>
      </c>
    </row>
    <row r="29" spans="1:10" x14ac:dyDescent="0.2">
      <c r="A29" s="72">
        <v>44069.958333333336</v>
      </c>
      <c r="B29">
        <f>B28+1</f>
        <v>27</v>
      </c>
      <c r="C29" s="49">
        <f>H29</f>
        <v>10.876594000000001</v>
      </c>
      <c r="D29" s="49">
        <f>I29</f>
        <v>5.6761720000000002</v>
      </c>
      <c r="E29" s="49">
        <f>J29</f>
        <v>-7.6403480000000004</v>
      </c>
      <c r="F29" s="49">
        <f>C29+D29*4</f>
        <v>33.581282000000002</v>
      </c>
      <c r="G29" s="49">
        <f>E29+D29</f>
        <v>-1.9641760000000001</v>
      </c>
      <c r="H29" s="74">
        <v>10.876594000000001</v>
      </c>
      <c r="I29" s="74">
        <v>5.6761720000000002</v>
      </c>
      <c r="J29" s="74">
        <v>-7.6403480000000004</v>
      </c>
    </row>
    <row r="30" spans="1:10" x14ac:dyDescent="0.2">
      <c r="A30" s="72">
        <v>44070.458333333336</v>
      </c>
      <c r="B30">
        <f>B29+1</f>
        <v>28</v>
      </c>
      <c r="C30" s="49">
        <f>H30</f>
        <v>8.8637750000000004</v>
      </c>
      <c r="D30" s="49">
        <f>I30</f>
        <v>6.3338939999999999</v>
      </c>
      <c r="E30" s="49">
        <f>J30</f>
        <v>-7.9921759999999997</v>
      </c>
      <c r="F30" s="49">
        <f>C30+D30*4</f>
        <v>34.199351</v>
      </c>
      <c r="G30" s="49">
        <f>E30+D30</f>
        <v>-1.6582819999999998</v>
      </c>
      <c r="H30" s="74">
        <v>8.8637750000000004</v>
      </c>
      <c r="I30" s="74">
        <v>6.3338939999999999</v>
      </c>
      <c r="J30" s="74">
        <v>-7.9921759999999997</v>
      </c>
    </row>
    <row r="31" spans="1:10" x14ac:dyDescent="0.2">
      <c r="A31" s="72">
        <v>44070.958333333336</v>
      </c>
      <c r="B31">
        <f>B30+1</f>
        <v>29</v>
      </c>
      <c r="C31" s="49">
        <f>H31</f>
        <v>7.1058130000000004</v>
      </c>
      <c r="D31" s="49">
        <f>I31</f>
        <v>7.0057770000000001</v>
      </c>
      <c r="E31" s="49">
        <f>J31</f>
        <v>-8.3639069999999993</v>
      </c>
      <c r="F31" s="49">
        <f>C31+D31*4</f>
        <v>35.128920999999998</v>
      </c>
      <c r="G31" s="49">
        <f>E31+D31</f>
        <v>-1.3581299999999992</v>
      </c>
      <c r="H31" s="74">
        <v>7.1058130000000004</v>
      </c>
      <c r="I31" s="74">
        <v>7.0057770000000001</v>
      </c>
      <c r="J31" s="74">
        <v>-8.3639069999999993</v>
      </c>
    </row>
    <row r="32" spans="1:10" x14ac:dyDescent="0.2">
      <c r="A32" s="72">
        <v>44071.458333333336</v>
      </c>
      <c r="B32">
        <f>B31+1</f>
        <v>30</v>
      </c>
      <c r="C32" s="49">
        <f>H32</f>
        <v>5.5400549999999997</v>
      </c>
      <c r="D32" s="49">
        <f>I32</f>
        <v>7.7262329999999997</v>
      </c>
      <c r="E32" s="49">
        <f>J32</f>
        <v>-9.0569269999999999</v>
      </c>
      <c r="F32" s="49">
        <f>C32+D32*4</f>
        <v>36.444986999999998</v>
      </c>
      <c r="G32" s="49">
        <f>E32+D32</f>
        <v>-1.3306940000000003</v>
      </c>
      <c r="H32" s="74">
        <v>5.5400549999999997</v>
      </c>
      <c r="I32" s="74">
        <v>7.7262329999999997</v>
      </c>
      <c r="J32" s="74">
        <v>-9.0569269999999999</v>
      </c>
    </row>
    <row r="33" spans="1:10" x14ac:dyDescent="0.2">
      <c r="A33" s="72">
        <v>44071.958333333336</v>
      </c>
      <c r="B33">
        <f>B32+1</f>
        <v>31</v>
      </c>
      <c r="C33" s="49">
        <f>H33</f>
        <v>4.4667399999999997</v>
      </c>
      <c r="D33" s="49">
        <f>I33</f>
        <v>8.2218339999999994</v>
      </c>
      <c r="E33" s="49">
        <f>J33</f>
        <v>-9.5580210000000001</v>
      </c>
      <c r="F33" s="49">
        <f>C33+D33*4</f>
        <v>37.354075999999999</v>
      </c>
      <c r="G33" s="49">
        <f>E33+D33</f>
        <v>-1.3361870000000007</v>
      </c>
      <c r="H33" s="74">
        <v>4.4667399999999997</v>
      </c>
      <c r="I33" s="74">
        <v>8.2218339999999994</v>
      </c>
      <c r="J33" s="74">
        <v>-9.5580210000000001</v>
      </c>
    </row>
    <row r="34" spans="1:10" x14ac:dyDescent="0.2">
      <c r="A34" s="72">
        <v>44072.458333333336</v>
      </c>
      <c r="B34">
        <f>B33+1</f>
        <v>32</v>
      </c>
      <c r="C34" s="49">
        <f>H34</f>
        <v>3.9921129999999998</v>
      </c>
      <c r="D34" s="49">
        <f>I34</f>
        <v>8.7238889999999998</v>
      </c>
      <c r="E34" s="49">
        <f>J34</f>
        <v>-10.062564999999999</v>
      </c>
      <c r="F34" s="49">
        <f>C34+D34*4</f>
        <v>38.887669000000002</v>
      </c>
      <c r="G34" s="49">
        <f>E34+D34</f>
        <v>-1.3386759999999995</v>
      </c>
      <c r="H34" s="74">
        <v>3.9921129999999998</v>
      </c>
      <c r="I34" s="74">
        <v>8.7238889999999998</v>
      </c>
      <c r="J34" s="74">
        <v>-10.062564999999999</v>
      </c>
    </row>
    <row r="35" spans="1:10" x14ac:dyDescent="0.2">
      <c r="A35" s="72">
        <v>44072.958333333336</v>
      </c>
      <c r="B35">
        <f>B34+1</f>
        <v>33</v>
      </c>
      <c r="C35" s="49">
        <f>H35</f>
        <v>3.7745060000000001</v>
      </c>
      <c r="D35" s="49">
        <f>I35</f>
        <v>9.3079370000000008</v>
      </c>
      <c r="E35" s="49">
        <f>J35</f>
        <v>-10.491614</v>
      </c>
      <c r="F35" s="49">
        <f>C35+D35*4</f>
        <v>41.006254000000006</v>
      </c>
      <c r="G35" s="49">
        <f>E35+D35</f>
        <v>-1.1836769999999994</v>
      </c>
      <c r="H35" s="74">
        <v>3.7745060000000001</v>
      </c>
      <c r="I35" s="74">
        <v>9.3079370000000008</v>
      </c>
      <c r="J35" s="74">
        <v>-10.491614</v>
      </c>
    </row>
    <row r="36" spans="1:10" x14ac:dyDescent="0.2">
      <c r="A36" s="72">
        <v>44073.458333333336</v>
      </c>
      <c r="B36">
        <f>B35+1</f>
        <v>34</v>
      </c>
      <c r="C36" s="49">
        <f>H36</f>
        <v>3.6212610000000001</v>
      </c>
      <c r="D36" s="49">
        <f>I36</f>
        <v>9.8854579999999999</v>
      </c>
      <c r="E36" s="49">
        <f>J36</f>
        <v>-10.930880999999999</v>
      </c>
      <c r="F36" s="49">
        <f>C36+D36*4</f>
        <v>43.163092999999996</v>
      </c>
      <c r="G36" s="49">
        <f>E36+D36</f>
        <v>-1.0454229999999995</v>
      </c>
      <c r="H36" s="74">
        <v>3.6212610000000001</v>
      </c>
      <c r="I36" s="74">
        <v>9.8854579999999999</v>
      </c>
      <c r="J36" s="74">
        <v>-10.930880999999999</v>
      </c>
    </row>
    <row r="37" spans="1:10" x14ac:dyDescent="0.2">
      <c r="A37" s="72">
        <v>44073.958333333336</v>
      </c>
      <c r="B37">
        <f>B36+1</f>
        <v>35</v>
      </c>
      <c r="C37" s="49">
        <f>H37</f>
        <v>3.6502940000000001</v>
      </c>
      <c r="D37" s="49">
        <f>I37</f>
        <v>10.462702</v>
      </c>
      <c r="E37" s="49">
        <f>J37</f>
        <v>-11.292495000000001</v>
      </c>
      <c r="F37" s="49">
        <f>C37+D37*4</f>
        <v>45.501102000000003</v>
      </c>
      <c r="G37" s="49">
        <f>E37+D37</f>
        <v>-0.82979300000000045</v>
      </c>
      <c r="H37" s="74">
        <v>3.6502940000000001</v>
      </c>
      <c r="I37" s="74">
        <v>10.462702</v>
      </c>
      <c r="J37" s="74">
        <v>-11.292495000000001</v>
      </c>
    </row>
    <row r="38" spans="1:10" x14ac:dyDescent="0.2">
      <c r="A38" s="72">
        <v>44074.458333333336</v>
      </c>
      <c r="B38">
        <f>B37+1</f>
        <v>36</v>
      </c>
      <c r="C38" s="49">
        <f>H38</f>
        <v>3.9420120000000001</v>
      </c>
      <c r="D38" s="49">
        <f>I38</f>
        <v>10.471095</v>
      </c>
      <c r="E38" s="49">
        <f>J38</f>
        <v>-11.146841</v>
      </c>
      <c r="F38" s="49">
        <f>C38+D38*4</f>
        <v>45.826391999999998</v>
      </c>
      <c r="G38" s="49">
        <f>E38+D38</f>
        <v>-0.67574600000000018</v>
      </c>
      <c r="H38" s="74">
        <v>3.9420120000000001</v>
      </c>
      <c r="I38" s="74">
        <v>10.471095</v>
      </c>
      <c r="J38" s="74">
        <v>-11.146841</v>
      </c>
    </row>
    <row r="39" spans="1:10" x14ac:dyDescent="0.2">
      <c r="A39" s="72">
        <v>44074.958333333336</v>
      </c>
      <c r="B39">
        <f>B38+1</f>
        <v>37</v>
      </c>
      <c r="C39" s="49">
        <f>H39</f>
        <v>3.6502940000000001</v>
      </c>
      <c r="D39" s="49">
        <f>I39</f>
        <v>10.462702</v>
      </c>
      <c r="E39" s="49">
        <f>J39</f>
        <v>-11.292495000000001</v>
      </c>
      <c r="F39" s="49">
        <f>C39+D39*4</f>
        <v>45.501102000000003</v>
      </c>
      <c r="G39" s="49">
        <f>E39+D39</f>
        <v>-0.82979300000000045</v>
      </c>
      <c r="H39" s="74">
        <v>3.6502940000000001</v>
      </c>
      <c r="I39" s="74">
        <v>10.462702</v>
      </c>
      <c r="J39" s="74">
        <v>-11.292495000000001</v>
      </c>
    </row>
    <row r="40" spans="1:10" x14ac:dyDescent="0.2">
      <c r="A40" s="72">
        <v>44075.458333333336</v>
      </c>
      <c r="B40">
        <f>B39+1</f>
        <v>38</v>
      </c>
      <c r="C40" s="49">
        <f>H40</f>
        <v>4.401993</v>
      </c>
      <c r="D40" s="49">
        <f>I40</f>
        <v>10.331739000000001</v>
      </c>
      <c r="E40" s="49">
        <f>J40</f>
        <v>-11.193375</v>
      </c>
      <c r="F40" s="49">
        <f>C40+D40*4</f>
        <v>45.728949</v>
      </c>
      <c r="G40" s="49">
        <f>E40+D40</f>
        <v>-0.86163599999999896</v>
      </c>
      <c r="H40" s="74">
        <v>4.401993</v>
      </c>
      <c r="I40" s="74">
        <v>10.331739000000001</v>
      </c>
      <c r="J40" s="74">
        <v>-11.193375</v>
      </c>
    </row>
    <row r="41" spans="1:10" x14ac:dyDescent="0.2">
      <c r="A41" s="72">
        <v>44075.958333333336</v>
      </c>
      <c r="B41">
        <f>B40+1</f>
        <v>39</v>
      </c>
      <c r="C41" s="49">
        <f>H41</f>
        <v>5.4026630000000004</v>
      </c>
      <c r="D41" s="49">
        <f>I41</f>
        <v>10.148293000000001</v>
      </c>
      <c r="E41" s="49">
        <f>J41</f>
        <v>-10.711626000000001</v>
      </c>
      <c r="F41" s="49">
        <f>C41+D41*4</f>
        <v>45.995835</v>
      </c>
      <c r="G41" s="49">
        <f>E41+D41</f>
        <v>-0.56333300000000008</v>
      </c>
      <c r="H41" s="74">
        <v>5.4026630000000004</v>
      </c>
      <c r="I41" s="74">
        <v>10.148293000000001</v>
      </c>
      <c r="J41" s="74">
        <v>-10.711626000000001</v>
      </c>
    </row>
    <row r="42" spans="1:10" x14ac:dyDescent="0.2">
      <c r="A42" s="72">
        <v>44076.458333333336</v>
      </c>
      <c r="B42">
        <f>B41+1</f>
        <v>40</v>
      </c>
      <c r="C42" s="49">
        <f>H42</f>
        <v>5.987654</v>
      </c>
      <c r="D42" s="49">
        <f>I42</f>
        <v>9.9830660000000009</v>
      </c>
      <c r="E42" s="49">
        <f>J42</f>
        <v>-10.834092</v>
      </c>
      <c r="F42" s="49">
        <f>C42+D42*4</f>
        <v>45.919918000000003</v>
      </c>
      <c r="G42" s="49">
        <f>E42+D42</f>
        <v>-0.85102599999999917</v>
      </c>
      <c r="H42" s="74">
        <v>5.987654</v>
      </c>
      <c r="I42" s="74">
        <v>9.9830660000000009</v>
      </c>
      <c r="J42" s="74">
        <v>-10.834092</v>
      </c>
    </row>
    <row r="43" spans="1:10" x14ac:dyDescent="0.2">
      <c r="A43" s="72">
        <v>44076.958333333336</v>
      </c>
      <c r="B43">
        <f>B42+1</f>
        <v>41</v>
      </c>
      <c r="C43" s="49">
        <f>H43</f>
        <v>17.518706999999999</v>
      </c>
      <c r="D43" s="49">
        <f>I43</f>
        <v>2.2890899999999998</v>
      </c>
      <c r="E43" s="49">
        <f>J43</f>
        <v>-4.7854159999999997</v>
      </c>
      <c r="F43" s="49">
        <f>C43+D43*4</f>
        <v>26.675066999999999</v>
      </c>
      <c r="G43" s="49">
        <f>E43+D43</f>
        <v>-2.4963259999999998</v>
      </c>
      <c r="H43" s="74">
        <v>17.518706999999999</v>
      </c>
      <c r="I43" s="74">
        <v>2.2890899999999998</v>
      </c>
      <c r="J43" s="74">
        <v>-4.7854159999999997</v>
      </c>
    </row>
    <row r="44" spans="1:10" x14ac:dyDescent="0.2">
      <c r="A44" s="72">
        <v>44077.458333333336</v>
      </c>
      <c r="B44">
        <f>B43+1</f>
        <v>42</v>
      </c>
      <c r="C44" s="49">
        <f>H44</f>
        <v>19.532692999999998</v>
      </c>
      <c r="D44" s="49">
        <f>I44</f>
        <v>3.3069109999999999</v>
      </c>
      <c r="E44" s="49">
        <f>J44</f>
        <v>-5.9284410000000003</v>
      </c>
      <c r="F44" s="49">
        <f>C44+D44*4</f>
        <v>32.760337</v>
      </c>
      <c r="G44" s="49">
        <f>E44+D44</f>
        <v>-2.6215300000000004</v>
      </c>
      <c r="H44" s="74">
        <v>19.532692999999998</v>
      </c>
      <c r="I44" s="74">
        <v>3.3069109999999999</v>
      </c>
      <c r="J44" s="74">
        <v>-5.9284410000000003</v>
      </c>
    </row>
    <row r="45" spans="1:10" x14ac:dyDescent="0.2">
      <c r="A45" s="72">
        <v>44077.958333333336</v>
      </c>
      <c r="B45">
        <f>B44+1</f>
        <v>43</v>
      </c>
      <c r="C45" s="49">
        <f>H45</f>
        <v>16.959603999999999</v>
      </c>
      <c r="D45" s="49">
        <f>I45</f>
        <v>4.5100670000000003</v>
      </c>
      <c r="E45" s="49">
        <f>J45</f>
        <v>-6.8546360000000002</v>
      </c>
      <c r="F45" s="49">
        <f>C45+D45*4</f>
        <v>34.999871999999996</v>
      </c>
      <c r="G45" s="49">
        <f>E45+D45</f>
        <v>-2.3445689999999999</v>
      </c>
      <c r="H45" s="74">
        <v>16.959603999999999</v>
      </c>
      <c r="I45" s="74">
        <v>4.5100670000000003</v>
      </c>
      <c r="J45" s="74">
        <v>-6.8546360000000002</v>
      </c>
    </row>
    <row r="46" spans="1:10" x14ac:dyDescent="0.2">
      <c r="A46" s="72">
        <v>44078.458333333336</v>
      </c>
      <c r="B46">
        <f>B45+1</f>
        <v>44</v>
      </c>
      <c r="C46" s="49"/>
      <c r="D46" s="49">
        <f>I46</f>
        <v>0</v>
      </c>
      <c r="E46" s="49">
        <f>J46</f>
        <v>0</v>
      </c>
      <c r="F46" s="49">
        <f>C46+D46*4</f>
        <v>0</v>
      </c>
      <c r="G46" s="49">
        <f>E46+D46</f>
        <v>0</v>
      </c>
      <c r="H46" s="73" t="s">
        <v>80</v>
      </c>
      <c r="I46" s="73"/>
      <c r="J46" s="73"/>
    </row>
    <row r="47" spans="1:10" x14ac:dyDescent="0.2">
      <c r="A47" s="72">
        <v>44078.958333333336</v>
      </c>
      <c r="B47">
        <f>B46+1</f>
        <v>45</v>
      </c>
      <c r="C47" s="49">
        <f>H47</f>
        <v>13.830142</v>
      </c>
      <c r="D47" s="49">
        <f>I47</f>
        <v>5.4134000000000002</v>
      </c>
      <c r="E47" s="49">
        <f>J47</f>
        <v>-7.5121270000000004</v>
      </c>
      <c r="F47" s="49">
        <f>C47+D47*4</f>
        <v>35.483741999999999</v>
      </c>
      <c r="G47" s="49">
        <f>E47+D47</f>
        <v>-2.0987270000000002</v>
      </c>
      <c r="H47" s="74">
        <v>13.830142</v>
      </c>
      <c r="I47" s="76">
        <v>5.4134000000000002</v>
      </c>
      <c r="J47" s="74">
        <v>-7.5121270000000004</v>
      </c>
    </row>
    <row r="48" spans="1:10" x14ac:dyDescent="0.2">
      <c r="A48" s="72">
        <v>44079.458333333336</v>
      </c>
      <c r="B48">
        <f>B47+1</f>
        <v>46</v>
      </c>
      <c r="C48" s="49">
        <f>H48</f>
        <v>13.339392</v>
      </c>
      <c r="D48" s="49">
        <f>I48</f>
        <v>5.5700010000000004</v>
      </c>
      <c r="E48" s="49">
        <f>J48</f>
        <v>-7.7531749999999997</v>
      </c>
      <c r="F48" s="49">
        <f>C48+D48*4</f>
        <v>35.619396000000002</v>
      </c>
      <c r="G48" s="49">
        <f>E48+D48</f>
        <v>-2.1831739999999993</v>
      </c>
      <c r="H48" s="74">
        <v>13.339392</v>
      </c>
      <c r="I48" s="74">
        <v>5.5700010000000004</v>
      </c>
      <c r="J48" s="74">
        <v>-7.7531749999999997</v>
      </c>
    </row>
    <row r="49" spans="1:10" x14ac:dyDescent="0.2">
      <c r="A49" s="72">
        <v>44079.958333333336</v>
      </c>
      <c r="B49">
        <f>B48+1</f>
        <v>47</v>
      </c>
      <c r="C49" s="49">
        <f>H49</f>
        <v>15.416869</v>
      </c>
      <c r="D49" s="49">
        <f>I49</f>
        <v>4.4211070000000001</v>
      </c>
      <c r="E49" s="49">
        <f>J49</f>
        <v>-6.9148360000000002</v>
      </c>
      <c r="F49" s="49">
        <f>C49+D49*4</f>
        <v>33.101297000000002</v>
      </c>
      <c r="G49" s="49">
        <f>E49+D49</f>
        <v>-2.4937290000000001</v>
      </c>
      <c r="H49" s="74">
        <v>15.416869</v>
      </c>
      <c r="I49" s="74">
        <v>4.4211070000000001</v>
      </c>
      <c r="J49" s="74">
        <v>-6.9148360000000002</v>
      </c>
    </row>
    <row r="50" spans="1:10" x14ac:dyDescent="0.2">
      <c r="A50" s="72">
        <v>44080.458333333336</v>
      </c>
      <c r="B50">
        <f>B49+1</f>
        <v>48</v>
      </c>
      <c r="C50" s="49">
        <f>H50</f>
        <v>21.567178999999999</v>
      </c>
      <c r="D50" s="49">
        <f>I50</f>
        <v>1.898622</v>
      </c>
      <c r="E50" s="49">
        <f>J50</f>
        <v>-5.0475110000000001</v>
      </c>
      <c r="F50" s="49">
        <f>C50+D50*4</f>
        <v>29.161667000000001</v>
      </c>
      <c r="G50" s="49">
        <f>E50+D50</f>
        <v>-3.148889</v>
      </c>
      <c r="H50" s="74">
        <v>21.567178999999999</v>
      </c>
      <c r="I50" s="74">
        <v>1.898622</v>
      </c>
      <c r="J50" s="74">
        <v>-5.0475110000000001</v>
      </c>
    </row>
    <row r="51" spans="1:10" x14ac:dyDescent="0.2">
      <c r="A51" s="72">
        <v>44080.958333333336</v>
      </c>
      <c r="B51">
        <f>B50+1</f>
        <v>49</v>
      </c>
      <c r="C51" s="49">
        <f>H51</f>
        <v>12.1755</v>
      </c>
      <c r="D51" s="49">
        <f>I51</f>
        <v>0.87878100000000003</v>
      </c>
      <c r="E51" s="49">
        <f>J51</f>
        <v>-2.1157339999999998</v>
      </c>
      <c r="F51" s="49">
        <f>C51+D51*4</f>
        <v>15.690624</v>
      </c>
      <c r="G51" s="49">
        <f>E51+D51</f>
        <v>-1.2369529999999997</v>
      </c>
      <c r="H51" s="74">
        <v>12.1755</v>
      </c>
      <c r="I51" s="74">
        <v>0.87878100000000003</v>
      </c>
      <c r="J51">
        <v>-2.1157339999999998</v>
      </c>
    </row>
    <row r="52" spans="1:10" x14ac:dyDescent="0.2">
      <c r="A52" s="72">
        <v>44081.458333333336</v>
      </c>
      <c r="B52">
        <f>B51+1</f>
        <v>50</v>
      </c>
      <c r="C52" s="49">
        <f>H52</f>
        <v>13.822263</v>
      </c>
      <c r="D52" s="49">
        <f>I52</f>
        <v>0.16959399999999999</v>
      </c>
      <c r="E52" s="49">
        <f>J52</f>
        <v>-3.172409</v>
      </c>
      <c r="F52" s="49">
        <f>C52+D52*4</f>
        <v>14.500639</v>
      </c>
      <c r="G52" s="49">
        <f>E52+D52</f>
        <v>-3.002815</v>
      </c>
      <c r="H52" s="74">
        <v>13.822263</v>
      </c>
      <c r="I52" s="75">
        <v>0.16959399999999999</v>
      </c>
      <c r="J52">
        <v>-3.172409</v>
      </c>
    </row>
    <row r="53" spans="1:10" x14ac:dyDescent="0.2">
      <c r="A53" s="72">
        <v>44081.958333333336</v>
      </c>
      <c r="B53">
        <f>B52+1</f>
        <v>51</v>
      </c>
      <c r="C53" s="49">
        <f>H53</f>
        <v>20.533639000000001</v>
      </c>
      <c r="D53" s="49">
        <f>I53</f>
        <v>0.38179299999999999</v>
      </c>
      <c r="E53" s="49">
        <f>J53</f>
        <v>-3.489026</v>
      </c>
      <c r="F53" s="49">
        <f>C53+D53*4</f>
        <v>22.060811000000001</v>
      </c>
      <c r="G53" s="49">
        <f>E53+D53</f>
        <v>-3.1072329999999999</v>
      </c>
      <c r="H53" s="74">
        <v>20.533639000000001</v>
      </c>
      <c r="I53" s="75">
        <v>0.38179299999999999</v>
      </c>
      <c r="J53" s="74">
        <v>-3.489026</v>
      </c>
    </row>
    <row r="54" spans="1:10" x14ac:dyDescent="0.2">
      <c r="A54" s="72">
        <v>44082.458333333336</v>
      </c>
      <c r="B54">
        <f>B53+1</f>
        <v>52</v>
      </c>
      <c r="C54" s="49">
        <f>H54</f>
        <v>24.117754000000001</v>
      </c>
      <c r="D54" s="49">
        <f>I54</f>
        <v>0.49822499999999997</v>
      </c>
      <c r="E54" s="49">
        <f>J54</f>
        <v>-3.8908200000000002</v>
      </c>
      <c r="F54" s="49">
        <f>C54+D54*4</f>
        <v>26.110654</v>
      </c>
      <c r="G54" s="49">
        <f>E54+D54</f>
        <v>-3.392595</v>
      </c>
      <c r="H54" s="74">
        <v>24.117754000000001</v>
      </c>
      <c r="I54" s="75">
        <v>0.49822499999999997</v>
      </c>
      <c r="J54" s="74">
        <v>-3.8908200000000002</v>
      </c>
    </row>
    <row r="55" spans="1:10" x14ac:dyDescent="0.2">
      <c r="A55" s="72">
        <v>44082.958333333336</v>
      </c>
      <c r="B55">
        <f>B54+1</f>
        <v>53</v>
      </c>
      <c r="C55" s="49">
        <f>H55</f>
        <v>25.763362999999998</v>
      </c>
      <c r="D55" s="49">
        <f>I55</f>
        <v>0.46959299999999998</v>
      </c>
      <c r="E55" s="49">
        <f>J55</f>
        <v>-3.8558119999999998</v>
      </c>
      <c r="F55" s="49">
        <f>C55+D55*4</f>
        <v>27.641734999999997</v>
      </c>
      <c r="G55" s="49">
        <f>E55+D55</f>
        <v>-3.3862189999999996</v>
      </c>
      <c r="H55" s="74">
        <v>25.763362999999998</v>
      </c>
      <c r="I55" s="75">
        <v>0.46959299999999998</v>
      </c>
      <c r="J55" s="74">
        <v>-3.8558119999999998</v>
      </c>
    </row>
    <row r="56" spans="1:10" x14ac:dyDescent="0.2">
      <c r="A56" s="72">
        <v>44083.458333333336</v>
      </c>
      <c r="B56">
        <f>B55+1</f>
        <v>54</v>
      </c>
      <c r="C56" s="49">
        <v>0</v>
      </c>
      <c r="D56" s="49">
        <f>I56</f>
        <v>0</v>
      </c>
      <c r="E56" s="49">
        <f>J56</f>
        <v>0</v>
      </c>
      <c r="F56" s="49">
        <f>C56+D56*4</f>
        <v>0</v>
      </c>
      <c r="G56" s="49">
        <f>E56+D56</f>
        <v>0</v>
      </c>
      <c r="H56" s="73" t="s">
        <v>80</v>
      </c>
      <c r="I56" s="73"/>
      <c r="J56" s="73"/>
    </row>
    <row r="57" spans="1:10" x14ac:dyDescent="0.2">
      <c r="A57" s="72">
        <v>44083.958333333336</v>
      </c>
      <c r="B57">
        <f>B56+1</f>
        <v>55</v>
      </c>
      <c r="C57" s="49">
        <f>H57</f>
        <v>20.996449999999999</v>
      </c>
      <c r="D57" s="49">
        <f>I57</f>
        <v>0.233292</v>
      </c>
      <c r="E57" s="49">
        <f>J57</f>
        <v>-3.2051829999999999</v>
      </c>
      <c r="F57" s="49">
        <f>C57+D57*4</f>
        <v>21.929617999999998</v>
      </c>
      <c r="G57" s="49">
        <f>E57+D57</f>
        <v>-2.9718909999999998</v>
      </c>
      <c r="H57" s="74">
        <v>20.996449999999999</v>
      </c>
      <c r="I57" s="75">
        <v>0.233292</v>
      </c>
      <c r="J57" s="74">
        <v>-3.2051829999999999</v>
      </c>
    </row>
    <row r="58" spans="1:10" x14ac:dyDescent="0.2">
      <c r="A58" s="72">
        <v>44084.458333333336</v>
      </c>
      <c r="B58">
        <f>B57+1</f>
        <v>56</v>
      </c>
      <c r="C58" s="49">
        <f>H58</f>
        <v>17.201239999999999</v>
      </c>
      <c r="D58" s="49">
        <f>I58</f>
        <v>0.13913200000000001</v>
      </c>
      <c r="E58" s="49">
        <f>J58</f>
        <v>-3.6850640000000001</v>
      </c>
      <c r="F58" s="49">
        <f>C58+D58*4</f>
        <v>17.757767999999999</v>
      </c>
      <c r="G58" s="49">
        <f>E58+D58</f>
        <v>-3.5459320000000001</v>
      </c>
      <c r="H58" s="74">
        <v>17.201239999999999</v>
      </c>
      <c r="I58" s="75">
        <v>0.13913200000000001</v>
      </c>
      <c r="J58" s="74">
        <v>-3.6850640000000001</v>
      </c>
    </row>
    <row r="59" spans="1:10" x14ac:dyDescent="0.2">
      <c r="A59" s="72">
        <v>44084.958333333336</v>
      </c>
      <c r="B59">
        <f>B58+1</f>
        <v>57</v>
      </c>
      <c r="C59" s="49">
        <f>H59</f>
        <v>26.964108</v>
      </c>
      <c r="D59" s="49">
        <f>I59</f>
        <v>0.129415</v>
      </c>
      <c r="E59" s="49">
        <f>J59</f>
        <v>-3.4070079999999998</v>
      </c>
      <c r="F59" s="49">
        <f>C59+D59*4</f>
        <v>27.481767999999999</v>
      </c>
      <c r="G59" s="49">
        <f>E59+D59</f>
        <v>-3.277593</v>
      </c>
      <c r="H59" s="74">
        <v>26.964108</v>
      </c>
      <c r="I59" s="75">
        <v>0.129415</v>
      </c>
      <c r="J59" s="74">
        <v>-3.4070079999999998</v>
      </c>
    </row>
    <row r="60" spans="1:10" x14ac:dyDescent="0.2">
      <c r="A60" s="72">
        <v>44085.458333333336</v>
      </c>
      <c r="B60">
        <f>B59+1</f>
        <v>58</v>
      </c>
      <c r="C60" s="49">
        <f>H60</f>
        <v>27.861011000000001</v>
      </c>
      <c r="D60" s="49">
        <f>I60</f>
        <v>9.6931000000000003E-2</v>
      </c>
      <c r="E60" s="49">
        <f>J60</f>
        <v>-3.6148419999999999</v>
      </c>
      <c r="F60" s="49">
        <f>C60+D60*4</f>
        <v>28.248735</v>
      </c>
      <c r="G60" s="49">
        <f>E60+D60</f>
        <v>-3.5179109999999998</v>
      </c>
      <c r="H60" s="74">
        <v>27.861011000000001</v>
      </c>
      <c r="I60" s="75">
        <v>9.6931000000000003E-2</v>
      </c>
      <c r="J60" s="74">
        <v>-3.6148419999999999</v>
      </c>
    </row>
    <row r="61" spans="1:10" x14ac:dyDescent="0.2">
      <c r="A61" s="72">
        <v>44085.958333333336</v>
      </c>
      <c r="B61">
        <f>B60+1</f>
        <v>59</v>
      </c>
      <c r="C61" s="49">
        <f>H61</f>
        <v>27.759951999999998</v>
      </c>
      <c r="D61" s="49">
        <f>I61</f>
        <v>8.2650000000000001E-2</v>
      </c>
      <c r="E61" s="49">
        <f>J61</f>
        <v>-3.4538380000000002</v>
      </c>
      <c r="F61" s="49">
        <f>C61+D61*4</f>
        <v>28.090551999999999</v>
      </c>
      <c r="G61" s="49">
        <f>E61+D61</f>
        <v>-3.3711880000000001</v>
      </c>
      <c r="H61" s="74">
        <v>27.759951999999998</v>
      </c>
      <c r="I61" s="75">
        <v>8.2650000000000001E-2</v>
      </c>
      <c r="J61" s="74">
        <v>-3.4538380000000002</v>
      </c>
    </row>
    <row r="62" spans="1:10" x14ac:dyDescent="0.2">
      <c r="A62" s="72">
        <v>44086.458333333336</v>
      </c>
      <c r="B62">
        <f>B61+1</f>
        <v>60</v>
      </c>
      <c r="C62" s="49">
        <f>H62</f>
        <v>27.755289000000001</v>
      </c>
      <c r="D62" s="49">
        <f>I62</f>
        <v>8.1644999999999995E-2</v>
      </c>
      <c r="E62" s="49">
        <f>J62</f>
        <v>-3.435219</v>
      </c>
      <c r="F62" s="49">
        <f>C62+D62*4</f>
        <v>28.081869000000001</v>
      </c>
      <c r="G62" s="49">
        <f>E62+D62</f>
        <v>-3.3535740000000001</v>
      </c>
      <c r="H62" s="74">
        <v>27.755289000000001</v>
      </c>
      <c r="I62" s="75">
        <v>8.1644999999999995E-2</v>
      </c>
      <c r="J62" s="74">
        <v>-3.435219</v>
      </c>
    </row>
    <row r="63" spans="1:10" x14ac:dyDescent="0.2">
      <c r="A63" s="72">
        <v>44086.958333333336</v>
      </c>
      <c r="B63">
        <f>B62+1</f>
        <v>61</v>
      </c>
      <c r="C63" s="49">
        <f>H63</f>
        <v>27.605308000000001</v>
      </c>
      <c r="D63" s="49">
        <f>I63</f>
        <v>8.6955000000000005E-2</v>
      </c>
      <c r="E63" s="49">
        <f>J63</f>
        <v>-3.5693779999999999</v>
      </c>
      <c r="F63" s="49">
        <f>C63+D63*4</f>
        <v>27.953128</v>
      </c>
      <c r="G63" s="49">
        <f>E63+D63</f>
        <v>-3.4824229999999998</v>
      </c>
      <c r="H63" s="74">
        <v>27.605308000000001</v>
      </c>
      <c r="I63" s="75">
        <v>8.6955000000000005E-2</v>
      </c>
      <c r="J63" s="74">
        <v>-3.5693779999999999</v>
      </c>
    </row>
    <row r="64" spans="1:10" x14ac:dyDescent="0.2">
      <c r="A64" s="72">
        <v>44087.458333333336</v>
      </c>
      <c r="B64">
        <f>B63+1</f>
        <v>62</v>
      </c>
      <c r="C64" s="49">
        <f>H64</f>
        <v>27.456461999999998</v>
      </c>
      <c r="D64" s="49">
        <f>I64</f>
        <v>9.9802000000000002E-2</v>
      </c>
      <c r="E64" s="49">
        <f>J64</f>
        <v>-3.3942760000000001</v>
      </c>
      <c r="F64" s="49">
        <f>C64+D64*4</f>
        <v>27.85567</v>
      </c>
      <c r="G64" s="49">
        <f>E64+D64</f>
        <v>-3.2944740000000001</v>
      </c>
      <c r="H64" s="74">
        <v>27.456461999999998</v>
      </c>
      <c r="I64" s="75">
        <v>9.9802000000000002E-2</v>
      </c>
      <c r="J64" s="74">
        <v>-3.3942760000000001</v>
      </c>
    </row>
    <row r="65" spans="1:10" x14ac:dyDescent="0.2">
      <c r="A65" s="72">
        <v>44087.958333333336</v>
      </c>
      <c r="B65">
        <f>B64+1</f>
        <v>63</v>
      </c>
      <c r="C65" s="49">
        <f>H65</f>
        <v>27.318901</v>
      </c>
      <c r="D65" s="49">
        <f>I65</f>
        <v>0.118621</v>
      </c>
      <c r="E65" s="49">
        <f>J65</f>
        <v>-3.4217179999999998</v>
      </c>
      <c r="F65" s="49">
        <f>C65+D65*4</f>
        <v>27.793385000000001</v>
      </c>
      <c r="G65" s="49">
        <f>E65+D65</f>
        <v>-3.3030969999999997</v>
      </c>
      <c r="H65" s="74">
        <v>27.318901</v>
      </c>
      <c r="I65" s="75">
        <v>0.118621</v>
      </c>
      <c r="J65" s="74">
        <v>-3.4217179999999998</v>
      </c>
    </row>
    <row r="66" spans="1:10" x14ac:dyDescent="0.2">
      <c r="A66" s="72">
        <v>44088.458333333336</v>
      </c>
      <c r="B66">
        <f>B65+1</f>
        <v>64</v>
      </c>
      <c r="C66" s="49">
        <f>H66</f>
        <v>27.217130000000001</v>
      </c>
      <c r="D66" s="49">
        <f>I66</f>
        <v>0.13226599999999999</v>
      </c>
      <c r="E66" s="49">
        <f>J66</f>
        <v>-3.3930699999999998</v>
      </c>
      <c r="F66" s="49">
        <f>C66+D66*4</f>
        <v>27.746194000000003</v>
      </c>
      <c r="G66" s="49">
        <f>E66+D66</f>
        <v>-3.2608039999999998</v>
      </c>
      <c r="H66" s="74">
        <v>27.217130000000001</v>
      </c>
      <c r="I66" s="75">
        <v>0.13226599999999999</v>
      </c>
      <c r="J66" s="74">
        <v>-3.3930699999999998</v>
      </c>
    </row>
    <row r="67" spans="1:10" x14ac:dyDescent="0.2">
      <c r="A67" s="72">
        <v>44088.958333333336</v>
      </c>
      <c r="B67">
        <f>B66+1</f>
        <v>65</v>
      </c>
      <c r="C67" s="49">
        <f>H67</f>
        <v>26.793429</v>
      </c>
      <c r="D67" s="49">
        <f>I67</f>
        <v>0.145699</v>
      </c>
      <c r="E67" s="49">
        <f>J67</f>
        <v>-3.3171349999999999</v>
      </c>
      <c r="F67" s="49">
        <f>C67+D67*4</f>
        <v>27.376224999999998</v>
      </c>
      <c r="G67" s="49">
        <f>E67+D67</f>
        <v>-3.1714359999999999</v>
      </c>
      <c r="H67" s="74">
        <v>26.793429</v>
      </c>
      <c r="I67" s="75">
        <v>0.145699</v>
      </c>
      <c r="J67" s="74">
        <v>-3.3171349999999999</v>
      </c>
    </row>
    <row r="68" spans="1:10" x14ac:dyDescent="0.2">
      <c r="A68" s="72">
        <v>44089.458333333336</v>
      </c>
      <c r="B68">
        <f>B67+1</f>
        <v>66</v>
      </c>
      <c r="C68" s="49">
        <f>H68</f>
        <v>26.430599000000001</v>
      </c>
      <c r="D68" s="49">
        <f>I68</f>
        <v>0.172406</v>
      </c>
      <c r="E68" s="49">
        <f>J68</f>
        <v>-3.44455</v>
      </c>
      <c r="F68" s="49">
        <f>C68+D68*4</f>
        <v>27.120222999999999</v>
      </c>
      <c r="G68" s="49">
        <f>E68+D68</f>
        <v>-3.2721439999999999</v>
      </c>
      <c r="H68" s="74">
        <v>26.430599000000001</v>
      </c>
      <c r="I68" s="75">
        <v>0.172406</v>
      </c>
      <c r="J68" s="74">
        <v>-3.44455</v>
      </c>
    </row>
    <row r="69" spans="1:10" x14ac:dyDescent="0.2">
      <c r="A69" s="72">
        <v>44089.958333333336</v>
      </c>
      <c r="B69">
        <f>B68+1</f>
        <v>67</v>
      </c>
      <c r="C69" s="49">
        <f>H69</f>
        <v>25.51455</v>
      </c>
      <c r="D69" s="49">
        <f>I69</f>
        <v>0.195962</v>
      </c>
      <c r="E69" s="49">
        <f>J69</f>
        <v>-3.5578699999999999</v>
      </c>
      <c r="F69" s="49">
        <f>C69+D69*4</f>
        <v>26.298397999999999</v>
      </c>
      <c r="G69" s="49">
        <f>E69+D69</f>
        <v>-3.3619079999999997</v>
      </c>
      <c r="H69" s="74">
        <v>25.51455</v>
      </c>
      <c r="I69" s="75">
        <v>0.195962</v>
      </c>
      <c r="J69" s="74">
        <v>-3.5578699999999999</v>
      </c>
    </row>
    <row r="70" spans="1:10" x14ac:dyDescent="0.2">
      <c r="A70" s="72">
        <v>44090.458333333336</v>
      </c>
      <c r="B70">
        <f>B69+1</f>
        <v>68</v>
      </c>
      <c r="C70" s="49">
        <f>H70</f>
        <v>25.068788999999999</v>
      </c>
      <c r="D70" s="49">
        <f>I70</f>
        <v>0.22248499999999999</v>
      </c>
      <c r="E70" s="49">
        <f>J70</f>
        <v>-3.5304310000000001</v>
      </c>
      <c r="F70" s="49">
        <f>C70+D70*4</f>
        <v>25.958728999999998</v>
      </c>
      <c r="G70" s="49">
        <f>E70+D70</f>
        <v>-3.3079460000000003</v>
      </c>
      <c r="H70" s="74">
        <v>25.068788999999999</v>
      </c>
      <c r="I70" s="75">
        <v>0.22248499999999999</v>
      </c>
      <c r="J70" s="74">
        <v>-3.5304310000000001</v>
      </c>
    </row>
    <row r="71" spans="1:10" x14ac:dyDescent="0.2">
      <c r="A71" s="72">
        <v>44090.958333333336</v>
      </c>
      <c r="B71">
        <f>B70+1</f>
        <v>69</v>
      </c>
      <c r="C71" s="49">
        <f>H71</f>
        <v>24.091574000000001</v>
      </c>
      <c r="D71" s="49">
        <f>I71</f>
        <v>0.24585199999999999</v>
      </c>
      <c r="E71" s="49">
        <f>J71</f>
        <v>-3.465433</v>
      </c>
      <c r="F71" s="49">
        <f>C71+D71*4</f>
        <v>25.074982000000002</v>
      </c>
      <c r="G71" s="49">
        <f>E71+D71</f>
        <v>-3.2195809999999998</v>
      </c>
      <c r="H71" s="74">
        <v>24.091574000000001</v>
      </c>
      <c r="I71" s="75">
        <v>0.24585199999999999</v>
      </c>
      <c r="J71" s="74">
        <v>-3.465433</v>
      </c>
    </row>
    <row r="72" spans="1:10" x14ac:dyDescent="0.2">
      <c r="A72" s="72">
        <v>44091.458333333336</v>
      </c>
      <c r="B72">
        <f>B71+1</f>
        <v>70</v>
      </c>
      <c r="C72" s="49">
        <v>0</v>
      </c>
      <c r="D72" s="49">
        <f>I72</f>
        <v>0</v>
      </c>
      <c r="E72" s="49">
        <f>J72</f>
        <v>0</v>
      </c>
      <c r="F72" s="49">
        <f>C72+D72*4</f>
        <v>0</v>
      </c>
      <c r="G72" s="49">
        <f>E72+D72</f>
        <v>0</v>
      </c>
      <c r="H72" s="73" t="s">
        <v>80</v>
      </c>
      <c r="I72" s="73"/>
      <c r="J72" s="73"/>
    </row>
    <row r="73" spans="1:10" x14ac:dyDescent="0.2">
      <c r="A73" s="72">
        <v>44091.958333333336</v>
      </c>
      <c r="B73">
        <f>B72+1</f>
        <v>71</v>
      </c>
      <c r="C73" s="49">
        <f>H73</f>
        <v>29.099368999999999</v>
      </c>
      <c r="D73" s="49">
        <f>I73</f>
        <v>0.169049</v>
      </c>
      <c r="E73" s="49">
        <f>J73</f>
        <v>-3.340814</v>
      </c>
      <c r="F73" s="49">
        <f>C73+D73*4</f>
        <v>29.775565</v>
      </c>
      <c r="G73" s="49">
        <f>E73+D73</f>
        <v>-3.1717649999999997</v>
      </c>
      <c r="H73" s="74">
        <v>29.099368999999999</v>
      </c>
      <c r="I73" s="75">
        <v>0.169049</v>
      </c>
      <c r="J73" s="74">
        <v>-3.340814</v>
      </c>
    </row>
    <row r="74" spans="1:10" x14ac:dyDescent="0.2">
      <c r="A74" s="72">
        <v>44092.458333333336</v>
      </c>
      <c r="B74">
        <f>B73+1</f>
        <v>72</v>
      </c>
      <c r="C74" s="49"/>
      <c r="D74" s="49"/>
      <c r="E74" s="49"/>
      <c r="F74" s="49"/>
      <c r="G74" s="49"/>
      <c r="H74" s="77" t="s">
        <v>55</v>
      </c>
      <c r="I74" s="77"/>
      <c r="J74" s="77"/>
    </row>
    <row r="75" spans="1:10" x14ac:dyDescent="0.2">
      <c r="A75" s="72">
        <v>44092.958333333336</v>
      </c>
      <c r="B75">
        <f>B74+1</f>
        <v>73</v>
      </c>
      <c r="C75" s="49"/>
      <c r="D75" s="49"/>
      <c r="E75" s="49"/>
      <c r="F75" s="49"/>
      <c r="G75" s="49"/>
      <c r="H75" s="77"/>
      <c r="I75" s="77"/>
      <c r="J75" s="77"/>
    </row>
    <row r="76" spans="1:10" x14ac:dyDescent="0.2">
      <c r="A76" s="72">
        <v>44093.458333333336</v>
      </c>
      <c r="B76">
        <f>B75+1</f>
        <v>74</v>
      </c>
      <c r="C76" s="49"/>
      <c r="D76" s="49"/>
      <c r="E76" s="49"/>
      <c r="F76" s="49"/>
      <c r="G76" s="49"/>
      <c r="H76" s="77"/>
      <c r="I76" s="77"/>
      <c r="J76" s="77"/>
    </row>
    <row r="77" spans="1:10" x14ac:dyDescent="0.2">
      <c r="A77" s="72">
        <v>44093.958333333336</v>
      </c>
      <c r="B77">
        <f>B76+1</f>
        <v>75</v>
      </c>
      <c r="C77" s="49"/>
      <c r="D77" s="49"/>
      <c r="E77" s="49"/>
      <c r="F77" s="49"/>
      <c r="G77" s="49"/>
      <c r="H77" s="77"/>
      <c r="I77" s="77"/>
      <c r="J77" s="77"/>
    </row>
    <row r="78" spans="1:10" x14ac:dyDescent="0.2">
      <c r="A78" s="72">
        <v>44094.458333333336</v>
      </c>
      <c r="B78">
        <f>B77+1</f>
        <v>76</v>
      </c>
      <c r="C78" s="49"/>
      <c r="D78" s="49"/>
      <c r="E78" s="49"/>
      <c r="F78" s="49"/>
      <c r="G78" s="49"/>
      <c r="H78" s="77"/>
      <c r="I78" s="77"/>
      <c r="J78" s="77"/>
    </row>
    <row r="79" spans="1:10" x14ac:dyDescent="0.2">
      <c r="A79" s="72">
        <v>44094.958333333336</v>
      </c>
      <c r="B79">
        <f>B78+1</f>
        <v>77</v>
      </c>
      <c r="C79" s="49"/>
      <c r="D79" s="49"/>
      <c r="E79" s="49"/>
      <c r="F79" s="49"/>
      <c r="G79" s="49"/>
      <c r="H79" s="77"/>
      <c r="I79" s="77"/>
      <c r="J79" s="77"/>
    </row>
    <row r="80" spans="1:10" x14ac:dyDescent="0.2">
      <c r="A80" s="72">
        <v>44095.458333333336</v>
      </c>
      <c r="B80">
        <f>B79+1</f>
        <v>78</v>
      </c>
      <c r="C80" s="49"/>
      <c r="D80" s="49"/>
      <c r="E80" s="49"/>
      <c r="F80" s="49"/>
      <c r="G80" s="49"/>
      <c r="H80" s="77"/>
      <c r="I80" s="77"/>
      <c r="J80" s="77"/>
    </row>
    <row r="81" spans="1:10" x14ac:dyDescent="0.2">
      <c r="A81" s="72">
        <v>44095.958333333336</v>
      </c>
      <c r="B81">
        <f>B80+1</f>
        <v>79</v>
      </c>
      <c r="C81" s="49"/>
      <c r="D81" s="49"/>
      <c r="E81" s="49"/>
      <c r="F81" s="49"/>
      <c r="G81" s="49"/>
      <c r="H81" s="77"/>
      <c r="I81" s="77"/>
      <c r="J81" s="77"/>
    </row>
    <row r="82" spans="1:10" x14ac:dyDescent="0.2">
      <c r="A82" s="72">
        <v>44096.458333333336</v>
      </c>
      <c r="B82">
        <f>B81+1</f>
        <v>80</v>
      </c>
      <c r="C82" s="49"/>
      <c r="D82" s="49"/>
      <c r="E82" s="49"/>
      <c r="F82" s="49"/>
      <c r="G82" s="49"/>
      <c r="H82" s="77"/>
      <c r="I82" s="77"/>
      <c r="J82" s="77"/>
    </row>
    <row r="83" spans="1:10" x14ac:dyDescent="0.2">
      <c r="A83" s="72">
        <v>44096.958333333336</v>
      </c>
      <c r="B83">
        <f>B82+1</f>
        <v>81</v>
      </c>
      <c r="C83" s="49"/>
      <c r="D83" s="49"/>
      <c r="E83" s="49"/>
      <c r="F83" s="49"/>
      <c r="G83" s="49"/>
      <c r="H83" s="77"/>
      <c r="I83" s="77"/>
      <c r="J83" s="77"/>
    </row>
    <row r="84" spans="1:10" x14ac:dyDescent="0.2">
      <c r="A84" s="72">
        <v>44097.458333333336</v>
      </c>
      <c r="B84">
        <f>B83+1</f>
        <v>82</v>
      </c>
      <c r="C84" s="49"/>
      <c r="D84" s="49"/>
      <c r="E84" s="49"/>
      <c r="F84" s="49"/>
      <c r="G84" s="49"/>
      <c r="H84" s="77"/>
      <c r="I84" s="77"/>
      <c r="J84" s="77"/>
    </row>
    <row r="85" spans="1:10" x14ac:dyDescent="0.2">
      <c r="A85" s="72">
        <v>44097.958333333336</v>
      </c>
      <c r="B85">
        <f>B84+1</f>
        <v>83</v>
      </c>
      <c r="C85" s="49">
        <f>H85</f>
        <v>24.778732999999999</v>
      </c>
      <c r="D85" s="49">
        <f>I85</f>
        <v>0.17611199999999999</v>
      </c>
      <c r="E85" s="49">
        <f>J85</f>
        <v>-3.322076</v>
      </c>
      <c r="F85" s="49">
        <f>C85+D85*4</f>
        <v>25.483180999999998</v>
      </c>
      <c r="G85" s="49">
        <f>E85+D85</f>
        <v>-3.1459640000000002</v>
      </c>
      <c r="H85" s="74">
        <v>24.778732999999999</v>
      </c>
      <c r="I85" s="75">
        <v>0.17611199999999999</v>
      </c>
      <c r="J85" s="74">
        <v>-3.322076</v>
      </c>
    </row>
    <row r="86" spans="1:10" x14ac:dyDescent="0.2">
      <c r="A86" s="72">
        <v>44098.458333333336</v>
      </c>
      <c r="B86">
        <f>B85+1</f>
        <v>84</v>
      </c>
      <c r="C86" s="49">
        <f>H86</f>
        <v>24.643577000000001</v>
      </c>
      <c r="D86" s="49">
        <f>I86</f>
        <v>0.18172199999999999</v>
      </c>
      <c r="E86" s="49">
        <f>J86</f>
        <v>-3.1076589999999999</v>
      </c>
      <c r="F86" s="49">
        <f>C86+D86*4</f>
        <v>25.370464999999999</v>
      </c>
      <c r="G86" s="49">
        <f>E86+D86</f>
        <v>-2.9259369999999998</v>
      </c>
      <c r="H86" s="74">
        <v>24.643577000000001</v>
      </c>
      <c r="I86" s="75">
        <v>0.18172199999999999</v>
      </c>
      <c r="J86" s="74">
        <v>-3.1076589999999999</v>
      </c>
    </row>
    <row r="87" spans="1:10" x14ac:dyDescent="0.2">
      <c r="A87" s="72">
        <v>44098.958333333336</v>
      </c>
      <c r="B87">
        <f>B86+1</f>
        <v>85</v>
      </c>
      <c r="C87" s="49">
        <f>H87</f>
        <v>25.260508999999999</v>
      </c>
      <c r="D87" s="49">
        <f>I87</f>
        <v>0.182005</v>
      </c>
      <c r="E87" s="49">
        <f>J87</f>
        <v>-3.373783</v>
      </c>
      <c r="F87" s="49">
        <f>C87+D87*4</f>
        <v>25.988529</v>
      </c>
      <c r="G87" s="49">
        <f>E87+D87</f>
        <v>-3.1917779999999998</v>
      </c>
      <c r="H87" s="74">
        <v>25.260508999999999</v>
      </c>
      <c r="I87" s="75">
        <v>0.182005</v>
      </c>
      <c r="J87" s="74">
        <v>-3.373783</v>
      </c>
    </row>
    <row r="88" spans="1:10" x14ac:dyDescent="0.2">
      <c r="A88" s="72">
        <v>44099.458333333336</v>
      </c>
      <c r="B88">
        <f>B87+1</f>
        <v>86</v>
      </c>
      <c r="C88" s="49">
        <v>0</v>
      </c>
      <c r="D88" s="49">
        <f>I88</f>
        <v>0</v>
      </c>
      <c r="E88" s="49">
        <f>J88</f>
        <v>0</v>
      </c>
      <c r="F88" s="49">
        <f>C88+D88*4</f>
        <v>0</v>
      </c>
      <c r="G88" s="49">
        <f>E88+D88</f>
        <v>0</v>
      </c>
      <c r="H88" s="73" t="s">
        <v>80</v>
      </c>
      <c r="I88" s="73"/>
      <c r="J88" s="73"/>
    </row>
    <row r="89" spans="1:10" x14ac:dyDescent="0.2">
      <c r="A89" s="72">
        <v>44099.958333333336</v>
      </c>
      <c r="B89">
        <f>B88+1</f>
        <v>87</v>
      </c>
      <c r="C89" s="49">
        <f>H89</f>
        <v>25.635929000000001</v>
      </c>
      <c r="D89" s="49">
        <f>I89</f>
        <v>0.110272</v>
      </c>
      <c r="E89" s="49">
        <f>J89</f>
        <v>-3.414574</v>
      </c>
      <c r="F89" s="49">
        <f>C89+D89*4</f>
        <v>26.077017000000001</v>
      </c>
      <c r="G89" s="49">
        <f>E89+D89</f>
        <v>-3.3043019999999999</v>
      </c>
      <c r="H89" s="74">
        <v>25.635929000000001</v>
      </c>
      <c r="I89" s="75">
        <v>0.110272</v>
      </c>
      <c r="J89" s="74">
        <v>-3.414574</v>
      </c>
    </row>
    <row r="90" spans="1:10" x14ac:dyDescent="0.2">
      <c r="A90" s="72">
        <v>44100.458333333336</v>
      </c>
      <c r="B90">
        <f>B89+1</f>
        <v>88</v>
      </c>
      <c r="C90" s="49">
        <f>H90</f>
        <v>26.572005999999998</v>
      </c>
      <c r="D90" s="49">
        <f>I90</f>
        <v>8.8788000000000006E-2</v>
      </c>
      <c r="E90" s="49">
        <f>J90</f>
        <v>-3.3389250000000001</v>
      </c>
      <c r="F90" s="49">
        <f>C90+D90*4</f>
        <v>26.927157999999999</v>
      </c>
      <c r="G90" s="49">
        <f>E90+D90</f>
        <v>-3.2501370000000001</v>
      </c>
      <c r="H90" s="74">
        <v>26.572005999999998</v>
      </c>
      <c r="I90" s="75">
        <v>8.8788000000000006E-2</v>
      </c>
      <c r="J90" s="74">
        <v>-3.3389250000000001</v>
      </c>
    </row>
    <row r="91" spans="1:10" x14ac:dyDescent="0.2">
      <c r="A91" s="72">
        <v>44100.958333333336</v>
      </c>
      <c r="B91">
        <f>B90+1</f>
        <v>89</v>
      </c>
      <c r="C91" s="49">
        <f>H91</f>
        <v>26.408871999999999</v>
      </c>
      <c r="D91" s="49">
        <f>I91</f>
        <v>7.8072000000000003E-2</v>
      </c>
      <c r="E91" s="49">
        <f>J91</f>
        <v>-3.428598</v>
      </c>
      <c r="F91" s="49">
        <f>C91+D91*4</f>
        <v>26.721159999999998</v>
      </c>
      <c r="G91" s="49">
        <f>E91+D91</f>
        <v>-3.3505259999999999</v>
      </c>
      <c r="H91" s="74">
        <v>26.408871999999999</v>
      </c>
      <c r="I91" s="75">
        <v>7.8072000000000003E-2</v>
      </c>
      <c r="J91" s="74">
        <v>-3.428598</v>
      </c>
    </row>
    <row r="92" spans="1:10" x14ac:dyDescent="0.2">
      <c r="A92" s="72">
        <v>44101.458333333336</v>
      </c>
      <c r="B92">
        <f>B91+1</f>
        <v>90</v>
      </c>
      <c r="C92" s="49">
        <f>H92</f>
        <v>26.246704999999999</v>
      </c>
      <c r="D92" s="49">
        <f>I92</f>
        <v>8.3903000000000005E-2</v>
      </c>
      <c r="E92" s="49">
        <f>J92</f>
        <v>-3.5708340000000001</v>
      </c>
      <c r="F92" s="49">
        <f>C92+D92*4</f>
        <v>26.582317</v>
      </c>
      <c r="G92" s="49">
        <f>E92+D92</f>
        <v>-3.4869310000000002</v>
      </c>
      <c r="H92" s="74">
        <v>26.246704999999999</v>
      </c>
      <c r="I92" s="75">
        <v>8.3903000000000005E-2</v>
      </c>
      <c r="J92" s="74">
        <v>-3.5708340000000001</v>
      </c>
    </row>
    <row r="93" spans="1:10" x14ac:dyDescent="0.2">
      <c r="A93" s="72">
        <v>44101.958333333336</v>
      </c>
      <c r="B93">
        <f>B92+1</f>
        <v>91</v>
      </c>
      <c r="C93" s="49">
        <f>H93</f>
        <v>26.242726000000001</v>
      </c>
      <c r="D93" s="49">
        <f>I93</f>
        <v>9.5617999999999995E-2</v>
      </c>
      <c r="E93" s="49">
        <f>J93</f>
        <v>-3.4319030000000001</v>
      </c>
      <c r="F93" s="49">
        <f>C93+D93*4</f>
        <v>26.625198000000001</v>
      </c>
      <c r="G93" s="49">
        <f>E93+D93</f>
        <v>-3.3362850000000002</v>
      </c>
      <c r="H93" s="74">
        <v>26.242726000000001</v>
      </c>
      <c r="I93" s="75">
        <v>9.5617999999999995E-2</v>
      </c>
      <c r="J93" s="74">
        <v>-3.4319030000000001</v>
      </c>
    </row>
    <row r="94" spans="1:10" x14ac:dyDescent="0.2">
      <c r="A94" s="72">
        <v>44102.458333333336</v>
      </c>
      <c r="B94">
        <f>B93+1</f>
        <v>92</v>
      </c>
      <c r="C94" s="49">
        <f>H94</f>
        <v>25.955867999999999</v>
      </c>
      <c r="D94" s="49">
        <f>I94</f>
        <v>6.8604999999999999E-2</v>
      </c>
      <c r="E94" s="49">
        <f>J94</f>
        <v>-3.667138</v>
      </c>
      <c r="F94" s="49">
        <f>C94+D94*4</f>
        <v>26.230287999999998</v>
      </c>
      <c r="G94" s="49">
        <f>E94+D94</f>
        <v>-3.5985330000000002</v>
      </c>
      <c r="H94" s="74">
        <v>25.955867999999999</v>
      </c>
      <c r="I94" s="75">
        <v>6.8604999999999999E-2</v>
      </c>
      <c r="J94" s="74">
        <v>-3.667138</v>
      </c>
    </row>
    <row r="95" spans="1:10" x14ac:dyDescent="0.2">
      <c r="A95" s="72">
        <v>44102.958333333336</v>
      </c>
      <c r="B95">
        <f>B94+1</f>
        <v>93</v>
      </c>
      <c r="C95" s="49">
        <f>H95</f>
        <v>25.963616999999999</v>
      </c>
      <c r="D95" s="49">
        <f>I95</f>
        <v>6.3775999999999999E-2</v>
      </c>
      <c r="E95" s="49">
        <f>J95</f>
        <v>-3.707986</v>
      </c>
      <c r="F95" s="49">
        <f>C95+D95*4</f>
        <v>26.218720999999999</v>
      </c>
      <c r="G95" s="49">
        <f>E95+D95</f>
        <v>-3.6442100000000002</v>
      </c>
      <c r="H95" s="74">
        <v>25.963616999999999</v>
      </c>
      <c r="I95" s="75">
        <v>6.3775999999999999E-2</v>
      </c>
      <c r="J95" s="74">
        <v>-3.707986</v>
      </c>
    </row>
    <row r="96" spans="1:10" x14ac:dyDescent="0.2">
      <c r="A96" s="72">
        <v>44103.458333333336</v>
      </c>
      <c r="B96">
        <f>B95+1</f>
        <v>94</v>
      </c>
      <c r="C96" s="49">
        <f>H96</f>
        <v>25.743096000000001</v>
      </c>
      <c r="D96" s="49">
        <f>I96</f>
        <v>6.9270999999999999E-2</v>
      </c>
      <c r="E96" s="49">
        <f>J96</f>
        <v>-4.1830239999999996</v>
      </c>
      <c r="F96" s="49">
        <f>C96+D96*4</f>
        <v>26.02018</v>
      </c>
      <c r="G96" s="49">
        <f>E96+D96</f>
        <v>-4.113753</v>
      </c>
      <c r="H96" s="74">
        <v>25.743096000000001</v>
      </c>
      <c r="I96" s="75">
        <v>6.9270999999999999E-2</v>
      </c>
      <c r="J96" s="74">
        <v>-4.1830239999999996</v>
      </c>
    </row>
    <row r="97" spans="1:11" x14ac:dyDescent="0.2">
      <c r="A97" s="72">
        <v>44103.958333333336</v>
      </c>
      <c r="B97">
        <f>B96+1</f>
        <v>95</v>
      </c>
      <c r="C97" s="49">
        <f>H97</f>
        <v>25.714040000000001</v>
      </c>
      <c r="D97" s="49">
        <f>I97</f>
        <v>6.9393999999999997E-2</v>
      </c>
      <c r="E97" s="49">
        <f>J97</f>
        <v>-3.8044709999999999</v>
      </c>
      <c r="F97" s="49">
        <f>C97+D97*4</f>
        <v>25.991616</v>
      </c>
      <c r="G97" s="49">
        <f>E97+D97</f>
        <v>-3.735077</v>
      </c>
      <c r="H97" s="74">
        <v>25.714040000000001</v>
      </c>
      <c r="I97" s="75">
        <v>6.9393999999999997E-2</v>
      </c>
      <c r="J97" s="74">
        <v>-3.8044709999999999</v>
      </c>
    </row>
    <row r="98" spans="1:11" x14ac:dyDescent="0.2">
      <c r="A98" s="72">
        <v>44104.458333333336</v>
      </c>
      <c r="B98">
        <f>B97+1</f>
        <v>96</v>
      </c>
      <c r="C98" s="49">
        <f>H98</f>
        <v>27.173714</v>
      </c>
      <c r="D98" s="49">
        <f>I98</f>
        <v>0.11947000000000001</v>
      </c>
      <c r="E98" s="49">
        <f>J98</f>
        <v>-4.793971</v>
      </c>
      <c r="F98" s="49">
        <f>C98+D98*4</f>
        <v>27.651593999999999</v>
      </c>
      <c r="G98" s="49">
        <f>E98+D98</f>
        <v>-4.6745010000000002</v>
      </c>
      <c r="H98" s="74">
        <v>27.173714</v>
      </c>
      <c r="I98" s="75">
        <v>0.11947000000000001</v>
      </c>
      <c r="J98" s="74">
        <v>-4.793971</v>
      </c>
      <c r="K98" t="s">
        <v>81</v>
      </c>
    </row>
    <row r="99" spans="1:11" x14ac:dyDescent="0.2">
      <c r="A99" s="72">
        <v>44104.958333333336</v>
      </c>
      <c r="B99">
        <f>B98+1</f>
        <v>97</v>
      </c>
      <c r="C99" s="49">
        <f>H99</f>
        <v>28.135321000000001</v>
      </c>
      <c r="D99" s="49">
        <f>I99</f>
        <v>0.129524</v>
      </c>
      <c r="E99" s="49">
        <f>J99</f>
        <v>-4.1129300000000004</v>
      </c>
      <c r="F99" s="49">
        <f>C99+D99*4</f>
        <v>28.653417000000001</v>
      </c>
      <c r="G99" s="49">
        <f>E99+D99</f>
        <v>-3.9834060000000004</v>
      </c>
      <c r="H99" s="74">
        <v>28.135321000000001</v>
      </c>
      <c r="I99" s="75">
        <v>0.129524</v>
      </c>
      <c r="J99" s="74">
        <v>-4.1129300000000004</v>
      </c>
    </row>
    <row r="100" spans="1:11" x14ac:dyDescent="0.2">
      <c r="A100" s="72">
        <v>44105.458333333336</v>
      </c>
      <c r="B100">
        <f>B99+1</f>
        <v>98</v>
      </c>
      <c r="C100" s="49">
        <v>0</v>
      </c>
      <c r="D100" s="49">
        <f>I100</f>
        <v>0</v>
      </c>
      <c r="E100" s="49">
        <f>J100</f>
        <v>0</v>
      </c>
      <c r="F100" s="49">
        <f>C100+D100*4</f>
        <v>0</v>
      </c>
      <c r="G100" s="49">
        <f>E100+D100</f>
        <v>0</v>
      </c>
      <c r="H100" s="73" t="s">
        <v>80</v>
      </c>
      <c r="I100" s="73"/>
      <c r="J100" s="73"/>
    </row>
    <row r="101" spans="1:11" x14ac:dyDescent="0.2">
      <c r="A101" s="72">
        <v>44105.958333333336</v>
      </c>
      <c r="B101">
        <f>B100+1</f>
        <v>99</v>
      </c>
      <c r="C101" s="49">
        <f>H101</f>
        <v>18.702559999999998</v>
      </c>
      <c r="D101" s="49">
        <f>I101</f>
        <v>0.28848800000000002</v>
      </c>
      <c r="E101" s="49">
        <f>J101</f>
        <v>-3.1706279999999998</v>
      </c>
      <c r="F101" s="49">
        <f>C101+D101*4</f>
        <v>19.856511999999999</v>
      </c>
      <c r="G101" s="49">
        <f>E101+D101</f>
        <v>-2.8821399999999997</v>
      </c>
      <c r="H101" s="74">
        <v>18.702559999999998</v>
      </c>
      <c r="I101" s="75">
        <v>0.28848800000000002</v>
      </c>
      <c r="J101" s="74">
        <v>-3.1706279999999998</v>
      </c>
      <c r="K101" t="s">
        <v>82</v>
      </c>
    </row>
    <row r="102" spans="1:11" x14ac:dyDescent="0.2">
      <c r="A102" s="72">
        <v>44106.458333333336</v>
      </c>
      <c r="B102">
        <f>B101+1</f>
        <v>100</v>
      </c>
      <c r="C102" s="49">
        <f>H102</f>
        <v>18.476664</v>
      </c>
      <c r="D102" s="49">
        <f>I102</f>
        <v>0.29678199999999999</v>
      </c>
      <c r="E102" s="49">
        <f>J102</f>
        <v>-3.0445250000000001</v>
      </c>
      <c r="F102" s="49">
        <f>C102+D102*4</f>
        <v>19.663792000000001</v>
      </c>
      <c r="G102" s="49">
        <f>E102+D102</f>
        <v>-2.7477430000000003</v>
      </c>
      <c r="H102" s="74">
        <v>18.476664</v>
      </c>
      <c r="I102" s="75">
        <v>0.29678199999999999</v>
      </c>
      <c r="J102" s="74">
        <v>-3.0445250000000001</v>
      </c>
    </row>
    <row r="103" spans="1:11" x14ac:dyDescent="0.2">
      <c r="A103" s="72">
        <v>44106.958333333336</v>
      </c>
      <c r="B103">
        <f>B102+1</f>
        <v>101</v>
      </c>
      <c r="C103" s="49">
        <f>H103</f>
        <v>18.951086</v>
      </c>
      <c r="D103" s="49">
        <f>I103</f>
        <v>0.31095400000000001</v>
      </c>
      <c r="E103" s="49">
        <f>J103</f>
        <v>-3.1408260000000001</v>
      </c>
      <c r="F103" s="49">
        <f>C103+D103*4</f>
        <v>20.194901999999999</v>
      </c>
      <c r="G103" s="49">
        <f>E103+D103</f>
        <v>-2.8298719999999999</v>
      </c>
      <c r="H103" s="74">
        <v>18.951086</v>
      </c>
      <c r="I103" s="75">
        <v>0.31095400000000001</v>
      </c>
      <c r="J103" s="74">
        <v>-3.1408260000000001</v>
      </c>
    </row>
    <row r="104" spans="1:11" x14ac:dyDescent="0.2">
      <c r="A104" s="72">
        <v>44107.458333333336</v>
      </c>
      <c r="B104">
        <f>B103+1</f>
        <v>102</v>
      </c>
      <c r="C104" s="49">
        <f>H104</f>
        <v>20.359385</v>
      </c>
      <c r="D104" s="49">
        <f>I104</f>
        <v>0.30726700000000001</v>
      </c>
      <c r="E104" s="49">
        <f>J104</f>
        <v>-3.1893470000000002</v>
      </c>
      <c r="F104" s="49">
        <f>C104+D104*4</f>
        <v>21.588453000000001</v>
      </c>
      <c r="G104" s="49">
        <f>E104+D104</f>
        <v>-2.8820800000000002</v>
      </c>
      <c r="H104" s="74">
        <v>20.359385</v>
      </c>
      <c r="I104" s="75">
        <v>0.30726700000000001</v>
      </c>
      <c r="J104" s="74">
        <v>-3.1893470000000002</v>
      </c>
    </row>
    <row r="105" spans="1:11" x14ac:dyDescent="0.2">
      <c r="A105" s="72">
        <v>44107.958333333336</v>
      </c>
      <c r="B105">
        <f>B104+1</f>
        <v>103</v>
      </c>
      <c r="C105" s="49">
        <f>H105</f>
        <v>20.245899000000001</v>
      </c>
      <c r="D105" s="49">
        <f>I105</f>
        <v>0.31219599999999997</v>
      </c>
      <c r="E105" s="49">
        <f>J105</f>
        <v>-3.26179</v>
      </c>
      <c r="F105" s="49">
        <f>C105+D105*4</f>
        <v>21.494683000000002</v>
      </c>
      <c r="G105" s="49">
        <f>E105+D105</f>
        <v>-2.9495939999999998</v>
      </c>
      <c r="H105" s="74">
        <v>20.245899000000001</v>
      </c>
      <c r="I105" s="75">
        <v>0.31219599999999997</v>
      </c>
      <c r="J105" s="74">
        <v>-3.26179</v>
      </c>
    </row>
    <row r="106" spans="1:11" x14ac:dyDescent="0.2">
      <c r="A106" s="72">
        <v>44108.458333333336</v>
      </c>
      <c r="B106">
        <f>B105+1</f>
        <v>104</v>
      </c>
      <c r="C106" s="49">
        <f>H106</f>
        <v>19.999521999999999</v>
      </c>
      <c r="D106" s="49">
        <f>I106</f>
        <v>0.306703</v>
      </c>
      <c r="E106" s="49">
        <f>J106</f>
        <v>-3.2620719999999999</v>
      </c>
      <c r="F106" s="49">
        <f>C106+D106*4</f>
        <v>21.226333999999998</v>
      </c>
      <c r="G106" s="49">
        <f>E106+D106</f>
        <v>-2.9553689999999997</v>
      </c>
      <c r="H106" s="74">
        <v>19.999521999999999</v>
      </c>
      <c r="I106" s="75">
        <v>0.306703</v>
      </c>
      <c r="J106" s="74">
        <v>-3.2620719999999999</v>
      </c>
    </row>
    <row r="107" spans="1:11" x14ac:dyDescent="0.2">
      <c r="A107" s="72">
        <v>44108.958333333336</v>
      </c>
      <c r="B107">
        <f>B106+1</f>
        <v>105</v>
      </c>
      <c r="C107" s="49">
        <f>H107</f>
        <v>20.409784999999999</v>
      </c>
      <c r="D107" s="49">
        <f>I107</f>
        <v>0.30431200000000003</v>
      </c>
      <c r="E107" s="49">
        <f>J107</f>
        <v>-3.197241</v>
      </c>
      <c r="F107" s="49">
        <f>C107+D107*4</f>
        <v>21.627033000000001</v>
      </c>
      <c r="G107" s="49">
        <f>E107+D107</f>
        <v>-2.8929290000000001</v>
      </c>
      <c r="H107" s="74">
        <v>20.409784999999999</v>
      </c>
      <c r="I107" s="75">
        <v>0.30431200000000003</v>
      </c>
      <c r="J107" s="74">
        <v>-3.197241</v>
      </c>
    </row>
  </sheetData>
  <mergeCells count="10">
    <mergeCell ref="H10:J10"/>
    <mergeCell ref="H24:J24"/>
    <mergeCell ref="C1:E1"/>
    <mergeCell ref="H1:J1"/>
    <mergeCell ref="H46:J46"/>
    <mergeCell ref="H56:J56"/>
    <mergeCell ref="H72:J72"/>
    <mergeCell ref="H74:J84"/>
    <mergeCell ref="H88:J88"/>
    <mergeCell ref="H100:J10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71F82-24DF-084E-B523-69747EC9FB3B}">
  <dimension ref="A1:N101"/>
  <sheetViews>
    <sheetView workbookViewId="0">
      <selection activeCell="N19" sqref="N19"/>
    </sheetView>
  </sheetViews>
  <sheetFormatPr baseColWidth="10" defaultRowHeight="16" x14ac:dyDescent="0.2"/>
  <cols>
    <col min="1" max="1" width="22.5" bestFit="1" customWidth="1"/>
    <col min="11" max="11" width="62.5" bestFit="1" customWidth="1"/>
  </cols>
  <sheetData>
    <row r="1" spans="1:14" x14ac:dyDescent="0.2">
      <c r="C1" s="68" t="s">
        <v>69</v>
      </c>
      <c r="D1" s="68"/>
      <c r="E1" s="68"/>
      <c r="F1" s="69"/>
      <c r="G1" s="69"/>
      <c r="H1" s="70" t="s">
        <v>70</v>
      </c>
      <c r="I1" s="68"/>
      <c r="J1" s="68"/>
    </row>
    <row r="2" spans="1:14" x14ac:dyDescent="0.2">
      <c r="A2" t="s">
        <v>71</v>
      </c>
      <c r="B2" t="s">
        <v>72</v>
      </c>
      <c r="C2" t="s">
        <v>40</v>
      </c>
      <c r="D2" t="s">
        <v>77</v>
      </c>
      <c r="E2" t="s">
        <v>78</v>
      </c>
      <c r="F2" t="s">
        <v>13</v>
      </c>
      <c r="G2" t="s">
        <v>76</v>
      </c>
      <c r="H2" t="s">
        <v>40</v>
      </c>
      <c r="I2" t="s">
        <v>77</v>
      </c>
      <c r="J2" t="s">
        <v>78</v>
      </c>
      <c r="K2" t="s">
        <v>79</v>
      </c>
      <c r="L2" t="s">
        <v>83</v>
      </c>
    </row>
    <row r="3" spans="1:14" x14ac:dyDescent="0.2">
      <c r="A3" s="72">
        <v>44056.979166666664</v>
      </c>
      <c r="B3">
        <v>1</v>
      </c>
      <c r="C3" s="49">
        <f>H3</f>
        <v>4.6611479999999998</v>
      </c>
      <c r="D3" s="49">
        <f>I3</f>
        <v>0</v>
      </c>
      <c r="E3" s="49">
        <f>J3</f>
        <v>0</v>
      </c>
      <c r="F3" s="49">
        <f>C3+D3*4</f>
        <v>4.6611479999999998</v>
      </c>
      <c r="G3" s="49">
        <f>E3+D3</f>
        <v>0</v>
      </c>
      <c r="H3" s="74">
        <v>4.6611479999999998</v>
      </c>
      <c r="L3">
        <f>F3*$N$4</f>
        <v>5.6864005107296141</v>
      </c>
      <c r="N3" t="s">
        <v>93</v>
      </c>
    </row>
    <row r="4" spans="1:14" x14ac:dyDescent="0.2">
      <c r="A4" s="72">
        <v>44057.447916666664</v>
      </c>
      <c r="B4">
        <v>2</v>
      </c>
      <c r="C4" s="49">
        <f t="shared" ref="C4:E29" si="0">H4</f>
        <v>3.4681790000000001</v>
      </c>
      <c r="D4" s="49">
        <f t="shared" si="0"/>
        <v>0.20095099999999999</v>
      </c>
      <c r="E4" s="49">
        <f t="shared" si="0"/>
        <v>-0.79961000000000004</v>
      </c>
      <c r="F4" s="49">
        <f t="shared" ref="F4:F67" si="1">C4+D4*4</f>
        <v>4.2719830000000005</v>
      </c>
      <c r="G4" s="49">
        <f t="shared" ref="G4:G67" si="2">E4+D4</f>
        <v>-0.59865900000000005</v>
      </c>
      <c r="H4" s="74">
        <v>3.4681790000000001</v>
      </c>
      <c r="I4" s="75">
        <v>0.20095099999999999</v>
      </c>
      <c r="J4" s="75">
        <v>-0.79961000000000004</v>
      </c>
      <c r="L4">
        <f>F4*$N$4</f>
        <v>5.21163591309013</v>
      </c>
      <c r="N4">
        <f>56.85/46.6</f>
        <v>1.2199570815450644</v>
      </c>
    </row>
    <row r="5" spans="1:14" x14ac:dyDescent="0.2">
      <c r="A5" s="72">
        <v>44057.947916666664</v>
      </c>
      <c r="B5">
        <v>3</v>
      </c>
      <c r="C5" s="49">
        <f t="shared" si="0"/>
        <v>3.352951</v>
      </c>
      <c r="D5" s="49">
        <f t="shared" si="0"/>
        <v>0.19321199999999999</v>
      </c>
      <c r="E5" s="49">
        <f t="shared" si="0"/>
        <v>-0.68760699999999997</v>
      </c>
      <c r="F5" s="49">
        <f t="shared" si="1"/>
        <v>4.1257989999999998</v>
      </c>
      <c r="G5" s="49">
        <f t="shared" si="2"/>
        <v>-0.49439499999999997</v>
      </c>
      <c r="H5" s="74">
        <v>3.352951</v>
      </c>
      <c r="I5" s="75">
        <v>0.19321199999999999</v>
      </c>
      <c r="J5" s="75">
        <v>-0.68760699999999997</v>
      </c>
      <c r="L5">
        <f>F5*$N$4</f>
        <v>5.0332977070815454</v>
      </c>
    </row>
    <row r="6" spans="1:14" x14ac:dyDescent="0.2">
      <c r="A6" s="72">
        <v>44058.447916608799</v>
      </c>
      <c r="B6">
        <v>4</v>
      </c>
      <c r="C6" s="49">
        <f t="shared" si="0"/>
        <v>3.9754679999999998</v>
      </c>
      <c r="D6" s="49">
        <f t="shared" si="0"/>
        <v>0.19028999999999999</v>
      </c>
      <c r="E6" s="49">
        <f t="shared" si="0"/>
        <v>-0.70910600000000001</v>
      </c>
      <c r="F6" s="49">
        <f t="shared" si="1"/>
        <v>4.7366279999999996</v>
      </c>
      <c r="G6" s="49">
        <f t="shared" si="2"/>
        <v>-0.51881600000000005</v>
      </c>
      <c r="H6" s="74">
        <v>3.9754679999999998</v>
      </c>
      <c r="I6" s="75">
        <v>0.19028999999999999</v>
      </c>
      <c r="J6" s="75">
        <v>-0.70910600000000001</v>
      </c>
      <c r="L6">
        <f>F6*$N$4</f>
        <v>5.778482871244635</v>
      </c>
    </row>
    <row r="7" spans="1:14" x14ac:dyDescent="0.2">
      <c r="A7" s="72">
        <v>44058.947916608799</v>
      </c>
      <c r="B7">
        <v>5</v>
      </c>
      <c r="C7" s="49">
        <f t="shared" si="0"/>
        <v>4.6830210000000001</v>
      </c>
      <c r="D7" s="49">
        <f t="shared" si="0"/>
        <v>0.19118499999999999</v>
      </c>
      <c r="E7" s="49">
        <f t="shared" si="0"/>
        <v>-0.73177599999999998</v>
      </c>
      <c r="F7" s="49">
        <f t="shared" si="1"/>
        <v>5.4477609999999999</v>
      </c>
      <c r="G7" s="49">
        <f t="shared" si="2"/>
        <v>-0.54059100000000004</v>
      </c>
      <c r="H7" s="74">
        <v>4.6830210000000001</v>
      </c>
      <c r="I7" s="75">
        <v>0.19118499999999999</v>
      </c>
      <c r="J7" s="75">
        <v>-0.73177599999999998</v>
      </c>
      <c r="L7">
        <f>F7*$N$4</f>
        <v>6.6460346105150219</v>
      </c>
    </row>
    <row r="8" spans="1:14" x14ac:dyDescent="0.2">
      <c r="A8" s="72">
        <v>44059.447916608799</v>
      </c>
      <c r="B8">
        <v>6</v>
      </c>
      <c r="C8" s="49">
        <f t="shared" si="0"/>
        <v>5.0059829999999996</v>
      </c>
      <c r="D8" s="49">
        <f t="shared" si="0"/>
        <v>0.18848799999999999</v>
      </c>
      <c r="E8" s="49">
        <f t="shared" si="0"/>
        <v>-0.76804600000000001</v>
      </c>
      <c r="F8" s="49">
        <f t="shared" si="1"/>
        <v>5.7599349999999996</v>
      </c>
      <c r="G8" s="49">
        <f t="shared" si="2"/>
        <v>-0.57955800000000002</v>
      </c>
      <c r="H8" s="74">
        <v>5.0059829999999996</v>
      </c>
      <c r="I8" s="75">
        <v>0.18848799999999999</v>
      </c>
      <c r="J8" s="75">
        <v>-0.76804600000000001</v>
      </c>
      <c r="L8">
        <f>F8*$N$4</f>
        <v>7.02687349248927</v>
      </c>
    </row>
    <row r="9" spans="1:14" x14ac:dyDescent="0.2">
      <c r="A9" s="72">
        <v>44059.947916608799</v>
      </c>
      <c r="B9">
        <v>7</v>
      </c>
      <c r="C9" s="49">
        <f t="shared" si="0"/>
        <v>5.1980320000000004</v>
      </c>
      <c r="D9" s="49">
        <f t="shared" si="0"/>
        <v>0.18362100000000001</v>
      </c>
      <c r="E9" s="49">
        <f t="shared" si="0"/>
        <v>-0.78002700000000003</v>
      </c>
      <c r="F9" s="49">
        <f t="shared" si="1"/>
        <v>5.9325160000000006</v>
      </c>
      <c r="G9" s="49">
        <f t="shared" si="2"/>
        <v>-0.59640599999999999</v>
      </c>
      <c r="H9" s="74">
        <v>5.1980320000000004</v>
      </c>
      <c r="I9" s="75">
        <v>0.18362100000000001</v>
      </c>
      <c r="J9" s="75">
        <v>-0.78002700000000003</v>
      </c>
      <c r="L9">
        <f>F9*$N$4</f>
        <v>7.2374149055794001</v>
      </c>
    </row>
    <row r="10" spans="1:14" x14ac:dyDescent="0.2">
      <c r="A10" s="72">
        <v>44060.447916608799</v>
      </c>
      <c r="B10">
        <v>8</v>
      </c>
      <c r="C10" s="49">
        <f t="shared" si="0"/>
        <v>7.6038249999999996</v>
      </c>
      <c r="D10" s="49">
        <f t="shared" si="0"/>
        <v>0.16558600000000001</v>
      </c>
      <c r="E10" s="49">
        <f t="shared" si="0"/>
        <v>-0.92768899999999999</v>
      </c>
      <c r="F10" s="49">
        <f t="shared" si="1"/>
        <v>8.2661689999999997</v>
      </c>
      <c r="G10" s="49">
        <f t="shared" si="2"/>
        <v>-0.76210299999999997</v>
      </c>
      <c r="H10" s="74">
        <v>7.6038249999999996</v>
      </c>
      <c r="I10" s="75">
        <v>0.16558600000000001</v>
      </c>
      <c r="J10" s="75">
        <v>-0.92768899999999999</v>
      </c>
      <c r="L10">
        <f>F10*$N$4</f>
        <v>10.084371408798283</v>
      </c>
    </row>
    <row r="11" spans="1:14" x14ac:dyDescent="0.2">
      <c r="A11" s="72">
        <v>44060.947916608799</v>
      </c>
      <c r="B11">
        <v>9</v>
      </c>
      <c r="C11" s="49">
        <f t="shared" si="0"/>
        <v>5.9509509999999999</v>
      </c>
      <c r="D11" s="49">
        <f t="shared" si="0"/>
        <v>0.149254</v>
      </c>
      <c r="E11" s="49">
        <f t="shared" si="0"/>
        <v>-0.81571300000000002</v>
      </c>
      <c r="F11" s="49">
        <f t="shared" si="1"/>
        <v>6.5479669999999999</v>
      </c>
      <c r="G11" s="49">
        <f t="shared" si="2"/>
        <v>-0.66645900000000002</v>
      </c>
      <c r="H11" s="74">
        <v>5.9509509999999999</v>
      </c>
      <c r="I11" s="75">
        <v>0.149254</v>
      </c>
      <c r="J11" s="75">
        <v>-0.81571300000000002</v>
      </c>
      <c r="L11">
        <f>F11*$N$4</f>
        <v>7.9882387113733904</v>
      </c>
    </row>
    <row r="12" spans="1:14" x14ac:dyDescent="0.2">
      <c r="A12" s="72">
        <v>44061.447916608799</v>
      </c>
      <c r="B12">
        <v>10</v>
      </c>
      <c r="C12" s="49">
        <f t="shared" si="0"/>
        <v>4.6436250000000001</v>
      </c>
      <c r="D12" s="49">
        <f t="shared" si="0"/>
        <v>0.151144</v>
      </c>
      <c r="E12" s="49">
        <f t="shared" si="0"/>
        <v>-0.75113200000000002</v>
      </c>
      <c r="F12" s="49">
        <f t="shared" si="1"/>
        <v>5.2482009999999999</v>
      </c>
      <c r="G12" s="49">
        <f t="shared" si="2"/>
        <v>-0.59998799999999997</v>
      </c>
      <c r="H12" s="74">
        <v>4.6436250000000001</v>
      </c>
      <c r="I12" s="75">
        <v>0.151144</v>
      </c>
      <c r="J12" s="75">
        <v>-0.75113200000000002</v>
      </c>
      <c r="L12">
        <f>F12*$N$4</f>
        <v>6.4025799753218884</v>
      </c>
    </row>
    <row r="13" spans="1:14" x14ac:dyDescent="0.2">
      <c r="A13" s="72">
        <v>44061.947916608799</v>
      </c>
      <c r="B13">
        <v>11</v>
      </c>
      <c r="C13" s="49">
        <f t="shared" si="0"/>
        <v>4.9874619999999998</v>
      </c>
      <c r="D13" s="49">
        <f t="shared" si="0"/>
        <v>0.15903200000000001</v>
      </c>
      <c r="E13" s="49">
        <f t="shared" si="0"/>
        <v>-0.82112499999999999</v>
      </c>
      <c r="F13" s="49">
        <f t="shared" si="1"/>
        <v>5.6235900000000001</v>
      </c>
      <c r="G13" s="49">
        <f t="shared" si="2"/>
        <v>-0.66209300000000004</v>
      </c>
      <c r="H13" s="74">
        <v>4.9874619999999998</v>
      </c>
      <c r="I13" s="75">
        <v>0.15903200000000001</v>
      </c>
      <c r="J13" s="75">
        <v>-0.82112499999999999</v>
      </c>
      <c r="L13">
        <f>F13*$N$4</f>
        <v>6.8605384442060089</v>
      </c>
    </row>
    <row r="14" spans="1:14" x14ac:dyDescent="0.2">
      <c r="A14" s="72">
        <v>44062.447916608799</v>
      </c>
      <c r="B14">
        <v>12</v>
      </c>
      <c r="C14" s="49">
        <f t="shared" si="0"/>
        <v>5.4580690000000001</v>
      </c>
      <c r="D14" s="49">
        <f t="shared" si="0"/>
        <v>0.16636699999999999</v>
      </c>
      <c r="E14" s="49">
        <f t="shared" si="0"/>
        <v>-0.87615900000000002</v>
      </c>
      <c r="F14" s="49">
        <f t="shared" si="1"/>
        <v>6.1235369999999998</v>
      </c>
      <c r="G14" s="49">
        <f t="shared" si="2"/>
        <v>-0.70979199999999998</v>
      </c>
      <c r="H14" s="74">
        <v>5.4580690000000001</v>
      </c>
      <c r="I14" s="75">
        <v>0.16636699999999999</v>
      </c>
      <c r="J14" s="75">
        <v>-0.87615900000000002</v>
      </c>
      <c r="L14">
        <f>F14*$N$4</f>
        <v>7.4704523272532191</v>
      </c>
    </row>
    <row r="15" spans="1:14" x14ac:dyDescent="0.2">
      <c r="A15" s="72">
        <v>44062.947916608799</v>
      </c>
      <c r="B15">
        <v>13</v>
      </c>
      <c r="C15" s="49">
        <f t="shared" si="0"/>
        <v>6.0300929999999999</v>
      </c>
      <c r="D15" s="49">
        <f t="shared" si="0"/>
        <v>0.166494</v>
      </c>
      <c r="E15" s="49">
        <f t="shared" si="0"/>
        <v>-0.99830200000000002</v>
      </c>
      <c r="F15" s="49">
        <f t="shared" si="1"/>
        <v>6.6960689999999996</v>
      </c>
      <c r="G15" s="49">
        <f t="shared" si="2"/>
        <v>-0.83180799999999999</v>
      </c>
      <c r="H15" s="74">
        <v>6.0300929999999999</v>
      </c>
      <c r="I15" s="75">
        <v>0.166494</v>
      </c>
      <c r="J15" s="75">
        <v>-0.99830200000000002</v>
      </c>
      <c r="L15">
        <f>F15*$N$4</f>
        <v>8.1689167950643782</v>
      </c>
    </row>
    <row r="16" spans="1:14" x14ac:dyDescent="0.2">
      <c r="A16" s="72">
        <v>44063.447916608799</v>
      </c>
      <c r="B16">
        <v>14</v>
      </c>
      <c r="C16" s="49">
        <f t="shared" si="0"/>
        <v>6.1274249999999997</v>
      </c>
      <c r="D16" s="49">
        <f t="shared" si="0"/>
        <v>0.168576</v>
      </c>
      <c r="E16" s="49">
        <f t="shared" si="0"/>
        <v>-0.94397200000000003</v>
      </c>
      <c r="F16" s="49">
        <f t="shared" si="1"/>
        <v>6.8017289999999999</v>
      </c>
      <c r="G16" s="49">
        <f t="shared" si="2"/>
        <v>-0.77539599999999997</v>
      </c>
      <c r="H16" s="74">
        <v>6.1274249999999997</v>
      </c>
      <c r="I16" s="75">
        <v>0.168576</v>
      </c>
      <c r="J16" s="75">
        <v>-0.94397200000000003</v>
      </c>
      <c r="L16">
        <f>F16*$N$4</f>
        <v>8.2978174603004291</v>
      </c>
    </row>
    <row r="17" spans="1:12" x14ac:dyDescent="0.2">
      <c r="A17" s="72">
        <v>44063.947916608799</v>
      </c>
      <c r="B17">
        <v>15</v>
      </c>
      <c r="C17" s="49">
        <f t="shared" si="0"/>
        <v>6.2716890000000003</v>
      </c>
      <c r="D17" s="49">
        <f t="shared" si="0"/>
        <v>0.16475100000000001</v>
      </c>
      <c r="E17" s="49">
        <f t="shared" si="0"/>
        <v>-0.94087299999999996</v>
      </c>
      <c r="F17" s="49">
        <f t="shared" si="1"/>
        <v>6.9306930000000007</v>
      </c>
      <c r="G17" s="49">
        <f t="shared" si="2"/>
        <v>-0.77612199999999998</v>
      </c>
      <c r="H17" s="74">
        <v>6.2716890000000003</v>
      </c>
      <c r="I17" s="75">
        <v>0.16475100000000001</v>
      </c>
      <c r="J17" s="75">
        <v>-0.94087299999999996</v>
      </c>
      <c r="L17">
        <f>F17*$N$4</f>
        <v>8.4551480053648085</v>
      </c>
    </row>
    <row r="18" spans="1:12" x14ac:dyDescent="0.2">
      <c r="A18" s="72">
        <v>44064.447916608799</v>
      </c>
      <c r="B18">
        <v>16</v>
      </c>
      <c r="C18" s="49">
        <f t="shared" si="0"/>
        <v>6.492375</v>
      </c>
      <c r="D18" s="49">
        <f t="shared" si="0"/>
        <v>0.16472000000000001</v>
      </c>
      <c r="E18" s="49">
        <f t="shared" si="0"/>
        <v>-0.93688400000000005</v>
      </c>
      <c r="F18" s="49">
        <f t="shared" si="1"/>
        <v>7.1512549999999999</v>
      </c>
      <c r="G18" s="49">
        <f t="shared" si="2"/>
        <v>-0.77216400000000007</v>
      </c>
      <c r="H18" s="74">
        <v>6.492375</v>
      </c>
      <c r="I18" s="75">
        <v>0.16472000000000001</v>
      </c>
      <c r="J18" s="75">
        <v>-0.93688400000000005</v>
      </c>
      <c r="L18">
        <f>F18*$N$4</f>
        <v>8.7242241791845494</v>
      </c>
    </row>
    <row r="19" spans="1:12" x14ac:dyDescent="0.2">
      <c r="A19" s="72">
        <v>44064.947916608799</v>
      </c>
      <c r="B19">
        <v>17</v>
      </c>
      <c r="C19" s="49">
        <f t="shared" si="0"/>
        <v>6.9606260000000004</v>
      </c>
      <c r="D19" s="49">
        <f t="shared" si="0"/>
        <v>0.16880899999999999</v>
      </c>
      <c r="E19" s="49">
        <f t="shared" si="0"/>
        <v>-1.018856</v>
      </c>
      <c r="F19" s="49">
        <f t="shared" si="1"/>
        <v>7.6358620000000004</v>
      </c>
      <c r="G19" s="49">
        <f t="shared" si="2"/>
        <v>-0.850047</v>
      </c>
      <c r="H19" s="74">
        <v>6.9606260000000004</v>
      </c>
      <c r="I19" s="75">
        <v>0.16880899999999999</v>
      </c>
      <c r="J19" s="74">
        <v>-1.018856</v>
      </c>
      <c r="L19">
        <f>F19*$N$4</f>
        <v>9.3154239206008587</v>
      </c>
    </row>
    <row r="20" spans="1:12" x14ac:dyDescent="0.2">
      <c r="A20" s="72">
        <v>44065.447916608799</v>
      </c>
      <c r="B20">
        <v>18</v>
      </c>
      <c r="C20" s="49">
        <f t="shared" si="0"/>
        <v>7.2106019999999997</v>
      </c>
      <c r="D20" s="49">
        <f t="shared" si="0"/>
        <v>0.171233</v>
      </c>
      <c r="E20" s="49">
        <f t="shared" si="0"/>
        <v>-0.94945999999999997</v>
      </c>
      <c r="F20" s="49">
        <f t="shared" si="1"/>
        <v>7.8955339999999996</v>
      </c>
      <c r="G20" s="49">
        <f t="shared" si="2"/>
        <v>-0.778227</v>
      </c>
      <c r="H20" s="74">
        <v>7.2106019999999997</v>
      </c>
      <c r="I20" s="75">
        <v>0.171233</v>
      </c>
      <c r="J20" s="75">
        <v>-0.94945999999999997</v>
      </c>
      <c r="K20" t="s">
        <v>84</v>
      </c>
      <c r="L20">
        <f>F20*$N$4</f>
        <v>9.632212615879828</v>
      </c>
    </row>
    <row r="21" spans="1:12" x14ac:dyDescent="0.2">
      <c r="A21" s="72">
        <v>44065.947916608799</v>
      </c>
      <c r="B21">
        <v>19</v>
      </c>
      <c r="C21" s="49">
        <f t="shared" si="0"/>
        <v>7.4423919999999999</v>
      </c>
      <c r="D21" s="49">
        <f t="shared" si="0"/>
        <v>0.17860300000000001</v>
      </c>
      <c r="E21" s="49">
        <f t="shared" si="0"/>
        <v>-1.025495</v>
      </c>
      <c r="F21" s="49">
        <f t="shared" si="1"/>
        <v>8.1568039999999993</v>
      </c>
      <c r="G21" s="49">
        <f t="shared" si="2"/>
        <v>-0.84689199999999998</v>
      </c>
      <c r="H21" s="74">
        <v>7.4423919999999999</v>
      </c>
      <c r="I21" s="75">
        <v>0.17860300000000001</v>
      </c>
      <c r="J21" s="74">
        <v>-1.025495</v>
      </c>
      <c r="L21">
        <f>F21*$N$4</f>
        <v>9.9509508025751074</v>
      </c>
    </row>
    <row r="22" spans="1:12" x14ac:dyDescent="0.2">
      <c r="A22" s="72">
        <v>44066.447916608799</v>
      </c>
      <c r="B22">
        <v>20</v>
      </c>
      <c r="C22" s="49">
        <f t="shared" si="0"/>
        <v>7.5126580000000001</v>
      </c>
      <c r="D22" s="49">
        <f t="shared" si="0"/>
        <v>0.18906200000000001</v>
      </c>
      <c r="E22" s="49">
        <f t="shared" si="0"/>
        <v>-0.99174700000000005</v>
      </c>
      <c r="F22" s="49">
        <f t="shared" si="1"/>
        <v>8.2689059999999994</v>
      </c>
      <c r="G22" s="49">
        <f t="shared" si="2"/>
        <v>-0.80268500000000009</v>
      </c>
      <c r="H22" s="74">
        <v>7.5126580000000001</v>
      </c>
      <c r="I22" s="75">
        <v>0.18906200000000001</v>
      </c>
      <c r="J22" s="75">
        <v>-0.99174700000000005</v>
      </c>
      <c r="L22">
        <f>F22*$N$4</f>
        <v>10.087710431330471</v>
      </c>
    </row>
    <row r="23" spans="1:12" x14ac:dyDescent="0.2">
      <c r="A23" s="72">
        <v>44066.947916608799</v>
      </c>
      <c r="B23">
        <v>21</v>
      </c>
      <c r="C23" s="49">
        <f t="shared" si="0"/>
        <v>7.6951689999999999</v>
      </c>
      <c r="D23" s="49">
        <f t="shared" si="0"/>
        <v>0.20555699999999999</v>
      </c>
      <c r="E23" s="49">
        <f t="shared" si="0"/>
        <v>-0.99868599999999996</v>
      </c>
      <c r="F23" s="49">
        <f t="shared" si="1"/>
        <v>8.517396999999999</v>
      </c>
      <c r="G23" s="49">
        <f t="shared" si="2"/>
        <v>-0.79312899999999997</v>
      </c>
      <c r="H23" s="74">
        <v>7.6951689999999999</v>
      </c>
      <c r="I23" s="75">
        <v>0.20555699999999999</v>
      </c>
      <c r="J23" s="75">
        <v>-0.99868599999999996</v>
      </c>
      <c r="L23">
        <f>F23*$N$4</f>
        <v>10.390858786480687</v>
      </c>
    </row>
    <row r="24" spans="1:12" x14ac:dyDescent="0.2">
      <c r="A24" s="72">
        <v>44067.447916608799</v>
      </c>
      <c r="B24">
        <v>22</v>
      </c>
      <c r="C24" s="49">
        <v>0</v>
      </c>
      <c r="D24" s="49">
        <f t="shared" si="0"/>
        <v>0</v>
      </c>
      <c r="E24" s="49">
        <f t="shared" si="0"/>
        <v>0</v>
      </c>
      <c r="F24" s="49">
        <f t="shared" si="1"/>
        <v>0</v>
      </c>
      <c r="G24" s="49">
        <f t="shared" si="2"/>
        <v>0</v>
      </c>
      <c r="H24" s="68" t="s">
        <v>80</v>
      </c>
      <c r="I24" s="68"/>
      <c r="J24" s="68"/>
      <c r="L24">
        <f>F24*$N$4</f>
        <v>0</v>
      </c>
    </row>
    <row r="25" spans="1:12" x14ac:dyDescent="0.2">
      <c r="A25" s="72">
        <v>44067.947916608799</v>
      </c>
      <c r="B25">
        <v>23</v>
      </c>
      <c r="C25" s="49">
        <f t="shared" si="0"/>
        <v>6.1477440000000003</v>
      </c>
      <c r="D25" s="49">
        <f t="shared" si="0"/>
        <v>0.20919099999999999</v>
      </c>
      <c r="E25" s="49">
        <f t="shared" si="0"/>
        <v>-0.94900600000000002</v>
      </c>
      <c r="F25" s="49">
        <f t="shared" si="1"/>
        <v>6.9845079999999999</v>
      </c>
      <c r="G25" s="49">
        <f t="shared" si="2"/>
        <v>-0.739815</v>
      </c>
      <c r="H25" s="74">
        <v>6.1477440000000003</v>
      </c>
      <c r="I25" s="75">
        <v>0.20919099999999999</v>
      </c>
      <c r="J25" s="75">
        <v>-0.94900600000000002</v>
      </c>
      <c r="L25">
        <f>F25*$N$4</f>
        <v>8.5207999957081544</v>
      </c>
    </row>
    <row r="26" spans="1:12" x14ac:dyDescent="0.2">
      <c r="A26" s="72">
        <v>44068.447916608799</v>
      </c>
      <c r="B26">
        <v>24</v>
      </c>
      <c r="C26" s="49">
        <f t="shared" si="0"/>
        <v>6.8363810000000003</v>
      </c>
      <c r="D26" s="49">
        <f t="shared" si="0"/>
        <v>0.233399</v>
      </c>
      <c r="E26" s="49">
        <f t="shared" si="0"/>
        <v>-1.0779829999999999</v>
      </c>
      <c r="F26" s="49">
        <f t="shared" si="1"/>
        <v>7.7699769999999999</v>
      </c>
      <c r="G26" s="49">
        <f t="shared" si="2"/>
        <v>-0.84458399999999989</v>
      </c>
      <c r="H26" s="74">
        <v>6.8363810000000003</v>
      </c>
      <c r="I26" s="75">
        <v>0.233399</v>
      </c>
      <c r="J26" s="74">
        <v>-1.0779829999999999</v>
      </c>
      <c r="L26">
        <f>F26*$N$4</f>
        <v>9.4790384645922749</v>
      </c>
    </row>
    <row r="27" spans="1:12" x14ac:dyDescent="0.2">
      <c r="A27" s="72">
        <v>44068.947916608799</v>
      </c>
      <c r="B27">
        <v>25</v>
      </c>
      <c r="C27" s="49">
        <f t="shared" si="0"/>
        <v>6.9833420000000004</v>
      </c>
      <c r="D27" s="49">
        <f t="shared" si="0"/>
        <v>0.24981999999999999</v>
      </c>
      <c r="E27" s="49">
        <f t="shared" si="0"/>
        <v>-1.1119289999999999</v>
      </c>
      <c r="F27" s="49">
        <f t="shared" si="1"/>
        <v>7.9826220000000001</v>
      </c>
      <c r="G27" s="49">
        <f t="shared" si="2"/>
        <v>-0.86210900000000001</v>
      </c>
      <c r="H27" s="74">
        <v>6.9833420000000004</v>
      </c>
      <c r="I27" s="75">
        <v>0.24981999999999999</v>
      </c>
      <c r="J27" s="74">
        <v>-1.1119289999999999</v>
      </c>
      <c r="L27">
        <f>F27*$N$4</f>
        <v>9.7384562381974256</v>
      </c>
    </row>
    <row r="28" spans="1:12" x14ac:dyDescent="0.2">
      <c r="A28" s="72">
        <v>44069.447916608799</v>
      </c>
      <c r="B28">
        <v>26</v>
      </c>
      <c r="C28" s="49">
        <f t="shared" si="0"/>
        <v>0</v>
      </c>
      <c r="D28" s="49">
        <f t="shared" si="0"/>
        <v>0</v>
      </c>
      <c r="E28" s="49">
        <f t="shared" si="0"/>
        <v>0</v>
      </c>
      <c r="F28" s="49">
        <f t="shared" si="1"/>
        <v>0</v>
      </c>
      <c r="G28" s="49">
        <f t="shared" si="2"/>
        <v>0</v>
      </c>
      <c r="L28">
        <f>F28*$N$4</f>
        <v>0</v>
      </c>
    </row>
    <row r="29" spans="1:12" x14ac:dyDescent="0.2">
      <c r="A29" s="72">
        <v>44069.447916608799</v>
      </c>
      <c r="B29">
        <v>26</v>
      </c>
      <c r="C29" s="49">
        <f t="shared" si="0"/>
        <v>7.1245289999999999</v>
      </c>
      <c r="D29" s="49">
        <f t="shared" si="0"/>
        <v>0.27592</v>
      </c>
      <c r="E29" s="49">
        <f t="shared" si="0"/>
        <v>-1.1125849999999999</v>
      </c>
      <c r="F29" s="49">
        <f t="shared" si="1"/>
        <v>8.2282089999999997</v>
      </c>
      <c r="G29" s="49">
        <f t="shared" si="2"/>
        <v>-0.83666499999999999</v>
      </c>
      <c r="H29" s="74">
        <v>7.1245289999999999</v>
      </c>
      <c r="I29" s="75">
        <v>0.27592</v>
      </c>
      <c r="J29" s="74">
        <v>-1.1125849999999999</v>
      </c>
      <c r="L29">
        <f>F29*$N$4</f>
        <v>10.038061837982832</v>
      </c>
    </row>
    <row r="30" spans="1:12" x14ac:dyDescent="0.2">
      <c r="A30" s="72">
        <v>44069.947916608799</v>
      </c>
      <c r="B30">
        <v>27</v>
      </c>
      <c r="C30" s="49">
        <f t="shared" ref="C30:E45" si="3">H30</f>
        <v>7.2604150000000001</v>
      </c>
      <c r="D30" s="49">
        <f t="shared" si="3"/>
        <v>0.31318400000000002</v>
      </c>
      <c r="E30" s="49">
        <f t="shared" si="3"/>
        <v>-1.1314550000000001</v>
      </c>
      <c r="F30" s="49">
        <f t="shared" si="1"/>
        <v>8.5131510000000006</v>
      </c>
      <c r="G30" s="49">
        <f t="shared" si="2"/>
        <v>-0.81827100000000008</v>
      </c>
      <c r="H30" s="74">
        <v>7.2604150000000001</v>
      </c>
      <c r="I30" s="75">
        <v>0.31318400000000002</v>
      </c>
      <c r="J30" s="74">
        <v>-1.1314550000000001</v>
      </c>
      <c r="L30">
        <f>F30*$N$4</f>
        <v>10.385678848712448</v>
      </c>
    </row>
    <row r="31" spans="1:12" x14ac:dyDescent="0.2">
      <c r="A31" s="72">
        <v>44070.447916608799</v>
      </c>
      <c r="B31">
        <v>28</v>
      </c>
      <c r="C31" s="49">
        <f t="shared" si="3"/>
        <v>7.2770000000000001</v>
      </c>
      <c r="D31" s="49">
        <f t="shared" si="3"/>
        <v>0.36239500000000002</v>
      </c>
      <c r="E31" s="49">
        <f t="shared" si="3"/>
        <v>-1.1630819999999999</v>
      </c>
      <c r="F31" s="49">
        <f t="shared" si="1"/>
        <v>8.7265800000000002</v>
      </c>
      <c r="G31" s="49">
        <f t="shared" si="2"/>
        <v>-0.80068699999999993</v>
      </c>
      <c r="H31" s="74">
        <v>7.2770000000000001</v>
      </c>
      <c r="I31" s="75">
        <v>0.36239500000000002</v>
      </c>
      <c r="J31" s="74">
        <v>-1.1630819999999999</v>
      </c>
      <c r="L31">
        <f>F31*$N$4</f>
        <v>10.646053068669529</v>
      </c>
    </row>
    <row r="32" spans="1:12" x14ac:dyDescent="0.2">
      <c r="A32" s="72">
        <v>44070.947916608799</v>
      </c>
      <c r="B32">
        <v>29</v>
      </c>
      <c r="C32" s="49">
        <f t="shared" si="3"/>
        <v>7.3124339999999997</v>
      </c>
      <c r="D32" s="49">
        <f t="shared" si="3"/>
        <v>0.42247000000000001</v>
      </c>
      <c r="E32" s="49">
        <f t="shared" si="3"/>
        <v>-1.194132</v>
      </c>
      <c r="F32" s="49">
        <f t="shared" si="1"/>
        <v>9.0023140000000001</v>
      </c>
      <c r="G32" s="49">
        <f t="shared" si="2"/>
        <v>-0.77166199999999996</v>
      </c>
      <c r="H32" s="74">
        <v>7.3124339999999997</v>
      </c>
      <c r="I32" s="75">
        <v>0.42247000000000001</v>
      </c>
      <c r="J32" s="74">
        <v>-1.194132</v>
      </c>
      <c r="L32">
        <f>F32*$N$4</f>
        <v>10.982436714592275</v>
      </c>
    </row>
    <row r="33" spans="1:12" x14ac:dyDescent="0.2">
      <c r="A33" s="72">
        <v>44071.447916608799</v>
      </c>
      <c r="B33">
        <v>30</v>
      </c>
      <c r="C33" s="49">
        <f t="shared" si="3"/>
        <v>10.729221000000001</v>
      </c>
      <c r="D33" s="49">
        <f t="shared" si="3"/>
        <v>0.55424200000000001</v>
      </c>
      <c r="E33" s="49">
        <f t="shared" si="3"/>
        <v>-1.6279939999999999</v>
      </c>
      <c r="F33" s="49">
        <f t="shared" si="1"/>
        <v>12.946189</v>
      </c>
      <c r="G33" s="49">
        <f t="shared" si="2"/>
        <v>-1.0737519999999998</v>
      </c>
      <c r="H33" s="74">
        <v>10.729221000000001</v>
      </c>
      <c r="I33" s="75">
        <v>0.55424200000000001</v>
      </c>
      <c r="J33" s="74">
        <v>-1.6279939999999999</v>
      </c>
      <c r="K33" t="s">
        <v>85</v>
      </c>
      <c r="L33">
        <f>F33*$N$4</f>
        <v>15.793794949570817</v>
      </c>
    </row>
    <row r="34" spans="1:12" x14ac:dyDescent="0.2">
      <c r="A34" s="72">
        <v>44071.947916608799</v>
      </c>
      <c r="B34">
        <v>31</v>
      </c>
      <c r="C34" s="49">
        <f t="shared" si="3"/>
        <v>8.5210349999999995</v>
      </c>
      <c r="D34" s="49">
        <f t="shared" si="3"/>
        <v>0.53318399999999999</v>
      </c>
      <c r="E34" s="49">
        <f t="shared" si="3"/>
        <v>-1.2188129999999999</v>
      </c>
      <c r="F34" s="49">
        <f t="shared" si="1"/>
        <v>10.653770999999999</v>
      </c>
      <c r="G34" s="49">
        <f t="shared" si="2"/>
        <v>-0.68562899999999993</v>
      </c>
      <c r="H34" s="74">
        <v>8.5210349999999995</v>
      </c>
      <c r="I34" s="75">
        <v>0.53318399999999999</v>
      </c>
      <c r="J34" s="74">
        <v>-1.2188129999999999</v>
      </c>
      <c r="L34">
        <f>F34*$N$4</f>
        <v>12.997143376609442</v>
      </c>
    </row>
    <row r="35" spans="1:12" x14ac:dyDescent="0.2">
      <c r="A35" s="72">
        <v>44072.447916608799</v>
      </c>
      <c r="B35">
        <v>32</v>
      </c>
      <c r="C35" s="49">
        <f t="shared" si="3"/>
        <v>6.8476720000000002</v>
      </c>
      <c r="D35" s="49">
        <f t="shared" si="3"/>
        <v>0.50735200000000003</v>
      </c>
      <c r="E35" s="49">
        <f t="shared" si="3"/>
        <v>-1.1354230000000001</v>
      </c>
      <c r="F35" s="49">
        <f t="shared" si="1"/>
        <v>8.8770799999999994</v>
      </c>
      <c r="G35" s="49">
        <f t="shared" si="2"/>
        <v>-0.62807100000000005</v>
      </c>
      <c r="H35" s="74">
        <v>6.8476720000000002</v>
      </c>
      <c r="I35" s="75">
        <v>0.50735200000000003</v>
      </c>
      <c r="J35" s="74">
        <v>-1.1354230000000001</v>
      </c>
      <c r="L35">
        <f>F35*$N$4</f>
        <v>10.829656609442059</v>
      </c>
    </row>
    <row r="36" spans="1:12" x14ac:dyDescent="0.2">
      <c r="A36" s="72">
        <v>44072.947916608799</v>
      </c>
      <c r="B36">
        <v>33</v>
      </c>
      <c r="C36" s="49">
        <f t="shared" si="3"/>
        <v>6.6965079999999997</v>
      </c>
      <c r="D36" s="49">
        <f t="shared" si="3"/>
        <v>0.55555399999999999</v>
      </c>
      <c r="E36" s="49">
        <f t="shared" si="3"/>
        <v>-1.1982379999999999</v>
      </c>
      <c r="F36" s="49">
        <f t="shared" si="1"/>
        <v>8.9187239999999992</v>
      </c>
      <c r="G36" s="49">
        <f t="shared" si="2"/>
        <v>-0.64268399999999992</v>
      </c>
      <c r="H36" s="74">
        <v>6.6965079999999997</v>
      </c>
      <c r="I36" s="75">
        <v>0.55555399999999999</v>
      </c>
      <c r="J36" s="74">
        <v>-1.1982379999999999</v>
      </c>
      <c r="L36">
        <f>F36*$N$4</f>
        <v>10.880460502145922</v>
      </c>
    </row>
    <row r="37" spans="1:12" x14ac:dyDescent="0.2">
      <c r="A37" s="72">
        <v>44073.447916608799</v>
      </c>
      <c r="B37">
        <v>34</v>
      </c>
      <c r="C37" s="49">
        <f t="shared" si="3"/>
        <v>6.8367909999999998</v>
      </c>
      <c r="D37" s="49">
        <f t="shared" si="3"/>
        <v>0.62525600000000003</v>
      </c>
      <c r="E37" s="49">
        <f t="shared" si="3"/>
        <v>-1.2598549999999999</v>
      </c>
      <c r="F37" s="49">
        <f t="shared" si="1"/>
        <v>9.3378149999999991</v>
      </c>
      <c r="G37" s="49">
        <f t="shared" si="2"/>
        <v>-0.63459899999999991</v>
      </c>
      <c r="H37" s="74">
        <v>6.8367909999999998</v>
      </c>
      <c r="I37" s="75">
        <v>0.62525600000000003</v>
      </c>
      <c r="J37" s="74">
        <v>-1.2598549999999999</v>
      </c>
      <c r="L37">
        <f>F37*$N$4</f>
        <v>11.391733535407726</v>
      </c>
    </row>
    <row r="38" spans="1:12" x14ac:dyDescent="0.2">
      <c r="A38" s="72">
        <v>44073.947916608799</v>
      </c>
      <c r="B38">
        <v>35</v>
      </c>
      <c r="C38" s="49">
        <f t="shared" si="3"/>
        <v>6.9641979999999997</v>
      </c>
      <c r="D38" s="49">
        <f t="shared" si="3"/>
        <v>0.69013500000000005</v>
      </c>
      <c r="E38" s="49">
        <f t="shared" si="3"/>
        <v>-1.324857</v>
      </c>
      <c r="F38" s="49">
        <f t="shared" si="1"/>
        <v>9.7247380000000003</v>
      </c>
      <c r="G38" s="49">
        <f t="shared" si="2"/>
        <v>-0.6347219999999999</v>
      </c>
      <c r="H38" s="74">
        <v>6.9641979999999997</v>
      </c>
      <c r="I38" s="75">
        <v>0.69013500000000005</v>
      </c>
      <c r="J38" s="74">
        <v>-1.324857</v>
      </c>
      <c r="L38">
        <f>F38*$N$4</f>
        <v>11.863762989270388</v>
      </c>
    </row>
    <row r="39" spans="1:12" x14ac:dyDescent="0.2">
      <c r="A39" s="72">
        <v>44074.447916608799</v>
      </c>
      <c r="B39">
        <v>36</v>
      </c>
      <c r="C39" s="49">
        <f t="shared" si="3"/>
        <v>6.9988900000000003</v>
      </c>
      <c r="D39" s="49">
        <f t="shared" si="3"/>
        <v>0.86677499999999996</v>
      </c>
      <c r="E39" s="49">
        <f t="shared" si="3"/>
        <v>-1.3466959999999999</v>
      </c>
      <c r="F39" s="49">
        <f t="shared" si="1"/>
        <v>10.46599</v>
      </c>
      <c r="G39" s="49">
        <f t="shared" si="2"/>
        <v>-0.47992099999999993</v>
      </c>
      <c r="H39" s="74">
        <v>6.9988900000000003</v>
      </c>
      <c r="I39" s="75">
        <v>0.86677499999999996</v>
      </c>
      <c r="J39" s="74">
        <v>-1.3466959999999999</v>
      </c>
      <c r="L39">
        <f>F39*$N$4</f>
        <v>12.768058615879829</v>
      </c>
    </row>
    <row r="40" spans="1:12" x14ac:dyDescent="0.2">
      <c r="A40" s="72">
        <v>44074.947916608799</v>
      </c>
      <c r="B40">
        <v>37</v>
      </c>
      <c r="C40" s="49">
        <f t="shared" si="3"/>
        <v>6.9807670000000002</v>
      </c>
      <c r="D40" s="49">
        <f t="shared" si="3"/>
        <v>0.88311799999999996</v>
      </c>
      <c r="E40" s="49">
        <f t="shared" si="3"/>
        <v>-1.4054690000000001</v>
      </c>
      <c r="F40" s="49">
        <f t="shared" si="1"/>
        <v>10.513239</v>
      </c>
      <c r="G40" s="49">
        <f t="shared" si="2"/>
        <v>-0.52235100000000012</v>
      </c>
      <c r="H40" s="74">
        <v>6.9807670000000002</v>
      </c>
      <c r="I40" s="75">
        <v>0.88311799999999996</v>
      </c>
      <c r="J40" s="74">
        <v>-1.4054690000000001</v>
      </c>
      <c r="L40">
        <f>F40*$N$4</f>
        <v>12.825700368025752</v>
      </c>
    </row>
    <row r="41" spans="1:12" x14ac:dyDescent="0.2">
      <c r="A41" s="72">
        <v>44075.447916608799</v>
      </c>
      <c r="B41">
        <v>38</v>
      </c>
      <c r="C41" s="49">
        <f t="shared" si="3"/>
        <v>6.9003269999999999</v>
      </c>
      <c r="D41" s="49">
        <f t="shared" si="3"/>
        <v>0.92742100000000005</v>
      </c>
      <c r="E41" s="49">
        <f t="shared" si="3"/>
        <v>-1.4491240000000001</v>
      </c>
      <c r="F41" s="49">
        <f t="shared" si="1"/>
        <v>10.610011</v>
      </c>
      <c r="G41" s="49">
        <f t="shared" si="2"/>
        <v>-0.52170300000000003</v>
      </c>
      <c r="H41" s="74">
        <v>6.9003269999999999</v>
      </c>
      <c r="I41" s="75">
        <v>0.92742100000000005</v>
      </c>
      <c r="J41" s="74">
        <v>-1.4491240000000001</v>
      </c>
      <c r="L41">
        <f>F41*$N$4</f>
        <v>12.94375805472103</v>
      </c>
    </row>
    <row r="42" spans="1:12" x14ac:dyDescent="0.2">
      <c r="A42" s="72">
        <v>44075.947916608799</v>
      </c>
      <c r="B42">
        <v>39</v>
      </c>
      <c r="C42" s="49">
        <f t="shared" si="3"/>
        <v>6.978491</v>
      </c>
      <c r="D42" s="49">
        <f t="shared" si="3"/>
        <v>1.0503130000000001</v>
      </c>
      <c r="E42" s="49">
        <f t="shared" si="3"/>
        <v>-1.5320530000000001</v>
      </c>
      <c r="F42" s="49">
        <f t="shared" si="1"/>
        <v>11.179743</v>
      </c>
      <c r="G42" s="49">
        <f t="shared" si="2"/>
        <v>-0.48174000000000006</v>
      </c>
      <c r="H42" s="74">
        <v>6.978491</v>
      </c>
      <c r="I42" s="75">
        <v>1.0503130000000001</v>
      </c>
      <c r="J42" s="74">
        <v>-1.5320530000000001</v>
      </c>
      <c r="L42">
        <f>F42*$N$4</f>
        <v>13.638806642703864</v>
      </c>
    </row>
    <row r="43" spans="1:12" x14ac:dyDescent="0.2">
      <c r="A43" s="72">
        <v>44076.447916608799</v>
      </c>
      <c r="B43">
        <v>40</v>
      </c>
      <c r="C43" s="49">
        <f t="shared" si="3"/>
        <v>6.9779460000000002</v>
      </c>
      <c r="D43" s="49">
        <f t="shared" si="3"/>
        <v>0.97955800000000004</v>
      </c>
      <c r="E43" s="49">
        <f t="shared" si="3"/>
        <v>-1.6182669999999999</v>
      </c>
      <c r="F43" s="49">
        <f t="shared" si="1"/>
        <v>10.896178000000001</v>
      </c>
      <c r="G43" s="49">
        <f t="shared" si="2"/>
        <v>-0.63870899999999986</v>
      </c>
      <c r="H43" s="74">
        <v>6.9779460000000002</v>
      </c>
      <c r="I43" s="75">
        <v>0.97955800000000004</v>
      </c>
      <c r="J43" s="74">
        <v>-1.6182669999999999</v>
      </c>
      <c r="L43">
        <f>F43*$N$4</f>
        <v>13.292869512875539</v>
      </c>
    </row>
    <row r="44" spans="1:12" x14ac:dyDescent="0.2">
      <c r="A44" s="72">
        <v>44076.947916608799</v>
      </c>
      <c r="B44">
        <v>41</v>
      </c>
      <c r="C44" s="49">
        <f t="shared" si="3"/>
        <v>7.0698939999999997</v>
      </c>
      <c r="D44" s="49">
        <f t="shared" si="3"/>
        <v>1.097072</v>
      </c>
      <c r="E44" s="49">
        <f t="shared" si="3"/>
        <v>-1.615194</v>
      </c>
      <c r="F44" s="49">
        <f t="shared" si="1"/>
        <v>11.458182000000001</v>
      </c>
      <c r="G44" s="49">
        <f t="shared" si="2"/>
        <v>-0.51812199999999997</v>
      </c>
      <c r="H44" s="74">
        <v>7.0698939999999997</v>
      </c>
      <c r="I44" s="74">
        <v>1.097072</v>
      </c>
      <c r="J44" s="74">
        <v>-1.615194</v>
      </c>
      <c r="L44">
        <f>F44*$N$4</f>
        <v>13.97849027253219</v>
      </c>
    </row>
    <row r="45" spans="1:12" x14ac:dyDescent="0.2">
      <c r="A45" s="72">
        <v>44077.447916608799</v>
      </c>
      <c r="B45">
        <v>42</v>
      </c>
      <c r="C45" s="49">
        <f t="shared" si="3"/>
        <v>7.1193749999999998</v>
      </c>
      <c r="D45" s="49">
        <f t="shared" si="3"/>
        <v>1.1642049999999999</v>
      </c>
      <c r="E45" s="49">
        <f t="shared" si="3"/>
        <v>-1.7101120000000001</v>
      </c>
      <c r="F45" s="49">
        <f t="shared" si="1"/>
        <v>11.776195</v>
      </c>
      <c r="G45" s="49">
        <f t="shared" si="2"/>
        <v>-0.54590700000000014</v>
      </c>
      <c r="H45" s="74">
        <v>7.1193749999999998</v>
      </c>
      <c r="I45" s="74">
        <v>1.1642049999999999</v>
      </c>
      <c r="J45" s="74">
        <v>-1.7101120000000001</v>
      </c>
      <c r="L45">
        <f>F45*$N$4</f>
        <v>14.366452483905579</v>
      </c>
    </row>
    <row r="46" spans="1:12" x14ac:dyDescent="0.2">
      <c r="A46" s="72">
        <v>44077.947916608799</v>
      </c>
      <c r="B46">
        <v>43</v>
      </c>
      <c r="C46" s="49">
        <f t="shared" ref="C46:E100" si="4">H46</f>
        <v>7.0744790000000002</v>
      </c>
      <c r="D46" s="49">
        <f t="shared" si="4"/>
        <v>1.242162</v>
      </c>
      <c r="E46" s="49">
        <f t="shared" si="4"/>
        <v>-1.784945</v>
      </c>
      <c r="F46" s="49">
        <f t="shared" si="1"/>
        <v>12.043127</v>
      </c>
      <c r="G46" s="49">
        <f t="shared" si="2"/>
        <v>-0.54278300000000002</v>
      </c>
      <c r="H46" s="74">
        <v>7.0744790000000002</v>
      </c>
      <c r="I46" s="74">
        <v>1.242162</v>
      </c>
      <c r="J46" s="74">
        <v>-1.784945</v>
      </c>
      <c r="L46">
        <f>F46*$N$4</f>
        <v>14.692098067596568</v>
      </c>
    </row>
    <row r="47" spans="1:12" x14ac:dyDescent="0.2">
      <c r="A47" s="72">
        <v>44078.447916608799</v>
      </c>
      <c r="B47">
        <v>44</v>
      </c>
      <c r="C47" s="49"/>
      <c r="D47" s="49"/>
      <c r="E47" s="49"/>
      <c r="F47" s="49">
        <f t="shared" si="1"/>
        <v>0</v>
      </c>
      <c r="G47" s="49">
        <f t="shared" si="2"/>
        <v>0</v>
      </c>
      <c r="H47" s="73" t="s">
        <v>80</v>
      </c>
      <c r="I47" s="73"/>
      <c r="J47" s="73"/>
      <c r="L47">
        <f>F47*$N$4</f>
        <v>0</v>
      </c>
    </row>
    <row r="48" spans="1:12" x14ac:dyDescent="0.2">
      <c r="A48" s="72">
        <v>44078.947916608799</v>
      </c>
      <c r="B48">
        <v>45</v>
      </c>
      <c r="C48" s="49">
        <f t="shared" si="4"/>
        <v>4.142703</v>
      </c>
      <c r="D48" s="49">
        <f t="shared" si="4"/>
        <v>0.27205600000000002</v>
      </c>
      <c r="E48" s="49">
        <f t="shared" si="4"/>
        <v>-0.85495299999999996</v>
      </c>
      <c r="F48" s="49">
        <f t="shared" si="1"/>
        <v>5.2309270000000003</v>
      </c>
      <c r="G48" s="49">
        <f t="shared" si="2"/>
        <v>-0.582897</v>
      </c>
      <c r="H48" s="74">
        <v>4.142703</v>
      </c>
      <c r="I48" s="75">
        <v>0.27205600000000002</v>
      </c>
      <c r="J48" s="75">
        <v>-0.85495299999999996</v>
      </c>
      <c r="K48" t="s">
        <v>86</v>
      </c>
      <c r="L48">
        <f>F48*$N$4</f>
        <v>6.3815064366952798</v>
      </c>
    </row>
    <row r="49" spans="1:12" x14ac:dyDescent="0.2">
      <c r="A49" s="72">
        <v>44079.447916608799</v>
      </c>
      <c r="B49">
        <v>46</v>
      </c>
      <c r="C49" s="49">
        <f t="shared" si="4"/>
        <v>4.081264</v>
      </c>
      <c r="D49" s="49">
        <f t="shared" si="4"/>
        <v>0.24932499999999999</v>
      </c>
      <c r="E49" s="49">
        <f t="shared" si="4"/>
        <v>-0.82106999999999997</v>
      </c>
      <c r="F49" s="49">
        <f t="shared" si="1"/>
        <v>5.0785640000000001</v>
      </c>
      <c r="G49" s="49">
        <f t="shared" si="2"/>
        <v>-0.57174499999999995</v>
      </c>
      <c r="H49" s="74">
        <v>4.081264</v>
      </c>
      <c r="I49" s="75">
        <v>0.24932499999999999</v>
      </c>
      <c r="J49" s="75">
        <v>-0.82106999999999997</v>
      </c>
      <c r="L49">
        <f>F49*$N$4</f>
        <v>6.1956301158798288</v>
      </c>
    </row>
    <row r="50" spans="1:12" x14ac:dyDescent="0.2">
      <c r="A50" s="72">
        <v>44079.947916608799</v>
      </c>
      <c r="B50">
        <v>47</v>
      </c>
      <c r="C50" s="49">
        <f t="shared" si="4"/>
        <v>3.662255</v>
      </c>
      <c r="D50" s="49">
        <f t="shared" si="4"/>
        <v>0.24329700000000001</v>
      </c>
      <c r="E50" s="49">
        <f t="shared" si="4"/>
        <v>-0.79266000000000003</v>
      </c>
      <c r="F50" s="49">
        <f t="shared" si="1"/>
        <v>4.6354430000000004</v>
      </c>
      <c r="G50" s="49">
        <f t="shared" si="2"/>
        <v>-0.54936300000000005</v>
      </c>
      <c r="H50" s="74">
        <v>3.662255</v>
      </c>
      <c r="I50" s="75">
        <v>0.24329700000000001</v>
      </c>
      <c r="J50" s="75">
        <v>-0.79266000000000003</v>
      </c>
      <c r="L50">
        <f>F50*$N$4</f>
        <v>5.6550415139484986</v>
      </c>
    </row>
    <row r="51" spans="1:12" x14ac:dyDescent="0.2">
      <c r="A51" s="72">
        <v>44080.447916608799</v>
      </c>
      <c r="B51">
        <v>48</v>
      </c>
      <c r="C51" s="49">
        <f t="shared" si="4"/>
        <v>3.2924850000000001</v>
      </c>
      <c r="D51" s="49">
        <f t="shared" si="4"/>
        <v>0.21879199999999999</v>
      </c>
      <c r="E51" s="49">
        <f t="shared" si="4"/>
        <v>-0.74829000000000001</v>
      </c>
      <c r="F51" s="49">
        <f t="shared" si="1"/>
        <v>4.1676529999999996</v>
      </c>
      <c r="G51" s="49">
        <f t="shared" si="2"/>
        <v>-0.52949800000000002</v>
      </c>
      <c r="H51" s="74">
        <v>3.2924850000000001</v>
      </c>
      <c r="I51" s="75">
        <v>0.21879199999999999</v>
      </c>
      <c r="J51" s="75">
        <v>-0.74829000000000001</v>
      </c>
      <c r="K51" t="s">
        <v>87</v>
      </c>
      <c r="L51">
        <f>F51*$N$4</f>
        <v>5.0843577907725317</v>
      </c>
    </row>
    <row r="52" spans="1:12" x14ac:dyDescent="0.2">
      <c r="A52" s="72">
        <v>44080.947916608799</v>
      </c>
      <c r="B52">
        <v>49</v>
      </c>
      <c r="C52" s="49">
        <f t="shared" si="4"/>
        <v>5.2194649999999996</v>
      </c>
      <c r="D52" s="49">
        <f t="shared" si="4"/>
        <v>0.187475</v>
      </c>
      <c r="E52" s="49">
        <f t="shared" si="4"/>
        <v>-0.50075499999999995</v>
      </c>
      <c r="F52" s="49">
        <f t="shared" si="1"/>
        <v>5.9693649999999998</v>
      </c>
      <c r="G52" s="49">
        <f t="shared" si="2"/>
        <v>-0.31327999999999995</v>
      </c>
      <c r="H52" s="74">
        <v>5.2194649999999996</v>
      </c>
      <c r="I52" s="75">
        <v>0.187475</v>
      </c>
      <c r="J52" s="75">
        <v>-0.50075499999999995</v>
      </c>
      <c r="K52" t="s">
        <v>88</v>
      </c>
      <c r="L52">
        <f>F52*$N$4</f>
        <v>7.2823691040772536</v>
      </c>
    </row>
    <row r="53" spans="1:12" x14ac:dyDescent="0.2">
      <c r="A53" s="72">
        <v>44081.447916608799</v>
      </c>
      <c r="B53">
        <v>50</v>
      </c>
      <c r="C53" s="49">
        <f t="shared" si="4"/>
        <v>4.8539640000000004</v>
      </c>
      <c r="D53" s="49">
        <f t="shared" si="4"/>
        <v>0.12805</v>
      </c>
      <c r="E53" s="49">
        <f t="shared" si="4"/>
        <v>-1.150007</v>
      </c>
      <c r="F53" s="49">
        <f t="shared" si="1"/>
        <v>5.3661640000000004</v>
      </c>
      <c r="G53" s="49">
        <f t="shared" si="2"/>
        <v>-1.021957</v>
      </c>
      <c r="H53" s="74">
        <v>4.8539640000000004</v>
      </c>
      <c r="I53" s="75">
        <v>0.12805</v>
      </c>
      <c r="J53" s="74">
        <v>-1.150007</v>
      </c>
      <c r="K53" t="s">
        <v>89</v>
      </c>
      <c r="L53">
        <f>F53*$N$4</f>
        <v>6.5464897725321896</v>
      </c>
    </row>
    <row r="54" spans="1:12" x14ac:dyDescent="0.2">
      <c r="A54" s="72">
        <v>44081.947916608799</v>
      </c>
      <c r="B54">
        <v>51</v>
      </c>
      <c r="C54" s="49">
        <f t="shared" si="4"/>
        <v>5.8838189999999999</v>
      </c>
      <c r="D54" s="49">
        <f t="shared" si="4"/>
        <v>0.120611</v>
      </c>
      <c r="E54" s="49">
        <f t="shared" si="4"/>
        <v>-0.85559700000000005</v>
      </c>
      <c r="F54" s="49">
        <f t="shared" si="1"/>
        <v>6.366263</v>
      </c>
      <c r="G54" s="49">
        <f t="shared" si="2"/>
        <v>-0.73498600000000003</v>
      </c>
      <c r="H54" s="74">
        <v>5.8838189999999999</v>
      </c>
      <c r="I54" s="75">
        <v>0.120611</v>
      </c>
      <c r="J54" s="75">
        <v>-0.85559700000000005</v>
      </c>
      <c r="L54">
        <f>F54*$N$4</f>
        <v>7.7665676298283266</v>
      </c>
    </row>
    <row r="55" spans="1:12" x14ac:dyDescent="0.2">
      <c r="A55" s="72">
        <v>44082.447916608799</v>
      </c>
      <c r="B55">
        <v>52</v>
      </c>
      <c r="C55" s="49">
        <f t="shared" si="4"/>
        <v>6.3738939999999999</v>
      </c>
      <c r="D55" s="49">
        <f t="shared" si="4"/>
        <v>0.143369</v>
      </c>
      <c r="E55" s="49">
        <f t="shared" si="4"/>
        <v>-0.88182199999999999</v>
      </c>
      <c r="F55" s="49">
        <f t="shared" si="1"/>
        <v>6.9473700000000003</v>
      </c>
      <c r="G55" s="49">
        <f t="shared" si="2"/>
        <v>-0.73845300000000003</v>
      </c>
      <c r="H55" s="74">
        <v>6.3738939999999999</v>
      </c>
      <c r="I55" s="75">
        <v>0.143369</v>
      </c>
      <c r="J55" s="75">
        <v>-0.88182199999999999</v>
      </c>
      <c r="L55">
        <f>F55*$N$4</f>
        <v>8.4754932296137344</v>
      </c>
    </row>
    <row r="56" spans="1:12" x14ac:dyDescent="0.2">
      <c r="A56" s="72">
        <v>44082.947916608799</v>
      </c>
      <c r="B56">
        <v>53</v>
      </c>
      <c r="C56" s="49">
        <f t="shared" si="4"/>
        <v>6.7321799999999996</v>
      </c>
      <c r="D56" s="49">
        <f t="shared" si="4"/>
        <v>0.158333</v>
      </c>
      <c r="E56" s="49">
        <f t="shared" si="4"/>
        <v>-0.86640600000000001</v>
      </c>
      <c r="F56" s="49">
        <f t="shared" si="1"/>
        <v>7.3655119999999998</v>
      </c>
      <c r="G56" s="49">
        <f t="shared" si="2"/>
        <v>-0.70807299999999995</v>
      </c>
      <c r="H56" s="74">
        <v>6.7321799999999996</v>
      </c>
      <c r="I56" s="75">
        <v>0.158333</v>
      </c>
      <c r="J56" s="75">
        <v>-0.86640600000000001</v>
      </c>
      <c r="L56">
        <f>F56*$N$4</f>
        <v>8.9856085236051513</v>
      </c>
    </row>
    <row r="57" spans="1:12" x14ac:dyDescent="0.2">
      <c r="A57" s="72">
        <v>44083.447916608799</v>
      </c>
      <c r="B57">
        <v>54</v>
      </c>
      <c r="C57" s="49">
        <f t="shared" si="4"/>
        <v>7.2989309999999996</v>
      </c>
      <c r="D57" s="49">
        <f t="shared" si="4"/>
        <v>0.14921000000000001</v>
      </c>
      <c r="E57" s="49">
        <f t="shared" si="4"/>
        <v>-0.90455600000000003</v>
      </c>
      <c r="F57" s="49">
        <f t="shared" si="1"/>
        <v>7.8957709999999999</v>
      </c>
      <c r="G57" s="49">
        <f t="shared" si="2"/>
        <v>-0.75534600000000007</v>
      </c>
      <c r="H57" s="74">
        <v>7.2989309999999996</v>
      </c>
      <c r="I57" s="75">
        <v>0.14921000000000001</v>
      </c>
      <c r="J57" s="75">
        <v>-0.90455600000000003</v>
      </c>
      <c r="L57">
        <f>F57*$N$4</f>
        <v>9.6325017457081543</v>
      </c>
    </row>
    <row r="58" spans="1:12" x14ac:dyDescent="0.2">
      <c r="A58" s="72">
        <v>44083.947916608799</v>
      </c>
      <c r="B58">
        <v>55</v>
      </c>
      <c r="C58" s="49">
        <f t="shared" si="4"/>
        <v>8.4959989999999994</v>
      </c>
      <c r="D58" s="49">
        <f t="shared" si="4"/>
        <v>0.143623</v>
      </c>
      <c r="E58" s="49">
        <f t="shared" si="4"/>
        <v>-0.98894599999999999</v>
      </c>
      <c r="F58" s="49">
        <f t="shared" si="1"/>
        <v>9.0704909999999987</v>
      </c>
      <c r="G58" s="49">
        <f t="shared" si="2"/>
        <v>-0.84532300000000005</v>
      </c>
      <c r="H58" s="74">
        <v>8.4959989999999994</v>
      </c>
      <c r="I58" s="75">
        <v>0.143623</v>
      </c>
      <c r="J58" s="75">
        <v>-0.98894599999999999</v>
      </c>
      <c r="L58">
        <f>F58*$N$4</f>
        <v>11.065609728540771</v>
      </c>
    </row>
    <row r="59" spans="1:12" x14ac:dyDescent="0.2">
      <c r="A59" s="72">
        <v>44084.447916608799</v>
      </c>
      <c r="B59">
        <v>56</v>
      </c>
      <c r="C59" s="49"/>
      <c r="D59" s="49"/>
      <c r="E59" s="49"/>
      <c r="F59" s="49">
        <f t="shared" si="1"/>
        <v>0</v>
      </c>
      <c r="G59" s="49">
        <f t="shared" si="2"/>
        <v>0</v>
      </c>
      <c r="H59" s="73" t="s">
        <v>80</v>
      </c>
      <c r="I59" s="73"/>
      <c r="J59" s="73"/>
      <c r="L59">
        <f>F59*$N$4</f>
        <v>0</v>
      </c>
    </row>
    <row r="60" spans="1:12" x14ac:dyDescent="0.2">
      <c r="A60" s="72">
        <v>44084.947916608799</v>
      </c>
      <c r="B60">
        <v>57</v>
      </c>
      <c r="C60" s="49">
        <f t="shared" si="4"/>
        <v>5.0147719999999998</v>
      </c>
      <c r="D60" s="49">
        <f t="shared" si="4"/>
        <v>0.16939399999999999</v>
      </c>
      <c r="E60" s="49">
        <f t="shared" si="4"/>
        <v>-0.58448800000000001</v>
      </c>
      <c r="F60" s="49">
        <f t="shared" si="1"/>
        <v>5.692348</v>
      </c>
      <c r="G60" s="49">
        <f t="shared" si="2"/>
        <v>-0.41509400000000002</v>
      </c>
      <c r="H60" s="74">
        <v>5.0147719999999998</v>
      </c>
      <c r="I60" s="75">
        <v>0.16939399999999999</v>
      </c>
      <c r="J60" s="75">
        <v>-0.58448800000000001</v>
      </c>
      <c r="L60">
        <f>F60*$N$4</f>
        <v>6.9444202532188841</v>
      </c>
    </row>
    <row r="61" spans="1:12" x14ac:dyDescent="0.2">
      <c r="A61" s="72">
        <v>44085.447916608799</v>
      </c>
      <c r="B61">
        <v>58</v>
      </c>
      <c r="C61" s="49">
        <f t="shared" si="4"/>
        <v>7.4181949999999999</v>
      </c>
      <c r="D61" s="49">
        <f t="shared" si="4"/>
        <v>0.156196</v>
      </c>
      <c r="E61" s="49">
        <f t="shared" si="4"/>
        <v>-0.66880300000000004</v>
      </c>
      <c r="F61" s="49">
        <f t="shared" si="1"/>
        <v>8.042978999999999</v>
      </c>
      <c r="G61" s="49">
        <f t="shared" si="2"/>
        <v>-0.51260700000000003</v>
      </c>
      <c r="H61" s="74">
        <v>7.4181949999999999</v>
      </c>
      <c r="I61" s="75">
        <v>0.156196</v>
      </c>
      <c r="J61" s="75">
        <v>-0.66880300000000004</v>
      </c>
      <c r="L61">
        <f>F61*$N$4</f>
        <v>9.8120891877682404</v>
      </c>
    </row>
    <row r="62" spans="1:12" x14ac:dyDescent="0.2">
      <c r="A62" s="72">
        <v>44085.947916608799</v>
      </c>
      <c r="B62">
        <v>59</v>
      </c>
      <c r="C62" s="49">
        <f t="shared" si="4"/>
        <v>9.3892889999999998</v>
      </c>
      <c r="D62" s="49">
        <f t="shared" si="4"/>
        <v>0.16434599999999999</v>
      </c>
      <c r="E62" s="49">
        <f t="shared" si="4"/>
        <v>-0.89382200000000001</v>
      </c>
      <c r="F62" s="49">
        <f t="shared" si="1"/>
        <v>10.046673</v>
      </c>
      <c r="G62" s="49">
        <f t="shared" si="2"/>
        <v>-0.72947600000000001</v>
      </c>
      <c r="H62" s="74">
        <v>9.3892889999999998</v>
      </c>
      <c r="I62" s="75">
        <v>0.16434599999999999</v>
      </c>
      <c r="J62" s="75">
        <v>-0.89382200000000001</v>
      </c>
      <c r="L62">
        <f>F62*$N$4</f>
        <v>12.256509872317597</v>
      </c>
    </row>
    <row r="63" spans="1:12" x14ac:dyDescent="0.2">
      <c r="A63" s="72">
        <v>44086.447916608799</v>
      </c>
      <c r="B63">
        <v>60</v>
      </c>
      <c r="C63" s="49">
        <f t="shared" si="4"/>
        <v>10.495969000000001</v>
      </c>
      <c r="D63" s="49">
        <f t="shared" si="4"/>
        <v>0.13968800000000001</v>
      </c>
      <c r="E63" s="49">
        <f t="shared" si="4"/>
        <v>-0.93608499999999994</v>
      </c>
      <c r="F63" s="49">
        <f t="shared" si="1"/>
        <v>11.054721000000001</v>
      </c>
      <c r="G63" s="49">
        <f t="shared" si="2"/>
        <v>-0.79639699999999991</v>
      </c>
      <c r="H63" s="74">
        <v>10.495969000000001</v>
      </c>
      <c r="I63" s="75">
        <v>0.13968800000000001</v>
      </c>
      <c r="J63" s="75">
        <v>-0.93608499999999994</v>
      </c>
      <c r="L63">
        <f>F63*$N$4</f>
        <v>13.486285168454938</v>
      </c>
    </row>
    <row r="64" spans="1:12" x14ac:dyDescent="0.2">
      <c r="A64" s="72">
        <v>44086.947916608799</v>
      </c>
      <c r="B64">
        <v>61</v>
      </c>
      <c r="C64" s="49">
        <f t="shared" si="4"/>
        <v>10.69271</v>
      </c>
      <c r="D64" s="49">
        <f t="shared" si="4"/>
        <v>0.13016800000000001</v>
      </c>
      <c r="E64" s="49">
        <f t="shared" si="4"/>
        <v>-0.92903199999999997</v>
      </c>
      <c r="F64" s="49">
        <f t="shared" si="1"/>
        <v>11.213381999999999</v>
      </c>
      <c r="G64" s="49">
        <f t="shared" si="2"/>
        <v>-0.79886400000000002</v>
      </c>
      <c r="H64" s="74">
        <v>10.69271</v>
      </c>
      <c r="I64" s="75">
        <v>0.13016800000000001</v>
      </c>
      <c r="J64" s="75">
        <v>-0.92903199999999997</v>
      </c>
      <c r="L64">
        <f>F64*$N$4</f>
        <v>13.679844778969956</v>
      </c>
    </row>
    <row r="65" spans="1:12" x14ac:dyDescent="0.2">
      <c r="A65" s="72">
        <v>44087.447916608799</v>
      </c>
      <c r="B65">
        <v>62</v>
      </c>
      <c r="C65" s="49">
        <f t="shared" si="4"/>
        <v>10.565163</v>
      </c>
      <c r="D65" s="49">
        <f t="shared" si="4"/>
        <v>0.12313</v>
      </c>
      <c r="E65" s="49">
        <f t="shared" si="4"/>
        <v>-0.86966100000000002</v>
      </c>
      <c r="F65" s="49">
        <f t="shared" si="1"/>
        <v>11.057683000000001</v>
      </c>
      <c r="G65" s="49">
        <f t="shared" si="2"/>
        <v>-0.74653100000000006</v>
      </c>
      <c r="H65" s="74">
        <v>10.565163</v>
      </c>
      <c r="I65" s="75">
        <v>0.12313</v>
      </c>
      <c r="J65" s="75">
        <v>-0.86966100000000002</v>
      </c>
      <c r="L65">
        <f>F65*$N$4</f>
        <v>13.489898681330473</v>
      </c>
    </row>
    <row r="66" spans="1:12" x14ac:dyDescent="0.2">
      <c r="A66" s="72">
        <v>44087.947916608799</v>
      </c>
      <c r="B66">
        <v>63</v>
      </c>
      <c r="C66" s="49">
        <f t="shared" si="4"/>
        <v>10.178236</v>
      </c>
      <c r="D66" s="49">
        <f t="shared" si="4"/>
        <v>0.13488700000000001</v>
      </c>
      <c r="E66" s="49">
        <f t="shared" si="4"/>
        <v>-0.86693799999999999</v>
      </c>
      <c r="F66" s="49">
        <f t="shared" si="1"/>
        <v>10.717784</v>
      </c>
      <c r="G66" s="49">
        <f t="shared" si="2"/>
        <v>-0.73205100000000001</v>
      </c>
      <c r="H66" s="74">
        <v>10.178236</v>
      </c>
      <c r="I66" s="75">
        <v>0.13488700000000001</v>
      </c>
      <c r="J66" s="75">
        <v>-0.86693799999999999</v>
      </c>
      <c r="L66">
        <f>F66*$N$4</f>
        <v>13.075236489270386</v>
      </c>
    </row>
    <row r="67" spans="1:12" x14ac:dyDescent="0.2">
      <c r="A67" s="72">
        <v>44088.447916608799</v>
      </c>
      <c r="B67">
        <v>64</v>
      </c>
      <c r="C67" s="49">
        <f t="shared" si="4"/>
        <v>10.402301</v>
      </c>
      <c r="D67" s="49">
        <f t="shared" si="4"/>
        <v>0.13817499999999999</v>
      </c>
      <c r="E67" s="49">
        <f t="shared" si="4"/>
        <v>-0.87488100000000002</v>
      </c>
      <c r="F67" s="49">
        <f t="shared" si="1"/>
        <v>10.955000999999999</v>
      </c>
      <c r="G67" s="49">
        <f t="shared" si="2"/>
        <v>-0.73670600000000008</v>
      </c>
      <c r="H67" s="74">
        <v>10.402301</v>
      </c>
      <c r="I67" s="75">
        <v>0.13817499999999999</v>
      </c>
      <c r="J67" s="75">
        <v>-0.87488100000000002</v>
      </c>
      <c r="L67">
        <f>F67*$N$4</f>
        <v>13.364631048283261</v>
      </c>
    </row>
    <row r="68" spans="1:12" x14ac:dyDescent="0.2">
      <c r="A68" s="72">
        <v>44088.947916608799</v>
      </c>
      <c r="B68">
        <v>65</v>
      </c>
      <c r="C68" s="49">
        <f t="shared" si="4"/>
        <v>10.783239999999999</v>
      </c>
      <c r="D68" s="49">
        <f t="shared" si="4"/>
        <v>0.133711</v>
      </c>
      <c r="E68" s="49">
        <f t="shared" si="4"/>
        <v>-0.92144400000000004</v>
      </c>
      <c r="F68" s="49">
        <f t="shared" ref="F68:F100" si="5">C68+D68*4</f>
        <v>11.318083999999999</v>
      </c>
      <c r="G68" s="49">
        <f t="shared" ref="G68:G100" si="6">E68+D68</f>
        <v>-0.78773300000000002</v>
      </c>
      <c r="H68" s="74">
        <v>10.783239999999999</v>
      </c>
      <c r="I68" s="75">
        <v>0.133711</v>
      </c>
      <c r="J68" s="75">
        <v>-0.92144400000000004</v>
      </c>
      <c r="L68">
        <f>F68*$N$4</f>
        <v>13.807576725321887</v>
      </c>
    </row>
    <row r="69" spans="1:12" x14ac:dyDescent="0.2">
      <c r="A69" s="72">
        <v>44089.447916608799</v>
      </c>
      <c r="B69">
        <v>66</v>
      </c>
      <c r="C69" s="49">
        <f t="shared" si="4"/>
        <v>10.575198</v>
      </c>
      <c r="D69" s="49">
        <f t="shared" si="4"/>
        <v>0.13674500000000001</v>
      </c>
      <c r="E69" s="49">
        <f t="shared" si="4"/>
        <v>-0.93223599999999995</v>
      </c>
      <c r="F69" s="49">
        <f t="shared" si="5"/>
        <v>11.122178</v>
      </c>
      <c r="G69" s="49">
        <f t="shared" si="6"/>
        <v>-0.79549099999999995</v>
      </c>
      <c r="H69" s="74">
        <v>10.575198</v>
      </c>
      <c r="I69" s="75">
        <v>0.13674500000000001</v>
      </c>
      <c r="J69" s="75">
        <v>-0.93223599999999995</v>
      </c>
      <c r="L69">
        <f>F69*$N$4</f>
        <v>13.568579813304721</v>
      </c>
    </row>
    <row r="70" spans="1:12" x14ac:dyDescent="0.2">
      <c r="A70" s="72">
        <v>44089.947916608799</v>
      </c>
      <c r="B70">
        <v>67</v>
      </c>
      <c r="C70" s="49">
        <f t="shared" si="4"/>
        <v>10.581375</v>
      </c>
      <c r="D70" s="49">
        <f t="shared" si="4"/>
        <v>0.13062799999999999</v>
      </c>
      <c r="E70" s="49">
        <f t="shared" si="4"/>
        <v>-1.017752</v>
      </c>
      <c r="F70" s="49">
        <f t="shared" si="5"/>
        <v>11.103887</v>
      </c>
      <c r="G70" s="49">
        <f t="shared" si="6"/>
        <v>-0.88712400000000002</v>
      </c>
      <c r="H70" s="74">
        <v>10.581375</v>
      </c>
      <c r="I70" s="75">
        <v>0.13062799999999999</v>
      </c>
      <c r="J70" s="75">
        <v>-1.017752</v>
      </c>
      <c r="L70">
        <f>F70*$N$4</f>
        <v>13.546265578326182</v>
      </c>
    </row>
    <row r="71" spans="1:12" x14ac:dyDescent="0.2">
      <c r="A71" s="72">
        <v>44090.447916608799</v>
      </c>
      <c r="B71">
        <v>68</v>
      </c>
      <c r="C71" s="49">
        <f t="shared" si="4"/>
        <v>10.692330999999999</v>
      </c>
      <c r="D71" s="49">
        <f t="shared" si="4"/>
        <v>0.12579000000000001</v>
      </c>
      <c r="E71" s="49">
        <f t="shared" si="4"/>
        <v>-1.062684</v>
      </c>
      <c r="F71" s="49">
        <f t="shared" si="5"/>
        <v>11.195490999999999</v>
      </c>
      <c r="G71" s="49">
        <f t="shared" si="6"/>
        <v>-0.93689399999999989</v>
      </c>
      <c r="H71" s="74">
        <v>10.692330999999999</v>
      </c>
      <c r="I71" s="75">
        <v>0.12579000000000001</v>
      </c>
      <c r="J71" s="75">
        <v>-1.062684</v>
      </c>
      <c r="L71">
        <f>F71*$N$4</f>
        <v>13.658018526824034</v>
      </c>
    </row>
    <row r="72" spans="1:12" x14ac:dyDescent="0.2">
      <c r="A72" s="72">
        <v>44090.947916608799</v>
      </c>
      <c r="B72">
        <v>69</v>
      </c>
      <c r="C72" s="49">
        <f t="shared" si="4"/>
        <v>10.954174</v>
      </c>
      <c r="D72" s="49">
        <f t="shared" si="4"/>
        <v>0.12984599999999999</v>
      </c>
      <c r="E72" s="49">
        <f t="shared" si="4"/>
        <v>-1.05829</v>
      </c>
      <c r="F72" s="49">
        <f t="shared" si="5"/>
        <v>11.473558000000001</v>
      </c>
      <c r="G72" s="49">
        <f t="shared" si="6"/>
        <v>-0.92844399999999994</v>
      </c>
      <c r="H72" s="74">
        <v>10.954174</v>
      </c>
      <c r="I72" s="75">
        <v>0.12984599999999999</v>
      </c>
      <c r="J72" s="74">
        <v>-1.05829</v>
      </c>
      <c r="L72">
        <f>F72*$N$4</f>
        <v>13.997248332618026</v>
      </c>
    </row>
    <row r="73" spans="1:12" x14ac:dyDescent="0.2">
      <c r="A73" s="72">
        <v>44091.447916608799</v>
      </c>
      <c r="B73">
        <v>70</v>
      </c>
      <c r="C73" s="49"/>
      <c r="D73" s="49"/>
      <c r="E73" s="49"/>
      <c r="F73" s="49">
        <f t="shared" si="5"/>
        <v>0</v>
      </c>
      <c r="G73" s="49">
        <f t="shared" si="6"/>
        <v>0</v>
      </c>
      <c r="H73" s="73" t="s">
        <v>80</v>
      </c>
      <c r="I73" s="73"/>
      <c r="J73" s="73"/>
      <c r="L73">
        <f>F73*$N$4</f>
        <v>0</v>
      </c>
    </row>
    <row r="74" spans="1:12" x14ac:dyDescent="0.2">
      <c r="A74" s="72">
        <v>44091.947916608799</v>
      </c>
      <c r="B74">
        <v>71</v>
      </c>
      <c r="C74" s="49">
        <f t="shared" si="4"/>
        <v>3.5762480000000001</v>
      </c>
      <c r="D74" s="49">
        <f t="shared" si="4"/>
        <v>0.12976499999999999</v>
      </c>
      <c r="E74" s="49">
        <f t="shared" si="4"/>
        <v>-0.55393999999999999</v>
      </c>
      <c r="F74" s="49">
        <f t="shared" si="5"/>
        <v>4.0953080000000002</v>
      </c>
      <c r="G74" s="49">
        <f t="shared" si="6"/>
        <v>-0.42417499999999997</v>
      </c>
      <c r="H74" s="74">
        <v>3.5762480000000001</v>
      </c>
      <c r="I74" s="75">
        <v>0.12976499999999999</v>
      </c>
      <c r="J74" s="75">
        <v>-0.55393999999999999</v>
      </c>
      <c r="K74" t="s">
        <v>90</v>
      </c>
      <c r="L74">
        <f>F74*$N$4</f>
        <v>4.9960999957081551</v>
      </c>
    </row>
    <row r="75" spans="1:12" x14ac:dyDescent="0.2">
      <c r="A75" s="72">
        <v>44092.447916608799</v>
      </c>
      <c r="B75">
        <v>72</v>
      </c>
      <c r="C75" s="49">
        <f t="shared" si="4"/>
        <v>5.1984050000000002</v>
      </c>
      <c r="D75" s="49">
        <f t="shared" si="4"/>
        <v>0.12676599999999999</v>
      </c>
      <c r="E75" s="49">
        <f t="shared" si="4"/>
        <v>-0.55635100000000004</v>
      </c>
      <c r="F75" s="49">
        <f t="shared" si="5"/>
        <v>5.7054689999999999</v>
      </c>
      <c r="G75" s="49">
        <f t="shared" si="6"/>
        <v>-0.42958500000000005</v>
      </c>
      <c r="H75" s="74">
        <v>5.1984050000000002</v>
      </c>
      <c r="I75" s="75">
        <v>0.12676599999999999</v>
      </c>
      <c r="J75" s="75">
        <v>-0.55635100000000004</v>
      </c>
      <c r="L75">
        <f>F75*$N$4</f>
        <v>6.9604273100858371</v>
      </c>
    </row>
    <row r="76" spans="1:12" x14ac:dyDescent="0.2">
      <c r="A76" s="72">
        <v>44092.947916608799</v>
      </c>
      <c r="B76">
        <v>73</v>
      </c>
      <c r="C76" s="49">
        <f t="shared" si="4"/>
        <v>7.89079</v>
      </c>
      <c r="D76" s="49">
        <f t="shared" si="4"/>
        <v>0.123866</v>
      </c>
      <c r="E76" s="49">
        <f t="shared" si="4"/>
        <v>-0.65145699999999995</v>
      </c>
      <c r="F76" s="49">
        <f t="shared" si="5"/>
        <v>8.3862539999999992</v>
      </c>
      <c r="G76" s="49">
        <f t="shared" si="6"/>
        <v>-0.52759099999999992</v>
      </c>
      <c r="H76" s="74">
        <v>7.89079</v>
      </c>
      <c r="I76" s="75">
        <v>0.123866</v>
      </c>
      <c r="J76" s="75">
        <v>-0.65145699999999995</v>
      </c>
      <c r="L76">
        <f>F76*$N$4</f>
        <v>10.230869954935622</v>
      </c>
    </row>
    <row r="77" spans="1:12" x14ac:dyDescent="0.2">
      <c r="A77" s="72">
        <v>44093.447916608799</v>
      </c>
      <c r="B77">
        <v>74</v>
      </c>
      <c r="C77" s="49">
        <f t="shared" si="4"/>
        <v>10.677834000000001</v>
      </c>
      <c r="D77" s="49">
        <f t="shared" si="4"/>
        <v>0.12181500000000001</v>
      </c>
      <c r="E77" s="49">
        <f t="shared" si="4"/>
        <v>-0.88352299999999995</v>
      </c>
      <c r="F77" s="49">
        <f t="shared" si="5"/>
        <v>11.165094</v>
      </c>
      <c r="G77" s="49">
        <f t="shared" si="6"/>
        <v>-0.76170799999999994</v>
      </c>
      <c r="H77" s="74">
        <v>10.677834000000001</v>
      </c>
      <c r="I77" s="75">
        <v>0.12181500000000001</v>
      </c>
      <c r="J77" s="75">
        <v>-0.88352299999999995</v>
      </c>
      <c r="L77">
        <f>F77*$N$4</f>
        <v>13.62093549141631</v>
      </c>
    </row>
    <row r="78" spans="1:12" x14ac:dyDescent="0.2">
      <c r="A78" s="72">
        <v>44093.947916608799</v>
      </c>
      <c r="B78">
        <v>75</v>
      </c>
      <c r="C78" s="49">
        <f t="shared" si="4"/>
        <v>10.224671000000001</v>
      </c>
      <c r="D78" s="49">
        <f t="shared" si="4"/>
        <v>0.20016900000000001</v>
      </c>
      <c r="E78" s="49">
        <f t="shared" si="4"/>
        <v>-0.82979000000000003</v>
      </c>
      <c r="F78" s="49">
        <f t="shared" si="5"/>
        <v>11.025347</v>
      </c>
      <c r="G78" s="49">
        <f t="shared" si="6"/>
        <v>-0.62962099999999999</v>
      </c>
      <c r="H78" s="74">
        <v>10.224671000000001</v>
      </c>
      <c r="I78" s="75">
        <v>0.20016900000000001</v>
      </c>
      <c r="J78" s="75">
        <v>-0.82979000000000003</v>
      </c>
      <c r="L78">
        <f>F78*$N$4</f>
        <v>13.450450149141632</v>
      </c>
    </row>
    <row r="79" spans="1:12" x14ac:dyDescent="0.2">
      <c r="A79" s="72">
        <v>44094.447916608799</v>
      </c>
      <c r="B79">
        <v>76</v>
      </c>
      <c r="C79" s="49">
        <f t="shared" si="4"/>
        <v>11.491142</v>
      </c>
      <c r="D79" s="49">
        <f t="shared" si="4"/>
        <v>6.3614000000000004E-2</v>
      </c>
      <c r="E79" s="49">
        <f t="shared" si="4"/>
        <v>-0.80296800000000002</v>
      </c>
      <c r="F79" s="49">
        <f t="shared" si="5"/>
        <v>11.745597999999999</v>
      </c>
      <c r="G79" s="49">
        <f t="shared" si="6"/>
        <v>-0.73935400000000007</v>
      </c>
      <c r="H79" s="74">
        <v>11.491142</v>
      </c>
      <c r="I79" s="75">
        <v>6.3614000000000004E-2</v>
      </c>
      <c r="J79" s="75">
        <v>-0.80296800000000002</v>
      </c>
      <c r="L79">
        <f>F79*$N$4</f>
        <v>14.329125457081545</v>
      </c>
    </row>
    <row r="80" spans="1:12" x14ac:dyDescent="0.2">
      <c r="A80" s="72">
        <v>44094.947916608799</v>
      </c>
      <c r="B80">
        <v>77</v>
      </c>
      <c r="C80" s="49">
        <f t="shared" si="4"/>
        <v>11.591233000000001</v>
      </c>
      <c r="D80" s="49">
        <f t="shared" si="4"/>
        <v>8.9482999999999993E-2</v>
      </c>
      <c r="E80" s="49">
        <f t="shared" si="4"/>
        <v>-0.81265600000000004</v>
      </c>
      <c r="F80" s="49">
        <f t="shared" si="5"/>
        <v>11.949165000000001</v>
      </c>
      <c r="G80" s="49">
        <f t="shared" si="6"/>
        <v>-0.72317300000000007</v>
      </c>
      <c r="H80" s="74">
        <v>11.591233000000001</v>
      </c>
      <c r="I80" s="75">
        <v>8.9482999999999993E-2</v>
      </c>
      <c r="J80" s="75">
        <v>-0.81265600000000004</v>
      </c>
      <c r="L80">
        <f>F80*$N$4</f>
        <v>14.57746846030043</v>
      </c>
    </row>
    <row r="81" spans="1:12" x14ac:dyDescent="0.2">
      <c r="A81" s="72">
        <v>44095.447916608799</v>
      </c>
      <c r="B81">
        <v>78</v>
      </c>
      <c r="C81" s="49">
        <f t="shared" si="4"/>
        <v>11.073898</v>
      </c>
      <c r="D81" s="49">
        <f t="shared" si="4"/>
        <v>9.4279000000000002E-2</v>
      </c>
      <c r="E81" s="49">
        <f t="shared" si="4"/>
        <v>-0.77318799999999999</v>
      </c>
      <c r="F81" s="49">
        <f t="shared" si="5"/>
        <v>11.451014000000001</v>
      </c>
      <c r="G81" s="49">
        <f t="shared" si="6"/>
        <v>-0.67890899999999998</v>
      </c>
      <c r="H81" s="74">
        <v>11.073898</v>
      </c>
      <c r="I81" s="75">
        <v>9.4279000000000002E-2</v>
      </c>
      <c r="J81" s="75">
        <v>-0.77318799999999999</v>
      </c>
      <c r="L81">
        <f>F81*$N$4</f>
        <v>13.969745620171675</v>
      </c>
    </row>
    <row r="82" spans="1:12" x14ac:dyDescent="0.2">
      <c r="A82" s="72">
        <v>44095.947916608799</v>
      </c>
      <c r="B82">
        <v>79</v>
      </c>
      <c r="C82" s="49">
        <f t="shared" si="4"/>
        <v>11.297408000000001</v>
      </c>
      <c r="D82" s="49">
        <f t="shared" si="4"/>
        <v>8.3587999999999996E-2</v>
      </c>
      <c r="E82" s="49">
        <f t="shared" si="4"/>
        <v>-0.808674</v>
      </c>
      <c r="F82" s="49">
        <f t="shared" si="5"/>
        <v>11.63176</v>
      </c>
      <c r="G82" s="49">
        <f t="shared" si="6"/>
        <v>-0.72508600000000001</v>
      </c>
      <c r="H82" s="74">
        <v>11.297408000000001</v>
      </c>
      <c r="I82" s="75">
        <v>8.3587999999999996E-2</v>
      </c>
      <c r="J82" s="75">
        <v>-0.808674</v>
      </c>
      <c r="L82">
        <f>F82*$N$4</f>
        <v>14.190247982832618</v>
      </c>
    </row>
    <row r="83" spans="1:12" x14ac:dyDescent="0.2">
      <c r="A83" s="72">
        <v>44096.447916608799</v>
      </c>
      <c r="B83">
        <v>80</v>
      </c>
      <c r="C83" s="49">
        <f t="shared" si="4"/>
        <v>10.967608</v>
      </c>
      <c r="D83" s="49">
        <f t="shared" si="4"/>
        <v>8.6337999999999998E-2</v>
      </c>
      <c r="E83" s="49">
        <f t="shared" si="4"/>
        <v>-0.76976500000000003</v>
      </c>
      <c r="F83" s="49">
        <f t="shared" si="5"/>
        <v>11.31296</v>
      </c>
      <c r="G83" s="49">
        <f t="shared" si="6"/>
        <v>-0.68342700000000001</v>
      </c>
      <c r="H83" s="74">
        <v>10.967608</v>
      </c>
      <c r="I83" s="75">
        <v>8.6337999999999998E-2</v>
      </c>
      <c r="J83" s="75">
        <v>-0.76976500000000003</v>
      </c>
      <c r="L83">
        <f>F83*$N$4</f>
        <v>13.801325665236053</v>
      </c>
    </row>
    <row r="84" spans="1:12" x14ac:dyDescent="0.2">
      <c r="A84" s="72">
        <v>44096.947916608799</v>
      </c>
      <c r="B84">
        <v>81</v>
      </c>
      <c r="C84" s="49">
        <f t="shared" si="4"/>
        <v>10.747654000000001</v>
      </c>
      <c r="D84" s="49">
        <f t="shared" si="4"/>
        <v>9.6439999999999998E-2</v>
      </c>
      <c r="E84" s="49">
        <f t="shared" si="4"/>
        <v>-0.777169</v>
      </c>
      <c r="F84" s="49">
        <f t="shared" si="5"/>
        <v>11.133414</v>
      </c>
      <c r="G84" s="49">
        <f t="shared" si="6"/>
        <v>-0.68072900000000003</v>
      </c>
      <c r="H84" s="74">
        <v>10.747654000000001</v>
      </c>
      <c r="I84" s="75">
        <v>9.6439999999999998E-2</v>
      </c>
      <c r="J84" s="75">
        <v>-0.777169</v>
      </c>
      <c r="L84">
        <f>F84*$N$4</f>
        <v>13.582287251072962</v>
      </c>
    </row>
    <row r="85" spans="1:12" x14ac:dyDescent="0.2">
      <c r="A85" s="72">
        <v>44097.447916608799</v>
      </c>
      <c r="B85">
        <v>82</v>
      </c>
      <c r="C85" s="49">
        <f t="shared" si="4"/>
        <v>9.3432569999999995</v>
      </c>
      <c r="D85" s="49">
        <f t="shared" si="4"/>
        <v>9.2121999999999996E-2</v>
      </c>
      <c r="E85" s="49">
        <f t="shared" si="4"/>
        <v>-0.84093499999999999</v>
      </c>
      <c r="F85" s="49">
        <f t="shared" si="5"/>
        <v>9.7117449999999987</v>
      </c>
      <c r="G85" s="49">
        <f t="shared" si="6"/>
        <v>-0.74881299999999995</v>
      </c>
      <c r="H85" s="74">
        <v>9.3432569999999995</v>
      </c>
      <c r="I85" s="75">
        <v>9.2121999999999996E-2</v>
      </c>
      <c r="J85" s="75">
        <v>-0.84093499999999999</v>
      </c>
      <c r="L85">
        <f>F85*$N$4</f>
        <v>11.84791208690987</v>
      </c>
    </row>
    <row r="86" spans="1:12" x14ac:dyDescent="0.2">
      <c r="A86" s="72">
        <v>44097.947916608799</v>
      </c>
      <c r="B86">
        <v>83</v>
      </c>
      <c r="C86" s="49">
        <f t="shared" si="4"/>
        <v>10.396782</v>
      </c>
      <c r="D86" s="49">
        <f t="shared" si="4"/>
        <v>0.1028</v>
      </c>
      <c r="E86" s="49">
        <f t="shared" si="4"/>
        <v>-0.85408200000000001</v>
      </c>
      <c r="F86" s="49">
        <f t="shared" si="5"/>
        <v>10.807981999999999</v>
      </c>
      <c r="G86" s="49">
        <f t="shared" si="6"/>
        <v>-0.75128200000000001</v>
      </c>
      <c r="H86" s="74">
        <v>10.396782</v>
      </c>
      <c r="I86" s="75">
        <v>0.1028</v>
      </c>
      <c r="J86" s="75">
        <v>-0.85408200000000001</v>
      </c>
      <c r="L86">
        <f>F86*$N$4</f>
        <v>13.185274178111587</v>
      </c>
    </row>
    <row r="87" spans="1:12" x14ac:dyDescent="0.2">
      <c r="A87" s="72">
        <v>44098.447916608799</v>
      </c>
      <c r="B87">
        <v>84</v>
      </c>
      <c r="C87" s="49">
        <f t="shared" si="4"/>
        <v>11.058882000000001</v>
      </c>
      <c r="D87" s="49">
        <f t="shared" si="4"/>
        <v>0.11749800000000001</v>
      </c>
      <c r="E87" s="49">
        <f t="shared" si="4"/>
        <v>-0.943438</v>
      </c>
      <c r="F87" s="49">
        <f t="shared" si="5"/>
        <v>11.528874</v>
      </c>
      <c r="G87" s="49">
        <f t="shared" si="6"/>
        <v>-0.82594000000000001</v>
      </c>
      <c r="H87" s="74">
        <v>11.058882000000001</v>
      </c>
      <c r="I87" s="75">
        <v>0.11749800000000001</v>
      </c>
      <c r="J87" s="75">
        <v>-0.943438</v>
      </c>
      <c r="L87">
        <f>F87*$N$4</f>
        <v>14.064731478540773</v>
      </c>
    </row>
    <row r="88" spans="1:12" x14ac:dyDescent="0.2">
      <c r="A88" s="72">
        <v>44098.947916608799</v>
      </c>
      <c r="B88">
        <v>85</v>
      </c>
      <c r="C88" s="49">
        <f t="shared" si="4"/>
        <v>11.587270999999999</v>
      </c>
      <c r="D88" s="49">
        <f t="shared" si="4"/>
        <v>0.130851</v>
      </c>
      <c r="E88" s="49">
        <f t="shared" si="4"/>
        <v>-1.0967229999999999</v>
      </c>
      <c r="F88" s="49">
        <f t="shared" si="5"/>
        <v>12.110674999999999</v>
      </c>
      <c r="G88" s="49">
        <f t="shared" si="6"/>
        <v>-0.96587199999999984</v>
      </c>
      <c r="H88" s="74">
        <v>11.587270999999999</v>
      </c>
      <c r="I88" s="75">
        <v>0.130851</v>
      </c>
      <c r="J88" s="74">
        <v>-1.0967229999999999</v>
      </c>
      <c r="L88">
        <f>F88*$N$4</f>
        <v>14.774503728540772</v>
      </c>
    </row>
    <row r="89" spans="1:12" x14ac:dyDescent="0.2">
      <c r="A89" s="72">
        <v>44099.447916608799</v>
      </c>
      <c r="B89">
        <v>86</v>
      </c>
      <c r="C89" s="49">
        <v>0</v>
      </c>
      <c r="D89" s="49">
        <f t="shared" si="4"/>
        <v>0</v>
      </c>
      <c r="E89" s="49">
        <f t="shared" si="4"/>
        <v>0</v>
      </c>
      <c r="F89" s="49">
        <f t="shared" si="5"/>
        <v>0</v>
      </c>
      <c r="G89" s="49">
        <f t="shared" si="6"/>
        <v>0</v>
      </c>
      <c r="H89" s="73" t="s">
        <v>91</v>
      </c>
      <c r="I89" s="73"/>
      <c r="J89" s="73"/>
      <c r="L89">
        <f>F89*$N$4</f>
        <v>0</v>
      </c>
    </row>
    <row r="90" spans="1:12" x14ac:dyDescent="0.2">
      <c r="A90" s="72">
        <v>44099.947916608799</v>
      </c>
      <c r="B90">
        <v>87</v>
      </c>
      <c r="C90" s="49">
        <f t="shared" si="4"/>
        <v>11.029528000000001</v>
      </c>
      <c r="D90" s="49">
        <f t="shared" si="4"/>
        <v>0.10888299999999999</v>
      </c>
      <c r="E90" s="49">
        <f t="shared" si="4"/>
        <v>-1.0943240000000001</v>
      </c>
      <c r="F90" s="49">
        <f t="shared" si="5"/>
        <v>11.465060000000001</v>
      </c>
      <c r="G90" s="49">
        <f t="shared" si="6"/>
        <v>-0.98544100000000012</v>
      </c>
      <c r="H90" s="74">
        <v>11.029528000000001</v>
      </c>
      <c r="I90" s="75">
        <v>0.10888299999999999</v>
      </c>
      <c r="J90" s="74">
        <v>-1.0943240000000001</v>
      </c>
      <c r="L90">
        <f>F90*$N$4</f>
        <v>13.986881137339058</v>
      </c>
    </row>
    <row r="91" spans="1:12" x14ac:dyDescent="0.2">
      <c r="A91" s="72">
        <v>44100.447916608799</v>
      </c>
      <c r="B91">
        <v>88</v>
      </c>
      <c r="C91" s="49">
        <f t="shared" si="4"/>
        <v>11.438620999999999</v>
      </c>
      <c r="D91" s="49">
        <f t="shared" si="4"/>
        <v>0.122431</v>
      </c>
      <c r="E91" s="49">
        <f t="shared" si="4"/>
        <v>-1.1503810000000001</v>
      </c>
      <c r="F91" s="49">
        <f t="shared" si="5"/>
        <v>11.928345</v>
      </c>
      <c r="G91" s="49">
        <f t="shared" si="6"/>
        <v>-1.0279500000000001</v>
      </c>
      <c r="H91" s="74">
        <v>11.438620999999999</v>
      </c>
      <c r="I91" s="75">
        <v>0.122431</v>
      </c>
      <c r="J91" s="74">
        <v>-1.1503810000000001</v>
      </c>
      <c r="L91">
        <f>F91*$N$4</f>
        <v>14.552068953862662</v>
      </c>
    </row>
    <row r="92" spans="1:12" x14ac:dyDescent="0.2">
      <c r="A92" s="72">
        <v>44100.947916608799</v>
      </c>
      <c r="B92">
        <v>89</v>
      </c>
      <c r="C92" s="49">
        <f t="shared" si="4"/>
        <v>11.537303</v>
      </c>
      <c r="D92" s="49">
        <f t="shared" si="4"/>
        <v>0.115589</v>
      </c>
      <c r="E92" s="49">
        <f t="shared" si="4"/>
        <v>-1.159872</v>
      </c>
      <c r="F92" s="49">
        <f t="shared" si="5"/>
        <v>11.999658999999999</v>
      </c>
      <c r="G92" s="49">
        <f t="shared" si="6"/>
        <v>-1.0442830000000001</v>
      </c>
      <c r="H92" s="74">
        <v>11.537303</v>
      </c>
      <c r="I92" s="75">
        <v>0.115589</v>
      </c>
      <c r="J92" s="74">
        <v>-1.159872</v>
      </c>
      <c r="L92">
        <f>F92*$N$4</f>
        <v>14.639068973175966</v>
      </c>
    </row>
    <row r="93" spans="1:12" x14ac:dyDescent="0.2">
      <c r="A93" s="72">
        <v>44101.447916608799</v>
      </c>
      <c r="B93">
        <v>90</v>
      </c>
      <c r="C93" s="49">
        <f t="shared" si="4"/>
        <v>11.681967999999999</v>
      </c>
      <c r="D93" s="49">
        <f t="shared" si="4"/>
        <v>0.15024399999999999</v>
      </c>
      <c r="E93" s="49">
        <f t="shared" si="4"/>
        <v>-1.0540780000000001</v>
      </c>
      <c r="F93" s="49">
        <f t="shared" si="5"/>
        <v>12.282943999999999</v>
      </c>
      <c r="G93" s="49">
        <f t="shared" si="6"/>
        <v>-0.90383400000000003</v>
      </c>
      <c r="H93" s="74">
        <v>11.681967999999999</v>
      </c>
      <c r="I93" s="75">
        <v>0.15024399999999999</v>
      </c>
      <c r="J93" s="74">
        <v>-1.0540780000000001</v>
      </c>
      <c r="L93">
        <f>F93*$N$4</f>
        <v>14.984664515021459</v>
      </c>
    </row>
    <row r="94" spans="1:12" x14ac:dyDescent="0.2">
      <c r="A94" s="72">
        <v>44101.947916608799</v>
      </c>
      <c r="B94">
        <v>91</v>
      </c>
      <c r="C94" s="49">
        <f t="shared" si="4"/>
        <v>11.794101</v>
      </c>
      <c r="D94" s="49">
        <f t="shared" si="4"/>
        <v>0.151199</v>
      </c>
      <c r="E94" s="49">
        <f t="shared" si="4"/>
        <v>-1.062602</v>
      </c>
      <c r="F94" s="49">
        <f t="shared" si="5"/>
        <v>12.398897</v>
      </c>
      <c r="G94" s="49">
        <f t="shared" si="6"/>
        <v>-0.91140300000000007</v>
      </c>
      <c r="H94" s="74">
        <v>11.794101</v>
      </c>
      <c r="I94" s="75">
        <v>0.151199</v>
      </c>
      <c r="J94" s="74">
        <v>-1.062602</v>
      </c>
      <c r="L94">
        <f>F94*$N$4</f>
        <v>15.126122198497855</v>
      </c>
    </row>
    <row r="95" spans="1:12" x14ac:dyDescent="0.2">
      <c r="A95" s="72">
        <v>44102.447916608799</v>
      </c>
      <c r="B95">
        <v>92</v>
      </c>
      <c r="C95" s="49">
        <f t="shared" si="4"/>
        <v>11.443921</v>
      </c>
      <c r="D95" s="49">
        <f t="shared" si="4"/>
        <v>0.108573</v>
      </c>
      <c r="E95" s="49">
        <f t="shared" si="4"/>
        <v>-1.1474</v>
      </c>
      <c r="F95" s="49">
        <f t="shared" si="5"/>
        <v>11.878212999999999</v>
      </c>
      <c r="G95" s="49">
        <f t="shared" si="6"/>
        <v>-1.0388269999999999</v>
      </c>
      <c r="H95" s="74">
        <v>11.443921</v>
      </c>
      <c r="I95" s="75">
        <v>0.108573</v>
      </c>
      <c r="J95" s="74">
        <v>-1.1474</v>
      </c>
      <c r="L95">
        <f>F95*$N$4</f>
        <v>14.490910065450644</v>
      </c>
    </row>
    <row r="96" spans="1:12" x14ac:dyDescent="0.2">
      <c r="A96" s="72">
        <v>44102.947916608799</v>
      </c>
      <c r="B96">
        <v>93</v>
      </c>
      <c r="C96" s="49">
        <f t="shared" si="4"/>
        <v>11.499328999999999</v>
      </c>
      <c r="D96" s="49">
        <f t="shared" si="4"/>
        <v>0.117546</v>
      </c>
      <c r="E96" s="49">
        <f t="shared" si="4"/>
        <v>-1.22096</v>
      </c>
      <c r="F96" s="49">
        <f t="shared" si="5"/>
        <v>11.969512999999999</v>
      </c>
      <c r="G96" s="49">
        <f t="shared" si="6"/>
        <v>-1.1034140000000001</v>
      </c>
      <c r="H96" s="74">
        <v>11.499328999999999</v>
      </c>
      <c r="I96" s="75">
        <v>0.117546</v>
      </c>
      <c r="J96" s="74">
        <v>-1.22096</v>
      </c>
      <c r="L96">
        <f>F96*$N$4</f>
        <v>14.602292146995708</v>
      </c>
    </row>
    <row r="97" spans="1:12" x14ac:dyDescent="0.2">
      <c r="A97" s="72">
        <v>44103.447916608799</v>
      </c>
      <c r="B97">
        <v>94</v>
      </c>
      <c r="C97" s="49">
        <f t="shared" si="4"/>
        <v>11.396335000000001</v>
      </c>
      <c r="D97" s="49">
        <f t="shared" si="4"/>
        <v>0.11803</v>
      </c>
      <c r="E97" s="49">
        <f t="shared" si="4"/>
        <v>-1.6206590000000001</v>
      </c>
      <c r="F97" s="49">
        <f t="shared" si="5"/>
        <v>11.868455000000001</v>
      </c>
      <c r="G97" s="49">
        <f t="shared" si="6"/>
        <v>-1.502629</v>
      </c>
      <c r="H97" s="74">
        <v>11.396335000000001</v>
      </c>
      <c r="I97" s="75">
        <v>0.11803</v>
      </c>
      <c r="J97" s="74">
        <v>-1.6206590000000001</v>
      </c>
      <c r="L97">
        <f>F97*$N$4</f>
        <v>14.479005724248928</v>
      </c>
    </row>
    <row r="98" spans="1:12" x14ac:dyDescent="0.2">
      <c r="A98" s="72">
        <v>44103.947916608799</v>
      </c>
      <c r="B98">
        <v>95</v>
      </c>
      <c r="C98" s="49">
        <f t="shared" si="4"/>
        <v>11.332530999999999</v>
      </c>
      <c r="D98" s="49">
        <f t="shared" si="4"/>
        <v>0.11186599999999999</v>
      </c>
      <c r="E98" s="49">
        <f t="shared" si="4"/>
        <v>-1.5763240000000001</v>
      </c>
      <c r="F98" s="49">
        <f t="shared" si="5"/>
        <v>11.779995</v>
      </c>
      <c r="G98" s="49">
        <f t="shared" si="6"/>
        <v>-1.464458</v>
      </c>
      <c r="H98" s="74">
        <v>11.332530999999999</v>
      </c>
      <c r="I98" s="75">
        <v>0.11186599999999999</v>
      </c>
      <c r="J98" s="74">
        <v>-1.5763240000000001</v>
      </c>
      <c r="L98">
        <f>F98*$N$4</f>
        <v>14.371088320815451</v>
      </c>
    </row>
    <row r="99" spans="1:12" x14ac:dyDescent="0.2">
      <c r="A99" s="72">
        <v>44104.447916608799</v>
      </c>
      <c r="B99">
        <v>96</v>
      </c>
      <c r="C99" s="49">
        <f t="shared" si="4"/>
        <v>10.695444</v>
      </c>
      <c r="D99" s="49">
        <f t="shared" si="4"/>
        <v>0.126164</v>
      </c>
      <c r="E99" s="49">
        <f t="shared" si="4"/>
        <v>-1.877656</v>
      </c>
      <c r="F99" s="49">
        <f t="shared" si="5"/>
        <v>11.200100000000001</v>
      </c>
      <c r="G99" s="49">
        <f t="shared" si="6"/>
        <v>-1.751492</v>
      </c>
      <c r="H99" s="74">
        <v>10.695444</v>
      </c>
      <c r="I99" s="75">
        <v>0.126164</v>
      </c>
      <c r="J99" s="74">
        <v>-1.877656</v>
      </c>
      <c r="K99" t="s">
        <v>92</v>
      </c>
      <c r="L99">
        <f>F99*$N$4</f>
        <v>13.663641309012878</v>
      </c>
    </row>
    <row r="100" spans="1:12" x14ac:dyDescent="0.2">
      <c r="A100" s="72">
        <v>44104.947916608799</v>
      </c>
      <c r="B100">
        <v>97</v>
      </c>
      <c r="C100" s="49">
        <f t="shared" si="4"/>
        <v>11.409439000000001</v>
      </c>
      <c r="D100" s="49">
        <f t="shared" si="4"/>
        <v>0.137127</v>
      </c>
      <c r="E100" s="49">
        <f t="shared" si="4"/>
        <v>-1.5956630000000001</v>
      </c>
      <c r="F100" s="49">
        <f t="shared" si="5"/>
        <v>11.957947000000001</v>
      </c>
      <c r="G100" s="49">
        <f t="shared" si="6"/>
        <v>-1.4585360000000001</v>
      </c>
      <c r="H100" s="74">
        <v>11.409439000000001</v>
      </c>
      <c r="I100" s="75">
        <v>0.137127</v>
      </c>
      <c r="J100" s="74">
        <v>-1.5956630000000001</v>
      </c>
      <c r="L100">
        <f>F100*$N$4</f>
        <v>14.58818212339056</v>
      </c>
    </row>
    <row r="101" spans="1:12" x14ac:dyDescent="0.2">
      <c r="A101" s="72"/>
      <c r="C101" s="49"/>
      <c r="D101" s="49"/>
      <c r="E101" s="49"/>
      <c r="F101" s="49"/>
      <c r="G101" s="49"/>
    </row>
  </sheetData>
  <mergeCells count="7">
    <mergeCell ref="H47:J47"/>
    <mergeCell ref="H59:J59"/>
    <mergeCell ref="H89:J89"/>
    <mergeCell ref="H24:J24"/>
    <mergeCell ref="H73:J73"/>
    <mergeCell ref="C1:E1"/>
    <mergeCell ref="H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pH 7.0 overall</vt:lpstr>
      <vt:lpstr>pH 5.5 overall</vt:lpstr>
      <vt:lpstr>pH 7.0 cumulative gases</vt:lpstr>
      <vt:lpstr>pH 5.5 cumulative gases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Office-gebruiker</dc:creator>
  <cp:lastModifiedBy>Microsoft Office-gebruiker</cp:lastModifiedBy>
  <dcterms:created xsi:type="dcterms:W3CDTF">2023-06-28T07:51:28Z</dcterms:created>
  <dcterms:modified xsi:type="dcterms:W3CDTF">2023-06-28T07:58:37Z</dcterms:modified>
</cp:coreProperties>
</file>