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mi\Desktop\Working in PhD offline\Dilute acid paper\"/>
    </mc:Choice>
  </mc:AlternateContent>
  <bookViews>
    <workbookView xWindow="0" yWindow="0" windowWidth="19200" windowHeight="7530" activeTab="1"/>
  </bookViews>
  <sheets>
    <sheet name="Raw data" sheetId="3" r:id="rId1"/>
    <sheet name="Conditions" sheetId="8" r:id="rId2"/>
  </sheets>
  <calcPr calcId="162913"/>
</workbook>
</file>

<file path=xl/calcChain.xml><?xml version="1.0" encoding="utf-8"?>
<calcChain xmlns="http://schemas.openxmlformats.org/spreadsheetml/2006/main">
  <c r="BS58" i="3" l="1"/>
  <c r="BR58" i="3"/>
  <c r="BL58" i="3"/>
  <c r="BK58" i="3"/>
  <c r="BM58" i="3" s="1"/>
  <c r="BE58" i="3"/>
  <c r="BF58" i="3" s="1"/>
  <c r="AP58" i="3"/>
  <c r="AO58" i="3"/>
  <c r="AI58" i="3"/>
  <c r="AH58" i="3"/>
  <c r="AJ58" i="3" s="1"/>
  <c r="U58" i="3"/>
  <c r="T58" i="3"/>
  <c r="V58" i="3" s="1"/>
  <c r="O58" i="3"/>
  <c r="N58" i="3"/>
  <c r="M58" i="3"/>
  <c r="G58" i="3"/>
  <c r="F58" i="3"/>
  <c r="H58" i="3" s="1"/>
  <c r="AQ58" i="3" l="1"/>
  <c r="BT58" i="3"/>
  <c r="N37" i="8" l="1"/>
  <c r="N36" i="8"/>
  <c r="P37" i="8"/>
  <c r="N35" i="8"/>
  <c r="J35" i="8"/>
  <c r="N34" i="8"/>
  <c r="N33" i="8"/>
  <c r="O32" i="8"/>
  <c r="N32" i="8"/>
  <c r="N31" i="8"/>
  <c r="N30" i="8"/>
  <c r="N29" i="8"/>
  <c r="J29" i="8"/>
  <c r="N28" i="8"/>
  <c r="J28" i="8"/>
  <c r="N27" i="8"/>
  <c r="N26" i="8"/>
  <c r="N25" i="8"/>
  <c r="J25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N24" i="8"/>
  <c r="J24" i="8"/>
  <c r="J23" i="8"/>
  <c r="P23" i="8"/>
  <c r="N23" i="8"/>
  <c r="N20" i="8" l="1"/>
  <c r="J20" i="8"/>
  <c r="N19" i="8"/>
  <c r="J19" i="8"/>
  <c r="N18" i="8"/>
  <c r="J18" i="8"/>
  <c r="N21" i="8"/>
  <c r="J21" i="8"/>
  <c r="N16" i="8"/>
  <c r="N15" i="8"/>
  <c r="N14" i="8"/>
  <c r="N13" i="8"/>
  <c r="N12" i="8"/>
  <c r="N11" i="8"/>
  <c r="J11" i="8"/>
  <c r="N10" i="8"/>
  <c r="J7" i="8" l="1"/>
  <c r="N6" i="8"/>
  <c r="J6" i="8"/>
  <c r="N5" i="8" l="1"/>
  <c r="J5" i="8"/>
  <c r="J4" i="8"/>
  <c r="J8" i="8"/>
  <c r="J9" i="8"/>
  <c r="P3" i="8" l="1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BS86" i="3" l="1"/>
  <c r="BR86" i="3"/>
  <c r="BT86" i="3" s="1"/>
  <c r="BS85" i="3"/>
  <c r="BT85" i="3" s="1"/>
  <c r="BR85" i="3"/>
  <c r="BS84" i="3"/>
  <c r="BR84" i="3"/>
  <c r="BS83" i="3"/>
  <c r="BR83" i="3"/>
  <c r="BL86" i="3"/>
  <c r="BK86" i="3"/>
  <c r="BM86" i="3" s="1"/>
  <c r="BM85" i="3"/>
  <c r="BL85" i="3"/>
  <c r="BK85" i="3"/>
  <c r="BL84" i="3"/>
  <c r="BK84" i="3"/>
  <c r="BM84" i="3" s="1"/>
  <c r="BL83" i="3"/>
  <c r="BK83" i="3"/>
  <c r="BM83" i="3" s="1"/>
  <c r="BE86" i="3"/>
  <c r="BD86" i="3"/>
  <c r="BF86" i="3" s="1"/>
  <c r="BE85" i="3"/>
  <c r="BD85" i="3"/>
  <c r="BF85" i="3" s="1"/>
  <c r="BE84" i="3"/>
  <c r="BD84" i="3"/>
  <c r="BE83" i="3"/>
  <c r="BD83" i="3"/>
  <c r="BF83" i="3" s="1"/>
  <c r="AP86" i="3"/>
  <c r="AO86" i="3"/>
  <c r="AP85" i="3"/>
  <c r="AO85" i="3"/>
  <c r="AQ85" i="3" s="1"/>
  <c r="AP84" i="3"/>
  <c r="AO84" i="3"/>
  <c r="AQ84" i="3" s="1"/>
  <c r="AP83" i="3"/>
  <c r="AO83" i="3"/>
  <c r="AQ83" i="3" s="1"/>
  <c r="AI86" i="3"/>
  <c r="AH86" i="3"/>
  <c r="AJ86" i="3" s="1"/>
  <c r="AI85" i="3"/>
  <c r="AH85" i="3"/>
  <c r="AI84" i="3"/>
  <c r="AH84" i="3"/>
  <c r="AJ84" i="3" s="1"/>
  <c r="AI83" i="3"/>
  <c r="AH83" i="3"/>
  <c r="AB83" i="3"/>
  <c r="AA83" i="3"/>
  <c r="AC83" i="3" s="1"/>
  <c r="U86" i="3"/>
  <c r="T86" i="3"/>
  <c r="U85" i="3"/>
  <c r="T85" i="3"/>
  <c r="V85" i="3" s="1"/>
  <c r="U84" i="3"/>
  <c r="T84" i="3"/>
  <c r="U83" i="3"/>
  <c r="T83" i="3"/>
  <c r="V83" i="3" s="1"/>
  <c r="N86" i="3"/>
  <c r="M86" i="3"/>
  <c r="O86" i="3" s="1"/>
  <c r="N85" i="3"/>
  <c r="M85" i="3"/>
  <c r="N84" i="3"/>
  <c r="M84" i="3"/>
  <c r="O84" i="3" s="1"/>
  <c r="N83" i="3"/>
  <c r="M83" i="3"/>
  <c r="F84" i="3"/>
  <c r="G84" i="3"/>
  <c r="F85" i="3"/>
  <c r="H85" i="3" s="1"/>
  <c r="G85" i="3"/>
  <c r="F86" i="3"/>
  <c r="G86" i="3"/>
  <c r="G83" i="3"/>
  <c r="F83" i="3"/>
  <c r="BS81" i="3"/>
  <c r="BR81" i="3"/>
  <c r="BT80" i="3"/>
  <c r="BS80" i="3"/>
  <c r="BR80" i="3"/>
  <c r="BS79" i="3"/>
  <c r="BT79" i="3"/>
  <c r="BS78" i="3"/>
  <c r="BR78" i="3"/>
  <c r="BT78" i="3" s="1"/>
  <c r="BS77" i="3"/>
  <c r="BT77" i="3" s="1"/>
  <c r="BT76" i="3"/>
  <c r="BS76" i="3"/>
  <c r="BR76" i="3"/>
  <c r="BS75" i="3"/>
  <c r="BT75" i="3"/>
  <c r="BS74" i="3"/>
  <c r="BR74" i="3"/>
  <c r="BT74" i="3" s="1"/>
  <c r="BS73" i="3"/>
  <c r="BR73" i="3"/>
  <c r="BS72" i="3"/>
  <c r="BR72" i="3"/>
  <c r="BT72" i="3" s="1"/>
  <c r="BS71" i="3"/>
  <c r="BR71" i="3"/>
  <c r="BS70" i="3"/>
  <c r="BR70" i="3"/>
  <c r="BT70" i="3" s="1"/>
  <c r="BS69" i="3"/>
  <c r="BT69" i="3" s="1"/>
  <c r="BR69" i="3"/>
  <c r="BS68" i="3"/>
  <c r="BR68" i="3"/>
  <c r="BT68" i="3" s="1"/>
  <c r="BL81" i="3"/>
  <c r="BK81" i="3"/>
  <c r="BM81" i="3" s="1"/>
  <c r="BL80" i="3"/>
  <c r="BK80" i="3"/>
  <c r="BL79" i="3"/>
  <c r="BL78" i="3"/>
  <c r="BK78" i="3"/>
  <c r="BM78" i="3" s="1"/>
  <c r="BL77" i="3"/>
  <c r="BM77" i="3"/>
  <c r="BL76" i="3"/>
  <c r="BK76" i="3"/>
  <c r="BL75" i="3"/>
  <c r="BL74" i="3"/>
  <c r="BK74" i="3"/>
  <c r="BM74" i="3" s="1"/>
  <c r="BL73" i="3"/>
  <c r="BM73" i="3"/>
  <c r="BL72" i="3"/>
  <c r="BM72" i="3" s="1"/>
  <c r="BK72" i="3"/>
  <c r="BL71" i="3"/>
  <c r="BK71" i="3"/>
  <c r="BL70" i="3"/>
  <c r="BM70" i="3" s="1"/>
  <c r="BL69" i="3"/>
  <c r="BK69" i="3"/>
  <c r="BM69" i="3" s="1"/>
  <c r="BM68" i="3"/>
  <c r="BL68" i="3"/>
  <c r="BK68" i="3"/>
  <c r="BE81" i="3"/>
  <c r="BD81" i="3"/>
  <c r="BF81" i="3" s="1"/>
  <c r="BE80" i="3"/>
  <c r="BD80" i="3"/>
  <c r="BF80" i="3" s="1"/>
  <c r="BE79" i="3"/>
  <c r="BE78" i="3"/>
  <c r="BD78" i="3"/>
  <c r="BF78" i="3" s="1"/>
  <c r="BE77" i="3"/>
  <c r="BF77" i="3"/>
  <c r="BE76" i="3"/>
  <c r="BD76" i="3"/>
  <c r="BF76" i="3" s="1"/>
  <c r="BE75" i="3"/>
  <c r="BE74" i="3"/>
  <c r="BD74" i="3"/>
  <c r="BF74" i="3" s="1"/>
  <c r="BE73" i="3"/>
  <c r="BD73" i="3"/>
  <c r="BF73" i="3" s="1"/>
  <c r="BE72" i="3"/>
  <c r="BD72" i="3"/>
  <c r="BF72" i="3" s="1"/>
  <c r="BE71" i="3"/>
  <c r="BF71" i="3" s="1"/>
  <c r="BD71" i="3"/>
  <c r="BE70" i="3"/>
  <c r="BD70" i="3"/>
  <c r="BF70" i="3" s="1"/>
  <c r="BE69" i="3"/>
  <c r="BD69" i="3"/>
  <c r="BE68" i="3"/>
  <c r="BD68" i="3"/>
  <c r="BF68" i="3" s="1"/>
  <c r="AP81" i="3"/>
  <c r="AO81" i="3"/>
  <c r="AP80" i="3"/>
  <c r="AO80" i="3"/>
  <c r="AQ80" i="3" s="1"/>
  <c r="AP79" i="3"/>
  <c r="AP78" i="3"/>
  <c r="AO78" i="3"/>
  <c r="AQ78" i="3" s="1"/>
  <c r="AP77" i="3"/>
  <c r="AP76" i="3"/>
  <c r="AO76" i="3"/>
  <c r="AQ76" i="3" s="1"/>
  <c r="AP75" i="3"/>
  <c r="AP74" i="3"/>
  <c r="AO74" i="3"/>
  <c r="AQ74" i="3" s="1"/>
  <c r="AP73" i="3"/>
  <c r="AO73" i="3"/>
  <c r="AP72" i="3"/>
  <c r="AO72" i="3"/>
  <c r="AQ72" i="3" s="1"/>
  <c r="AP71" i="3"/>
  <c r="AO71" i="3"/>
  <c r="AQ71" i="3" s="1"/>
  <c r="AP70" i="3"/>
  <c r="AO70" i="3"/>
  <c r="AQ70" i="3" s="1"/>
  <c r="AP69" i="3"/>
  <c r="AO69" i="3"/>
  <c r="AQ69" i="3" s="1"/>
  <c r="AP68" i="3"/>
  <c r="AQ68" i="3" s="1"/>
  <c r="AO68" i="3"/>
  <c r="AI81" i="3"/>
  <c r="AH81" i="3"/>
  <c r="AJ80" i="3"/>
  <c r="AI80" i="3"/>
  <c r="AH80" i="3"/>
  <c r="AI79" i="3"/>
  <c r="AJ79" i="3"/>
  <c r="AI78" i="3"/>
  <c r="AH78" i="3"/>
  <c r="AJ78" i="3" s="1"/>
  <c r="AI77" i="3"/>
  <c r="AJ76" i="3"/>
  <c r="AI76" i="3"/>
  <c r="AH76" i="3"/>
  <c r="AI75" i="3"/>
  <c r="AJ75" i="3"/>
  <c r="AI74" i="3"/>
  <c r="AJ74" i="3"/>
  <c r="AI73" i="3"/>
  <c r="AH73" i="3"/>
  <c r="AI72" i="3"/>
  <c r="AH72" i="3"/>
  <c r="AJ72" i="3" s="1"/>
  <c r="AI71" i="3"/>
  <c r="AH71" i="3"/>
  <c r="AI70" i="3"/>
  <c r="AH70" i="3"/>
  <c r="AJ70" i="3" s="1"/>
  <c r="AI69" i="3"/>
  <c r="AJ69" i="3" s="1"/>
  <c r="AH69" i="3"/>
  <c r="AI68" i="3"/>
  <c r="AH68" i="3"/>
  <c r="AJ68" i="3" s="1"/>
  <c r="AB78" i="3"/>
  <c r="AC78" i="3"/>
  <c r="AB77" i="3"/>
  <c r="AC77" i="3"/>
  <c r="AB76" i="3"/>
  <c r="AA76" i="3"/>
  <c r="AC76" i="3" s="1"/>
  <c r="AB75" i="3"/>
  <c r="AB74" i="3"/>
  <c r="AA74" i="3"/>
  <c r="AC74" i="3" s="1"/>
  <c r="AB72" i="3"/>
  <c r="AC72" i="3" s="1"/>
  <c r="AA72" i="3"/>
  <c r="AB71" i="3"/>
  <c r="AA71" i="3"/>
  <c r="AC71" i="3" s="1"/>
  <c r="AB70" i="3"/>
  <c r="AA70" i="3"/>
  <c r="AB69" i="3"/>
  <c r="AA69" i="3"/>
  <c r="AC69" i="3" s="1"/>
  <c r="AC68" i="3"/>
  <c r="AB68" i="3"/>
  <c r="AA68" i="3"/>
  <c r="U81" i="3"/>
  <c r="T81" i="3"/>
  <c r="V81" i="3" s="1"/>
  <c r="U80" i="3"/>
  <c r="T80" i="3"/>
  <c r="V80" i="3" s="1"/>
  <c r="U79" i="3"/>
  <c r="U78" i="3"/>
  <c r="T78" i="3"/>
  <c r="V78" i="3" s="1"/>
  <c r="U77" i="3"/>
  <c r="V77" i="3"/>
  <c r="U76" i="3"/>
  <c r="T76" i="3"/>
  <c r="V76" i="3" s="1"/>
  <c r="U75" i="3"/>
  <c r="U74" i="3"/>
  <c r="T74" i="3"/>
  <c r="V74" i="3" s="1"/>
  <c r="U73" i="3"/>
  <c r="T73" i="3"/>
  <c r="V73" i="3" s="1"/>
  <c r="U72" i="3"/>
  <c r="T72" i="3"/>
  <c r="V72" i="3" s="1"/>
  <c r="U71" i="3"/>
  <c r="V71" i="3" s="1"/>
  <c r="T71" i="3"/>
  <c r="U70" i="3"/>
  <c r="T70" i="3"/>
  <c r="V70" i="3" s="1"/>
  <c r="U69" i="3"/>
  <c r="T69" i="3"/>
  <c r="U68" i="3"/>
  <c r="T68" i="3"/>
  <c r="V68" i="3" s="1"/>
  <c r="N81" i="3"/>
  <c r="M81" i="3"/>
  <c r="O81" i="3" s="1"/>
  <c r="N80" i="3"/>
  <c r="O80" i="3" s="1"/>
  <c r="M80" i="3"/>
  <c r="N79" i="3"/>
  <c r="O79" i="3" s="1"/>
  <c r="N78" i="3"/>
  <c r="M78" i="3"/>
  <c r="O78" i="3" s="1"/>
  <c r="N77" i="3"/>
  <c r="O77" i="3"/>
  <c r="N76" i="3"/>
  <c r="O76" i="3" s="1"/>
  <c r="M76" i="3"/>
  <c r="N75" i="3"/>
  <c r="O75" i="3" s="1"/>
  <c r="N74" i="3"/>
  <c r="M74" i="3"/>
  <c r="O74" i="3" s="1"/>
  <c r="N73" i="3"/>
  <c r="M73" i="3"/>
  <c r="O73" i="3" s="1"/>
  <c r="N72" i="3"/>
  <c r="M72" i="3"/>
  <c r="N71" i="3"/>
  <c r="M71" i="3"/>
  <c r="N70" i="3"/>
  <c r="M70" i="3"/>
  <c r="N69" i="3"/>
  <c r="M69" i="3"/>
  <c r="O69" i="3" s="1"/>
  <c r="O68" i="3"/>
  <c r="N68" i="3"/>
  <c r="M68" i="3"/>
  <c r="F69" i="3"/>
  <c r="G69" i="3"/>
  <c r="F70" i="3"/>
  <c r="G70" i="3"/>
  <c r="F71" i="3"/>
  <c r="G71" i="3"/>
  <c r="F72" i="3"/>
  <c r="G72" i="3"/>
  <c r="H72" i="3"/>
  <c r="F73" i="3"/>
  <c r="H73" i="3" s="1"/>
  <c r="G73" i="3"/>
  <c r="F74" i="3"/>
  <c r="G74" i="3"/>
  <c r="G75" i="3"/>
  <c r="H75" i="3" s="1"/>
  <c r="F76" i="3"/>
  <c r="G76" i="3"/>
  <c r="H76" i="3"/>
  <c r="H77" i="3"/>
  <c r="G77" i="3"/>
  <c r="F78" i="3"/>
  <c r="G78" i="3"/>
  <c r="G79" i="3"/>
  <c r="H79" i="3" s="1"/>
  <c r="F80" i="3"/>
  <c r="G80" i="3"/>
  <c r="H80" i="3"/>
  <c r="F81" i="3"/>
  <c r="H81" i="3" s="1"/>
  <c r="G81" i="3"/>
  <c r="G68" i="3"/>
  <c r="F68" i="3"/>
  <c r="H68" i="3" s="1"/>
  <c r="BS66" i="3"/>
  <c r="BR66" i="3"/>
  <c r="BS65" i="3"/>
  <c r="BR65" i="3"/>
  <c r="BT65" i="3" s="1"/>
  <c r="BS64" i="3"/>
  <c r="BR64" i="3"/>
  <c r="BT64" i="3" s="1"/>
  <c r="BS63" i="3"/>
  <c r="BR63" i="3"/>
  <c r="BT63" i="3" s="1"/>
  <c r="BS62" i="3"/>
  <c r="BT62" i="3"/>
  <c r="BS61" i="3"/>
  <c r="BT61" i="3" s="1"/>
  <c r="BR61" i="3"/>
  <c r="BS60" i="3"/>
  <c r="BR60" i="3"/>
  <c r="BT60" i="3" s="1"/>
  <c r="BL66" i="3"/>
  <c r="BK66" i="3"/>
  <c r="BL65" i="3"/>
  <c r="BK65" i="3"/>
  <c r="BM65" i="3" s="1"/>
  <c r="BL64" i="3"/>
  <c r="BK64" i="3"/>
  <c r="BM64" i="3" s="1"/>
  <c r="BL63" i="3"/>
  <c r="BK63" i="3"/>
  <c r="BM63" i="3" s="1"/>
  <c r="BL62" i="3"/>
  <c r="BM62" i="3"/>
  <c r="BL61" i="3"/>
  <c r="BM61" i="3" s="1"/>
  <c r="BK61" i="3"/>
  <c r="BL60" i="3"/>
  <c r="BK60" i="3"/>
  <c r="BM60" i="3" s="1"/>
  <c r="BE66" i="3"/>
  <c r="BD66" i="3"/>
  <c r="BE65" i="3"/>
  <c r="BD65" i="3"/>
  <c r="BF65" i="3" s="1"/>
  <c r="BE64" i="3"/>
  <c r="BD64" i="3"/>
  <c r="BE63" i="3"/>
  <c r="BD63" i="3"/>
  <c r="BF63" i="3" s="1"/>
  <c r="BE62" i="3"/>
  <c r="BF62" i="3"/>
  <c r="BE61" i="3"/>
  <c r="BF61" i="3" s="1"/>
  <c r="BD61" i="3"/>
  <c r="BE60" i="3"/>
  <c r="BD60" i="3"/>
  <c r="AP66" i="3"/>
  <c r="AO66" i="3"/>
  <c r="AP65" i="3"/>
  <c r="AO65" i="3"/>
  <c r="AQ65" i="3" s="1"/>
  <c r="AP64" i="3"/>
  <c r="AO64" i="3"/>
  <c r="AP63" i="3"/>
  <c r="AO63" i="3"/>
  <c r="AQ63" i="3" s="1"/>
  <c r="AP62" i="3"/>
  <c r="AQ62" i="3"/>
  <c r="AP61" i="3"/>
  <c r="AQ61" i="3" s="1"/>
  <c r="AO61" i="3"/>
  <c r="AP60" i="3"/>
  <c r="AO60" i="3"/>
  <c r="AI66" i="3"/>
  <c r="AH66" i="3"/>
  <c r="AI65" i="3"/>
  <c r="AH65" i="3"/>
  <c r="AJ65" i="3" s="1"/>
  <c r="AI64" i="3"/>
  <c r="AH64" i="3"/>
  <c r="AJ64" i="3" s="1"/>
  <c r="AI63" i="3"/>
  <c r="AH63" i="3"/>
  <c r="AJ63" i="3" s="1"/>
  <c r="AI62" i="3"/>
  <c r="AJ62" i="3"/>
  <c r="AI61" i="3"/>
  <c r="AJ61" i="3" s="1"/>
  <c r="AH61" i="3"/>
  <c r="AI60" i="3"/>
  <c r="AH60" i="3"/>
  <c r="AA63" i="3"/>
  <c r="AC63" i="3" s="1"/>
  <c r="AB63" i="3"/>
  <c r="AB66" i="3"/>
  <c r="AA66" i="3"/>
  <c r="AC66" i="3" s="1"/>
  <c r="AC65" i="3"/>
  <c r="AB65" i="3"/>
  <c r="AA65" i="3"/>
  <c r="AB64" i="3"/>
  <c r="AA64" i="3"/>
  <c r="AB62" i="3"/>
  <c r="AC62" i="3"/>
  <c r="AC61" i="3"/>
  <c r="AB61" i="3"/>
  <c r="AA61" i="3"/>
  <c r="AB60" i="3"/>
  <c r="AA60" i="3"/>
  <c r="T61" i="3"/>
  <c r="U61" i="3"/>
  <c r="U62" i="3"/>
  <c r="T63" i="3"/>
  <c r="U63" i="3"/>
  <c r="T64" i="3"/>
  <c r="V64" i="3" s="1"/>
  <c r="U64" i="3"/>
  <c r="T65" i="3"/>
  <c r="U65" i="3"/>
  <c r="T66" i="3"/>
  <c r="V66" i="3" s="1"/>
  <c r="U66" i="3"/>
  <c r="U60" i="3"/>
  <c r="T60" i="3"/>
  <c r="M61" i="3"/>
  <c r="O61" i="3" s="1"/>
  <c r="N61" i="3"/>
  <c r="N62" i="3"/>
  <c r="O62" i="3" s="1"/>
  <c r="M63" i="3"/>
  <c r="N63" i="3"/>
  <c r="M64" i="3"/>
  <c r="N64" i="3"/>
  <c r="O64" i="3"/>
  <c r="M65" i="3"/>
  <c r="N65" i="3"/>
  <c r="M66" i="3"/>
  <c r="N66" i="3"/>
  <c r="N60" i="3"/>
  <c r="M60" i="3"/>
  <c r="O60" i="3" s="1"/>
  <c r="F61" i="3"/>
  <c r="G61" i="3"/>
  <c r="G62" i="3"/>
  <c r="H62" i="3" s="1"/>
  <c r="F63" i="3"/>
  <c r="G63" i="3"/>
  <c r="H63" i="3" s="1"/>
  <c r="F64" i="3"/>
  <c r="G64" i="3"/>
  <c r="H64" i="3"/>
  <c r="F65" i="3"/>
  <c r="H65" i="3" s="1"/>
  <c r="G65" i="3"/>
  <c r="F66" i="3"/>
  <c r="G66" i="3"/>
  <c r="G60" i="3"/>
  <c r="F60" i="3"/>
  <c r="BS57" i="3"/>
  <c r="BT57" i="3" s="1"/>
  <c r="BS56" i="3"/>
  <c r="BT56" i="3" s="1"/>
  <c r="BS55" i="3"/>
  <c r="BT55" i="3" s="1"/>
  <c r="BS54" i="3"/>
  <c r="BT54" i="3" s="1"/>
  <c r="BS53" i="3"/>
  <c r="BT53" i="3" s="1"/>
  <c r="BS52" i="3"/>
  <c r="BT52" i="3" s="1"/>
  <c r="BS51" i="3"/>
  <c r="BT51" i="3" s="1"/>
  <c r="BS50" i="3"/>
  <c r="BT50" i="3" s="1"/>
  <c r="BS49" i="3"/>
  <c r="BT49" i="3" s="1"/>
  <c r="BS48" i="3"/>
  <c r="BT48" i="3" s="1"/>
  <c r="BS47" i="3"/>
  <c r="BT47" i="3" s="1"/>
  <c r="BL57" i="3"/>
  <c r="BL56" i="3"/>
  <c r="BL55" i="3"/>
  <c r="BL54" i="3"/>
  <c r="BL53" i="3"/>
  <c r="BL52" i="3"/>
  <c r="BL51" i="3"/>
  <c r="BL50" i="3"/>
  <c r="BL49" i="3"/>
  <c r="BL48" i="3"/>
  <c r="BL47" i="3"/>
  <c r="BE57" i="3"/>
  <c r="BE56" i="3"/>
  <c r="BE55" i="3"/>
  <c r="BE54" i="3"/>
  <c r="BE53" i="3"/>
  <c r="BE52" i="3"/>
  <c r="BE51" i="3"/>
  <c r="BE50" i="3"/>
  <c r="BE49" i="3"/>
  <c r="BE48" i="3"/>
  <c r="BE47" i="3"/>
  <c r="AI57" i="3"/>
  <c r="AI56" i="3"/>
  <c r="AI55" i="3"/>
  <c r="AI54" i="3"/>
  <c r="AI53" i="3"/>
  <c r="AI52" i="3"/>
  <c r="AI51" i="3"/>
  <c r="AB57" i="3"/>
  <c r="AB56" i="3"/>
  <c r="AB55" i="3"/>
  <c r="AB54" i="3"/>
  <c r="AB53" i="3"/>
  <c r="AB52" i="3"/>
  <c r="AB51" i="3"/>
  <c r="AB50" i="3"/>
  <c r="AB49" i="3"/>
  <c r="AB48" i="3"/>
  <c r="AB47" i="3"/>
  <c r="U57" i="3"/>
  <c r="U56" i="3"/>
  <c r="U55" i="3"/>
  <c r="U54" i="3"/>
  <c r="U53" i="3"/>
  <c r="U52" i="3"/>
  <c r="U51" i="3"/>
  <c r="U50" i="3"/>
  <c r="U49" i="3"/>
  <c r="U48" i="3"/>
  <c r="U47" i="3"/>
  <c r="N57" i="3"/>
  <c r="N56" i="3"/>
  <c r="N55" i="3"/>
  <c r="N54" i="3"/>
  <c r="N53" i="3"/>
  <c r="N52" i="3"/>
  <c r="N51" i="3"/>
  <c r="N50" i="3"/>
  <c r="N49" i="3"/>
  <c r="N48" i="3"/>
  <c r="N47" i="3"/>
  <c r="G47" i="3"/>
  <c r="G48" i="3"/>
  <c r="G49" i="3"/>
  <c r="G50" i="3"/>
  <c r="G51" i="3"/>
  <c r="G52" i="3"/>
  <c r="G53" i="3"/>
  <c r="G54" i="3"/>
  <c r="G55" i="3"/>
  <c r="G56" i="3"/>
  <c r="G57" i="3"/>
  <c r="H56" i="3" l="1"/>
  <c r="H52" i="3"/>
  <c r="H48" i="3"/>
  <c r="H60" i="3"/>
  <c r="H71" i="3"/>
  <c r="V75" i="3"/>
  <c r="V79" i="3"/>
  <c r="O53" i="3"/>
  <c r="V50" i="3"/>
  <c r="AC47" i="3"/>
  <c r="AC55" i="3"/>
  <c r="AJ56" i="3"/>
  <c r="BF53" i="3"/>
  <c r="BM50" i="3"/>
  <c r="BF75" i="3"/>
  <c r="H51" i="3"/>
  <c r="O66" i="3"/>
  <c r="AC60" i="3"/>
  <c r="AC64" i="3"/>
  <c r="H69" i="3"/>
  <c r="O72" i="3"/>
  <c r="O54" i="3"/>
  <c r="V55" i="3"/>
  <c r="AC56" i="3"/>
  <c r="AJ57" i="3"/>
  <c r="BF54" i="3"/>
  <c r="BM51" i="3"/>
  <c r="BT73" i="3"/>
  <c r="AJ85" i="3"/>
  <c r="H50" i="3"/>
  <c r="H66" i="3"/>
  <c r="V60" i="3"/>
  <c r="V65" i="3"/>
  <c r="V63" i="3"/>
  <c r="AJ60" i="3"/>
  <c r="AQ60" i="3"/>
  <c r="BF60" i="3"/>
  <c r="H78" i="3"/>
  <c r="H74" i="3"/>
  <c r="O71" i="3"/>
  <c r="AJ81" i="3"/>
  <c r="O47" i="3"/>
  <c r="O51" i="3"/>
  <c r="O55" i="3"/>
  <c r="V48" i="3"/>
  <c r="V52" i="3"/>
  <c r="V56" i="3"/>
  <c r="AC49" i="3"/>
  <c r="AC53" i="3"/>
  <c r="AC57" i="3"/>
  <c r="AJ54" i="3"/>
  <c r="BF47" i="3"/>
  <c r="BF51" i="3"/>
  <c r="BF55" i="3"/>
  <c r="BM48" i="3"/>
  <c r="BM52" i="3"/>
  <c r="BM56" i="3"/>
  <c r="BM71" i="3"/>
  <c r="BM75" i="3"/>
  <c r="BM79" i="3"/>
  <c r="BT81" i="3"/>
  <c r="H84" i="3"/>
  <c r="BT84" i="3"/>
  <c r="AC75" i="3"/>
  <c r="O49" i="3"/>
  <c r="O57" i="3"/>
  <c r="V54" i="3"/>
  <c r="AC51" i="3"/>
  <c r="AJ52" i="3"/>
  <c r="BF49" i="3"/>
  <c r="BF57" i="3"/>
  <c r="BM54" i="3"/>
  <c r="BF79" i="3"/>
  <c r="BF84" i="3"/>
  <c r="H55" i="3"/>
  <c r="H61" i="3"/>
  <c r="V62" i="3"/>
  <c r="AJ73" i="3"/>
  <c r="AJ77" i="3"/>
  <c r="H47" i="3"/>
  <c r="O50" i="3"/>
  <c r="V47" i="3"/>
  <c r="V51" i="3"/>
  <c r="AC48" i="3"/>
  <c r="AC52" i="3"/>
  <c r="AJ53" i="3"/>
  <c r="BF50" i="3"/>
  <c r="BM47" i="3"/>
  <c r="BM55" i="3"/>
  <c r="BM76" i="3"/>
  <c r="BM80" i="3"/>
  <c r="H86" i="3"/>
  <c r="O85" i="3"/>
  <c r="H54" i="3"/>
  <c r="H57" i="3"/>
  <c r="H53" i="3"/>
  <c r="H49" i="3"/>
  <c r="O65" i="3"/>
  <c r="O63" i="3"/>
  <c r="V61" i="3"/>
  <c r="AJ66" i="3"/>
  <c r="AQ64" i="3"/>
  <c r="AQ66" i="3"/>
  <c r="BF64" i="3"/>
  <c r="BF66" i="3"/>
  <c r="BM66" i="3"/>
  <c r="BT66" i="3"/>
  <c r="H70" i="3"/>
  <c r="O70" i="3"/>
  <c r="V69" i="3"/>
  <c r="AC70" i="3"/>
  <c r="AJ71" i="3"/>
  <c r="AQ73" i="3"/>
  <c r="AQ77" i="3"/>
  <c r="AQ81" i="3"/>
  <c r="O48" i="3"/>
  <c r="O52" i="3"/>
  <c r="O56" i="3"/>
  <c r="V49" i="3"/>
  <c r="V53" i="3"/>
  <c r="V57" i="3"/>
  <c r="AC50" i="3"/>
  <c r="AC54" i="3"/>
  <c r="AJ51" i="3"/>
  <c r="AJ55" i="3"/>
  <c r="BF48" i="3"/>
  <c r="BF52" i="3"/>
  <c r="BF56" i="3"/>
  <c r="BM49" i="3"/>
  <c r="BM53" i="3"/>
  <c r="BM57" i="3"/>
  <c r="AQ75" i="3"/>
  <c r="BF69" i="3"/>
  <c r="BT71" i="3"/>
  <c r="H83" i="3"/>
  <c r="O83" i="3"/>
  <c r="V84" i="3"/>
  <c r="V86" i="3"/>
  <c r="AJ83" i="3"/>
  <c r="AQ86" i="3"/>
  <c r="BT83" i="3"/>
  <c r="AQ79" i="3"/>
  <c r="BE42" i="3"/>
  <c r="BU45" i="3"/>
  <c r="BU44" i="3"/>
  <c r="BU43" i="3"/>
  <c r="BU42" i="3"/>
  <c r="BY42" i="3" s="1"/>
  <c r="BN45" i="3"/>
  <c r="BN44" i="3"/>
  <c r="BS44" i="3" s="1"/>
  <c r="BN43" i="3"/>
  <c r="BN42" i="3"/>
  <c r="BG45" i="3"/>
  <c r="BK45" i="3" s="1"/>
  <c r="BG44" i="3"/>
  <c r="BG43" i="3"/>
  <c r="BG42" i="3"/>
  <c r="AZ45" i="3"/>
  <c r="BD45" i="3" s="1"/>
  <c r="AZ44" i="3"/>
  <c r="AZ43" i="3"/>
  <c r="AR45" i="3"/>
  <c r="AR44" i="3"/>
  <c r="AW44" i="3" s="1"/>
  <c r="AR43" i="3"/>
  <c r="AR42" i="3"/>
  <c r="AV42" i="3" s="1"/>
  <c r="AK45" i="3"/>
  <c r="AK44" i="3"/>
  <c r="AO44" i="3" s="1"/>
  <c r="AK43" i="3"/>
  <c r="AP43" i="3" s="1"/>
  <c r="AK42" i="3"/>
  <c r="AO42" i="3" s="1"/>
  <c r="W45" i="3"/>
  <c r="W44" i="3"/>
  <c r="AB44" i="3" s="1"/>
  <c r="W43" i="3"/>
  <c r="AB43" i="3" s="1"/>
  <c r="W42" i="3"/>
  <c r="AB42" i="3" s="1"/>
  <c r="P45" i="3"/>
  <c r="T45" i="3" s="1"/>
  <c r="P44" i="3"/>
  <c r="T44" i="3" s="1"/>
  <c r="P43" i="3"/>
  <c r="U43" i="3" s="1"/>
  <c r="P42" i="3"/>
  <c r="U42" i="3" s="1"/>
  <c r="I45" i="3"/>
  <c r="M45" i="3" s="1"/>
  <c r="I44" i="3"/>
  <c r="M44" i="3" s="1"/>
  <c r="I43" i="3"/>
  <c r="M43" i="3" s="1"/>
  <c r="I42" i="3"/>
  <c r="N42" i="3" s="1"/>
  <c r="B45" i="3"/>
  <c r="F45" i="3" s="1"/>
  <c r="B44" i="3"/>
  <c r="F44" i="3" s="1"/>
  <c r="B43" i="3"/>
  <c r="G43" i="3" s="1"/>
  <c r="B42" i="3"/>
  <c r="G42" i="3" s="1"/>
  <c r="U45" i="3" l="1"/>
  <c r="F42" i="3"/>
  <c r="H42" i="3" s="1"/>
  <c r="AA44" i="3"/>
  <c r="AC44" i="3" s="1"/>
  <c r="G44" i="3"/>
  <c r="N45" i="3"/>
  <c r="BD44" i="3"/>
  <c r="BE44" i="3"/>
  <c r="T43" i="3"/>
  <c r="V43" i="3" s="1"/>
  <c r="BR45" i="3"/>
  <c r="BS45" i="3"/>
  <c r="BY45" i="3"/>
  <c r="BZ45" i="3"/>
  <c r="M42" i="3"/>
  <c r="O42" i="3" s="1"/>
  <c r="N43" i="3"/>
  <c r="AA42" i="3"/>
  <c r="AC42" i="3" s="1"/>
  <c r="AA43" i="3"/>
  <c r="AC43" i="3" s="1"/>
  <c r="AW42" i="3"/>
  <c r="AV43" i="3"/>
  <c r="AW43" i="3"/>
  <c r="BK44" i="3"/>
  <c r="BL44" i="3"/>
  <c r="BZ44" i="3"/>
  <c r="BY44" i="3"/>
  <c r="F43" i="3"/>
  <c r="H43" i="3" s="1"/>
  <c r="G45" i="3"/>
  <c r="N44" i="3"/>
  <c r="U44" i="3"/>
  <c r="AP44" i="3"/>
  <c r="BL45" i="3"/>
  <c r="BR44" i="3"/>
  <c r="BT44" i="3" s="1"/>
  <c r="AA45" i="3"/>
  <c r="AB45" i="3"/>
  <c r="AO45" i="3"/>
  <c r="AP45" i="3"/>
  <c r="AV45" i="3"/>
  <c r="AW45" i="3"/>
  <c r="BL42" i="3"/>
  <c r="BK42" i="3"/>
  <c r="BS42" i="3"/>
  <c r="BR42" i="3"/>
  <c r="BD43" i="3"/>
  <c r="BE43" i="3"/>
  <c r="BK43" i="3"/>
  <c r="BL43" i="3"/>
  <c r="BR43" i="3"/>
  <c r="BS43" i="3"/>
  <c r="BY43" i="3"/>
  <c r="BZ43" i="3"/>
  <c r="T42" i="3"/>
  <c r="V42" i="3" s="1"/>
  <c r="AP42" i="3"/>
  <c r="AO43" i="3"/>
  <c r="AQ43" i="3" s="1"/>
  <c r="AV44" i="3"/>
  <c r="AX44" i="3" s="1"/>
  <c r="BE45" i="3"/>
  <c r="BZ42" i="3"/>
  <c r="BF42" i="3"/>
  <c r="BU40" i="3"/>
  <c r="BU39" i="3"/>
  <c r="BU38" i="3"/>
  <c r="BU37" i="3"/>
  <c r="BU36" i="3"/>
  <c r="BU35" i="3"/>
  <c r="BU34" i="3"/>
  <c r="BU33" i="3"/>
  <c r="BU32" i="3"/>
  <c r="BU31" i="3"/>
  <c r="BU30" i="3"/>
  <c r="BU29" i="3"/>
  <c r="BU28" i="3"/>
  <c r="BU27" i="3"/>
  <c r="BN40" i="3"/>
  <c r="BN39" i="3"/>
  <c r="BN38" i="3"/>
  <c r="BN37" i="3"/>
  <c r="BN36" i="3"/>
  <c r="BN35" i="3"/>
  <c r="BN34" i="3"/>
  <c r="BN33" i="3"/>
  <c r="BN32" i="3"/>
  <c r="BN31" i="3"/>
  <c r="BN30" i="3"/>
  <c r="BN29" i="3"/>
  <c r="BN28" i="3"/>
  <c r="BN27" i="3"/>
  <c r="BG40" i="3"/>
  <c r="BG39" i="3"/>
  <c r="BG38" i="3"/>
  <c r="BG37" i="3"/>
  <c r="BG36" i="3"/>
  <c r="BG35" i="3"/>
  <c r="BG34" i="3"/>
  <c r="BG33" i="3"/>
  <c r="BG32" i="3"/>
  <c r="BG31" i="3"/>
  <c r="BG30" i="3"/>
  <c r="BG29" i="3"/>
  <c r="BG28" i="3"/>
  <c r="BG27" i="3"/>
  <c r="AZ40" i="3"/>
  <c r="AZ39" i="3"/>
  <c r="AZ38" i="3"/>
  <c r="AZ37" i="3"/>
  <c r="AZ36" i="3"/>
  <c r="AZ35" i="3"/>
  <c r="AZ34" i="3"/>
  <c r="AZ33" i="3"/>
  <c r="AZ32" i="3"/>
  <c r="AZ31" i="3"/>
  <c r="AZ30" i="3"/>
  <c r="AZ29" i="3"/>
  <c r="AZ28" i="3"/>
  <c r="AZ27" i="3"/>
  <c r="AR40" i="3"/>
  <c r="AR39" i="3"/>
  <c r="AR38" i="3"/>
  <c r="AR37" i="3"/>
  <c r="AR36" i="3"/>
  <c r="AR35" i="3"/>
  <c r="AR34" i="3"/>
  <c r="AR33" i="3"/>
  <c r="AR32" i="3"/>
  <c r="AR31" i="3"/>
  <c r="AR30" i="3"/>
  <c r="AR29" i="3"/>
  <c r="AR28" i="3"/>
  <c r="AR27" i="3"/>
  <c r="AK40" i="3"/>
  <c r="AK39" i="3"/>
  <c r="AK38" i="3"/>
  <c r="AK37" i="3"/>
  <c r="AK36" i="3"/>
  <c r="AK35" i="3"/>
  <c r="AK34" i="3"/>
  <c r="AK33" i="3"/>
  <c r="AK32" i="3"/>
  <c r="AK31" i="3"/>
  <c r="AK30" i="3"/>
  <c r="AK29" i="3"/>
  <c r="AK28" i="3"/>
  <c r="AK27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AQ44" i="3" l="1"/>
  <c r="V44" i="3"/>
  <c r="CA42" i="3"/>
  <c r="AQ42" i="3"/>
  <c r="O44" i="3"/>
  <c r="O43" i="3"/>
  <c r="H44" i="3"/>
  <c r="BF45" i="3"/>
  <c r="BM45" i="3"/>
  <c r="H45" i="3"/>
  <c r="AX42" i="3"/>
  <c r="O45" i="3"/>
  <c r="V45" i="3"/>
  <c r="BT43" i="3"/>
  <c r="BF43" i="3"/>
  <c r="BT45" i="3"/>
  <c r="CA43" i="3"/>
  <c r="AX45" i="3"/>
  <c r="AC45" i="3"/>
  <c r="CA44" i="3"/>
  <c r="BM44" i="3"/>
  <c r="BF44" i="3"/>
  <c r="F37" i="3"/>
  <c r="G37" i="3"/>
  <c r="N35" i="3"/>
  <c r="M35" i="3"/>
  <c r="U33" i="3"/>
  <c r="T33" i="3"/>
  <c r="AB27" i="3"/>
  <c r="AA27" i="3"/>
  <c r="AA39" i="3"/>
  <c r="AB39" i="3"/>
  <c r="F30" i="3"/>
  <c r="G30" i="3"/>
  <c r="F38" i="3"/>
  <c r="G38" i="3"/>
  <c r="M32" i="3"/>
  <c r="N32" i="3"/>
  <c r="M40" i="3"/>
  <c r="N40" i="3"/>
  <c r="U38" i="3"/>
  <c r="T38" i="3"/>
  <c r="AB32" i="3"/>
  <c r="AA32" i="3"/>
  <c r="AA40" i="3"/>
  <c r="AB40" i="3"/>
  <c r="AO33" i="3"/>
  <c r="AP33" i="3"/>
  <c r="AV31" i="3"/>
  <c r="AW31" i="3"/>
  <c r="AV39" i="3"/>
  <c r="AW39" i="3"/>
  <c r="BD33" i="3"/>
  <c r="BE33" i="3"/>
  <c r="BK31" i="3"/>
  <c r="BL31" i="3"/>
  <c r="BK39" i="3"/>
  <c r="BL39" i="3"/>
  <c r="BZ27" i="3"/>
  <c r="BY27" i="3"/>
  <c r="G27" i="3"/>
  <c r="F27" i="3"/>
  <c r="G31" i="3"/>
  <c r="F31" i="3"/>
  <c r="F35" i="3"/>
  <c r="G35" i="3"/>
  <c r="G39" i="3"/>
  <c r="F39" i="3"/>
  <c r="M29" i="3"/>
  <c r="N29" i="3"/>
  <c r="M33" i="3"/>
  <c r="N33" i="3"/>
  <c r="N37" i="3"/>
  <c r="M37" i="3"/>
  <c r="T27" i="3"/>
  <c r="U27" i="3"/>
  <c r="T31" i="3"/>
  <c r="U31" i="3"/>
  <c r="U35" i="3"/>
  <c r="T35" i="3"/>
  <c r="T39" i="3"/>
  <c r="U39" i="3"/>
  <c r="AB29" i="3"/>
  <c r="AA29" i="3"/>
  <c r="AA33" i="3"/>
  <c r="AB33" i="3"/>
  <c r="AA37" i="3"/>
  <c r="AB37" i="3"/>
  <c r="AP30" i="3"/>
  <c r="AO30" i="3"/>
  <c r="AO34" i="3"/>
  <c r="AP34" i="3"/>
  <c r="AO38" i="3"/>
  <c r="AP38" i="3"/>
  <c r="AV28" i="3"/>
  <c r="AW28" i="3"/>
  <c r="AW32" i="3"/>
  <c r="AV32" i="3"/>
  <c r="AV36" i="3"/>
  <c r="AW36" i="3"/>
  <c r="AW40" i="3"/>
  <c r="AV40" i="3"/>
  <c r="BE30" i="3"/>
  <c r="BD30" i="3"/>
  <c r="BD34" i="3"/>
  <c r="BF34" i="3" s="1"/>
  <c r="BE34" i="3"/>
  <c r="BE38" i="3"/>
  <c r="BD38" i="3"/>
  <c r="BK28" i="3"/>
  <c r="BM28" i="3" s="1"/>
  <c r="BL28" i="3"/>
  <c r="BK32" i="3"/>
  <c r="BL32" i="3"/>
  <c r="BK36" i="3"/>
  <c r="BM36" i="3" s="1"/>
  <c r="BL36" i="3"/>
  <c r="BK40" i="3"/>
  <c r="BL40" i="3"/>
  <c r="BS30" i="3"/>
  <c r="BR30" i="3"/>
  <c r="BR34" i="3"/>
  <c r="BS34" i="3"/>
  <c r="BS38" i="3"/>
  <c r="BR38" i="3"/>
  <c r="BY28" i="3"/>
  <c r="BZ28" i="3"/>
  <c r="BY32" i="3"/>
  <c r="CA32" i="3" s="1"/>
  <c r="BZ32" i="3"/>
  <c r="BZ36" i="3"/>
  <c r="BY36" i="3"/>
  <c r="BY40" i="3"/>
  <c r="CA40" i="3" s="1"/>
  <c r="BZ40" i="3"/>
  <c r="CA45" i="3"/>
  <c r="N27" i="3"/>
  <c r="M27" i="3"/>
  <c r="N39" i="3"/>
  <c r="M39" i="3"/>
  <c r="U37" i="3"/>
  <c r="T37" i="3"/>
  <c r="AB35" i="3"/>
  <c r="AA35" i="3"/>
  <c r="AP32" i="3"/>
  <c r="AO32" i="3"/>
  <c r="G34" i="3"/>
  <c r="F34" i="3"/>
  <c r="N28" i="3"/>
  <c r="M28" i="3"/>
  <c r="M36" i="3"/>
  <c r="N36" i="3"/>
  <c r="T34" i="3"/>
  <c r="U34" i="3"/>
  <c r="AA28" i="3"/>
  <c r="AB28" i="3"/>
  <c r="AA36" i="3"/>
  <c r="AB36" i="3"/>
  <c r="AP29" i="3"/>
  <c r="AO29" i="3"/>
  <c r="AW27" i="3"/>
  <c r="AV27" i="3"/>
  <c r="AW35" i="3"/>
  <c r="AV35" i="3"/>
  <c r="BD29" i="3"/>
  <c r="BE29" i="3"/>
  <c r="BK27" i="3"/>
  <c r="BL27" i="3"/>
  <c r="BK35" i="3"/>
  <c r="BL35" i="3"/>
  <c r="BS33" i="3"/>
  <c r="BR33" i="3"/>
  <c r="BZ31" i="3"/>
  <c r="BY31" i="3"/>
  <c r="BY39" i="3"/>
  <c r="BZ39" i="3"/>
  <c r="F28" i="3"/>
  <c r="G28" i="3"/>
  <c r="F32" i="3"/>
  <c r="G32" i="3"/>
  <c r="F36" i="3"/>
  <c r="G36" i="3"/>
  <c r="F40" i="3"/>
  <c r="G40" i="3"/>
  <c r="N30" i="3"/>
  <c r="M30" i="3"/>
  <c r="M34" i="3"/>
  <c r="N34" i="3"/>
  <c r="M38" i="3"/>
  <c r="N38" i="3"/>
  <c r="T28" i="3"/>
  <c r="U28" i="3"/>
  <c r="T32" i="3"/>
  <c r="U32" i="3"/>
  <c r="T36" i="3"/>
  <c r="U36" i="3"/>
  <c r="T40" i="3"/>
  <c r="U40" i="3"/>
  <c r="AA30" i="3"/>
  <c r="AB30" i="3"/>
  <c r="AB34" i="3"/>
  <c r="AA34" i="3"/>
  <c r="AA38" i="3"/>
  <c r="AB38" i="3"/>
  <c r="AP27" i="3"/>
  <c r="AO27" i="3"/>
  <c r="AO31" i="3"/>
  <c r="AP31" i="3"/>
  <c r="AP35" i="3"/>
  <c r="AO35" i="3"/>
  <c r="AO39" i="3"/>
  <c r="AP39" i="3"/>
  <c r="AW29" i="3"/>
  <c r="AV29" i="3"/>
  <c r="AV33" i="3"/>
  <c r="AW33" i="3"/>
  <c r="AW37" i="3"/>
  <c r="AV37" i="3"/>
  <c r="BE27" i="3"/>
  <c r="BD27" i="3"/>
  <c r="BD31" i="3"/>
  <c r="BE31" i="3"/>
  <c r="BD35" i="3"/>
  <c r="BE35" i="3"/>
  <c r="BD39" i="3"/>
  <c r="BE39" i="3"/>
  <c r="BK29" i="3"/>
  <c r="BL29" i="3"/>
  <c r="BK33" i="3"/>
  <c r="BL33" i="3"/>
  <c r="BK37" i="3"/>
  <c r="BL37" i="3"/>
  <c r="BR27" i="3"/>
  <c r="BS27" i="3"/>
  <c r="BR31" i="3"/>
  <c r="BS31" i="3"/>
  <c r="BS35" i="3"/>
  <c r="BR35" i="3"/>
  <c r="BR39" i="3"/>
  <c r="BS39" i="3"/>
  <c r="BZ29" i="3"/>
  <c r="BY29" i="3"/>
  <c r="BY33" i="3"/>
  <c r="BZ33" i="3"/>
  <c r="BY37" i="3"/>
  <c r="BZ37" i="3"/>
  <c r="BM43" i="3"/>
  <c r="BM42" i="3"/>
  <c r="AQ45" i="3"/>
  <c r="AX43" i="3"/>
  <c r="G29" i="3"/>
  <c r="F29" i="3"/>
  <c r="M31" i="3"/>
  <c r="N31" i="3"/>
  <c r="U29" i="3"/>
  <c r="T29" i="3"/>
  <c r="AA31" i="3"/>
  <c r="AB31" i="3"/>
  <c r="AO28" i="3"/>
  <c r="AP28" i="3"/>
  <c r="AO36" i="3"/>
  <c r="AP36" i="3"/>
  <c r="AP40" i="3"/>
  <c r="AO40" i="3"/>
  <c r="AV30" i="3"/>
  <c r="AW30" i="3"/>
  <c r="AV34" i="3"/>
  <c r="AW34" i="3"/>
  <c r="AW38" i="3"/>
  <c r="AV38" i="3"/>
  <c r="BD28" i="3"/>
  <c r="BE28" i="3"/>
  <c r="BD32" i="3"/>
  <c r="BE32" i="3"/>
  <c r="BD36" i="3"/>
  <c r="BE36" i="3"/>
  <c r="BD40" i="3"/>
  <c r="BE40" i="3"/>
  <c r="BL30" i="3"/>
  <c r="BK30" i="3"/>
  <c r="BK34" i="3"/>
  <c r="BL34" i="3"/>
  <c r="BL38" i="3"/>
  <c r="BK38" i="3"/>
  <c r="BR28" i="3"/>
  <c r="BS28" i="3"/>
  <c r="BR32" i="3"/>
  <c r="BS32" i="3"/>
  <c r="BR36" i="3"/>
  <c r="BS36" i="3"/>
  <c r="BR40" i="3"/>
  <c r="BS40" i="3"/>
  <c r="BY30" i="3"/>
  <c r="BZ30" i="3"/>
  <c r="BY34" i="3"/>
  <c r="BZ34" i="3"/>
  <c r="BZ38" i="3"/>
  <c r="BY38" i="3"/>
  <c r="BT42" i="3"/>
  <c r="F33" i="3"/>
  <c r="G33" i="3"/>
  <c r="U30" i="3"/>
  <c r="T30" i="3"/>
  <c r="AP37" i="3"/>
  <c r="AO37" i="3"/>
  <c r="BD37" i="3"/>
  <c r="BE37" i="3"/>
  <c r="BR29" i="3"/>
  <c r="BS29" i="3"/>
  <c r="BR37" i="3"/>
  <c r="BS37" i="3"/>
  <c r="BY35" i="3"/>
  <c r="BZ35" i="3"/>
  <c r="BT33" i="3" l="1"/>
  <c r="AX35" i="3"/>
  <c r="AQ29" i="3"/>
  <c r="H34" i="3"/>
  <c r="AC35" i="3"/>
  <c r="AQ38" i="3"/>
  <c r="AC33" i="3"/>
  <c r="V39" i="3"/>
  <c r="V31" i="3"/>
  <c r="O29" i="3"/>
  <c r="BM38" i="3"/>
  <c r="BM30" i="3"/>
  <c r="AQ40" i="3"/>
  <c r="V29" i="3"/>
  <c r="BT37" i="3"/>
  <c r="AQ37" i="3"/>
  <c r="BF40" i="3"/>
  <c r="BF32" i="3"/>
  <c r="AX30" i="3"/>
  <c r="AQ36" i="3"/>
  <c r="AC31" i="3"/>
  <c r="O31" i="3"/>
  <c r="CA37" i="3"/>
  <c r="BM33" i="3"/>
  <c r="V40" i="3"/>
  <c r="V32" i="3"/>
  <c r="H36" i="3"/>
  <c r="BM35" i="3"/>
  <c r="CA36" i="3"/>
  <c r="BF38" i="3"/>
  <c r="BF30" i="3"/>
  <c r="AC29" i="3"/>
  <c r="V35" i="3"/>
  <c r="V27" i="3"/>
  <c r="H39" i="3"/>
  <c r="O35" i="3"/>
  <c r="O39" i="3"/>
  <c r="AX37" i="3"/>
  <c r="CA31" i="3"/>
  <c r="O28" i="3"/>
  <c r="AQ32" i="3"/>
  <c r="V37" i="3"/>
  <c r="O27" i="3"/>
  <c r="BF39" i="3"/>
  <c r="AQ27" i="3"/>
  <c r="O30" i="3"/>
  <c r="H28" i="3"/>
  <c r="H31" i="3"/>
  <c r="CA27" i="3"/>
  <c r="AC32" i="3"/>
  <c r="V33" i="3"/>
  <c r="H29" i="3"/>
  <c r="O34" i="3"/>
  <c r="BT40" i="3"/>
  <c r="BF36" i="3"/>
  <c r="BF37" i="3"/>
  <c r="CA30" i="3"/>
  <c r="H35" i="3"/>
  <c r="H27" i="3"/>
  <c r="BM39" i="3"/>
  <c r="BF33" i="3"/>
  <c r="AX31" i="3"/>
  <c r="AC40" i="3"/>
  <c r="O32" i="3"/>
  <c r="H30" i="3"/>
  <c r="CA38" i="3"/>
  <c r="V30" i="3"/>
  <c r="BT32" i="3"/>
  <c r="BF28" i="3"/>
  <c r="AX34" i="3"/>
  <c r="AQ28" i="3"/>
  <c r="CA33" i="3"/>
  <c r="BT39" i="3"/>
  <c r="BT31" i="3"/>
  <c r="BM37" i="3"/>
  <c r="BM29" i="3"/>
  <c r="BF35" i="3"/>
  <c r="BF27" i="3"/>
  <c r="AX33" i="3"/>
  <c r="AQ39" i="3"/>
  <c r="AQ31" i="3"/>
  <c r="AC38" i="3"/>
  <c r="AC30" i="3"/>
  <c r="V36" i="3"/>
  <c r="V28" i="3"/>
  <c r="H40" i="3"/>
  <c r="H32" i="3"/>
  <c r="CA39" i="3"/>
  <c r="BM27" i="3"/>
  <c r="AC28" i="3"/>
  <c r="O36" i="3"/>
  <c r="BT38" i="3"/>
  <c r="BT30" i="3"/>
  <c r="AX40" i="3"/>
  <c r="AX32" i="3"/>
  <c r="AQ30" i="3"/>
  <c r="O37" i="3"/>
  <c r="V38" i="3"/>
  <c r="AX38" i="3"/>
  <c r="CA29" i="3"/>
  <c r="BT35" i="3"/>
  <c r="BT27" i="3"/>
  <c r="AX29" i="3"/>
  <c r="AQ35" i="3"/>
  <c r="AC34" i="3"/>
  <c r="O38" i="3"/>
  <c r="AC27" i="3"/>
  <c r="BT36" i="3"/>
  <c r="BT28" i="3"/>
  <c r="BF31" i="3"/>
  <c r="BF29" i="3"/>
  <c r="AX27" i="3"/>
  <c r="AC36" i="3"/>
  <c r="V34" i="3"/>
  <c r="BM34" i="3"/>
  <c r="CA35" i="3"/>
  <c r="BT29" i="3"/>
  <c r="H33" i="3"/>
  <c r="CA34" i="3"/>
  <c r="CA28" i="3"/>
  <c r="BT34" i="3"/>
  <c r="BM40" i="3"/>
  <c r="BM32" i="3"/>
  <c r="AX36" i="3"/>
  <c r="AX28" i="3"/>
  <c r="AQ34" i="3"/>
  <c r="AC37" i="3"/>
  <c r="O33" i="3"/>
  <c r="BM31" i="3"/>
  <c r="AX39" i="3"/>
  <c r="AQ33" i="3"/>
  <c r="O40" i="3"/>
  <c r="H38" i="3"/>
  <c r="AC39" i="3"/>
  <c r="H37" i="3"/>
  <c r="BZ22" i="3"/>
  <c r="AW22" i="3"/>
  <c r="BS22" i="3"/>
  <c r="BL22" i="3"/>
  <c r="BE22" i="3"/>
  <c r="AP22" i="3"/>
  <c r="AI22" i="3"/>
  <c r="AB22" i="3"/>
  <c r="U22" i="3"/>
  <c r="N22" i="3"/>
  <c r="G22" i="3"/>
  <c r="AX22" i="3" l="1"/>
  <c r="H22" i="3"/>
  <c r="V22" i="3"/>
  <c r="AJ22" i="3"/>
  <c r="BF22" i="3"/>
  <c r="BT22" i="3"/>
  <c r="CA22" i="3"/>
  <c r="O22" i="3"/>
  <c r="AC22" i="3"/>
  <c r="AQ22" i="3"/>
  <c r="BM22" i="3"/>
  <c r="AR21" i="3"/>
  <c r="AV21" i="3" s="1"/>
  <c r="AR20" i="3"/>
  <c r="AW20" i="3" s="1"/>
  <c r="AR19" i="3"/>
  <c r="AV19" i="3" s="1"/>
  <c r="AK21" i="3"/>
  <c r="AO21" i="3" s="1"/>
  <c r="AK20" i="3"/>
  <c r="AP20" i="3" s="1"/>
  <c r="AK19" i="3"/>
  <c r="AO19" i="3" s="1"/>
  <c r="AD21" i="3"/>
  <c r="AH21" i="3" s="1"/>
  <c r="AD20" i="3"/>
  <c r="AH20" i="3" s="1"/>
  <c r="AD19" i="3"/>
  <c r="AI19" i="3" s="1"/>
  <c r="W21" i="3"/>
  <c r="AB21" i="3" s="1"/>
  <c r="W20" i="3"/>
  <c r="AA20" i="3" s="1"/>
  <c r="W19" i="3"/>
  <c r="AA19" i="3" s="1"/>
  <c r="P21" i="3"/>
  <c r="U21" i="3" s="1"/>
  <c r="P20" i="3"/>
  <c r="T20" i="3" s="1"/>
  <c r="P19" i="3"/>
  <c r="T19" i="3" s="1"/>
  <c r="I21" i="3"/>
  <c r="N21" i="3" s="1"/>
  <c r="I20" i="3"/>
  <c r="M20" i="3" s="1"/>
  <c r="I19" i="3"/>
  <c r="N19" i="3" s="1"/>
  <c r="B21" i="3"/>
  <c r="F21" i="3" s="1"/>
  <c r="B20" i="3"/>
  <c r="F20" i="3" s="1"/>
  <c r="B19" i="3"/>
  <c r="G19" i="3" s="1"/>
  <c r="BU21" i="3"/>
  <c r="BY21" i="3" s="1"/>
  <c r="BU20" i="3"/>
  <c r="BY20" i="3" s="1"/>
  <c r="BU19" i="3"/>
  <c r="BY19" i="3" s="1"/>
  <c r="BN21" i="3"/>
  <c r="BS21" i="3" s="1"/>
  <c r="BN20" i="3"/>
  <c r="BS20" i="3" s="1"/>
  <c r="BN19" i="3"/>
  <c r="BR19" i="3" s="1"/>
  <c r="BG21" i="3"/>
  <c r="BK21" i="3" s="1"/>
  <c r="BG20" i="3"/>
  <c r="BK20" i="3" s="1"/>
  <c r="BG19" i="3"/>
  <c r="BK19" i="3" s="1"/>
  <c r="AZ21" i="3"/>
  <c r="BE21" i="3" s="1"/>
  <c r="AZ20" i="3"/>
  <c r="BE20" i="3" s="1"/>
  <c r="AZ19" i="3"/>
  <c r="BD19" i="3" s="1"/>
  <c r="AB24" i="3"/>
  <c r="BL24" i="3"/>
  <c r="AB25" i="3"/>
  <c r="BL25" i="3"/>
  <c r="M19" i="3"/>
  <c r="G21" i="3"/>
  <c r="M21" i="3"/>
  <c r="AP21" i="3" l="1"/>
  <c r="AA21" i="3"/>
  <c r="AC21" i="3" s="1"/>
  <c r="AW21" i="3"/>
  <c r="AH19" i="3"/>
  <c r="AJ19" i="3" s="1"/>
  <c r="BZ20" i="3"/>
  <c r="BL21" i="3"/>
  <c r="BL20" i="3"/>
  <c r="F19" i="3"/>
  <c r="H19" i="3" s="1"/>
  <c r="BZ21" i="3"/>
  <c r="BR21" i="3"/>
  <c r="BT21" i="3" s="1"/>
  <c r="AB19" i="3"/>
  <c r="T21" i="3"/>
  <c r="V21" i="3" s="1"/>
  <c r="AI21" i="3"/>
  <c r="AO20" i="3"/>
  <c r="AQ20" i="3" s="1"/>
  <c r="BD21" i="3"/>
  <c r="BF21" i="3" s="1"/>
  <c r="BR20" i="3"/>
  <c r="BT20" i="3" s="1"/>
  <c r="BD20" i="3"/>
  <c r="BF20" i="3" s="1"/>
  <c r="AI20" i="3"/>
  <c r="AV20" i="3"/>
  <c r="AX20" i="3" s="1"/>
  <c r="U19" i="3"/>
  <c r="O19" i="3"/>
  <c r="BM24" i="3"/>
  <c r="AC24" i="3"/>
  <c r="BM25" i="3"/>
  <c r="AC25" i="3"/>
  <c r="O21" i="3"/>
  <c r="H21" i="3"/>
  <c r="AB20" i="3"/>
  <c r="U20" i="3"/>
  <c r="N20" i="3"/>
  <c r="G20" i="3"/>
  <c r="BZ19" i="3"/>
  <c r="BS19" i="3"/>
  <c r="BL19" i="3"/>
  <c r="BE19" i="3"/>
  <c r="AW19" i="3"/>
  <c r="AP19" i="3"/>
  <c r="AQ21" i="3" l="1"/>
  <c r="BM21" i="3"/>
  <c r="AX21" i="3"/>
  <c r="CA21" i="3"/>
  <c r="CA20" i="3"/>
  <c r="AC19" i="3"/>
  <c r="BM20" i="3"/>
  <c r="V19" i="3"/>
  <c r="AJ21" i="3"/>
  <c r="AC20" i="3"/>
  <c r="AQ19" i="3"/>
  <c r="O20" i="3"/>
  <c r="BM19" i="3"/>
  <c r="BT19" i="3"/>
  <c r="CA19" i="3"/>
  <c r="H20" i="3"/>
  <c r="AX19" i="3"/>
  <c r="BF19" i="3"/>
  <c r="V20" i="3"/>
  <c r="AJ20" i="3"/>
  <c r="AR18" i="3"/>
  <c r="AW18" i="3" s="1"/>
  <c r="AR17" i="3"/>
  <c r="AV17" i="3" s="1"/>
  <c r="AK18" i="3"/>
  <c r="AP18" i="3" s="1"/>
  <c r="AK17" i="3"/>
  <c r="AP17" i="3" s="1"/>
  <c r="W18" i="3"/>
  <c r="AB18" i="3" s="1"/>
  <c r="W17" i="3"/>
  <c r="AA17" i="3" s="1"/>
  <c r="P18" i="3"/>
  <c r="U18" i="3" s="1"/>
  <c r="P17" i="3"/>
  <c r="T17" i="3" s="1"/>
  <c r="I18" i="3"/>
  <c r="M18" i="3" s="1"/>
  <c r="I17" i="3"/>
  <c r="M17" i="3" s="1"/>
  <c r="B18" i="3"/>
  <c r="G18" i="3" s="1"/>
  <c r="B17" i="3"/>
  <c r="F17" i="3" s="1"/>
  <c r="BU18" i="3"/>
  <c r="BY18" i="3" s="1"/>
  <c r="BU17" i="3"/>
  <c r="BY17" i="3" s="1"/>
  <c r="BN18" i="3"/>
  <c r="BR18" i="3" s="1"/>
  <c r="BN17" i="3"/>
  <c r="BR17" i="3" s="1"/>
  <c r="BG18" i="3"/>
  <c r="BK18" i="3" s="1"/>
  <c r="BG17" i="3"/>
  <c r="BL17" i="3" s="1"/>
  <c r="AZ18" i="3"/>
  <c r="BD18" i="3" s="1"/>
  <c r="AZ17" i="3"/>
  <c r="BE17" i="3" s="1"/>
  <c r="BL18" i="3" l="1"/>
  <c r="AO17" i="3"/>
  <c r="AQ17" i="3" s="1"/>
  <c r="F18" i="3"/>
  <c r="H18" i="3" s="1"/>
  <c r="AO18" i="3"/>
  <c r="AQ18" i="3" s="1"/>
  <c r="BZ17" i="3"/>
  <c r="T18" i="3"/>
  <c r="V18" i="3" s="1"/>
  <c r="AV18" i="3"/>
  <c r="AX18" i="3" s="1"/>
  <c r="AA18" i="3"/>
  <c r="AC18" i="3" s="1"/>
  <c r="U17" i="3"/>
  <c r="BK17" i="3"/>
  <c r="BM17" i="3" s="1"/>
  <c r="BZ18" i="3"/>
  <c r="BD17" i="3"/>
  <c r="BF17" i="3" s="1"/>
  <c r="BS17" i="3"/>
  <c r="BE18" i="3"/>
  <c r="BS18" i="3"/>
  <c r="N17" i="3"/>
  <c r="AW17" i="3"/>
  <c r="AB17" i="3"/>
  <c r="N18" i="3"/>
  <c r="G17" i="3"/>
  <c r="BU16" i="3"/>
  <c r="BY16" i="3" s="1"/>
  <c r="BU15" i="3"/>
  <c r="BY15" i="3" s="1"/>
  <c r="BU14" i="3"/>
  <c r="BZ14" i="3" s="1"/>
  <c r="BU13" i="3"/>
  <c r="BZ13" i="3" s="1"/>
  <c r="BU12" i="3"/>
  <c r="BY12" i="3" s="1"/>
  <c r="BU11" i="3"/>
  <c r="BY11" i="3" s="1"/>
  <c r="BN16" i="3"/>
  <c r="BS16" i="3" s="1"/>
  <c r="BN15" i="3"/>
  <c r="BS15" i="3" s="1"/>
  <c r="BN14" i="3"/>
  <c r="BS14" i="3" s="1"/>
  <c r="BN13" i="3"/>
  <c r="BS13" i="3" s="1"/>
  <c r="BN12" i="3"/>
  <c r="BS12" i="3" s="1"/>
  <c r="BN11" i="3"/>
  <c r="BS11" i="3" s="1"/>
  <c r="BG16" i="3"/>
  <c r="BK16" i="3" s="1"/>
  <c r="BG15" i="3"/>
  <c r="BK15" i="3" s="1"/>
  <c r="BG14" i="3"/>
  <c r="BL14" i="3" s="1"/>
  <c r="BG13" i="3"/>
  <c r="BL13" i="3" s="1"/>
  <c r="BG12" i="3"/>
  <c r="BK12" i="3" s="1"/>
  <c r="BG11" i="3"/>
  <c r="BK11" i="3" s="1"/>
  <c r="AZ16" i="3"/>
  <c r="BE16" i="3" s="1"/>
  <c r="AZ15" i="3"/>
  <c r="BE15" i="3" s="1"/>
  <c r="AZ14" i="3"/>
  <c r="BD14" i="3" s="1"/>
  <c r="AZ13" i="3"/>
  <c r="BD13" i="3" s="1"/>
  <c r="AZ12" i="3"/>
  <c r="BE12" i="3" s="1"/>
  <c r="AZ11" i="3"/>
  <c r="BE11" i="3" s="1"/>
  <c r="BZ16" i="3"/>
  <c r="BZ15" i="3"/>
  <c r="AI13" i="3"/>
  <c r="AI12" i="3"/>
  <c r="AI11" i="3"/>
  <c r="B16" i="3"/>
  <c r="G16" i="3" s="1"/>
  <c r="B15" i="3"/>
  <c r="G15" i="3" s="1"/>
  <c r="B14" i="3"/>
  <c r="G14" i="3" s="1"/>
  <c r="B13" i="3"/>
  <c r="F13" i="3" s="1"/>
  <c r="B12" i="3"/>
  <c r="G12" i="3" s="1"/>
  <c r="B11" i="3"/>
  <c r="G11" i="3" s="1"/>
  <c r="AR16" i="3"/>
  <c r="AW16" i="3" s="1"/>
  <c r="AR15" i="3"/>
  <c r="AV15" i="3" s="1"/>
  <c r="AR14" i="3"/>
  <c r="AW14" i="3" s="1"/>
  <c r="AR13" i="3"/>
  <c r="AV13" i="3" s="1"/>
  <c r="AR12" i="3"/>
  <c r="AW12" i="3" s="1"/>
  <c r="AR11" i="3"/>
  <c r="AV11" i="3" s="1"/>
  <c r="AK16" i="3"/>
  <c r="AP16" i="3" s="1"/>
  <c r="AK15" i="3"/>
  <c r="AO15" i="3" s="1"/>
  <c r="AK14" i="3"/>
  <c r="AP14" i="3" s="1"/>
  <c r="AK13" i="3"/>
  <c r="AO13" i="3" s="1"/>
  <c r="AK12" i="3"/>
  <c r="AP12" i="3" s="1"/>
  <c r="AK11" i="3"/>
  <c r="AP11" i="3" s="1"/>
  <c r="AD15" i="3"/>
  <c r="AI15" i="3" s="1"/>
  <c r="AD14" i="3"/>
  <c r="AI14" i="3" s="1"/>
  <c r="W16" i="3"/>
  <c r="AB16" i="3" s="1"/>
  <c r="W15" i="3"/>
  <c r="AB15" i="3" s="1"/>
  <c r="W14" i="3"/>
  <c r="AB14" i="3" s="1"/>
  <c r="W13" i="3"/>
  <c r="AA13" i="3" s="1"/>
  <c r="W12" i="3"/>
  <c r="AB12" i="3" s="1"/>
  <c r="W11" i="3"/>
  <c r="AA11" i="3" s="1"/>
  <c r="P16" i="3"/>
  <c r="U16" i="3" s="1"/>
  <c r="P15" i="3"/>
  <c r="T15" i="3" s="1"/>
  <c r="P14" i="3"/>
  <c r="U14" i="3" s="1"/>
  <c r="P13" i="3"/>
  <c r="U13" i="3" s="1"/>
  <c r="P12" i="3"/>
  <c r="T12" i="3" s="1"/>
  <c r="P11" i="3"/>
  <c r="U11" i="3" s="1"/>
  <c r="I16" i="3"/>
  <c r="N16" i="3" s="1"/>
  <c r="I15" i="3"/>
  <c r="N15" i="3" s="1"/>
  <c r="I14" i="3"/>
  <c r="N14" i="3" s="1"/>
  <c r="I13" i="3"/>
  <c r="N13" i="3" s="1"/>
  <c r="I12" i="3"/>
  <c r="M12" i="3" s="1"/>
  <c r="I11" i="3"/>
  <c r="M11" i="3" s="1"/>
  <c r="CA18" i="3" l="1"/>
  <c r="BM18" i="3"/>
  <c r="F14" i="3"/>
  <c r="BL16" i="3"/>
  <c r="BZ11" i="3"/>
  <c r="BZ12" i="3"/>
  <c r="BY13" i="3"/>
  <c r="CA13" i="3" s="1"/>
  <c r="O18" i="3"/>
  <c r="T11" i="3"/>
  <c r="V11" i="3" s="1"/>
  <c r="BR11" i="3"/>
  <c r="BT11" i="3" s="1"/>
  <c r="AW15" i="3"/>
  <c r="BD11" i="3"/>
  <c r="BF11" i="3" s="1"/>
  <c r="G13" i="3"/>
  <c r="AH14" i="3"/>
  <c r="AJ14" i="3" s="1"/>
  <c r="AX15" i="3"/>
  <c r="AJ12" i="3"/>
  <c r="AB13" i="3"/>
  <c r="AJ13" i="3"/>
  <c r="BR14" i="3"/>
  <c r="BT14" i="3" s="1"/>
  <c r="BE14" i="3"/>
  <c r="F16" i="3"/>
  <c r="H16" i="3" s="1"/>
  <c r="BD15" i="3"/>
  <c r="BF15" i="3" s="1"/>
  <c r="U12" i="3"/>
  <c r="CA17" i="3"/>
  <c r="AW11" i="3"/>
  <c r="AO12" i="3"/>
  <c r="AQ12" i="3" s="1"/>
  <c r="BT18" i="3"/>
  <c r="V17" i="3"/>
  <c r="AV12" i="3"/>
  <c r="AX12" i="3" s="1"/>
  <c r="U15" i="3"/>
  <c r="AP13" i="3"/>
  <c r="BK13" i="3"/>
  <c r="BM13" i="3" s="1"/>
  <c r="AC17" i="3"/>
  <c r="T14" i="3"/>
  <c r="V14" i="3" s="1"/>
  <c r="M13" i="3"/>
  <c r="O13" i="3" s="1"/>
  <c r="T16" i="3"/>
  <c r="V16" i="3" s="1"/>
  <c r="AO14" i="3"/>
  <c r="AQ14" i="3" s="1"/>
  <c r="BL15" i="3"/>
  <c r="O17" i="3"/>
  <c r="AH15" i="3"/>
  <c r="AJ15" i="3" s="1"/>
  <c r="BE13" i="3"/>
  <c r="H14" i="3"/>
  <c r="N11" i="3"/>
  <c r="M15" i="3"/>
  <c r="O15" i="3" s="1"/>
  <c r="AB11" i="3"/>
  <c r="AA15" i="3"/>
  <c r="AC15" i="3" s="1"/>
  <c r="AP15" i="3"/>
  <c r="F12" i="3"/>
  <c r="H12" i="3" s="1"/>
  <c r="AA12" i="3"/>
  <c r="AC12" i="3" s="1"/>
  <c r="AJ11" i="3"/>
  <c r="AO16" i="3"/>
  <c r="AQ16" i="3" s="1"/>
  <c r="BD16" i="3"/>
  <c r="BF16" i="3" s="1"/>
  <c r="CA15" i="3"/>
  <c r="F11" i="3"/>
  <c r="H11" i="3" s="1"/>
  <c r="F15" i="3"/>
  <c r="H15" i="3" s="1"/>
  <c r="N12" i="3"/>
  <c r="M14" i="3"/>
  <c r="O14" i="3" s="1"/>
  <c r="M16" i="3"/>
  <c r="O16" i="3" s="1"/>
  <c r="T13" i="3"/>
  <c r="V13" i="3" s="1"/>
  <c r="AA14" i="3"/>
  <c r="AC14" i="3" s="1"/>
  <c r="AA16" i="3"/>
  <c r="AC16" i="3" s="1"/>
  <c r="AO11" i="3"/>
  <c r="AQ11" i="3" s="1"/>
  <c r="AV14" i="3"/>
  <c r="AX14" i="3" s="1"/>
  <c r="AV16" i="3"/>
  <c r="AX16" i="3" s="1"/>
  <c r="BL11" i="3"/>
  <c r="BR15" i="3"/>
  <c r="BT15" i="3" s="1"/>
  <c r="BF18" i="3"/>
  <c r="AW13" i="3"/>
  <c r="BR16" i="3"/>
  <c r="BT16" i="3" s="1"/>
  <c r="H17" i="3"/>
  <c r="AX17" i="3"/>
  <c r="BT17" i="3"/>
  <c r="BY14" i="3"/>
  <c r="CA14" i="3" s="1"/>
  <c r="BR13" i="3"/>
  <c r="BT13" i="3" s="1"/>
  <c r="BR12" i="3"/>
  <c r="BT12" i="3" s="1"/>
  <c r="BK14" i="3"/>
  <c r="BM14" i="3" s="1"/>
  <c r="BL12" i="3"/>
  <c r="BM12" i="3" s="1"/>
  <c r="BD12" i="3"/>
  <c r="BF12" i="3" s="1"/>
  <c r="CA16" i="3"/>
  <c r="BU10" i="3"/>
  <c r="BZ10" i="3" s="1"/>
  <c r="BU9" i="3"/>
  <c r="BZ9" i="3" s="1"/>
  <c r="BN10" i="3"/>
  <c r="BS10" i="3" s="1"/>
  <c r="BN9" i="3"/>
  <c r="BS9" i="3" s="1"/>
  <c r="BG10" i="3"/>
  <c r="BL10" i="3" s="1"/>
  <c r="BG9" i="3"/>
  <c r="BL9" i="3" s="1"/>
  <c r="AZ10" i="3"/>
  <c r="BE10" i="3" s="1"/>
  <c r="AZ9" i="3"/>
  <c r="BD9" i="3" s="1"/>
  <c r="AR10" i="3"/>
  <c r="AW10" i="3" s="1"/>
  <c r="AR9" i="3"/>
  <c r="AV9" i="3" s="1"/>
  <c r="AK10" i="3"/>
  <c r="AP10" i="3" s="1"/>
  <c r="AK9" i="3"/>
  <c r="AP9" i="3" s="1"/>
  <c r="AD10" i="3"/>
  <c r="AH10" i="3" s="1"/>
  <c r="AD9" i="3"/>
  <c r="AI9" i="3" s="1"/>
  <c r="W10" i="3"/>
  <c r="AA10" i="3" s="1"/>
  <c r="W9" i="3"/>
  <c r="AB9" i="3" s="1"/>
  <c r="P10" i="3"/>
  <c r="T10" i="3" s="1"/>
  <c r="P9" i="3"/>
  <c r="T9" i="3" s="1"/>
  <c r="I10" i="3"/>
  <c r="M10" i="3" s="1"/>
  <c r="I9" i="3"/>
  <c r="N9" i="3" s="1"/>
  <c r="B10" i="3"/>
  <c r="F10" i="3" s="1"/>
  <c r="B9" i="3"/>
  <c r="F9" i="3" s="1"/>
  <c r="CA12" i="3" l="1"/>
  <c r="BM16" i="3"/>
  <c r="CA11" i="3"/>
  <c r="H13" i="3"/>
  <c r="AQ13" i="3"/>
  <c r="AX11" i="3"/>
  <c r="BF13" i="3"/>
  <c r="BM11" i="3"/>
  <c r="BK10" i="3"/>
  <c r="BM10" i="3" s="1"/>
  <c r="AC13" i="3"/>
  <c r="V12" i="3"/>
  <c r="BF14" i="3"/>
  <c r="BM15" i="3"/>
  <c r="V15" i="3"/>
  <c r="AX13" i="3"/>
  <c r="AC11" i="3"/>
  <c r="O11" i="3"/>
  <c r="O12" i="3"/>
  <c r="BK9" i="3"/>
  <c r="BM9" i="3" s="1"/>
  <c r="AQ15" i="3"/>
  <c r="M9" i="3"/>
  <c r="O9" i="3" s="1"/>
  <c r="AI10" i="3"/>
  <c r="BD10" i="3"/>
  <c r="BF10" i="3" s="1"/>
  <c r="G10" i="3"/>
  <c r="BE9" i="3"/>
  <c r="BR9" i="3"/>
  <c r="BT9" i="3" s="1"/>
  <c r="BY9" i="3"/>
  <c r="CA9" i="3" s="1"/>
  <c r="BR10" i="3"/>
  <c r="BT10" i="3" s="1"/>
  <c r="BY10" i="3"/>
  <c r="CA10" i="3" s="1"/>
  <c r="U10" i="3"/>
  <c r="V10" i="3" s="1"/>
  <c r="AW9" i="3"/>
  <c r="AA9" i="3"/>
  <c r="AC9" i="3" s="1"/>
  <c r="N10" i="3"/>
  <c r="AO10" i="3"/>
  <c r="AQ10" i="3" s="1"/>
  <c r="AB10" i="3"/>
  <c r="G9" i="3"/>
  <c r="U9" i="3"/>
  <c r="AH9" i="3"/>
  <c r="AJ9" i="3" s="1"/>
  <c r="AO9" i="3"/>
  <c r="AQ9" i="3" s="1"/>
  <c r="AV10" i="3"/>
  <c r="AX10" i="3" s="1"/>
  <c r="H10" i="3" l="1"/>
  <c r="AJ10" i="3"/>
  <c r="AX9" i="3"/>
  <c r="BF9" i="3"/>
  <c r="H9" i="3"/>
  <c r="AC10" i="3"/>
  <c r="O10" i="3"/>
  <c r="V9" i="3"/>
  <c r="BY7" i="3" l="1"/>
  <c r="BZ7" i="3"/>
  <c r="BR7" i="3"/>
  <c r="BS7" i="3"/>
  <c r="BK3" i="3"/>
  <c r="BL3" i="3"/>
  <c r="BK4" i="3"/>
  <c r="BL4" i="3"/>
  <c r="BK7" i="3"/>
  <c r="BL7" i="3"/>
  <c r="BD7" i="3"/>
  <c r="BE7" i="3"/>
  <c r="BV8" i="3"/>
  <c r="BO8" i="3"/>
  <c r="BH8" i="3"/>
  <c r="BA8" i="3"/>
  <c r="BU8" i="3"/>
  <c r="BY8" i="3" s="1"/>
  <c r="BN8" i="3"/>
  <c r="BG8" i="3"/>
  <c r="AZ8" i="3"/>
  <c r="BU6" i="3"/>
  <c r="BY6" i="3" s="1"/>
  <c r="BN6" i="3"/>
  <c r="BR6" i="3" s="1"/>
  <c r="BG6" i="3"/>
  <c r="BK6" i="3" s="1"/>
  <c r="AZ6" i="3"/>
  <c r="BD6" i="3" s="1"/>
  <c r="BU5" i="3"/>
  <c r="BZ5" i="3" s="1"/>
  <c r="BN5" i="3"/>
  <c r="BS5" i="3" s="1"/>
  <c r="BG5" i="3"/>
  <c r="BL5" i="3" s="1"/>
  <c r="AZ5" i="3"/>
  <c r="BD5" i="3" s="1"/>
  <c r="AI7" i="3"/>
  <c r="AH7" i="3"/>
  <c r="AV7" i="3"/>
  <c r="AW7" i="3"/>
  <c r="AO7" i="3"/>
  <c r="AP7" i="3"/>
  <c r="U7" i="3"/>
  <c r="T7" i="3"/>
  <c r="AA7" i="3"/>
  <c r="AB7" i="3"/>
  <c r="AB3" i="3"/>
  <c r="AA3" i="3"/>
  <c r="AB4" i="3"/>
  <c r="AA4" i="3"/>
  <c r="U4" i="3"/>
  <c r="T4" i="3"/>
  <c r="M7" i="3"/>
  <c r="N7" i="3"/>
  <c r="F7" i="3"/>
  <c r="G7" i="3"/>
  <c r="G4" i="3"/>
  <c r="F4" i="3"/>
  <c r="BE8" i="3" l="1"/>
  <c r="AX7" i="3"/>
  <c r="BL8" i="3"/>
  <c r="H4" i="3"/>
  <c r="AC4" i="3"/>
  <c r="BE6" i="3"/>
  <c r="BM4" i="3"/>
  <c r="BT7" i="3"/>
  <c r="BD8" i="3"/>
  <c r="BF8" i="3" s="1"/>
  <c r="AC7" i="3"/>
  <c r="BS8" i="3"/>
  <c r="BR8" i="3"/>
  <c r="BS6" i="3"/>
  <c r="CA7" i="3"/>
  <c r="BE5" i="3"/>
  <c r="BF7" i="3"/>
  <c r="BY5" i="3"/>
  <c r="CA5" i="3" s="1"/>
  <c r="O7" i="3"/>
  <c r="BR5" i="3"/>
  <c r="BT5" i="3" s="1"/>
  <c r="H7" i="3"/>
  <c r="BL6" i="3"/>
  <c r="BK8" i="3"/>
  <c r="BM8" i="3" s="1"/>
  <c r="AQ7" i="3"/>
  <c r="BK5" i="3"/>
  <c r="BM5" i="3" s="1"/>
  <c r="BM3" i="3"/>
  <c r="BZ8" i="3"/>
  <c r="BZ6" i="3"/>
  <c r="V4" i="3"/>
  <c r="AC3" i="3"/>
  <c r="AJ7" i="3"/>
  <c r="BM7" i="3"/>
  <c r="V7" i="3"/>
  <c r="BF6" i="3" l="1"/>
  <c r="BF5" i="3"/>
  <c r="BT8" i="3"/>
  <c r="CA8" i="3"/>
  <c r="BT6" i="3"/>
  <c r="CA6" i="3"/>
  <c r="BM6" i="3"/>
  <c r="AS8" i="3"/>
  <c r="AL8" i="3"/>
  <c r="AE8" i="3"/>
  <c r="X8" i="3"/>
  <c r="Q8" i="3"/>
  <c r="J8" i="3"/>
  <c r="C8" i="3"/>
  <c r="B8" i="3"/>
  <c r="AR8" i="3"/>
  <c r="AK8" i="3"/>
  <c r="AD8" i="3"/>
  <c r="W8" i="3"/>
  <c r="P8" i="3"/>
  <c r="I8" i="3"/>
  <c r="AR6" i="3"/>
  <c r="AK6" i="3"/>
  <c r="AD6" i="3"/>
  <c r="W6" i="3"/>
  <c r="P6" i="3"/>
  <c r="AR5" i="3"/>
  <c r="AK5" i="3"/>
  <c r="AD5" i="3"/>
  <c r="W5" i="3"/>
  <c r="P5" i="3"/>
  <c r="I6" i="3"/>
  <c r="I5" i="3"/>
  <c r="B6" i="3"/>
  <c r="B5" i="3"/>
  <c r="F6" i="3" l="1"/>
  <c r="G6" i="3"/>
  <c r="AA5" i="3"/>
  <c r="AB5" i="3"/>
  <c r="U6" i="3"/>
  <c r="T6" i="3"/>
  <c r="AW6" i="3"/>
  <c r="AV6" i="3"/>
  <c r="AH8" i="3"/>
  <c r="AI8" i="3"/>
  <c r="N5" i="3"/>
  <c r="M5" i="3"/>
  <c r="AI5" i="3"/>
  <c r="AH5" i="3"/>
  <c r="AA6" i="3"/>
  <c r="AB6" i="3"/>
  <c r="M8" i="3"/>
  <c r="N8" i="3"/>
  <c r="AO8" i="3"/>
  <c r="AP8" i="3"/>
  <c r="N6" i="3"/>
  <c r="M6" i="3"/>
  <c r="AP5" i="3"/>
  <c r="AO5" i="3"/>
  <c r="AI6" i="3"/>
  <c r="AH6" i="3"/>
  <c r="T8" i="3"/>
  <c r="U8" i="3"/>
  <c r="AV8" i="3"/>
  <c r="AW8" i="3"/>
  <c r="G5" i="3"/>
  <c r="F5" i="3"/>
  <c r="U5" i="3"/>
  <c r="T5" i="3"/>
  <c r="AV5" i="3"/>
  <c r="AW5" i="3"/>
  <c r="AP6" i="3"/>
  <c r="AO6" i="3"/>
  <c r="AB8" i="3"/>
  <c r="AA8" i="3"/>
  <c r="G8" i="3"/>
  <c r="F8" i="3"/>
  <c r="AC8" i="3" l="1"/>
  <c r="H5" i="3"/>
  <c r="AQ5" i="3"/>
  <c r="O5" i="3"/>
  <c r="AX6" i="3"/>
  <c r="AX8" i="3"/>
  <c r="O8" i="3"/>
  <c r="AJ8" i="3"/>
  <c r="H6" i="3"/>
  <c r="V5" i="3"/>
  <c r="AX5" i="3"/>
  <c r="V8" i="3"/>
  <c r="AQ8" i="3"/>
  <c r="AC6" i="3"/>
  <c r="AC5" i="3"/>
  <c r="H8" i="3"/>
  <c r="AQ6" i="3"/>
  <c r="AJ6" i="3"/>
  <c r="O6" i="3"/>
  <c r="AJ5" i="3"/>
  <c r="V6" i="3"/>
</calcChain>
</file>

<file path=xl/sharedStrings.xml><?xml version="1.0" encoding="utf-8"?>
<sst xmlns="http://schemas.openxmlformats.org/spreadsheetml/2006/main" count="216" uniqueCount="112">
  <si>
    <t>mM</t>
  </si>
  <si>
    <t>HMF</t>
  </si>
  <si>
    <t>Furfural</t>
  </si>
  <si>
    <t>PAC-02</t>
  </si>
  <si>
    <t>PAC-03</t>
  </si>
  <si>
    <t>AcH 1%</t>
  </si>
  <si>
    <t>PAC-A</t>
  </si>
  <si>
    <t>PAC-01</t>
  </si>
  <si>
    <t>Glucose</t>
  </si>
  <si>
    <t>Xylose</t>
  </si>
  <si>
    <t>PAC-04</t>
  </si>
  <si>
    <t>Sample</t>
  </si>
  <si>
    <t>AV</t>
  </si>
  <si>
    <t>RSTD</t>
  </si>
  <si>
    <t>STD</t>
  </si>
  <si>
    <t>Formic Ac.</t>
  </si>
  <si>
    <t>Acetic Ac.</t>
  </si>
  <si>
    <t>Levulinic Ac.</t>
  </si>
  <si>
    <t>Formic Ac. (UV)</t>
  </si>
  <si>
    <t>Acetic Ac. (UV)</t>
  </si>
  <si>
    <t>HMF (UV)</t>
  </si>
  <si>
    <t>Furfural (UV)</t>
  </si>
  <si>
    <t>P19N</t>
  </si>
  <si>
    <t>P19</t>
  </si>
  <si>
    <t>PAC-05</t>
  </si>
  <si>
    <t>PAC-06</t>
  </si>
  <si>
    <t>PAC-07</t>
  </si>
  <si>
    <t>PAC-08</t>
  </si>
  <si>
    <t>PAC-09</t>
  </si>
  <si>
    <t>PAC-10</t>
  </si>
  <si>
    <t>PAC-11</t>
  </si>
  <si>
    <t>PAC-12</t>
  </si>
  <si>
    <t>PAC-13</t>
  </si>
  <si>
    <t>PAC-14</t>
  </si>
  <si>
    <t>PAC-15</t>
  </si>
  <si>
    <t>HAc 0.25%</t>
  </si>
  <si>
    <t>HAc 0.5%</t>
  </si>
  <si>
    <t>P40N</t>
  </si>
  <si>
    <t>PC0.A</t>
  </si>
  <si>
    <t>PC0.B</t>
  </si>
  <si>
    <t>PC0.C</t>
  </si>
  <si>
    <t>PC0.D</t>
  </si>
  <si>
    <t>PC0.E</t>
  </si>
  <si>
    <t>PC0.F</t>
  </si>
  <si>
    <t>PC0.G</t>
  </si>
  <si>
    <t>PC0.H</t>
  </si>
  <si>
    <t>PC1.A</t>
  </si>
  <si>
    <t>PC1.B</t>
  </si>
  <si>
    <t>PC1.C</t>
  </si>
  <si>
    <t>PC1.D</t>
  </si>
  <si>
    <t>PC2.A</t>
  </si>
  <si>
    <t>PC2.B</t>
  </si>
  <si>
    <t>PC0.series</t>
  </si>
  <si>
    <t>PC1.series</t>
  </si>
  <si>
    <t>PC2.series</t>
  </si>
  <si>
    <t>PC3.A</t>
  </si>
  <si>
    <t>AS.R4.pH7</t>
  </si>
  <si>
    <t>AS.PC0.A pH7</t>
  </si>
  <si>
    <t>AS.PC1.A ph7</t>
  </si>
  <si>
    <t>AS.PC2.A ph7</t>
  </si>
  <si>
    <t>AS.R5 pH7</t>
  </si>
  <si>
    <t>AS.PC0.B pH7</t>
  </si>
  <si>
    <t>AS.PC1.B pH7</t>
  </si>
  <si>
    <t>AS.PC2.B pH7</t>
  </si>
  <si>
    <t>AS.PC3.pH7</t>
  </si>
  <si>
    <t>AS.R4</t>
  </si>
  <si>
    <t>AS.PC0.A</t>
  </si>
  <si>
    <t>AS.PC1.A</t>
  </si>
  <si>
    <t>AS.PC2.A</t>
  </si>
  <si>
    <t>AS.PC0.B</t>
  </si>
  <si>
    <t>AS.PC1.B</t>
  </si>
  <si>
    <t>AS.PC2.B</t>
  </si>
  <si>
    <t>AS.PC3</t>
  </si>
  <si>
    <t>AS.R5</t>
  </si>
  <si>
    <t>AS.PAC.A</t>
  </si>
  <si>
    <t>AS.PAC.B</t>
  </si>
  <si>
    <t>AS.PAC-07</t>
  </si>
  <si>
    <t>AS.PAC-08</t>
  </si>
  <si>
    <t>AS.PAC-09</t>
  </si>
  <si>
    <t>AS.PAC-10</t>
  </si>
  <si>
    <t>AS.PAC-11</t>
  </si>
  <si>
    <t>AS:PAC-12</t>
  </si>
  <si>
    <t>AS.PAC-13</t>
  </si>
  <si>
    <t>AS.PAC-14</t>
  </si>
  <si>
    <t>AS:PAC-15</t>
  </si>
  <si>
    <t>AS.R7</t>
  </si>
  <si>
    <t>AS.R8</t>
  </si>
  <si>
    <t>AS.R9</t>
  </si>
  <si>
    <t>AS.PC0.series</t>
  </si>
  <si>
    <t>AS.PC1.series</t>
  </si>
  <si>
    <t>AS.PC2.series</t>
  </si>
  <si>
    <t>AS.PC3.A</t>
  </si>
  <si>
    <t>pH</t>
  </si>
  <si>
    <t>Temperature, °C</t>
  </si>
  <si>
    <t>Pressure, Mpa</t>
  </si>
  <si>
    <t>Time, min</t>
  </si>
  <si>
    <t>% DM set</t>
  </si>
  <si>
    <t>T.set</t>
  </si>
  <si>
    <t>T.plate</t>
  </si>
  <si>
    <t>T.initial</t>
  </si>
  <si>
    <t>T.pret</t>
  </si>
  <si>
    <t>T.final</t>
  </si>
  <si>
    <t>P.set</t>
  </si>
  <si>
    <t>P.initial</t>
  </si>
  <si>
    <t>P.pret</t>
  </si>
  <si>
    <t>P.final</t>
  </si>
  <si>
    <t>t.heating</t>
  </si>
  <si>
    <t>t.pret</t>
  </si>
  <si>
    <t>t.cooling</t>
  </si>
  <si>
    <r>
      <t>Log R</t>
    </r>
    <r>
      <rPr>
        <vertAlign val="subscript"/>
        <sz val="11"/>
        <color rgb="FF000000"/>
        <rFont val="Calibri"/>
        <family val="2"/>
      </rPr>
      <t>0</t>
    </r>
  </si>
  <si>
    <t>AS.P40N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</si>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</sst>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%"/>
    <numFmt numFmtId="167" formatCode="#,##0.000"/>
    <numFmt numFmtId="168" formatCode="0.0"/>
  </numFmts>
  <fonts count="4" x14ac:knownFonts="1">
    <font>
      <sz val="10"/>
      <name val="Arial"/>
    </font>
    <font>
      <sz val="10"/>
      <name val="Arial"/>
    </font>
    <font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ACA"/>
        <bgColor rgb="FF000000"/>
      </patternFill>
    </fill>
    <fill>
      <patternFill patternType="solid">
        <fgColor rgb="FFD8E9F1"/>
        <bgColor rgb="FF000000"/>
      </patternFill>
    </fill>
    <fill>
      <patternFill patternType="solid">
        <fgColor rgb="FFF0F4CE"/>
        <bgColor rgb="FF000000"/>
      </patternFill>
    </fill>
    <fill>
      <patternFill patternType="solid">
        <fgColor rgb="FFFFD595"/>
        <bgColor rgb="FF000000"/>
      </patternFill>
    </fill>
    <fill>
      <patternFill patternType="solid">
        <fgColor rgb="FFB1D1E2"/>
        <bgColor rgb="FF000000"/>
      </patternFill>
    </fill>
    <fill>
      <patternFill patternType="solid">
        <fgColor rgb="FFE1EB9E"/>
        <bgColor rgb="FF000000"/>
      </patternFill>
    </fill>
    <fill>
      <patternFill patternType="solid">
        <fgColor rgb="FFF9DCD2"/>
        <bgColor rgb="FF000000"/>
      </patternFill>
    </fill>
    <fill>
      <patternFill patternType="solid">
        <fgColor rgb="FFF2BBA8"/>
        <bgColor rgb="FF000000"/>
      </patternFill>
    </fill>
    <fill>
      <patternFill patternType="solid">
        <fgColor rgb="FFB1D1E2"/>
        <bgColor indexed="64"/>
      </patternFill>
    </fill>
    <fill>
      <patternFill patternType="solid">
        <fgColor rgb="FFD8E9F1"/>
        <bgColor indexed="64"/>
      </patternFill>
    </fill>
    <fill>
      <patternFill patternType="solid">
        <fgColor rgb="FFF0F4CE"/>
        <bgColor indexed="64"/>
      </patternFill>
    </fill>
    <fill>
      <patternFill patternType="solid">
        <fgColor rgb="FFE1EB9E"/>
        <bgColor indexed="64"/>
      </patternFill>
    </fill>
    <fill>
      <patternFill patternType="solid">
        <fgColor rgb="FFF9DCD2"/>
        <bgColor indexed="64"/>
      </patternFill>
    </fill>
    <fill>
      <patternFill patternType="solid">
        <fgColor rgb="FFF2BBA8"/>
        <bgColor indexed="64"/>
      </patternFill>
    </fill>
    <fill>
      <patternFill patternType="solid">
        <fgColor rgb="FFFFEACA"/>
        <bgColor indexed="64"/>
      </patternFill>
    </fill>
    <fill>
      <patternFill patternType="solid">
        <fgColor rgb="FFFFD59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0" xfId="0" applyFill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4" xfId="0" applyFill="1" applyBorder="1"/>
    <xf numFmtId="0" fontId="0" fillId="0" borderId="5" xfId="0" applyFill="1" applyBorder="1"/>
    <xf numFmtId="164" fontId="0" fillId="0" borderId="4" xfId="0" applyNumberFormat="1" applyBorder="1"/>
    <xf numFmtId="164" fontId="0" fillId="0" borderId="0" xfId="0" applyNumberFormat="1" applyBorder="1"/>
    <xf numFmtId="164" fontId="0" fillId="5" borderId="0" xfId="0" applyNumberFormat="1" applyFill="1" applyBorder="1"/>
    <xf numFmtId="165" fontId="0" fillId="0" borderId="5" xfId="1" applyNumberFormat="1" applyFont="1" applyFill="1" applyBorder="1"/>
    <xf numFmtId="0" fontId="0" fillId="0" borderId="0" xfId="0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7" xfId="0" applyNumberFormat="1" applyFill="1" applyBorder="1"/>
    <xf numFmtId="165" fontId="0" fillId="0" borderId="8" xfId="1" applyNumberFormat="1" applyFont="1" applyFill="1" applyBorder="1"/>
    <xf numFmtId="0" fontId="0" fillId="2" borderId="9" xfId="0" applyFill="1" applyBorder="1"/>
    <xf numFmtId="0" fontId="0" fillId="0" borderId="10" xfId="0" applyFill="1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6" xfId="0" applyBorder="1"/>
    <xf numFmtId="164" fontId="0" fillId="0" borderId="5" xfId="0" applyNumberFormat="1" applyBorder="1"/>
    <xf numFmtId="164" fontId="0" fillId="0" borderId="8" xfId="0" applyNumberFormat="1" applyBorder="1"/>
    <xf numFmtId="0" fontId="0" fillId="0" borderId="9" xfId="0" applyFill="1" applyBorder="1"/>
    <xf numFmtId="0" fontId="0" fillId="0" borderId="2" xfId="0" applyBorder="1"/>
    <xf numFmtId="0" fontId="0" fillId="0" borderId="11" xfId="0" applyFill="1" applyBorder="1"/>
    <xf numFmtId="0" fontId="0" fillId="0" borderId="1" xfId="0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2" xfId="0" applyNumberFormat="1" applyFill="1" applyBorder="1"/>
    <xf numFmtId="164" fontId="0" fillId="0" borderId="3" xfId="0" applyNumberFormat="1" applyBorder="1"/>
    <xf numFmtId="165" fontId="0" fillId="0" borderId="3" xfId="1" applyNumberFormat="1" applyFont="1" applyFill="1" applyBorder="1"/>
    <xf numFmtId="165" fontId="0" fillId="0" borderId="0" xfId="1" applyNumberFormat="1" applyFont="1" applyFill="1" applyBorder="1"/>
    <xf numFmtId="0" fontId="0" fillId="0" borderId="12" xfId="0" applyFill="1" applyBorder="1"/>
    <xf numFmtId="164" fontId="0" fillId="0" borderId="13" xfId="0" applyNumberFormat="1" applyBorder="1"/>
    <xf numFmtId="164" fontId="0" fillId="0" borderId="13" xfId="0" applyNumberFormat="1" applyFill="1" applyBorder="1"/>
    <xf numFmtId="165" fontId="0" fillId="0" borderId="14" xfId="1" applyNumberFormat="1" applyFont="1" applyFill="1" applyBorder="1"/>
    <xf numFmtId="0" fontId="0" fillId="0" borderId="13" xfId="0" applyBorder="1"/>
    <xf numFmtId="165" fontId="0" fillId="0" borderId="13" xfId="1" applyNumberFormat="1" applyFont="1" applyFill="1" applyBorder="1"/>
    <xf numFmtId="165" fontId="0" fillId="0" borderId="2" xfId="1" applyNumberFormat="1" applyFont="1" applyFill="1" applyBorder="1"/>
    <xf numFmtId="165" fontId="0" fillId="0" borderId="7" xfId="1" applyNumberFormat="1" applyFont="1" applyFill="1" applyBorder="1"/>
    <xf numFmtId="0" fontId="0" fillId="0" borderId="7" xfId="0" applyBorder="1"/>
    <xf numFmtId="167" fontId="0" fillId="0" borderId="0" xfId="0" applyNumberFormat="1"/>
    <xf numFmtId="167" fontId="0" fillId="0" borderId="2" xfId="0" applyNumberFormat="1" applyBorder="1"/>
    <xf numFmtId="0" fontId="0" fillId="0" borderId="3" xfId="0" applyBorder="1"/>
    <xf numFmtId="167" fontId="0" fillId="0" borderId="0" xfId="0" applyNumberFormat="1" applyBorder="1"/>
    <xf numFmtId="0" fontId="0" fillId="0" borderId="5" xfId="0" applyBorder="1"/>
    <xf numFmtId="167" fontId="0" fillId="0" borderId="7" xfId="0" applyNumberFormat="1" applyBorder="1"/>
    <xf numFmtId="0" fontId="0" fillId="0" borderId="8" xfId="0" applyBorder="1"/>
    <xf numFmtId="167" fontId="0" fillId="0" borderId="1" xfId="0" applyNumberFormat="1" applyBorder="1"/>
    <xf numFmtId="167" fontId="0" fillId="0" borderId="4" xfId="0" applyNumberFormat="1" applyBorder="1"/>
    <xf numFmtId="167" fontId="0" fillId="0" borderId="6" xfId="0" applyNumberFormat="1" applyBorder="1"/>
    <xf numFmtId="167" fontId="0" fillId="0" borderId="3" xfId="0" applyNumberFormat="1" applyBorder="1"/>
    <xf numFmtId="167" fontId="0" fillId="0" borderId="5" xfId="0" applyNumberFormat="1" applyBorder="1"/>
    <xf numFmtId="167" fontId="0" fillId="0" borderId="8" xfId="0" applyNumberFormat="1" applyBorder="1"/>
    <xf numFmtId="0" fontId="0" fillId="0" borderId="15" xfId="0" applyBorder="1"/>
    <xf numFmtId="164" fontId="0" fillId="0" borderId="15" xfId="0" applyNumberFormat="1" applyBorder="1"/>
    <xf numFmtId="0" fontId="0" fillId="5" borderId="9" xfId="0" applyFill="1" applyBorder="1"/>
    <xf numFmtId="0" fontId="0" fillId="0" borderId="9" xfId="0" applyBorder="1"/>
    <xf numFmtId="0" fontId="2" fillId="0" borderId="0" xfId="0" applyFont="1" applyFill="1" applyBorder="1"/>
    <xf numFmtId="0" fontId="0" fillId="0" borderId="12" xfId="0" applyBorder="1"/>
    <xf numFmtId="0" fontId="2" fillId="6" borderId="2" xfId="0" applyFont="1" applyFill="1" applyBorder="1"/>
    <xf numFmtId="0" fontId="2" fillId="9" borderId="2" xfId="0" applyFont="1" applyFill="1" applyBorder="1"/>
    <xf numFmtId="0" fontId="2" fillId="7" borderId="2" xfId="0" applyFont="1" applyFill="1" applyBorder="1"/>
    <xf numFmtId="0" fontId="2" fillId="10" borderId="2" xfId="0" applyFont="1" applyFill="1" applyBorder="1"/>
    <xf numFmtId="0" fontId="2" fillId="8" borderId="2" xfId="0" applyFont="1" applyFill="1" applyBorder="1"/>
    <xf numFmtId="0" fontId="2" fillId="11" borderId="2" xfId="0" applyFont="1" applyFill="1" applyBorder="1" applyAlignment="1">
      <alignment horizontal="right"/>
    </xf>
    <xf numFmtId="0" fontId="2" fillId="12" borderId="2" xfId="0" applyFont="1" applyFill="1" applyBorder="1"/>
    <xf numFmtId="0" fontId="2" fillId="13" borderId="3" xfId="0" applyFont="1" applyFill="1" applyBorder="1"/>
    <xf numFmtId="0" fontId="0" fillId="14" borderId="2" xfId="0" applyFill="1" applyBorder="1"/>
    <xf numFmtId="2" fontId="0" fillId="14" borderId="2" xfId="0" applyNumberFormat="1" applyFill="1" applyBorder="1"/>
    <xf numFmtId="0" fontId="0" fillId="14" borderId="0" xfId="0" applyFill="1" applyBorder="1"/>
    <xf numFmtId="2" fontId="0" fillId="14" borderId="0" xfId="0" applyNumberFormat="1" applyFill="1" applyBorder="1"/>
    <xf numFmtId="0" fontId="0" fillId="14" borderId="7" xfId="0" applyFill="1" applyBorder="1"/>
    <xf numFmtId="2" fontId="0" fillId="14" borderId="7" xfId="0" applyNumberFormat="1" applyFill="1" applyBorder="1"/>
    <xf numFmtId="168" fontId="0" fillId="14" borderId="2" xfId="0" applyNumberFormat="1" applyFill="1" applyBorder="1"/>
    <xf numFmtId="168" fontId="0" fillId="14" borderId="0" xfId="0" applyNumberFormat="1" applyFill="1" applyBorder="1"/>
    <xf numFmtId="168" fontId="0" fillId="14" borderId="7" xfId="0" applyNumberFormat="1" applyFill="1" applyBorder="1"/>
    <xf numFmtId="0" fontId="0" fillId="15" borderId="2" xfId="0" applyFill="1" applyBorder="1"/>
    <xf numFmtId="0" fontId="0" fillId="15" borderId="0" xfId="0" applyFill="1" applyBorder="1"/>
    <xf numFmtId="0" fontId="0" fillId="15" borderId="7" xfId="0" applyFill="1" applyBorder="1"/>
    <xf numFmtId="0" fontId="0" fillId="16" borderId="2" xfId="0" applyFill="1" applyBorder="1"/>
    <xf numFmtId="0" fontId="0" fillId="16" borderId="0" xfId="0" applyFill="1" applyBorder="1"/>
    <xf numFmtId="0" fontId="0" fillId="16" borderId="7" xfId="0" applyFill="1" applyBorder="1"/>
    <xf numFmtId="0" fontId="0" fillId="17" borderId="2" xfId="0" applyFill="1" applyBorder="1"/>
    <xf numFmtId="0" fontId="0" fillId="17" borderId="0" xfId="0" applyFill="1" applyBorder="1"/>
    <xf numFmtId="0" fontId="0" fillId="17" borderId="7" xfId="0" applyFill="1" applyBorder="1"/>
    <xf numFmtId="2" fontId="0" fillId="18" borderId="2" xfId="0" applyNumberFormat="1" applyFill="1" applyBorder="1"/>
    <xf numFmtId="2" fontId="0" fillId="18" borderId="0" xfId="0" applyNumberFormat="1" applyFill="1" applyBorder="1"/>
    <xf numFmtId="2" fontId="0" fillId="18" borderId="7" xfId="0" applyNumberFormat="1" applyFill="1" applyBorder="1"/>
    <xf numFmtId="2" fontId="0" fillId="19" borderId="3" xfId="0" applyNumberFormat="1" applyFill="1" applyBorder="1"/>
    <xf numFmtId="2" fontId="0" fillId="19" borderId="5" xfId="0" applyNumberFormat="1" applyFill="1" applyBorder="1"/>
    <xf numFmtId="2" fontId="0" fillId="19" borderId="8" xfId="0" applyNumberFormat="1" applyFill="1" applyBorder="1"/>
    <xf numFmtId="0" fontId="0" fillId="20" borderId="2" xfId="0" applyFill="1" applyBorder="1"/>
    <xf numFmtId="0" fontId="0" fillId="20" borderId="0" xfId="0" applyFill="1" applyBorder="1"/>
    <xf numFmtId="0" fontId="0" fillId="20" borderId="7" xfId="0" applyFill="1" applyBorder="1"/>
    <xf numFmtId="168" fontId="0" fillId="21" borderId="2" xfId="0" applyNumberFormat="1" applyFill="1" applyBorder="1"/>
    <xf numFmtId="0" fontId="0" fillId="21" borderId="2" xfId="0" applyFill="1" applyBorder="1"/>
    <xf numFmtId="168" fontId="0" fillId="21" borderId="0" xfId="0" applyNumberFormat="1" applyFill="1" applyBorder="1"/>
    <xf numFmtId="0" fontId="0" fillId="21" borderId="0" xfId="0" applyFill="1" applyBorder="1"/>
    <xf numFmtId="168" fontId="0" fillId="21" borderId="7" xfId="0" applyNumberFormat="1" applyFill="1" applyBorder="1"/>
    <xf numFmtId="0" fontId="0" fillId="21" borderId="7" xfId="0" applyFill="1" applyBorder="1"/>
    <xf numFmtId="0" fontId="2" fillId="23" borderId="2" xfId="0" applyFont="1" applyFill="1" applyBorder="1"/>
    <xf numFmtId="0" fontId="0" fillId="22" borderId="0" xfId="0" applyFill="1"/>
    <xf numFmtId="2" fontId="0" fillId="22" borderId="0" xfId="0" applyNumberFormat="1" applyFill="1"/>
    <xf numFmtId="168" fontId="0" fillId="22" borderId="0" xfId="0" applyNumberFormat="1" applyFill="1"/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0" fontId="0" fillId="0" borderId="14" xfId="0" applyBorder="1"/>
    <xf numFmtId="0" fontId="0" fillId="0" borderId="1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D5AB"/>
      <color rgb="FFFF9933"/>
      <color rgb="FFEFDECD"/>
      <color rgb="FFD8B088"/>
      <color rgb="FFFFFFFF"/>
      <color rgb="FFFFD595"/>
      <color rgb="FFFFEACA"/>
      <color rgb="FFF2BBA8"/>
      <color rgb="FFF9DCD2"/>
      <color rgb="FFE1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06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4" sqref="G24"/>
    </sheetView>
  </sheetViews>
  <sheetFormatPr defaultRowHeight="12.75" x14ac:dyDescent="0.2"/>
  <cols>
    <col min="1" max="1" width="13.5703125" bestFit="1" customWidth="1"/>
    <col min="2" max="2" width="7.85546875" customWidth="1"/>
    <col min="3" max="3" width="6.85546875" bestFit="1" customWidth="1"/>
    <col min="4" max="4" width="5.7109375" hidden="1" customWidth="1"/>
    <col min="5" max="5" width="7.42578125" hidden="1" customWidth="1"/>
    <col min="6" max="8" width="6.85546875" bestFit="1" customWidth="1"/>
    <col min="9" max="10" width="8" bestFit="1" customWidth="1"/>
    <col min="11" max="12" width="6.7109375" hidden="1" customWidth="1"/>
    <col min="13" max="13" width="6.7109375" bestFit="1" customWidth="1"/>
    <col min="14" max="14" width="7" bestFit="1" customWidth="1"/>
    <col min="15" max="15" width="6.85546875" bestFit="1" customWidth="1"/>
    <col min="16" max="16" width="8.140625" customWidth="1"/>
    <col min="17" max="17" width="8" bestFit="1" customWidth="1"/>
    <col min="18" max="19" width="7.7109375" hidden="1" customWidth="1"/>
    <col min="20" max="20" width="6.7109375" bestFit="1" customWidth="1"/>
    <col min="21" max="21" width="6.85546875" bestFit="1" customWidth="1"/>
    <col min="22" max="22" width="6.7109375" bestFit="1" customWidth="1"/>
    <col min="23" max="23" width="9.28515625" customWidth="1"/>
    <col min="24" max="24" width="8.140625" bestFit="1" customWidth="1"/>
    <col min="25" max="26" width="7.7109375" hidden="1" customWidth="1"/>
    <col min="27" max="27" width="6.7109375" customWidth="1"/>
    <col min="28" max="28" width="7.85546875" bestFit="1" customWidth="1"/>
    <col min="29" max="29" width="7.140625" bestFit="1" customWidth="1"/>
    <col min="30" max="30" width="7" bestFit="1" customWidth="1"/>
    <col min="31" max="31" width="6.85546875" bestFit="1" customWidth="1"/>
    <col min="32" max="33" width="5.7109375" hidden="1" customWidth="1"/>
    <col min="34" max="34" width="6.7109375" bestFit="1" customWidth="1"/>
    <col min="35" max="35" width="7" customWidth="1"/>
    <col min="36" max="36" width="7.28515625" customWidth="1"/>
    <col min="37" max="38" width="6.85546875" bestFit="1" customWidth="1"/>
    <col min="39" max="40" width="5.7109375" hidden="1" customWidth="1"/>
    <col min="41" max="41" width="5.7109375" bestFit="1" customWidth="1"/>
    <col min="42" max="42" width="6.5703125" customWidth="1"/>
    <col min="43" max="43" width="7" customWidth="1"/>
    <col min="44" max="45" width="7.85546875" bestFit="1" customWidth="1"/>
    <col min="46" max="47" width="6.7109375" hidden="1" customWidth="1"/>
    <col min="48" max="48" width="7" bestFit="1" customWidth="1"/>
    <col min="49" max="49" width="6.7109375" bestFit="1" customWidth="1"/>
    <col min="50" max="50" width="6.42578125" bestFit="1" customWidth="1"/>
    <col min="51" max="51" width="7.85546875" customWidth="1"/>
    <col min="52" max="52" width="7.5703125" customWidth="1"/>
    <col min="53" max="53" width="7.7109375" bestFit="1" customWidth="1"/>
    <col min="54" max="55" width="6.7109375" hidden="1" customWidth="1"/>
    <col min="56" max="56" width="6.5703125" customWidth="1"/>
    <col min="57" max="57" width="6.7109375" bestFit="1" customWidth="1"/>
    <col min="58" max="58" width="7" bestFit="1" customWidth="1"/>
    <col min="59" max="59" width="8.42578125" customWidth="1"/>
    <col min="60" max="60" width="7.85546875" bestFit="1" customWidth="1"/>
    <col min="61" max="62" width="7.7109375" hidden="1" customWidth="1"/>
    <col min="63" max="63" width="5.7109375" bestFit="1" customWidth="1"/>
    <col min="64" max="64" width="7.7109375" bestFit="1" customWidth="1"/>
    <col min="65" max="65" width="6.7109375" customWidth="1"/>
    <col min="66" max="66" width="7.28515625" customWidth="1"/>
    <col min="67" max="67" width="6.28515625" customWidth="1"/>
    <col min="68" max="69" width="5.7109375" hidden="1" customWidth="1"/>
    <col min="70" max="71" width="5.7109375" bestFit="1" customWidth="1"/>
    <col min="72" max="72" width="7" bestFit="1" customWidth="1"/>
    <col min="73" max="73" width="8.5703125" customWidth="1"/>
    <col min="74" max="74" width="7.7109375" customWidth="1"/>
    <col min="75" max="76" width="6.7109375" hidden="1" customWidth="1"/>
    <col min="77" max="77" width="7" bestFit="1" customWidth="1"/>
    <col min="78" max="78" width="6.7109375" bestFit="1" customWidth="1"/>
    <col min="79" max="79" width="6.42578125" bestFit="1" customWidth="1"/>
  </cols>
  <sheetData>
    <row r="2" spans="1:81" x14ac:dyDescent="0.2">
      <c r="A2" s="25" t="s">
        <v>11</v>
      </c>
      <c r="B2" s="1" t="s">
        <v>8</v>
      </c>
      <c r="C2" s="2" t="s">
        <v>0</v>
      </c>
      <c r="D2" s="2"/>
      <c r="E2" s="2"/>
      <c r="F2" s="2" t="s">
        <v>14</v>
      </c>
      <c r="G2" s="2" t="s">
        <v>12</v>
      </c>
      <c r="H2" s="3" t="s">
        <v>13</v>
      </c>
      <c r="I2" s="1" t="s">
        <v>9</v>
      </c>
      <c r="J2" s="2" t="s">
        <v>0</v>
      </c>
      <c r="K2" s="2"/>
      <c r="L2" s="2"/>
      <c r="M2" s="2" t="s">
        <v>14</v>
      </c>
      <c r="N2" s="2" t="s">
        <v>12</v>
      </c>
      <c r="O2" s="3" t="s">
        <v>13</v>
      </c>
      <c r="P2" s="4" t="s">
        <v>15</v>
      </c>
      <c r="Q2" s="5" t="s">
        <v>0</v>
      </c>
      <c r="R2" s="5"/>
      <c r="S2" s="5"/>
      <c r="T2" s="5" t="s">
        <v>14</v>
      </c>
      <c r="U2" s="5" t="s">
        <v>12</v>
      </c>
      <c r="V2" s="6" t="s">
        <v>13</v>
      </c>
      <c r="W2" s="4" t="s">
        <v>16</v>
      </c>
      <c r="X2" s="5" t="s">
        <v>0</v>
      </c>
      <c r="Y2" s="5"/>
      <c r="Z2" s="5"/>
      <c r="AA2" s="5" t="s">
        <v>14</v>
      </c>
      <c r="AB2" s="5" t="s">
        <v>12</v>
      </c>
      <c r="AC2" s="6" t="s">
        <v>13</v>
      </c>
      <c r="AD2" s="122" t="s">
        <v>17</v>
      </c>
      <c r="AE2" s="123"/>
      <c r="AF2" s="5" t="s">
        <v>0</v>
      </c>
      <c r="AG2" s="5"/>
      <c r="AH2" s="5" t="s">
        <v>14</v>
      </c>
      <c r="AI2" s="5" t="s">
        <v>12</v>
      </c>
      <c r="AJ2" s="6" t="s">
        <v>13</v>
      </c>
      <c r="AK2" s="7" t="s">
        <v>1</v>
      </c>
      <c r="AL2" s="8" t="s">
        <v>0</v>
      </c>
      <c r="AM2" s="8"/>
      <c r="AN2" s="8"/>
      <c r="AO2" s="8" t="s">
        <v>14</v>
      </c>
      <c r="AP2" s="8" t="s">
        <v>12</v>
      </c>
      <c r="AQ2" s="9" t="s">
        <v>13</v>
      </c>
      <c r="AR2" s="7" t="s">
        <v>2</v>
      </c>
      <c r="AS2" s="8" t="s">
        <v>0</v>
      </c>
      <c r="AT2" s="8"/>
      <c r="AU2" s="8"/>
      <c r="AV2" s="8" t="s">
        <v>14</v>
      </c>
      <c r="AW2" s="8" t="s">
        <v>12</v>
      </c>
      <c r="AX2" s="9" t="s">
        <v>13</v>
      </c>
      <c r="AZ2" s="4" t="s">
        <v>18</v>
      </c>
      <c r="BA2" s="5"/>
      <c r="BB2" s="5" t="s">
        <v>0</v>
      </c>
      <c r="BC2" s="5"/>
      <c r="BD2" s="5" t="s">
        <v>14</v>
      </c>
      <c r="BE2" s="5" t="s">
        <v>12</v>
      </c>
      <c r="BF2" s="6" t="s">
        <v>13</v>
      </c>
      <c r="BG2" s="4" t="s">
        <v>19</v>
      </c>
      <c r="BH2" s="5"/>
      <c r="BI2" s="5" t="s">
        <v>0</v>
      </c>
      <c r="BJ2" s="5"/>
      <c r="BK2" s="5" t="s">
        <v>14</v>
      </c>
      <c r="BL2" s="5" t="s">
        <v>12</v>
      </c>
      <c r="BM2" s="6" t="s">
        <v>13</v>
      </c>
      <c r="BN2" s="7" t="s">
        <v>20</v>
      </c>
      <c r="BO2" s="8" t="s">
        <v>0</v>
      </c>
      <c r="BP2" s="8"/>
      <c r="BQ2" s="8"/>
      <c r="BR2" s="8" t="s">
        <v>14</v>
      </c>
      <c r="BS2" s="8" t="s">
        <v>12</v>
      </c>
      <c r="BT2" s="9" t="s">
        <v>13</v>
      </c>
      <c r="BU2" s="124" t="s">
        <v>21</v>
      </c>
      <c r="BV2" s="125"/>
      <c r="BW2" s="8" t="s">
        <v>0</v>
      </c>
      <c r="BX2" s="8"/>
      <c r="BY2" s="8" t="s">
        <v>14</v>
      </c>
      <c r="BZ2" s="8" t="s">
        <v>12</v>
      </c>
      <c r="CA2" s="9" t="s">
        <v>13</v>
      </c>
      <c r="CC2" s="67" t="s">
        <v>92</v>
      </c>
    </row>
    <row r="3" spans="1:81" s="10" customFormat="1" x14ac:dyDescent="0.2">
      <c r="A3" s="26" t="s">
        <v>5</v>
      </c>
      <c r="B3" s="14"/>
      <c r="C3" s="11"/>
      <c r="D3" s="11"/>
      <c r="E3" s="11"/>
      <c r="F3" s="11"/>
      <c r="G3" s="11"/>
      <c r="H3" s="19"/>
      <c r="I3" s="14"/>
      <c r="J3" s="11"/>
      <c r="K3" s="11"/>
      <c r="L3" s="11"/>
      <c r="M3" s="11"/>
      <c r="N3" s="11"/>
      <c r="O3" s="15"/>
      <c r="P3" s="14"/>
      <c r="Q3" s="11"/>
      <c r="R3" s="11"/>
      <c r="S3" s="11"/>
      <c r="T3" s="11"/>
      <c r="U3" s="11"/>
      <c r="V3" s="15"/>
      <c r="W3" s="16">
        <v>164.83640433412219</v>
      </c>
      <c r="X3" s="17">
        <v>165.21543322289006</v>
      </c>
      <c r="Y3" s="20"/>
      <c r="Z3" s="20"/>
      <c r="AA3" s="13">
        <f t="shared" ref="AA3:AA8" si="0">STDEV(W3:Z3)</f>
        <v>0.26801389751335741</v>
      </c>
      <c r="AB3" s="13">
        <f t="shared" ref="AB3:AB8" si="1">AVERAGE(W3:Z3)</f>
        <v>165.02591877850614</v>
      </c>
      <c r="AC3" s="19">
        <f t="shared" ref="AC3:AC10" si="2">AA3/AB3</f>
        <v>1.62407153674496E-3</v>
      </c>
      <c r="AD3" s="14"/>
      <c r="AE3" s="11"/>
      <c r="AF3" s="11"/>
      <c r="AG3" s="11"/>
      <c r="AH3" s="11"/>
      <c r="AI3" s="11"/>
      <c r="AJ3" s="15"/>
      <c r="AK3" s="14"/>
      <c r="AL3" s="11"/>
      <c r="AM3" s="11"/>
      <c r="AN3" s="11"/>
      <c r="AO3" s="11"/>
      <c r="AP3" s="11"/>
      <c r="AQ3" s="15"/>
      <c r="AR3" s="14"/>
      <c r="AS3" s="11"/>
      <c r="AT3" s="11"/>
      <c r="AU3" s="11"/>
      <c r="AV3" s="11"/>
      <c r="AW3" s="11"/>
      <c r="AX3" s="15"/>
      <c r="AZ3" s="14"/>
      <c r="BA3" s="11"/>
      <c r="BB3" s="11"/>
      <c r="BC3" s="11"/>
      <c r="BD3" s="11"/>
      <c r="BE3" s="11"/>
      <c r="BF3" s="15"/>
      <c r="BG3" s="16">
        <v>162.57959326235519</v>
      </c>
      <c r="BH3" s="17">
        <v>161.36724580250691</v>
      </c>
      <c r="BI3" s="13"/>
      <c r="BJ3" s="13"/>
      <c r="BK3" s="13">
        <f t="shared" ref="BK3:BK8" si="3">STDEV(BG3:BJ3)</f>
        <v>0.85725911001300048</v>
      </c>
      <c r="BL3" s="13">
        <f t="shared" ref="BL3:BL8" si="4">AVERAGE(BG3:BJ3)</f>
        <v>161.97341953243105</v>
      </c>
      <c r="BM3" s="19">
        <f t="shared" ref="BM3:BM9" si="5">BK3/BL3</f>
        <v>5.2925912936063945E-3</v>
      </c>
      <c r="BN3" s="14"/>
      <c r="BO3" s="11"/>
      <c r="BP3" s="11"/>
      <c r="BQ3" s="11"/>
      <c r="BR3" s="11"/>
      <c r="BS3" s="11"/>
      <c r="BT3" s="15"/>
      <c r="BU3" s="14"/>
      <c r="BV3" s="11"/>
      <c r="BW3" s="11"/>
      <c r="BX3" s="11"/>
      <c r="BY3" s="11"/>
      <c r="BZ3" s="11"/>
      <c r="CA3" s="15"/>
      <c r="CC3" s="26">
        <v>2.73</v>
      </c>
    </row>
    <row r="4" spans="1:81" s="10" customFormat="1" x14ac:dyDescent="0.2">
      <c r="A4" s="26" t="s">
        <v>6</v>
      </c>
      <c r="B4" s="16">
        <v>0.30926767423585771</v>
      </c>
      <c r="C4" s="17">
        <v>0.3084090121843196</v>
      </c>
      <c r="D4" s="17">
        <v>0.26178419199972636</v>
      </c>
      <c r="E4" s="20"/>
      <c r="F4" s="13">
        <f>STDEV(B4:E4)</f>
        <v>2.7170119135530142E-2</v>
      </c>
      <c r="G4" s="13">
        <f>AVERAGE(B4:E4)</f>
        <v>0.29315362613996787</v>
      </c>
      <c r="H4" s="19">
        <f t="shared" ref="H4:H22" si="6">F4/G4</f>
        <v>9.2682186788157331E-2</v>
      </c>
      <c r="I4" s="14"/>
      <c r="J4" s="11"/>
      <c r="K4" s="11"/>
      <c r="L4" s="11"/>
      <c r="M4" s="11"/>
      <c r="N4" s="11"/>
      <c r="O4" s="15"/>
      <c r="P4" s="16">
        <v>3.2177104616826528</v>
      </c>
      <c r="Q4" s="17">
        <v>3.1505127753037927</v>
      </c>
      <c r="R4" s="17">
        <v>3.1426347142497932</v>
      </c>
      <c r="S4" s="20"/>
      <c r="T4" s="13">
        <f>STDEV(P4:S4)</f>
        <v>4.1259263107906473E-2</v>
      </c>
      <c r="U4" s="13">
        <f>AVERAGE(P4:S4)</f>
        <v>3.1702859837454125</v>
      </c>
      <c r="V4" s="19">
        <f t="shared" ref="V4:V10" si="7">T4/U4</f>
        <v>1.3014366312518691E-2</v>
      </c>
      <c r="W4" s="16">
        <v>161.23202165607537</v>
      </c>
      <c r="X4" s="17">
        <v>161.15974662228334</v>
      </c>
      <c r="Y4" s="17">
        <v>160.646614699965</v>
      </c>
      <c r="Z4" s="20"/>
      <c r="AA4" s="13">
        <f t="shared" si="0"/>
        <v>0.31917324304995848</v>
      </c>
      <c r="AB4" s="13">
        <f t="shared" si="1"/>
        <v>161.01279432610792</v>
      </c>
      <c r="AC4" s="19">
        <f t="shared" si="2"/>
        <v>1.9822849754630037E-3</v>
      </c>
      <c r="AD4" s="14"/>
      <c r="AE4" s="11"/>
      <c r="AF4" s="11"/>
      <c r="AG4" s="11"/>
      <c r="AH4" s="11"/>
      <c r="AI4" s="11"/>
      <c r="AJ4" s="15"/>
      <c r="AK4" s="14"/>
      <c r="AL4" s="11"/>
      <c r="AM4" s="11"/>
      <c r="AN4" s="11"/>
      <c r="AO4" s="11"/>
      <c r="AP4" s="11"/>
      <c r="AQ4" s="15"/>
      <c r="AR4" s="14"/>
      <c r="AS4" s="11"/>
      <c r="AT4" s="11"/>
      <c r="AU4" s="11"/>
      <c r="AV4" s="11"/>
      <c r="AW4" s="11"/>
      <c r="AX4" s="15"/>
      <c r="AZ4" s="14"/>
      <c r="BA4" s="11"/>
      <c r="BB4" s="11"/>
      <c r="BC4" s="11"/>
      <c r="BD4" s="11"/>
      <c r="BE4" s="11"/>
      <c r="BF4" s="15"/>
      <c r="BG4" s="16">
        <v>158.25526419879282</v>
      </c>
      <c r="BH4" s="17">
        <v>158.74742427743203</v>
      </c>
      <c r="BI4" s="17">
        <v>157.87545457235947</v>
      </c>
      <c r="BJ4" s="13"/>
      <c r="BK4" s="13">
        <f t="shared" si="3"/>
        <v>0.43718952066998729</v>
      </c>
      <c r="BL4" s="13">
        <f t="shared" si="4"/>
        <v>158.2927143495281</v>
      </c>
      <c r="BM4" s="19">
        <f t="shared" si="5"/>
        <v>2.7619055145180196E-3</v>
      </c>
      <c r="BN4" s="14"/>
      <c r="BO4" s="11"/>
      <c r="BP4" s="11"/>
      <c r="BQ4" s="11"/>
      <c r="BR4" s="11"/>
      <c r="BS4" s="11"/>
      <c r="BT4" s="15"/>
      <c r="BU4" s="14"/>
      <c r="BV4" s="11"/>
      <c r="BW4" s="11"/>
      <c r="BX4" s="11"/>
      <c r="BY4" s="11"/>
      <c r="BZ4" s="11"/>
      <c r="CA4" s="15"/>
      <c r="CC4" s="27">
        <v>3.63</v>
      </c>
    </row>
    <row r="5" spans="1:81" x14ac:dyDescent="0.2">
      <c r="A5" s="27" t="s">
        <v>7</v>
      </c>
      <c r="B5" s="16">
        <f>2*0.976315968395468</f>
        <v>1.9526319367909359</v>
      </c>
      <c r="C5" s="17">
        <v>1.9474049746754514</v>
      </c>
      <c r="D5" s="17">
        <v>1.9100917730582321</v>
      </c>
      <c r="E5" s="17">
        <v>1.9203672306568893</v>
      </c>
      <c r="F5" s="13">
        <f>STDEV(B5:E5)</f>
        <v>2.0629464306101717E-2</v>
      </c>
      <c r="G5" s="13">
        <f>AVERAGE(B5:E5)</f>
        <v>1.9326239787953772</v>
      </c>
      <c r="H5" s="19">
        <f t="shared" si="6"/>
        <v>1.067432906372209E-2</v>
      </c>
      <c r="I5" s="16">
        <f>2*3.72308096214322</f>
        <v>7.4461619242864403</v>
      </c>
      <c r="J5" s="17">
        <v>7.7084534190516578</v>
      </c>
      <c r="K5" s="17">
        <v>7.5572672520379722</v>
      </c>
      <c r="L5" s="17">
        <v>7.4742002679318356</v>
      </c>
      <c r="M5" s="13">
        <f>STDEV(I5:L5)</f>
        <v>0.1178131608910447</v>
      </c>
      <c r="N5" s="13">
        <f>AVERAGE(I5:L5)</f>
        <v>7.5465207158269756</v>
      </c>
      <c r="O5" s="19">
        <f t="shared" ref="O5:O10" si="8">M5/N5</f>
        <v>1.5611586494947333E-2</v>
      </c>
      <c r="P5" s="16">
        <f>2*12.7181590408458</f>
        <v>25.436318081691599</v>
      </c>
      <c r="Q5" s="17">
        <v>25.781430052130816</v>
      </c>
      <c r="R5" s="17">
        <v>25.050687361586114</v>
      </c>
      <c r="S5" s="18">
        <v>100.82608859714978</v>
      </c>
      <c r="T5" s="13">
        <f>STDEV(P5:R5)</f>
        <v>0.36555852340722483</v>
      </c>
      <c r="U5" s="13">
        <f>AVERAGE(P5:R5)</f>
        <v>25.422811831802843</v>
      </c>
      <c r="V5" s="19">
        <f t="shared" si="7"/>
        <v>1.4379153880607606E-2</v>
      </c>
      <c r="W5" s="16">
        <f>2*112.92703717932</f>
        <v>225.85407435863999</v>
      </c>
      <c r="X5" s="17">
        <v>224.52958527136326</v>
      </c>
      <c r="Y5" s="17">
        <v>224.50476898317856</v>
      </c>
      <c r="Z5" s="17">
        <v>218.91317644907994</v>
      </c>
      <c r="AA5" s="13">
        <f t="shared" si="0"/>
        <v>3.0897887077715089</v>
      </c>
      <c r="AB5" s="13">
        <f t="shared" si="1"/>
        <v>223.45040126556543</v>
      </c>
      <c r="AC5" s="19">
        <f t="shared" si="2"/>
        <v>1.3827626579642474E-2</v>
      </c>
      <c r="AD5" s="16">
        <f>2*0.0615669450580454</f>
        <v>0.1231338901160908</v>
      </c>
      <c r="AE5" s="17">
        <v>0.15236005976395525</v>
      </c>
      <c r="AF5" s="17">
        <v>0.14867256199875237</v>
      </c>
      <c r="AG5" s="18">
        <v>0.29637338912858402</v>
      </c>
      <c r="AH5" s="13">
        <f>STDEV(AD5:AF5)</f>
        <v>1.5916398218945863E-2</v>
      </c>
      <c r="AI5" s="13">
        <f>AVERAGE(AD5:AF5)</f>
        <v>0.14138883729293281</v>
      </c>
      <c r="AJ5" s="19">
        <f t="shared" ref="AJ5:AJ15" si="9">AH5/AI5</f>
        <v>0.11257181630237106</v>
      </c>
      <c r="AK5" s="16">
        <f>2*2.01279320276774</f>
        <v>4.0255864055354804</v>
      </c>
      <c r="AL5" s="17">
        <v>4.0422436779007622</v>
      </c>
      <c r="AM5" s="17">
        <v>4.0287186852453711</v>
      </c>
      <c r="AN5" s="17">
        <v>3.8164128692323471</v>
      </c>
      <c r="AO5" s="13">
        <f>STDEV(AK5:AN5)</f>
        <v>0.10812688660069131</v>
      </c>
      <c r="AP5" s="13">
        <f>AVERAGE(AK5:AN5)</f>
        <v>3.9782404094784898</v>
      </c>
      <c r="AQ5" s="19">
        <f t="shared" ref="AQ5:AQ10" si="10">AO5/AP5</f>
        <v>2.7179575759944015E-2</v>
      </c>
      <c r="AR5" s="16">
        <f>2*15.7708502379283</f>
        <v>31.541700475856601</v>
      </c>
      <c r="AS5" s="17">
        <v>30.831226389364744</v>
      </c>
      <c r="AT5" s="17">
        <v>29.81947805294811</v>
      </c>
      <c r="AU5" s="17">
        <v>24.124082701468229</v>
      </c>
      <c r="AV5" s="13">
        <f>STDEV(AR5:AU5)</f>
        <v>3.3781012455773962</v>
      </c>
      <c r="AW5" s="13">
        <f>AVERAGE(AR5:AU5)</f>
        <v>29.079121904909421</v>
      </c>
      <c r="AX5" s="19">
        <f t="shared" ref="AX5:AX10" si="11">AV5/AW5</f>
        <v>0.11616930031876486</v>
      </c>
      <c r="AZ5" s="16">
        <f>2*11.8049576144044</f>
        <v>23.609915228808799</v>
      </c>
      <c r="BA5" s="17">
        <v>23.119451045232495</v>
      </c>
      <c r="BB5" s="17">
        <v>21.828792267019619</v>
      </c>
      <c r="BC5" s="17">
        <v>22.903929392568305</v>
      </c>
      <c r="BD5" s="13">
        <f>STDEV(AZ5:BC5)</f>
        <v>0.75163929872391633</v>
      </c>
      <c r="BE5" s="13">
        <f>AVERAGE(AZ5:BC5)</f>
        <v>22.865521983407305</v>
      </c>
      <c r="BF5" s="19">
        <f>BD5/BE5</f>
        <v>3.2872168816848096E-2</v>
      </c>
      <c r="BG5" s="16">
        <f>2*125.531815831971</f>
        <v>251.063631663942</v>
      </c>
      <c r="BH5" s="17">
        <v>250.81609247211853</v>
      </c>
      <c r="BI5" s="17">
        <v>251.49048489645003</v>
      </c>
      <c r="BJ5" s="17">
        <v>246.74961798225337</v>
      </c>
      <c r="BK5" s="13">
        <f t="shared" si="3"/>
        <v>2.2045602811035483</v>
      </c>
      <c r="BL5" s="13">
        <f t="shared" si="4"/>
        <v>250.02995675369095</v>
      </c>
      <c r="BM5" s="19">
        <f t="shared" si="5"/>
        <v>8.8171845875064502E-3</v>
      </c>
      <c r="BN5" s="16">
        <f>2*1.92985813441059</f>
        <v>3.8597162688211801</v>
      </c>
      <c r="BO5" s="17">
        <v>3.876278294146414</v>
      </c>
      <c r="BP5" s="17">
        <v>3.8703448713418105</v>
      </c>
      <c r="BQ5" s="17">
        <v>3.6634756389844094</v>
      </c>
      <c r="BR5" s="13">
        <f>STDEV(BN5:BQ5)</f>
        <v>0.10288047576332826</v>
      </c>
      <c r="BS5" s="13">
        <f>AVERAGE(BN5:BQ5)</f>
        <v>3.8174537683234533</v>
      </c>
      <c r="BT5" s="19">
        <f>BR5/BS5</f>
        <v>2.6950025332857203E-2</v>
      </c>
      <c r="BU5" s="16">
        <f>2*15.9956426725093</f>
        <v>31.9912853450186</v>
      </c>
      <c r="BV5" s="17">
        <v>30.846717376995151</v>
      </c>
      <c r="BW5" s="17">
        <v>29.778769042707143</v>
      </c>
      <c r="BX5" s="18">
        <v>24.934449819635955</v>
      </c>
      <c r="BY5" s="13">
        <f>STDEV(BU5:BW5)</f>
        <v>1.1064792411163</v>
      </c>
      <c r="BZ5" s="13">
        <f>AVERAGE(BU5:BW5)</f>
        <v>30.872257254906966</v>
      </c>
      <c r="CA5" s="19">
        <f>BY5/BZ5</f>
        <v>3.5840568183281497E-2</v>
      </c>
      <c r="CC5" s="27">
        <v>3.44</v>
      </c>
    </row>
    <row r="6" spans="1:81" x14ac:dyDescent="0.2">
      <c r="A6" s="27" t="s">
        <v>3</v>
      </c>
      <c r="B6" s="16">
        <f>2*1.03535888621415</f>
        <v>2.0707177724283001</v>
      </c>
      <c r="C6" s="17">
        <v>2.0436804882169697</v>
      </c>
      <c r="D6" s="17">
        <v>2.0065283140560775</v>
      </c>
      <c r="E6" s="17">
        <v>2.0735179134706878</v>
      </c>
      <c r="F6" s="13">
        <f>STDEV(B6:E6)</f>
        <v>3.1114445350837822E-2</v>
      </c>
      <c r="G6" s="13">
        <f>AVERAGE(B6:E6)</f>
        <v>2.0486111220430088</v>
      </c>
      <c r="H6" s="19">
        <f t="shared" si="6"/>
        <v>1.5188068158005734E-2</v>
      </c>
      <c r="I6" s="16">
        <f>2*3.93604896948523</f>
        <v>7.8720979389704597</v>
      </c>
      <c r="J6" s="17">
        <v>8.0662175981254283</v>
      </c>
      <c r="K6" s="17">
        <v>8.6810571985477214</v>
      </c>
      <c r="L6" s="17">
        <v>8.1510273372731525</v>
      </c>
      <c r="M6" s="13">
        <f>STDEV(I6:L6)</f>
        <v>0.34593487042460075</v>
      </c>
      <c r="N6" s="13">
        <f>AVERAGE(I6:L6)</f>
        <v>8.1926000182291894</v>
      </c>
      <c r="O6" s="19">
        <f t="shared" si="8"/>
        <v>4.2225284971177411E-2</v>
      </c>
      <c r="P6" s="16">
        <f>2*13.4626732202724</f>
        <v>26.9253464405448</v>
      </c>
      <c r="Q6" s="17">
        <v>27.215398695203096</v>
      </c>
      <c r="R6" s="17">
        <v>27.024207392212748</v>
      </c>
      <c r="S6" s="17">
        <v>27.601776035009117</v>
      </c>
      <c r="T6" s="13">
        <f>STDEV(P6:S6)</f>
        <v>0.29873174904650052</v>
      </c>
      <c r="U6" s="13">
        <f>AVERAGE(P6:S6)</f>
        <v>27.191682140742437</v>
      </c>
      <c r="V6" s="19">
        <f t="shared" si="7"/>
        <v>1.098614449449224E-2</v>
      </c>
      <c r="W6" s="16">
        <f>2*111.703909708548</f>
        <v>223.40781941709599</v>
      </c>
      <c r="X6" s="17">
        <v>222.73858625130808</v>
      </c>
      <c r="Y6" s="17">
        <v>222.70377964659932</v>
      </c>
      <c r="Z6" s="17">
        <v>223.5412919139535</v>
      </c>
      <c r="AA6" s="13">
        <f t="shared" si="0"/>
        <v>0.43859003395274448</v>
      </c>
      <c r="AB6" s="13">
        <f t="shared" si="1"/>
        <v>223.09786930723922</v>
      </c>
      <c r="AC6" s="19">
        <f t="shared" si="2"/>
        <v>1.9659086629318732E-3</v>
      </c>
      <c r="AD6" s="16">
        <f>2*0.0448152726333127</f>
        <v>8.9630545266625394E-2</v>
      </c>
      <c r="AE6" s="17">
        <v>7.9749582394690821E-2</v>
      </c>
      <c r="AF6" s="17">
        <v>6.6194243933034677E-2</v>
      </c>
      <c r="AG6" s="18">
        <v>0.11188236492860956</v>
      </c>
      <c r="AH6" s="13">
        <f>STDEV(AD6:AF6)</f>
        <v>1.1766058872065395E-2</v>
      </c>
      <c r="AI6" s="13">
        <f>AVERAGE(AD6:AF6)</f>
        <v>7.8524790531450298E-2</v>
      </c>
      <c r="AJ6" s="19">
        <f t="shared" si="9"/>
        <v>0.14983878075233986</v>
      </c>
      <c r="AK6" s="16">
        <f>2*2.09626242541568</f>
        <v>4.1925248508313597</v>
      </c>
      <c r="AL6" s="17">
        <v>4.1879419524757582</v>
      </c>
      <c r="AM6" s="17">
        <v>4.2252457946256134</v>
      </c>
      <c r="AN6" s="17">
        <v>4.2038170920624056</v>
      </c>
      <c r="AO6" s="13">
        <f>STDEV(AK6:AN6)</f>
        <v>1.6638218608883357E-2</v>
      </c>
      <c r="AP6" s="13">
        <f>AVERAGE(AK6:AN6)</f>
        <v>4.2023824224987845</v>
      </c>
      <c r="AQ6" s="19">
        <f t="shared" si="10"/>
        <v>3.959234771163468E-3</v>
      </c>
      <c r="AR6" s="16">
        <f>2*14.5123937562158</f>
        <v>29.024787512431601</v>
      </c>
      <c r="AS6" s="17">
        <v>27.962134638834392</v>
      </c>
      <c r="AT6" s="17">
        <v>26.93141395077177</v>
      </c>
      <c r="AU6" s="17">
        <v>27.737578225093642</v>
      </c>
      <c r="AV6" s="13">
        <f>STDEV(AR6:AU6)</f>
        <v>0.86270230983690488</v>
      </c>
      <c r="AW6" s="13">
        <f>AVERAGE(AR6:AU6)</f>
        <v>27.91397858178285</v>
      </c>
      <c r="AX6" s="19">
        <f t="shared" si="11"/>
        <v>3.0905745209674967E-2</v>
      </c>
      <c r="AZ6" s="16">
        <f>2*10.9796014651939</f>
        <v>21.9592029303878</v>
      </c>
      <c r="BA6" s="17">
        <v>23.516297160488318</v>
      </c>
      <c r="BB6" s="17">
        <v>23.431374466914647</v>
      </c>
      <c r="BC6" s="17">
        <v>23.414755879074267</v>
      </c>
      <c r="BD6" s="13">
        <f>STDEV(AZ6:BC6)</f>
        <v>0.74879150046251386</v>
      </c>
      <c r="BE6" s="13">
        <f>AVERAGE(AZ6:BC6)</f>
        <v>23.080407609216255</v>
      </c>
      <c r="BF6" s="19">
        <f>BD6/BE6</f>
        <v>3.2442732950847597E-2</v>
      </c>
      <c r="BG6" s="16">
        <f>2*124.578448488958</f>
        <v>249.15689697791601</v>
      </c>
      <c r="BH6" s="17">
        <v>249.56499311891787</v>
      </c>
      <c r="BI6" s="17">
        <v>249.03501262995087</v>
      </c>
      <c r="BJ6" s="17">
        <v>249.53380990831951</v>
      </c>
      <c r="BK6" s="13">
        <f t="shared" si="3"/>
        <v>0.26678831307201556</v>
      </c>
      <c r="BL6" s="13">
        <f t="shared" si="4"/>
        <v>249.32267815877609</v>
      </c>
      <c r="BM6" s="19">
        <f t="shared" si="5"/>
        <v>1.0700523315497069E-3</v>
      </c>
      <c r="BN6" s="16">
        <f>2*2.00881413071056</f>
        <v>4.0176282614211196</v>
      </c>
      <c r="BO6" s="17">
        <v>3.9930401182702879</v>
      </c>
      <c r="BP6" s="17">
        <v>4.0068148612818151</v>
      </c>
      <c r="BQ6" s="17">
        <v>4.0244557138329542</v>
      </c>
      <c r="BR6" s="13">
        <f>STDEV(BN6:BQ6)</f>
        <v>1.3711319474969189E-2</v>
      </c>
      <c r="BS6" s="13">
        <f>AVERAGE(BN6:BQ6)</f>
        <v>4.0104847387015443</v>
      </c>
      <c r="BT6" s="19">
        <f>BR6/BS6</f>
        <v>3.418868383328754E-3</v>
      </c>
      <c r="BU6" s="16">
        <f>2*14.6997387244799</f>
        <v>29.3994774489598</v>
      </c>
      <c r="BV6" s="17">
        <v>27.989332362332469</v>
      </c>
      <c r="BW6" s="17">
        <v>26.810842845922558</v>
      </c>
      <c r="BX6" s="17">
        <v>28.520140642033635</v>
      </c>
      <c r="BY6" s="13">
        <f>STDEV(BU6:BX6)</f>
        <v>1.0822455597534866</v>
      </c>
      <c r="BZ6" s="13">
        <f>AVERAGE(BU6:BX6)</f>
        <v>28.179948324812116</v>
      </c>
      <c r="CA6" s="19">
        <f>BY6/BZ6</f>
        <v>3.8404809947808954E-2</v>
      </c>
      <c r="CC6" s="27">
        <v>3.41</v>
      </c>
    </row>
    <row r="7" spans="1:81" x14ac:dyDescent="0.2">
      <c r="A7" s="27" t="s">
        <v>4</v>
      </c>
      <c r="B7" s="16">
        <v>1.6483166975922727</v>
      </c>
      <c r="C7" s="17">
        <v>1.6124184779988213</v>
      </c>
      <c r="D7" s="17">
        <v>1.6419075580494717</v>
      </c>
      <c r="E7" s="20"/>
      <c r="F7" s="13">
        <f>STDEV(B7:E7)</f>
        <v>1.9145778829341743E-2</v>
      </c>
      <c r="G7" s="13">
        <f>AVERAGE(B7:E7)</f>
        <v>1.634214244546855</v>
      </c>
      <c r="H7" s="19">
        <f t="shared" si="6"/>
        <v>1.171558679850487E-2</v>
      </c>
      <c r="I7" s="16">
        <v>9.7056339592690328</v>
      </c>
      <c r="J7" s="17">
        <v>9.6205732479464494</v>
      </c>
      <c r="K7" s="17">
        <v>9.8896063050031184</v>
      </c>
      <c r="L7" s="20"/>
      <c r="M7" s="13">
        <f>STDEV(I7:L7)</f>
        <v>0.13751359593076773</v>
      </c>
      <c r="N7" s="13">
        <f>AVERAGE(I7:L7)</f>
        <v>9.7386045040728675</v>
      </c>
      <c r="O7" s="19">
        <f t="shared" si="8"/>
        <v>1.4120462112744897E-2</v>
      </c>
      <c r="P7" s="16">
        <v>32.087592565607871</v>
      </c>
      <c r="Q7" s="17">
        <v>31.99289326820006</v>
      </c>
      <c r="R7" s="18">
        <v>123.99054572367622</v>
      </c>
      <c r="S7" s="20"/>
      <c r="T7" s="13">
        <f>STDEV(P7:Q7)</f>
        <v>6.6962515370664583E-2</v>
      </c>
      <c r="U7" s="13">
        <f>AVERAGE(P7:Q7)</f>
        <v>32.040242916903964</v>
      </c>
      <c r="V7" s="19">
        <f t="shared" si="7"/>
        <v>2.0899503023223379E-3</v>
      </c>
      <c r="W7" s="16">
        <v>142.62742116090621</v>
      </c>
      <c r="X7" s="17">
        <v>142.33771455151381</v>
      </c>
      <c r="Y7" s="17">
        <v>139.07620271348486</v>
      </c>
      <c r="Z7" s="20"/>
      <c r="AA7" s="13">
        <f t="shared" si="0"/>
        <v>1.9719931478259216</v>
      </c>
      <c r="AB7" s="13">
        <f t="shared" si="1"/>
        <v>141.34711280863496</v>
      </c>
      <c r="AC7" s="19">
        <f t="shared" si="2"/>
        <v>1.395142149451426E-2</v>
      </c>
      <c r="AD7" s="16">
        <v>0.20549143138695292</v>
      </c>
      <c r="AE7" s="17">
        <v>0.20201951721702585</v>
      </c>
      <c r="AF7" s="18">
        <v>0.32588645168282443</v>
      </c>
      <c r="AG7" s="20"/>
      <c r="AH7" s="13">
        <f>STDEV(AD7:AE7)</f>
        <v>2.4550140532530909E-3</v>
      </c>
      <c r="AI7" s="13">
        <f>AVERAGE(AD7:AE7)</f>
        <v>0.20375547430198937</v>
      </c>
      <c r="AJ7" s="19">
        <f t="shared" si="9"/>
        <v>1.2048825002927154E-2</v>
      </c>
      <c r="AK7" s="16">
        <v>3.1382129070601592</v>
      </c>
      <c r="AL7" s="17">
        <v>3.1076014035553046</v>
      </c>
      <c r="AM7" s="17">
        <v>2.8786587359719067</v>
      </c>
      <c r="AN7" s="20"/>
      <c r="AO7" s="13">
        <f>STDEV(AK7:AN7)</f>
        <v>0.14184508974954554</v>
      </c>
      <c r="AP7" s="13">
        <f>AVERAGE(AK7:AN7)</f>
        <v>3.0414910155291235</v>
      </c>
      <c r="AQ7" s="19">
        <f t="shared" si="10"/>
        <v>4.6636695300205901E-2</v>
      </c>
      <c r="AR7" s="16">
        <v>31.716534677173605</v>
      </c>
      <c r="AS7" s="17">
        <v>31.275591792066795</v>
      </c>
      <c r="AT7" s="17">
        <v>24.846256102501467</v>
      </c>
      <c r="AU7" s="20"/>
      <c r="AV7" s="13">
        <f>STDEV(AR7:AU7)</f>
        <v>3.8455930563577887</v>
      </c>
      <c r="AW7" s="13">
        <f>AVERAGE(AR7:AU7)</f>
        <v>29.27946085724729</v>
      </c>
      <c r="AX7" s="19">
        <f t="shared" si="11"/>
        <v>0.1313409790947678</v>
      </c>
      <c r="AZ7" s="16">
        <v>21.214874890329899</v>
      </c>
      <c r="BA7" s="17">
        <v>20.816217131779236</v>
      </c>
      <c r="BB7" s="17">
        <v>21.111285267967855</v>
      </c>
      <c r="BC7" s="17"/>
      <c r="BD7" s="13">
        <f>STDEV(AZ7:BC7)</f>
        <v>0.2068510024581196</v>
      </c>
      <c r="BE7" s="13">
        <f>AVERAGE(AZ7:BC7)</f>
        <v>21.047459096692332</v>
      </c>
      <c r="BF7" s="19">
        <f>BD7/BE7</f>
        <v>9.8278372466644604E-3</v>
      </c>
      <c r="BG7" s="16">
        <v>169.22635596794839</v>
      </c>
      <c r="BH7" s="17">
        <v>169.36739313673272</v>
      </c>
      <c r="BI7" s="17">
        <v>167.12864282181795</v>
      </c>
      <c r="BJ7" s="17"/>
      <c r="BK7" s="13">
        <f t="shared" si="3"/>
        <v>1.2538138417749103</v>
      </c>
      <c r="BL7" s="13">
        <f t="shared" si="4"/>
        <v>168.57413064216635</v>
      </c>
      <c r="BM7" s="19">
        <f t="shared" si="5"/>
        <v>7.437759500812084E-3</v>
      </c>
      <c r="BN7" s="16">
        <v>3.0130383873262567</v>
      </c>
      <c r="BO7" s="17">
        <v>2.9928754490345182</v>
      </c>
      <c r="BP7" s="17">
        <v>2.890663288713808</v>
      </c>
      <c r="BQ7" s="17"/>
      <c r="BR7" s="13">
        <f>STDEV(BN7:BQ7)</f>
        <v>6.5611907657057683E-2</v>
      </c>
      <c r="BS7" s="13">
        <f>AVERAGE(BN7:BQ7)</f>
        <v>2.9655257083581943</v>
      </c>
      <c r="BT7" s="19">
        <f>BR7/BS7</f>
        <v>2.2124882435560621E-2</v>
      </c>
      <c r="BU7" s="16">
        <v>31.629716419179552</v>
      </c>
      <c r="BV7" s="17">
        <v>31.294548773633135</v>
      </c>
      <c r="BW7" s="18">
        <v>25.099994211933158</v>
      </c>
      <c r="BX7" s="17"/>
      <c r="BY7" s="13">
        <f>STDEV(BU7:BV7)</f>
        <v>0.23699931500020027</v>
      </c>
      <c r="BZ7" s="13">
        <f>AVERAGE(BU7:BV7)</f>
        <v>31.462132596406342</v>
      </c>
      <c r="CA7" s="19">
        <f>BY7/BZ7</f>
        <v>7.5328433085070255E-3</v>
      </c>
      <c r="CC7" s="27">
        <v>3.49</v>
      </c>
    </row>
    <row r="8" spans="1:81" x14ac:dyDescent="0.2">
      <c r="A8" s="28" t="s">
        <v>10</v>
      </c>
      <c r="B8" s="21">
        <f>2*0.91026813899238</f>
        <v>1.82053627798476</v>
      </c>
      <c r="C8" s="22">
        <f>2*0.907984519046875</f>
        <v>1.8159690380937501</v>
      </c>
      <c r="D8" s="22">
        <v>1.8060641757645439</v>
      </c>
      <c r="E8" s="22">
        <v>1.807184137971432</v>
      </c>
      <c r="F8" s="23">
        <f>STDEV(B8:E8)</f>
        <v>6.9828131216009186E-3</v>
      </c>
      <c r="G8" s="23">
        <f>AVERAGE(B8:E8)</f>
        <v>1.8124384074536215</v>
      </c>
      <c r="H8" s="24">
        <f t="shared" si="6"/>
        <v>3.8527174732582476E-3</v>
      </c>
      <c r="I8" s="21">
        <f>2*5.90646709907402</f>
        <v>11.81293419814804</v>
      </c>
      <c r="J8" s="22">
        <f>2*5.95748164502611</f>
        <v>11.914963290052221</v>
      </c>
      <c r="K8" s="22">
        <v>11.935159263601465</v>
      </c>
      <c r="L8" s="22">
        <v>12.06290639127254</v>
      </c>
      <c r="M8" s="23">
        <f>STDEV(I8:L8)</f>
        <v>0.10265206879302474</v>
      </c>
      <c r="N8" s="23">
        <f>AVERAGE(I8:L8)</f>
        <v>11.931490785768567</v>
      </c>
      <c r="O8" s="24">
        <f t="shared" si="8"/>
        <v>8.6034570730645216E-3</v>
      </c>
      <c r="P8" s="21">
        <f>2*12.0853403250346</f>
        <v>24.170680650069201</v>
      </c>
      <c r="Q8" s="22">
        <f>2*11.9273852878767</f>
        <v>23.854770575753399</v>
      </c>
      <c r="R8" s="22">
        <v>24.876863973052398</v>
      </c>
      <c r="S8" s="22">
        <v>24.784569824365782</v>
      </c>
      <c r="T8" s="23">
        <f>STDEV(P8:S8)</f>
        <v>0.49100863404123662</v>
      </c>
      <c r="U8" s="23">
        <f>AVERAGE(P8:S8)</f>
        <v>24.421721255810198</v>
      </c>
      <c r="V8" s="24">
        <f t="shared" si="7"/>
        <v>2.0105406531262419E-2</v>
      </c>
      <c r="W8" s="21">
        <f>2*73.4519770317533</f>
        <v>146.9039540635066</v>
      </c>
      <c r="X8" s="22">
        <f>2*73.4529058220763</f>
        <v>146.90581164415261</v>
      </c>
      <c r="Y8" s="22">
        <v>145.32623481057189</v>
      </c>
      <c r="Z8" s="22">
        <v>145.366673631401</v>
      </c>
      <c r="AA8" s="23">
        <f t="shared" si="0"/>
        <v>0.89991095449926861</v>
      </c>
      <c r="AB8" s="23">
        <f t="shared" si="1"/>
        <v>146.12566853740802</v>
      </c>
      <c r="AC8" s="24">
        <f t="shared" si="2"/>
        <v>6.1584727960980537E-3</v>
      </c>
      <c r="AD8" s="21">
        <f>2*0.060590774849787</f>
        <v>0.121181549699574</v>
      </c>
      <c r="AE8" s="22">
        <f>2*0.056902471590255</f>
        <v>0.11380494318051</v>
      </c>
      <c r="AF8" s="22">
        <v>0.11198830028423748</v>
      </c>
      <c r="AG8" s="22">
        <v>0.10653114020205064</v>
      </c>
      <c r="AH8" s="23">
        <f>STDEV(AD8:AG8)</f>
        <v>6.0522286139035901E-3</v>
      </c>
      <c r="AI8" s="23">
        <f>AVERAGE(AD8:AG8)</f>
        <v>0.11337648334159302</v>
      </c>
      <c r="AJ8" s="24">
        <f t="shared" si="9"/>
        <v>5.3381692883071499E-2</v>
      </c>
      <c r="AK8" s="21">
        <f>2*1.64735944066854</f>
        <v>3.2947188813370798</v>
      </c>
      <c r="AL8" s="22">
        <f>2*1.61841005122201</f>
        <v>3.2368201024440202</v>
      </c>
      <c r="AM8" s="22">
        <v>3.3009527265567811</v>
      </c>
      <c r="AN8" s="22">
        <v>3.2774512572441252</v>
      </c>
      <c r="AO8" s="23">
        <f>STDEV(AK8:AN8)</f>
        <v>2.8875456044275535E-2</v>
      </c>
      <c r="AP8" s="23">
        <f>AVERAGE(AK8:AN8)</f>
        <v>3.2774857418955019</v>
      </c>
      <c r="AQ8" s="24">
        <f t="shared" si="10"/>
        <v>8.8102461210329171E-3</v>
      </c>
      <c r="AR8" s="21">
        <f>2*14.1312109861989</f>
        <v>28.262421972397799</v>
      </c>
      <c r="AS8" s="22">
        <f>2*13.7695095908492</f>
        <v>27.5390191816984</v>
      </c>
      <c r="AT8" s="22">
        <v>28.103329016000902</v>
      </c>
      <c r="AU8" s="22">
        <v>27.098286728170393</v>
      </c>
      <c r="AV8" s="23">
        <f>STDEV(AR8:AU8)</f>
        <v>0.53437141563944901</v>
      </c>
      <c r="AW8" s="23">
        <f>AVERAGE(AR8:AU8)</f>
        <v>27.750764224566872</v>
      </c>
      <c r="AX8" s="24">
        <f t="shared" si="11"/>
        <v>1.9256097284931235E-2</v>
      </c>
      <c r="AZ8" s="16">
        <f>2*10.1964674868085</f>
        <v>20.392934973616999</v>
      </c>
      <c r="BA8" s="17">
        <f>2*10.4363668508113</f>
        <v>20.8727337016226</v>
      </c>
      <c r="BB8" s="17">
        <v>20.855977308296268</v>
      </c>
      <c r="BC8" s="17">
        <v>20.631873106261704</v>
      </c>
      <c r="BD8" s="13">
        <f>STDEV(AZ8:BC8)</f>
        <v>0.22550383419083672</v>
      </c>
      <c r="BE8" s="13">
        <f>AVERAGE(AZ8:BC8)</f>
        <v>20.688379772449391</v>
      </c>
      <c r="BF8" s="19">
        <f>BD8/BE8</f>
        <v>1.0900023910578972E-2</v>
      </c>
      <c r="BG8" s="21">
        <f>2*85.0427172882399</f>
        <v>170.0854345764798</v>
      </c>
      <c r="BH8" s="22">
        <f>2*85.0913694418673</f>
        <v>170.1827388837346</v>
      </c>
      <c r="BI8" s="22">
        <v>169.36503841245479</v>
      </c>
      <c r="BJ8" s="22">
        <v>169.54858760461073</v>
      </c>
      <c r="BK8" s="23">
        <f t="shared" si="3"/>
        <v>0.40011619604435128</v>
      </c>
      <c r="BL8" s="23">
        <f t="shared" si="4"/>
        <v>169.79544986931998</v>
      </c>
      <c r="BM8" s="24">
        <f t="shared" si="5"/>
        <v>2.3564600603390344E-3</v>
      </c>
      <c r="BN8" s="21">
        <f>2*1.6058360804558</f>
        <v>3.2116721609116001</v>
      </c>
      <c r="BO8" s="22">
        <f>2*1.60351482631811</f>
        <v>3.2070296526362201</v>
      </c>
      <c r="BP8" s="22">
        <v>3.1755530361028153</v>
      </c>
      <c r="BQ8" s="22">
        <v>3.1970290100839227</v>
      </c>
      <c r="BR8" s="23">
        <f>STDEV(BN8:BQ8)</f>
        <v>1.6053487742773896E-2</v>
      </c>
      <c r="BS8" s="23">
        <f>AVERAGE(BN8:BQ8)</f>
        <v>3.1978209649336398</v>
      </c>
      <c r="BT8" s="24">
        <f>BR8/BS8</f>
        <v>5.0201333716964466E-3</v>
      </c>
      <c r="BU8" s="21">
        <f>2*14.7342619776553</f>
        <v>29.468523955310602</v>
      </c>
      <c r="BV8" s="22">
        <f>2*14.2411799024604</f>
        <v>28.482359804920801</v>
      </c>
      <c r="BW8" s="22">
        <v>28.165450499098206</v>
      </c>
      <c r="BX8" s="22">
        <v>26.965290403988622</v>
      </c>
      <c r="BY8" s="23">
        <f>STDEV(BU8:BX8)</f>
        <v>1.0319485494893683</v>
      </c>
      <c r="BZ8" s="23">
        <f>AVERAGE(BU8:BX8)</f>
        <v>28.270406165829559</v>
      </c>
      <c r="CA8" s="24">
        <f>BY8/BZ8</f>
        <v>3.6502784694217964E-2</v>
      </c>
      <c r="CC8" s="27">
        <v>3.45</v>
      </c>
    </row>
    <row r="9" spans="1:81" x14ac:dyDescent="0.2">
      <c r="A9" s="33" t="s">
        <v>22</v>
      </c>
      <c r="B9" s="37">
        <f>1.26757515354235*2</f>
        <v>2.5351503070847001</v>
      </c>
      <c r="C9" s="38">
        <v>2.5938707763364</v>
      </c>
      <c r="D9" s="38"/>
      <c r="E9" s="38"/>
      <c r="F9" s="39">
        <f>STDEV(B9:C9)</f>
        <v>4.1521642002333103E-2</v>
      </c>
      <c r="G9" s="39">
        <f>AVERAGE(B9:C9)</f>
        <v>2.56451054171055</v>
      </c>
      <c r="H9" s="41">
        <f t="shared" si="6"/>
        <v>1.619086423198628E-2</v>
      </c>
      <c r="I9" s="37">
        <f>7.15477597698461*2</f>
        <v>14.309551953969221</v>
      </c>
      <c r="J9" s="38">
        <v>14.723400118564101</v>
      </c>
      <c r="K9" s="38"/>
      <c r="L9" s="38"/>
      <c r="M9" s="39">
        <f>STDEV(I9:J9)</f>
        <v>0.29263484356664593</v>
      </c>
      <c r="N9" s="39">
        <f>AVERAGE(I9:J9)</f>
        <v>14.51647603626666</v>
      </c>
      <c r="O9" s="41">
        <f t="shared" si="8"/>
        <v>2.0158807332823291E-2</v>
      </c>
      <c r="P9" s="37">
        <f>16.9745055888101*2</f>
        <v>33.9490111776202</v>
      </c>
      <c r="Q9" s="38">
        <v>43.203089004061702</v>
      </c>
      <c r="R9" s="38"/>
      <c r="S9" s="38"/>
      <c r="T9" s="39">
        <f>STDEV(P9:Q9)</f>
        <v>6.5436211847048416</v>
      </c>
      <c r="U9" s="39">
        <f>AVERAGE(P9:Q9)</f>
        <v>38.576050090840951</v>
      </c>
      <c r="V9" s="41">
        <f t="shared" si="7"/>
        <v>0.1696291136416396</v>
      </c>
      <c r="W9" s="37">
        <f>36.6263361994539*2</f>
        <v>73.252672398907805</v>
      </c>
      <c r="X9" s="38">
        <v>72.555867487845106</v>
      </c>
      <c r="Y9" s="38"/>
      <c r="Z9" s="38"/>
      <c r="AA9" s="39">
        <f>STDEV(W9:X9)</f>
        <v>0.4927154777765238</v>
      </c>
      <c r="AB9" s="39">
        <f>AVERAGE(W9:X9)</f>
        <v>72.904269943376448</v>
      </c>
      <c r="AC9" s="41">
        <f t="shared" si="2"/>
        <v>6.7583898468389827E-3</v>
      </c>
      <c r="AD9" s="37">
        <f>0.459287121530062*2</f>
        <v>0.91857424306012403</v>
      </c>
      <c r="AE9" s="38">
        <v>0.89801628731796601</v>
      </c>
      <c r="AF9" s="38"/>
      <c r="AG9" s="38"/>
      <c r="AH9" s="39">
        <f>STDEV(AD9:AE9)</f>
        <v>1.4536669912612857E-2</v>
      </c>
      <c r="AI9" s="39">
        <f>AVERAGE(AD9:AE9)</f>
        <v>0.90829526518904502</v>
      </c>
      <c r="AJ9" s="41">
        <f t="shared" si="9"/>
        <v>1.6004344038485455E-2</v>
      </c>
      <c r="AK9" s="37">
        <f>1.06704488598546*2</f>
        <v>2.13408977197092</v>
      </c>
      <c r="AL9" s="38">
        <v>2.1326257753864901</v>
      </c>
      <c r="AM9" s="38"/>
      <c r="AN9" s="38"/>
      <c r="AO9" s="39">
        <f>STDEV(AK9:AL9)</f>
        <v>1.0352019124842985E-3</v>
      </c>
      <c r="AP9" s="39">
        <f>AVERAGE(AK9:AL9)</f>
        <v>2.1333577736787053</v>
      </c>
      <c r="AQ9" s="41">
        <f t="shared" si="10"/>
        <v>4.8524533730656157E-4</v>
      </c>
      <c r="AR9" s="37">
        <f>12.3440215740678*2</f>
        <v>24.688043148135598</v>
      </c>
      <c r="AS9" s="38">
        <v>24.284489619295901</v>
      </c>
      <c r="AT9" s="38"/>
      <c r="AU9" s="38"/>
      <c r="AV9" s="39">
        <f>STDEV(AR9:AS9)</f>
        <v>0.2853554368143113</v>
      </c>
      <c r="AW9" s="39">
        <f>AVERAGE(AR9:AS9)</f>
        <v>24.486266383715751</v>
      </c>
      <c r="AX9" s="41">
        <f t="shared" si="11"/>
        <v>1.1653693231242592E-2</v>
      </c>
      <c r="AZ9" s="37">
        <f>12.4378420445991*2</f>
        <v>24.875684089198199</v>
      </c>
      <c r="BA9" s="38">
        <v>24.863735786932502</v>
      </c>
      <c r="BB9" s="38"/>
      <c r="BC9" s="38"/>
      <c r="BD9" s="39">
        <f>STDEV(AZ9:BA9)</f>
        <v>8.4487255557410858E-3</v>
      </c>
      <c r="BE9" s="39">
        <f>AVERAGE(AZ9:BA9)</f>
        <v>24.869709938065348</v>
      </c>
      <c r="BF9" s="41">
        <f>BD9/BE9</f>
        <v>3.3971950524479358E-4</v>
      </c>
      <c r="BG9" s="37">
        <f>48.5398747808501*2</f>
        <v>97.079749561700197</v>
      </c>
      <c r="BH9" s="38">
        <v>97.351034915921502</v>
      </c>
      <c r="BI9" s="38"/>
      <c r="BJ9" s="38"/>
      <c r="BK9" s="39">
        <f>STDEV(BG9:BH9)</f>
        <v>0.19182771360647963</v>
      </c>
      <c r="BL9" s="39">
        <f>AVERAGE(BG9:BH9)</f>
        <v>97.21539223881085</v>
      </c>
      <c r="BM9" s="41">
        <f t="shared" si="5"/>
        <v>1.973223675683501E-3</v>
      </c>
      <c r="BN9" s="37">
        <f>1.05280571535326*2</f>
        <v>2.1056114307065199</v>
      </c>
      <c r="BO9" s="38">
        <v>2.1080866614631</v>
      </c>
      <c r="BP9" s="38"/>
      <c r="BQ9" s="38"/>
      <c r="BR9" s="39">
        <f>STDEV(BN9:BO9)</f>
        <v>1.750252452979277E-3</v>
      </c>
      <c r="BS9" s="39">
        <f>AVERAGE(BN9:BO9)</f>
        <v>2.1068490460848102</v>
      </c>
      <c r="BT9" s="41">
        <f>BR9/BS9</f>
        <v>8.3074411820429088E-4</v>
      </c>
      <c r="BU9" s="37">
        <f>12.3549307417646*2</f>
        <v>24.709861483529199</v>
      </c>
      <c r="BV9" s="38">
        <v>24.132497904078701</v>
      </c>
      <c r="BW9" s="34"/>
      <c r="BX9" s="34"/>
      <c r="BY9" s="39">
        <f>STDEV(BU9:BV9)</f>
        <v>0.40825770223958535</v>
      </c>
      <c r="BZ9" s="39">
        <f>AVERAGE(BU9:BV9)</f>
        <v>24.42117969380395</v>
      </c>
      <c r="CA9" s="41">
        <f>BY9/BZ9</f>
        <v>1.6717362034036669E-2</v>
      </c>
      <c r="CC9" s="68">
        <v>3.57</v>
      </c>
    </row>
    <row r="10" spans="1:81" x14ac:dyDescent="0.2">
      <c r="A10" s="35" t="s">
        <v>23</v>
      </c>
      <c r="B10" s="21">
        <f>1.43187646493627*2</f>
        <v>2.8637529298725402</v>
      </c>
      <c r="C10" s="22">
        <v>2.69365341431322</v>
      </c>
      <c r="D10" s="22"/>
      <c r="E10" s="22"/>
      <c r="F10" s="23">
        <f>STDEV(B10:C10)</f>
        <v>0.12027852092854191</v>
      </c>
      <c r="G10" s="23">
        <f>AVERAGE(B10:C10)</f>
        <v>2.7787031720928801</v>
      </c>
      <c r="H10" s="24">
        <f t="shared" si="6"/>
        <v>4.3285847202581849E-2</v>
      </c>
      <c r="I10" s="21">
        <f>8.69924077268021*2</f>
        <v>17.398481545360418</v>
      </c>
      <c r="J10" s="22">
        <v>17.331786789720919</v>
      </c>
      <c r="K10" s="22"/>
      <c r="L10" s="22"/>
      <c r="M10" s="23">
        <f>STDEV(I10:J10)</f>
        <v>4.7160313982269796E-2</v>
      </c>
      <c r="N10" s="23">
        <f>AVERAGE(I10:J10)</f>
        <v>17.365134167540667</v>
      </c>
      <c r="O10" s="24">
        <f t="shared" si="8"/>
        <v>2.7158047572372348E-3</v>
      </c>
      <c r="P10" s="21">
        <f>18.2161931880081*2</f>
        <v>36.432386376016197</v>
      </c>
      <c r="Q10" s="22">
        <v>41.358207448593298</v>
      </c>
      <c r="R10" s="22"/>
      <c r="S10" s="22"/>
      <c r="T10" s="23">
        <f>STDEV(P10:Q10)</f>
        <v>3.483081483330861</v>
      </c>
      <c r="U10" s="23">
        <f>AVERAGE(P10:Q10)</f>
        <v>38.895296912304744</v>
      </c>
      <c r="V10" s="24">
        <f t="shared" si="7"/>
        <v>8.9550196549058061E-2</v>
      </c>
      <c r="W10" s="21">
        <f>37.9122896609861*2</f>
        <v>75.824579321972195</v>
      </c>
      <c r="X10" s="22">
        <v>72.933232006934304</v>
      </c>
      <c r="Y10" s="22"/>
      <c r="Z10" s="22"/>
      <c r="AA10" s="23">
        <f>STDEV(W10:X10)</f>
        <v>2.0444912932288095</v>
      </c>
      <c r="AB10" s="23">
        <f>AVERAGE(W10:X10)</f>
        <v>74.378905664453242</v>
      </c>
      <c r="AC10" s="24">
        <f t="shared" si="2"/>
        <v>2.7487515108815343E-2</v>
      </c>
      <c r="AD10" s="21">
        <f>0.472179299736025*2</f>
        <v>0.94435859947205003</v>
      </c>
      <c r="AE10" s="22">
        <v>0.76081272067157202</v>
      </c>
      <c r="AF10" s="22"/>
      <c r="AG10" s="22"/>
      <c r="AH10" s="23">
        <f>STDEV(AD10:AE10)</f>
        <v>0.12978653555866179</v>
      </c>
      <c r="AI10" s="23">
        <f>AVERAGE(AD10:AE10)</f>
        <v>0.85258566007181102</v>
      </c>
      <c r="AJ10" s="24">
        <f t="shared" si="9"/>
        <v>0.15222697452796732</v>
      </c>
      <c r="AK10" s="21">
        <f>1.07499627061206*2</f>
        <v>2.1499925412241199</v>
      </c>
      <c r="AL10" s="22">
        <v>2.1682111606285601</v>
      </c>
      <c r="AM10" s="22"/>
      <c r="AN10" s="22"/>
      <c r="AO10" s="23">
        <f>STDEV(AK10:AL10)</f>
        <v>1.2882509324736521E-2</v>
      </c>
      <c r="AP10" s="23">
        <f>AVERAGE(AK10:AL10)</f>
        <v>2.1591018509263398</v>
      </c>
      <c r="AQ10" s="24">
        <f t="shared" si="10"/>
        <v>5.9666056602236794E-3</v>
      </c>
      <c r="AR10" s="21">
        <f>10.926579479916*2</f>
        <v>21.853158959832001</v>
      </c>
      <c r="AS10" s="22">
        <v>21.385279353460501</v>
      </c>
      <c r="AT10" s="22"/>
      <c r="AU10" s="22"/>
      <c r="AV10" s="23">
        <f>STDEV(AR10:AS10)</f>
        <v>0.33084084244418061</v>
      </c>
      <c r="AW10" s="23">
        <f>AVERAGE(AR10:AS10)</f>
        <v>21.619219156646253</v>
      </c>
      <c r="AX10" s="24">
        <f t="shared" si="11"/>
        <v>1.5303089350591666E-2</v>
      </c>
      <c r="AZ10" s="21">
        <f>11.4840423762812*2</f>
        <v>22.968084752562401</v>
      </c>
      <c r="BA10" s="22">
        <v>22.9976897849001</v>
      </c>
      <c r="BB10" s="22"/>
      <c r="BC10" s="22"/>
      <c r="BD10" s="23">
        <f>STDEV(AZ10:BA10)</f>
        <v>2.093391912323388E-2</v>
      </c>
      <c r="BE10" s="23">
        <f>AVERAGE(AZ10:BA10)</f>
        <v>22.98288726873125</v>
      </c>
      <c r="BF10" s="24">
        <f t="shared" ref="BF10:BF16" si="12">BD10/BE10</f>
        <v>9.1084809660598918E-4</v>
      </c>
      <c r="BG10" s="21">
        <f>46.7595875283869*2</f>
        <v>93.519175056773804</v>
      </c>
      <c r="BH10" s="22">
        <v>92.705016727981899</v>
      </c>
      <c r="BI10" s="22"/>
      <c r="BJ10" s="22"/>
      <c r="BK10" s="23">
        <f>STDEV(BG10:BH10)</f>
        <v>0.57569687524826263</v>
      </c>
      <c r="BL10" s="23">
        <f>AVERAGE(BG10:BH10)</f>
        <v>93.112095892377852</v>
      </c>
      <c r="BM10" s="24">
        <f t="shared" ref="BM10:BM16" si="13">BK10/BL10</f>
        <v>6.1828366092593684E-3</v>
      </c>
      <c r="BN10" s="21">
        <f>1.0456516664567*2</f>
        <v>2.0913033329133999</v>
      </c>
      <c r="BO10" s="22">
        <v>2.0571222899353701</v>
      </c>
      <c r="BP10" s="22"/>
      <c r="BQ10" s="22"/>
      <c r="BR10" s="23">
        <f>STDEV(BN10:BO10)</f>
        <v>2.4169647277793707E-2</v>
      </c>
      <c r="BS10" s="23">
        <f>AVERAGE(BN10:BO10)</f>
        <v>2.0742128114243847</v>
      </c>
      <c r="BT10" s="24">
        <f t="shared" ref="BT10:BT16" si="14">BR10/BS10</f>
        <v>1.1652443348470182E-2</v>
      </c>
      <c r="BU10" s="21">
        <f>10.9657963386026*2</f>
        <v>21.931592677205199</v>
      </c>
      <c r="BV10" s="22">
        <v>21.307502916390298</v>
      </c>
      <c r="BW10" s="20"/>
      <c r="BX10" s="20"/>
      <c r="BY10" s="23">
        <f>STDEV(BU10:BV10)</f>
        <v>0.44129810194130664</v>
      </c>
      <c r="BZ10" s="23">
        <f>AVERAGE(BU10:BV10)</f>
        <v>21.619547796797747</v>
      </c>
      <c r="CA10" s="24">
        <f t="shared" ref="CA10:CA16" si="15">BY10/BZ10</f>
        <v>2.0411995019001785E-2</v>
      </c>
      <c r="CC10" s="28">
        <v>3.67</v>
      </c>
    </row>
    <row r="11" spans="1:81" x14ac:dyDescent="0.2">
      <c r="A11" s="26" t="s">
        <v>24</v>
      </c>
      <c r="B11" s="12">
        <f>2*0.27459439601688</f>
        <v>0.54918879203376003</v>
      </c>
      <c r="C11" s="12">
        <v>0.55255775944666352</v>
      </c>
      <c r="D11" s="12"/>
      <c r="E11" s="12"/>
      <c r="F11" s="13">
        <f t="shared" ref="F11:F21" si="16">STDEV(B11:E11)</f>
        <v>2.3822197032605571E-3</v>
      </c>
      <c r="G11" s="13">
        <f t="shared" ref="G11:G21" si="17">AVERAGE(B11:E11)</f>
        <v>0.55087327574021172</v>
      </c>
      <c r="H11" s="42">
        <f t="shared" si="6"/>
        <v>4.3244423139959989E-3</v>
      </c>
      <c r="I11" s="37">
        <f>2*1.13491166551605</f>
        <v>2.2698233310321001</v>
      </c>
      <c r="J11" s="38">
        <v>2.3784411883745045</v>
      </c>
      <c r="K11" s="38"/>
      <c r="L11" s="38"/>
      <c r="M11" s="39">
        <f t="shared" ref="M11:M21" si="18">STDEV(I11:L11)</f>
        <v>7.6804423484767154E-2</v>
      </c>
      <c r="N11" s="39">
        <f t="shared" ref="N11:N21" si="19">AVERAGE(I11:L11)</f>
        <v>2.3241322597033021</v>
      </c>
      <c r="O11" s="41">
        <f t="shared" ref="O11:O16" si="20">M11/N11</f>
        <v>3.3046494305178649E-2</v>
      </c>
      <c r="P11" s="37">
        <f>2*3.67097495531818</f>
        <v>7.3419499106363597</v>
      </c>
      <c r="Q11" s="38">
        <v>7.7659400761421074</v>
      </c>
      <c r="R11" s="38"/>
      <c r="S11" s="38"/>
      <c r="T11" s="39">
        <f t="shared" ref="T11:T21" si="21">STDEV(P11:S11)</f>
        <v>0.29980632118552075</v>
      </c>
      <c r="U11" s="39">
        <f t="shared" ref="U11:U21" si="22">AVERAGE(P11:S11)</f>
        <v>7.5539449933892335</v>
      </c>
      <c r="V11" s="41">
        <f t="shared" ref="V11:V16" si="23">T11/U11</f>
        <v>3.9688708542078815E-2</v>
      </c>
      <c r="W11" s="37">
        <f>2*11.7649449812038</f>
        <v>23.529889962407601</v>
      </c>
      <c r="X11" s="38">
        <v>21.816395633509615</v>
      </c>
      <c r="Y11" s="38"/>
      <c r="Z11" s="38"/>
      <c r="AA11" s="39">
        <f t="shared" ref="AA11:AA21" si="24">STDEV(W11:Z11)</f>
        <v>1.211623459488459</v>
      </c>
      <c r="AB11" s="39">
        <f t="shared" ref="AB11:AB21" si="25">AVERAGE(W11:Z11)</f>
        <v>22.673142797958608</v>
      </c>
      <c r="AC11" s="41">
        <f t="shared" ref="AC11:AC16" si="26">AA11/AB11</f>
        <v>5.3438708091123048E-2</v>
      </c>
      <c r="AD11" s="12"/>
      <c r="AE11" s="12">
        <v>6.5655281662596696E-2</v>
      </c>
      <c r="AF11" s="12"/>
      <c r="AG11" s="12"/>
      <c r="AH11" s="13"/>
      <c r="AI11" s="13">
        <f>AVERAGE(AD11:AG11)</f>
        <v>6.5655281662596696E-2</v>
      </c>
      <c r="AJ11" s="42">
        <f t="shared" si="9"/>
        <v>0</v>
      </c>
      <c r="AK11" s="37">
        <f>2*0.0918566143070076</f>
        <v>0.18371322861401521</v>
      </c>
      <c r="AL11" s="38">
        <v>0.13356630818411702</v>
      </c>
      <c r="AM11" s="38"/>
      <c r="AN11" s="38"/>
      <c r="AO11" s="39">
        <f t="shared" ref="AO11:AO21" si="27">STDEV(AK11:AN11)</f>
        <v>3.5459227491603178E-2</v>
      </c>
      <c r="AP11" s="39">
        <f t="shared" ref="AP11:AP22" si="28">AVERAGE(AK11:AN11)</f>
        <v>0.15863976839906613</v>
      </c>
      <c r="AQ11" s="41">
        <f t="shared" ref="AQ11:AQ16" si="29">AO11/AP11</f>
        <v>0.22352041893054048</v>
      </c>
      <c r="AR11" s="37">
        <f>2*0.458512846268172</f>
        <v>0.91702569253634403</v>
      </c>
      <c r="AS11" s="38">
        <v>1.4715283559176153</v>
      </c>
      <c r="AT11" s="34"/>
      <c r="AU11" s="34"/>
      <c r="AV11" s="39">
        <f t="shared" ref="AV11:AV21" si="30">STDEV(AR11:AU11)</f>
        <v>0.39209259346289937</v>
      </c>
      <c r="AW11" s="39">
        <f t="shared" ref="AW11:AW21" si="31">AVERAGE(AR11:AU11)</f>
        <v>1.1942770242269796</v>
      </c>
      <c r="AX11" s="41">
        <f t="shared" ref="AX11:AX16" si="32">AV11/AW11</f>
        <v>0.32830958438364782</v>
      </c>
      <c r="AZ11" s="37">
        <f>2*3.48268048241865</f>
        <v>6.9653609648373003</v>
      </c>
      <c r="BA11" s="38">
        <v>6.5652593327430893</v>
      </c>
      <c r="BB11" s="34"/>
      <c r="BC11" s="38"/>
      <c r="BD11" s="39">
        <f t="shared" ref="BD11:BD16" si="33">STDEV(AZ11:BC11)</f>
        <v>0.28291457721762181</v>
      </c>
      <c r="BE11" s="39">
        <f t="shared" ref="BE11:BE16" si="34">AVERAGE(AZ11:BC11)</f>
        <v>6.7653101487901948</v>
      </c>
      <c r="BF11" s="41">
        <f t="shared" si="12"/>
        <v>4.1818419406568365E-2</v>
      </c>
      <c r="BG11" s="17">
        <f>2*23.2554020795665</f>
        <v>46.510804159133002</v>
      </c>
      <c r="BH11" s="17">
        <v>46.461664818954006</v>
      </c>
      <c r="BI11" s="20"/>
      <c r="BJ11" s="20"/>
      <c r="BK11" s="13">
        <f t="shared" ref="BK11:BK16" si="35">STDEV(BG11:BJ11)</f>
        <v>3.4746760663600898E-2</v>
      </c>
      <c r="BL11" s="13">
        <f t="shared" ref="BL11:BL16" si="36">AVERAGE(BG11:BJ11)</f>
        <v>46.486234489043504</v>
      </c>
      <c r="BM11" s="42">
        <f t="shared" si="13"/>
        <v>7.4746343827419447E-4</v>
      </c>
      <c r="BN11" s="17">
        <f>2*0.0572305004129829</f>
        <v>0.1144610008259658</v>
      </c>
      <c r="BO11" s="17">
        <v>0.109933407858507</v>
      </c>
      <c r="BP11" s="20"/>
      <c r="BQ11" s="20"/>
      <c r="BR11" s="13">
        <f t="shared" ref="BR11:BR16" si="37">STDEV(BN11:BQ11)</f>
        <v>3.2014916897426444E-3</v>
      </c>
      <c r="BS11" s="13">
        <f t="shared" ref="BS11:BS16" si="38">AVERAGE(BN11:BQ11)</f>
        <v>0.1121972043422364</v>
      </c>
      <c r="BT11" s="42">
        <f t="shared" si="14"/>
        <v>2.8534505012951107E-2</v>
      </c>
      <c r="BU11" s="17">
        <f>2*0.707124034786442</f>
        <v>1.4142480695728841</v>
      </c>
      <c r="BV11" s="17">
        <v>1.7045384595494399</v>
      </c>
      <c r="BW11" s="20"/>
      <c r="BX11" s="20"/>
      <c r="BY11" s="13">
        <f t="shared" ref="BY11:BY16" si="39">STDEV(BU11:BX11)</f>
        <v>0.20526630326571005</v>
      </c>
      <c r="BZ11" s="13">
        <f t="shared" ref="BZ11:BZ16" si="40">AVERAGE(BU11:BX11)</f>
        <v>1.5593932645611619</v>
      </c>
      <c r="CA11" s="42">
        <f t="shared" si="15"/>
        <v>0.13163215971916825</v>
      </c>
      <c r="CC11" s="27"/>
    </row>
    <row r="12" spans="1:81" x14ac:dyDescent="0.2">
      <c r="A12" s="26" t="s">
        <v>25</v>
      </c>
      <c r="B12" s="12">
        <f>2*0.300807050190199</f>
        <v>0.60161410038039798</v>
      </c>
      <c r="C12" s="12">
        <v>0.6078365746076404</v>
      </c>
      <c r="D12" s="12"/>
      <c r="E12" s="12"/>
      <c r="F12" s="13">
        <f t="shared" si="16"/>
        <v>4.399953721841641E-3</v>
      </c>
      <c r="G12" s="13">
        <f t="shared" si="17"/>
        <v>0.60472533749401913</v>
      </c>
      <c r="H12" s="42">
        <f t="shared" si="6"/>
        <v>7.2759539728813787E-3</v>
      </c>
      <c r="I12" s="16">
        <f>2*2.13100307277782</f>
        <v>4.2620061455556399</v>
      </c>
      <c r="J12" s="17">
        <v>4.3773383874501128</v>
      </c>
      <c r="K12" s="17"/>
      <c r="L12" s="17"/>
      <c r="M12" s="13">
        <f t="shared" si="18"/>
        <v>8.1552210333029007E-2</v>
      </c>
      <c r="N12" s="13">
        <f t="shared" si="19"/>
        <v>4.3196722665028764</v>
      </c>
      <c r="O12" s="19">
        <f t="shared" si="20"/>
        <v>1.8879258726507996E-2</v>
      </c>
      <c r="P12" s="16">
        <f>2*4.66687226575595</f>
        <v>9.3337445315119005</v>
      </c>
      <c r="Q12" s="17">
        <v>10.093024808213414</v>
      </c>
      <c r="R12" s="17"/>
      <c r="S12" s="17"/>
      <c r="T12" s="13">
        <f t="shared" si="21"/>
        <v>0.53689223247683848</v>
      </c>
      <c r="U12" s="13">
        <f t="shared" si="22"/>
        <v>9.7133846698626574</v>
      </c>
      <c r="V12" s="19">
        <f t="shared" si="23"/>
        <v>5.5273444913865426E-2</v>
      </c>
      <c r="W12" s="16">
        <f>2*16.1810565256207</f>
        <v>32.362113051241401</v>
      </c>
      <c r="X12" s="17">
        <v>30.812551978231689</v>
      </c>
      <c r="Y12" s="17"/>
      <c r="Z12" s="17"/>
      <c r="AA12" s="13">
        <f t="shared" si="24"/>
        <v>1.0957051425878708</v>
      </c>
      <c r="AB12" s="13">
        <f t="shared" si="25"/>
        <v>31.587332514736545</v>
      </c>
      <c r="AC12" s="19">
        <f t="shared" si="26"/>
        <v>3.4688118791819086E-2</v>
      </c>
      <c r="AD12" s="12"/>
      <c r="AE12" s="12">
        <v>9.9288308074393428E-2</v>
      </c>
      <c r="AF12" s="12"/>
      <c r="AG12" s="12"/>
      <c r="AH12" s="13"/>
      <c r="AI12" s="13">
        <f>AVERAGE(AD12:AG12)</f>
        <v>9.9288308074393428E-2</v>
      </c>
      <c r="AJ12" s="42">
        <f t="shared" si="9"/>
        <v>0</v>
      </c>
      <c r="AK12" s="16">
        <f>2*0.158989393717411</f>
        <v>0.317978787434822</v>
      </c>
      <c r="AL12" s="17">
        <v>0.28418537219589557</v>
      </c>
      <c r="AM12" s="17"/>
      <c r="AN12" s="17"/>
      <c r="AO12" s="13">
        <f t="shared" si="27"/>
        <v>2.3895553074897692E-2</v>
      </c>
      <c r="AP12" s="13">
        <f t="shared" si="28"/>
        <v>0.30108207981535878</v>
      </c>
      <c r="AQ12" s="19">
        <f t="shared" si="29"/>
        <v>7.9365577285608793E-2</v>
      </c>
      <c r="AR12" s="16">
        <f>2*1.10964189055427</f>
        <v>2.21928378110854</v>
      </c>
      <c r="AS12" s="17">
        <v>2.7138253881583068</v>
      </c>
      <c r="AT12" s="20"/>
      <c r="AU12" s="20"/>
      <c r="AV12" s="13">
        <f t="shared" si="30"/>
        <v>0.34969372392378301</v>
      </c>
      <c r="AW12" s="13">
        <f t="shared" si="31"/>
        <v>2.4665545846334234</v>
      </c>
      <c r="AX12" s="19">
        <f t="shared" si="32"/>
        <v>0.14177416794356251</v>
      </c>
      <c r="AZ12" s="16">
        <f>2*4.66673978588368</f>
        <v>9.3334795717673593</v>
      </c>
      <c r="BA12" s="17">
        <v>8.6146646884419891</v>
      </c>
      <c r="BB12" s="20"/>
      <c r="BC12" s="20"/>
      <c r="BD12" s="13">
        <f t="shared" si="33"/>
        <v>0.50827887841718622</v>
      </c>
      <c r="BE12" s="13">
        <f t="shared" si="34"/>
        <v>8.9740721301046733</v>
      </c>
      <c r="BF12" s="19">
        <f t="shared" si="12"/>
        <v>5.6638599628823984E-2</v>
      </c>
      <c r="BG12" s="17">
        <f>2*30.1927523388439</f>
        <v>60.385504677687798</v>
      </c>
      <c r="BH12" s="17">
        <v>60.334041810152698</v>
      </c>
      <c r="BI12" s="20"/>
      <c r="BJ12" s="20"/>
      <c r="BK12" s="13">
        <f t="shared" si="35"/>
        <v>3.6389742613374618E-2</v>
      </c>
      <c r="BL12" s="13">
        <f t="shared" si="36"/>
        <v>60.359773243920245</v>
      </c>
      <c r="BM12" s="42">
        <f t="shared" si="13"/>
        <v>6.0288070444399801E-4</v>
      </c>
      <c r="BN12" s="17">
        <f>2*0.126155337284799</f>
        <v>0.25231067456959799</v>
      </c>
      <c r="BO12" s="17">
        <v>0.25314608147399897</v>
      </c>
      <c r="BP12" s="20"/>
      <c r="BQ12" s="20"/>
      <c r="BR12" s="13">
        <f t="shared" si="37"/>
        <v>5.9072188715199585E-4</v>
      </c>
      <c r="BS12" s="13">
        <f t="shared" si="38"/>
        <v>0.25272837802179848</v>
      </c>
      <c r="BT12" s="42">
        <f t="shared" si="14"/>
        <v>2.3373785396630232E-3</v>
      </c>
      <c r="BU12" s="17">
        <f>2*1.44561079458652</f>
        <v>2.89122158917304</v>
      </c>
      <c r="BV12" s="17">
        <v>3.1379082048472</v>
      </c>
      <c r="BW12" s="20"/>
      <c r="BX12" s="20"/>
      <c r="BY12" s="13">
        <f t="shared" si="39"/>
        <v>0.17443377877115823</v>
      </c>
      <c r="BZ12" s="13">
        <f t="shared" si="40"/>
        <v>3.01456489701012</v>
      </c>
      <c r="CA12" s="42">
        <f t="shared" si="15"/>
        <v>5.7863666807824787E-2</v>
      </c>
      <c r="CC12" s="27">
        <v>4.04</v>
      </c>
    </row>
    <row r="13" spans="1:81" x14ac:dyDescent="0.2">
      <c r="A13" s="26" t="s">
        <v>26</v>
      </c>
      <c r="B13" s="12">
        <f>2*0.244729008508029</f>
        <v>0.48945801701605801</v>
      </c>
      <c r="C13" s="12">
        <v>0.49566158305760999</v>
      </c>
      <c r="D13" s="12"/>
      <c r="E13" s="12"/>
      <c r="F13" s="13">
        <f t="shared" si="16"/>
        <v>4.3865836155199912E-3</v>
      </c>
      <c r="G13" s="13">
        <f t="shared" si="17"/>
        <v>0.49255980003683397</v>
      </c>
      <c r="H13" s="42">
        <f t="shared" si="6"/>
        <v>8.9056874214906677E-3</v>
      </c>
      <c r="I13" s="16">
        <f>2*0.7704648346008</f>
        <v>1.5409296692015999</v>
      </c>
      <c r="J13" s="17">
        <v>1.6617488838768</v>
      </c>
      <c r="K13" s="17"/>
      <c r="L13" s="17"/>
      <c r="M13" s="13">
        <f t="shared" si="18"/>
        <v>8.5432085994467208E-2</v>
      </c>
      <c r="N13" s="13">
        <f t="shared" si="19"/>
        <v>1.6013392765391998</v>
      </c>
      <c r="O13" s="19">
        <f t="shared" si="20"/>
        <v>5.3350396912203557E-2</v>
      </c>
      <c r="P13" s="16">
        <f>2*3.1513072719069</f>
        <v>6.3026145438138004</v>
      </c>
      <c r="Q13" s="17">
        <v>7.5820308387663395</v>
      </c>
      <c r="R13" s="17"/>
      <c r="S13" s="17"/>
      <c r="T13" s="13">
        <f t="shared" si="21"/>
        <v>0.90468393812150849</v>
      </c>
      <c r="U13" s="13">
        <f t="shared" si="22"/>
        <v>6.9423226912900695</v>
      </c>
      <c r="V13" s="19">
        <f t="shared" si="23"/>
        <v>0.13031430233811186</v>
      </c>
      <c r="W13" s="16">
        <f>2*9.34062021742609</f>
        <v>18.681240434852182</v>
      </c>
      <c r="X13" s="17">
        <v>16.979972723748599</v>
      </c>
      <c r="Y13" s="17"/>
      <c r="Z13" s="17"/>
      <c r="AA13" s="13">
        <f t="shared" si="24"/>
        <v>1.2029779351350596</v>
      </c>
      <c r="AB13" s="13">
        <f t="shared" si="25"/>
        <v>17.83060657930039</v>
      </c>
      <c r="AC13" s="19">
        <f t="shared" si="26"/>
        <v>6.7467022492190512E-2</v>
      </c>
      <c r="AD13" s="12"/>
      <c r="AE13" s="12">
        <v>8.9377286204943007E-2</v>
      </c>
      <c r="AF13" s="12"/>
      <c r="AG13" s="12"/>
      <c r="AH13" s="13"/>
      <c r="AI13" s="13">
        <f>AVERAGE(AD13:AG13)</f>
        <v>8.9377286204943007E-2</v>
      </c>
      <c r="AJ13" s="42">
        <f t="shared" si="9"/>
        <v>0</v>
      </c>
      <c r="AK13" s="16">
        <f>2*0.0600112600041607</f>
        <v>0.12002252000832141</v>
      </c>
      <c r="AL13" s="17">
        <v>8.1929711950929004E-2</v>
      </c>
      <c r="AM13" s="17"/>
      <c r="AN13" s="17"/>
      <c r="AO13" s="13">
        <f t="shared" si="27"/>
        <v>2.6935682891819756E-2</v>
      </c>
      <c r="AP13" s="13">
        <f t="shared" si="28"/>
        <v>0.10097611597962521</v>
      </c>
      <c r="AQ13" s="19">
        <f t="shared" si="29"/>
        <v>0.26675301015989555</v>
      </c>
      <c r="AR13" s="16">
        <f>2*0.173215450572952</f>
        <v>0.34643090114590402</v>
      </c>
      <c r="AS13" s="17">
        <v>0.82554069293472399</v>
      </c>
      <c r="AT13" s="20"/>
      <c r="AU13" s="20"/>
      <c r="AV13" s="13">
        <f t="shared" si="30"/>
        <v>0.33878178270674969</v>
      </c>
      <c r="AW13" s="13">
        <f t="shared" si="31"/>
        <v>0.58598579704031395</v>
      </c>
      <c r="AX13" s="19">
        <f t="shared" si="32"/>
        <v>0.57813992150980853</v>
      </c>
      <c r="AZ13" s="16">
        <f>2*2.67822086471467</f>
        <v>5.3564417294293403</v>
      </c>
      <c r="BA13" s="17">
        <v>5.3176952712079792</v>
      </c>
      <c r="BB13" s="20"/>
      <c r="BC13" s="20"/>
      <c r="BD13" s="13">
        <f t="shared" si="33"/>
        <v>2.7397883355285636E-2</v>
      </c>
      <c r="BE13" s="13">
        <f t="shared" si="34"/>
        <v>5.3370685003186598</v>
      </c>
      <c r="BF13" s="19">
        <f t="shared" si="12"/>
        <v>5.1335079086299515E-3</v>
      </c>
      <c r="BG13" s="17">
        <f>2*20.309539009851</f>
        <v>40.619078019702002</v>
      </c>
      <c r="BH13" s="17">
        <v>40.4339108951242</v>
      </c>
      <c r="BI13" s="20"/>
      <c r="BJ13" s="20"/>
      <c r="BK13" s="13">
        <f t="shared" si="35"/>
        <v>0.13093292944177815</v>
      </c>
      <c r="BL13" s="13">
        <f t="shared" si="36"/>
        <v>40.526494457413101</v>
      </c>
      <c r="BM13" s="42">
        <f t="shared" si="13"/>
        <v>3.2307983010809835E-3</v>
      </c>
      <c r="BN13" s="17">
        <f>2*0.0270436845659535</f>
        <v>5.4087369131907002E-2</v>
      </c>
      <c r="BO13" s="17">
        <v>5.3952366460234796E-2</v>
      </c>
      <c r="BP13" s="20"/>
      <c r="BQ13" s="20"/>
      <c r="BR13" s="13">
        <f t="shared" si="37"/>
        <v>9.5461304617717945E-5</v>
      </c>
      <c r="BS13" s="13">
        <f t="shared" si="38"/>
        <v>5.4019867796070903E-2</v>
      </c>
      <c r="BT13" s="42">
        <f t="shared" si="14"/>
        <v>1.7671517630900469E-3</v>
      </c>
      <c r="BU13" s="17">
        <f>2*0.318503202329255</f>
        <v>0.63700640465850999</v>
      </c>
      <c r="BV13" s="17">
        <v>1.0211067689035698</v>
      </c>
      <c r="BW13" s="20"/>
      <c r="BX13" s="20"/>
      <c r="BY13" s="13">
        <f t="shared" si="39"/>
        <v>0.27159997221390475</v>
      </c>
      <c r="BZ13" s="13">
        <f t="shared" si="40"/>
        <v>0.82905658678103988</v>
      </c>
      <c r="CA13" s="42">
        <f t="shared" si="15"/>
        <v>0.32760124766445692</v>
      </c>
      <c r="CC13" s="27">
        <v>4.28</v>
      </c>
    </row>
    <row r="14" spans="1:81" x14ac:dyDescent="0.2">
      <c r="A14" s="26" t="s">
        <v>27</v>
      </c>
      <c r="B14" s="12">
        <f>2*0.284519105342449</f>
        <v>0.56903821068489802</v>
      </c>
      <c r="C14" s="12">
        <v>0.56785360968982401</v>
      </c>
      <c r="D14" s="12"/>
      <c r="E14" s="12"/>
      <c r="F14" s="13">
        <f t="shared" si="16"/>
        <v>8.3763939661715974E-4</v>
      </c>
      <c r="G14" s="13">
        <f t="shared" si="17"/>
        <v>0.56844591018736101</v>
      </c>
      <c r="H14" s="42">
        <f t="shared" si="6"/>
        <v>1.4735604243173673E-3</v>
      </c>
      <c r="I14" s="16">
        <f>2*0.85594011469938</f>
        <v>1.7118802293987601</v>
      </c>
      <c r="J14" s="17">
        <v>1.8426517082793699</v>
      </c>
      <c r="K14" s="17"/>
      <c r="L14" s="17"/>
      <c r="M14" s="13">
        <f t="shared" si="18"/>
        <v>9.2469399502272578E-2</v>
      </c>
      <c r="N14" s="13">
        <f t="shared" si="19"/>
        <v>1.7772659688390648</v>
      </c>
      <c r="O14" s="19">
        <f t="shared" si="20"/>
        <v>5.2029015984970943E-2</v>
      </c>
      <c r="P14" s="16">
        <f>2*4.48403768957491</f>
        <v>8.9680753791498198</v>
      </c>
      <c r="Q14" s="17">
        <v>9.5126993999351992</v>
      </c>
      <c r="R14" s="17"/>
      <c r="S14" s="17"/>
      <c r="T14" s="13">
        <f t="shared" si="21"/>
        <v>0.38510733829442501</v>
      </c>
      <c r="U14" s="13">
        <f t="shared" si="22"/>
        <v>9.2403873895425086</v>
      </c>
      <c r="V14" s="19">
        <f t="shared" si="23"/>
        <v>4.1676536064955139E-2</v>
      </c>
      <c r="W14" s="16">
        <f>2*11.1574385092987</f>
        <v>22.3148770185974</v>
      </c>
      <c r="X14" s="17">
        <v>20.535824601814298</v>
      </c>
      <c r="Y14" s="17"/>
      <c r="Z14" s="17"/>
      <c r="AA14" s="13">
        <f t="shared" si="24"/>
        <v>1.2579800279936477</v>
      </c>
      <c r="AB14" s="13">
        <f t="shared" si="25"/>
        <v>21.425350810205849</v>
      </c>
      <c r="AC14" s="19">
        <f t="shared" si="26"/>
        <v>5.8714559175125192E-2</v>
      </c>
      <c r="AD14" s="12">
        <f>2*0.00725841687286127</f>
        <v>1.4516833745722541E-2</v>
      </c>
      <c r="AE14" s="12">
        <v>0.10694361343293901</v>
      </c>
      <c r="AF14" s="12"/>
      <c r="AG14" s="12"/>
      <c r="AH14" s="13">
        <f>STDEV(AD14:AG14)</f>
        <v>6.5355602680065794E-2</v>
      </c>
      <c r="AI14" s="13">
        <f>AVERAGE(AD14:AG14)</f>
        <v>6.0730223589330778E-2</v>
      </c>
      <c r="AJ14" s="42">
        <f t="shared" si="9"/>
        <v>1.0761627212508338</v>
      </c>
      <c r="AK14" s="16">
        <f>2*0.0744139008911258</f>
        <v>0.14882780178225161</v>
      </c>
      <c r="AL14" s="17">
        <v>0.113426448301743</v>
      </c>
      <c r="AM14" s="17"/>
      <c r="AN14" s="17"/>
      <c r="AO14" s="13">
        <f t="shared" si="27"/>
        <v>2.5032537109249495E-2</v>
      </c>
      <c r="AP14" s="13">
        <f t="shared" si="28"/>
        <v>0.13112712504199731</v>
      </c>
      <c r="AQ14" s="19">
        <f t="shared" si="29"/>
        <v>0.19090281359582995</v>
      </c>
      <c r="AR14" s="16">
        <f>2*0.216697301645734</f>
        <v>0.43339460329146801</v>
      </c>
      <c r="AS14" s="17">
        <v>0.82961539113206806</v>
      </c>
      <c r="AT14" s="20"/>
      <c r="AU14" s="20"/>
      <c r="AV14" s="13">
        <f t="shared" si="30"/>
        <v>0.28017040592916476</v>
      </c>
      <c r="AW14" s="13">
        <f t="shared" si="31"/>
        <v>0.631504997211768</v>
      </c>
      <c r="AX14" s="19">
        <f t="shared" si="32"/>
        <v>0.44365508929648706</v>
      </c>
      <c r="AZ14" s="16">
        <f>2*3.82104602975388</f>
        <v>7.6420920595077604</v>
      </c>
      <c r="BA14" s="17">
        <v>7.5193711291838294</v>
      </c>
      <c r="BB14" s="20"/>
      <c r="BC14" s="20"/>
      <c r="BD14" s="13">
        <f t="shared" si="33"/>
        <v>8.6776802025573377E-2</v>
      </c>
      <c r="BE14" s="13">
        <f t="shared" si="34"/>
        <v>7.5807315943457949</v>
      </c>
      <c r="BF14" s="19">
        <f t="shared" si="12"/>
        <v>1.1447022090888588E-2</v>
      </c>
      <c r="BG14" s="17">
        <f>2*29.0156224039904</f>
        <v>58.031244807980798</v>
      </c>
      <c r="BH14" s="17">
        <v>57.673523516811898</v>
      </c>
      <c r="BI14" s="20"/>
      <c r="BJ14" s="20"/>
      <c r="BK14" s="13">
        <f t="shared" si="35"/>
        <v>0.2529471507603368</v>
      </c>
      <c r="BL14" s="13">
        <f t="shared" si="36"/>
        <v>57.852384162396348</v>
      </c>
      <c r="BM14" s="42">
        <f t="shared" si="13"/>
        <v>4.372285678845898E-3</v>
      </c>
      <c r="BN14" s="17">
        <f>2*0.0430998697242483</f>
        <v>8.6199739448496598E-2</v>
      </c>
      <c r="BO14" s="17">
        <v>8.96590880500788E-2</v>
      </c>
      <c r="BP14" s="20"/>
      <c r="BQ14" s="20"/>
      <c r="BR14" s="13">
        <f t="shared" si="37"/>
        <v>2.4461288546669753E-3</v>
      </c>
      <c r="BS14" s="13">
        <f t="shared" si="38"/>
        <v>8.7929413749287699E-2</v>
      </c>
      <c r="BT14" s="42">
        <f t="shared" si="14"/>
        <v>2.7819233068488314E-2</v>
      </c>
      <c r="BU14" s="17">
        <f>2*0.309479771700619</f>
        <v>0.61895954340123804</v>
      </c>
      <c r="BV14" s="17">
        <v>0.96765786882176796</v>
      </c>
      <c r="BW14" s="20"/>
      <c r="BX14" s="20"/>
      <c r="BY14" s="13">
        <f t="shared" si="39"/>
        <v>0.2465669504932502</v>
      </c>
      <c r="BZ14" s="13">
        <f t="shared" si="40"/>
        <v>0.79330870611150295</v>
      </c>
      <c r="CA14" s="42">
        <f t="shared" si="15"/>
        <v>0.31080832542709314</v>
      </c>
      <c r="CC14" s="27">
        <v>4.4000000000000004</v>
      </c>
    </row>
    <row r="15" spans="1:81" x14ac:dyDescent="0.2">
      <c r="A15" s="26" t="s">
        <v>28</v>
      </c>
      <c r="B15" s="12">
        <f>2*0.445457669207617</f>
        <v>0.89091533841523396</v>
      </c>
      <c r="C15" s="12">
        <v>0.88659681250882105</v>
      </c>
      <c r="D15" s="12"/>
      <c r="E15" s="12"/>
      <c r="F15" s="13">
        <f t="shared" si="16"/>
        <v>3.0536589531543479E-3</v>
      </c>
      <c r="G15" s="13">
        <f t="shared" si="17"/>
        <v>0.88875607546202751</v>
      </c>
      <c r="H15" s="42">
        <f t="shared" si="6"/>
        <v>3.4358796946247338E-3</v>
      </c>
      <c r="I15" s="16">
        <f>2*7.25105272047035</f>
        <v>14.502105440940699</v>
      </c>
      <c r="J15" s="17">
        <v>14.6376441325062</v>
      </c>
      <c r="K15" s="17"/>
      <c r="L15" s="17"/>
      <c r="M15" s="13">
        <f t="shared" si="18"/>
        <v>9.5840327919117216E-2</v>
      </c>
      <c r="N15" s="13">
        <f t="shared" si="19"/>
        <v>14.569874786723449</v>
      </c>
      <c r="O15" s="19">
        <f t="shared" si="20"/>
        <v>6.5779788311187189E-3</v>
      </c>
      <c r="P15" s="16">
        <f>2*4.39691068314119</f>
        <v>8.7938213662823799</v>
      </c>
      <c r="Q15" s="17">
        <v>9.3469088666714093</v>
      </c>
      <c r="R15" s="17"/>
      <c r="S15" s="17"/>
      <c r="T15" s="13">
        <f t="shared" si="21"/>
        <v>0.39109192211459992</v>
      </c>
      <c r="U15" s="13">
        <f t="shared" si="22"/>
        <v>9.0703651164768946</v>
      </c>
      <c r="V15" s="19">
        <f t="shared" si="23"/>
        <v>4.3117550075702754E-2</v>
      </c>
      <c r="W15" s="16">
        <f>2*100.630384387747</f>
        <v>201.260768775494</v>
      </c>
      <c r="X15" s="17">
        <v>200.31918163789402</v>
      </c>
      <c r="Y15" s="17"/>
      <c r="Z15" s="17"/>
      <c r="AA15" s="13">
        <f t="shared" si="24"/>
        <v>0.66580265007497763</v>
      </c>
      <c r="AB15" s="13">
        <f t="shared" si="25"/>
        <v>200.78997520669401</v>
      </c>
      <c r="AC15" s="19">
        <f t="shared" si="26"/>
        <v>3.3159157940509613E-3</v>
      </c>
      <c r="AD15" s="12">
        <f>2*0.0592166674730582</f>
        <v>0.11843333494611639</v>
      </c>
      <c r="AE15" s="12">
        <v>0.14452158463061801</v>
      </c>
      <c r="AF15" s="12"/>
      <c r="AG15" s="12"/>
      <c r="AH15" s="13">
        <f>STDEV(AD15:AG15)</f>
        <v>1.8447178261198901E-2</v>
      </c>
      <c r="AI15" s="13">
        <f>AVERAGE(AD15:AG15)</f>
        <v>0.1314774597883672</v>
      </c>
      <c r="AJ15" s="42">
        <f t="shared" si="9"/>
        <v>0.14030677418693985</v>
      </c>
      <c r="AK15" s="16">
        <f>2*0.525096977289272</f>
        <v>1.0501939545785439</v>
      </c>
      <c r="AL15" s="17">
        <v>1.06187163724258</v>
      </c>
      <c r="AM15" s="17"/>
      <c r="AN15" s="17"/>
      <c r="AO15" s="13">
        <f t="shared" si="27"/>
        <v>8.2573686002845332E-3</v>
      </c>
      <c r="AP15" s="13">
        <f t="shared" si="28"/>
        <v>1.056032795910562</v>
      </c>
      <c r="AQ15" s="19">
        <f t="shared" si="29"/>
        <v>7.8192350012810299E-3</v>
      </c>
      <c r="AR15" s="16">
        <f>2*6.11642459035085</f>
        <v>12.232849180701701</v>
      </c>
      <c r="AS15" s="17">
        <v>12.637245063637801</v>
      </c>
      <c r="AT15" s="20"/>
      <c r="AU15" s="20"/>
      <c r="AV15" s="13">
        <f t="shared" si="30"/>
        <v>0.28595107110803775</v>
      </c>
      <c r="AW15" s="13">
        <f t="shared" si="31"/>
        <v>12.435047122169751</v>
      </c>
      <c r="AX15" s="19">
        <f t="shared" si="32"/>
        <v>2.2995575995705845E-2</v>
      </c>
      <c r="AZ15" s="16">
        <f>2*4.68890547296069</f>
        <v>9.3778109459213805</v>
      </c>
      <c r="BA15" s="17">
        <v>8.8835896097845293</v>
      </c>
      <c r="BB15" s="20"/>
      <c r="BC15" s="20"/>
      <c r="BD15" s="13">
        <f t="shared" si="33"/>
        <v>0.34946725818944363</v>
      </c>
      <c r="BE15" s="13">
        <f t="shared" si="34"/>
        <v>9.1307002778529558</v>
      </c>
      <c r="BF15" s="19">
        <f t="shared" si="12"/>
        <v>3.8273872491149094E-2</v>
      </c>
      <c r="BG15" s="17">
        <f>2*108.746281262853</f>
        <v>217.49256252570601</v>
      </c>
      <c r="BH15" s="17">
        <v>217.40650256381502</v>
      </c>
      <c r="BI15" s="20"/>
      <c r="BJ15" s="20"/>
      <c r="BK15" s="13">
        <f t="shared" si="35"/>
        <v>6.0853582641768975E-2</v>
      </c>
      <c r="BL15" s="13">
        <f t="shared" si="36"/>
        <v>217.44953254476053</v>
      </c>
      <c r="BM15" s="42">
        <f t="shared" si="13"/>
        <v>2.7985152200427321E-4</v>
      </c>
      <c r="BN15" s="17">
        <f>2*0.521064118941963</f>
        <v>1.0421282378839261</v>
      </c>
      <c r="BO15" s="17">
        <v>1.0457228005475401</v>
      </c>
      <c r="BP15" s="20"/>
      <c r="BQ15" s="20"/>
      <c r="BR15" s="13">
        <f t="shared" si="37"/>
        <v>2.5417396348414527E-3</v>
      </c>
      <c r="BS15" s="13">
        <f t="shared" si="38"/>
        <v>1.0439255192157331</v>
      </c>
      <c r="BT15" s="42">
        <f t="shared" si="14"/>
        <v>2.4347902106569615E-3</v>
      </c>
      <c r="BU15" s="17">
        <f>2*6.9552892655029</f>
        <v>13.9105785310058</v>
      </c>
      <c r="BV15" s="17">
        <v>14.173440222257399</v>
      </c>
      <c r="BW15" s="20"/>
      <c r="BX15" s="20"/>
      <c r="BY15" s="13">
        <f t="shared" si="39"/>
        <v>0.1858712843981703</v>
      </c>
      <c r="BZ15" s="13">
        <f t="shared" si="40"/>
        <v>14.042009376631601</v>
      </c>
      <c r="CA15" s="42">
        <f t="shared" si="15"/>
        <v>1.3236801045546455E-2</v>
      </c>
      <c r="CC15" s="27">
        <v>3.51</v>
      </c>
    </row>
    <row r="16" spans="1:81" x14ac:dyDescent="0.2">
      <c r="A16" s="14" t="s">
        <v>29</v>
      </c>
      <c r="B16" s="17">
        <f>2*0.265176219184018</f>
        <v>0.53035243836803603</v>
      </c>
      <c r="C16" s="17">
        <v>0.51662408346023903</v>
      </c>
      <c r="D16" s="17"/>
      <c r="E16" s="17"/>
      <c r="F16" s="13">
        <f t="shared" si="16"/>
        <v>9.7074128498388802E-3</v>
      </c>
      <c r="G16" s="13">
        <f t="shared" si="17"/>
        <v>0.52348826091413758</v>
      </c>
      <c r="H16" s="42">
        <f t="shared" si="6"/>
        <v>1.8543706850058836E-2</v>
      </c>
      <c r="I16" s="16">
        <f>2*1.95809499033254</f>
        <v>3.91618998066508</v>
      </c>
      <c r="J16" s="17">
        <v>4.0244287831469894</v>
      </c>
      <c r="K16" s="17"/>
      <c r="L16" s="17"/>
      <c r="M16" s="13">
        <f t="shared" si="18"/>
        <v>7.6536391222469469E-2</v>
      </c>
      <c r="N16" s="13">
        <f t="shared" si="19"/>
        <v>3.9703093819060347</v>
      </c>
      <c r="O16" s="19">
        <f t="shared" si="20"/>
        <v>1.927718569521816E-2</v>
      </c>
      <c r="P16" s="16">
        <f>2*1.1813487629337</f>
        <v>2.3626975258674001</v>
      </c>
      <c r="Q16" s="17">
        <v>2.62833545832427</v>
      </c>
      <c r="R16" s="17"/>
      <c r="S16" s="17"/>
      <c r="T16" s="13">
        <f t="shared" si="21"/>
        <v>0.18783438338062675</v>
      </c>
      <c r="U16" s="13">
        <f t="shared" si="22"/>
        <v>2.495516492095835</v>
      </c>
      <c r="V16" s="19">
        <f t="shared" si="23"/>
        <v>7.5268740549526841E-2</v>
      </c>
      <c r="W16" s="16">
        <f>2*86.4265815487615</f>
        <v>172.85316309752301</v>
      </c>
      <c r="X16" s="17">
        <v>171.49219547737701</v>
      </c>
      <c r="Y16" s="17"/>
      <c r="Z16" s="17"/>
      <c r="AA16" s="13">
        <f t="shared" si="24"/>
        <v>0.96234943318055333</v>
      </c>
      <c r="AB16" s="13">
        <f t="shared" si="25"/>
        <v>172.17267928745002</v>
      </c>
      <c r="AC16" s="19">
        <f t="shared" si="26"/>
        <v>5.5894433261032533E-3</v>
      </c>
      <c r="AD16" s="17"/>
      <c r="AE16" s="17"/>
      <c r="AF16" s="17"/>
      <c r="AG16" s="17"/>
      <c r="AH16" s="13"/>
      <c r="AI16" s="13"/>
      <c r="AJ16" s="42"/>
      <c r="AK16" s="16">
        <f>2*0.0935683026665456</f>
        <v>0.1871366053330912</v>
      </c>
      <c r="AL16" s="17">
        <v>0.18039263364674399</v>
      </c>
      <c r="AM16" s="17"/>
      <c r="AN16" s="17"/>
      <c r="AO16" s="13">
        <f t="shared" si="27"/>
        <v>4.7687081115461933E-3</v>
      </c>
      <c r="AP16" s="13">
        <f t="shared" si="28"/>
        <v>0.1837646194899176</v>
      </c>
      <c r="AQ16" s="19">
        <f t="shared" si="29"/>
        <v>2.5950088350972438E-2</v>
      </c>
      <c r="AR16" s="16">
        <f>2*1.01409532022385</f>
        <v>2.0281906404477001</v>
      </c>
      <c r="AS16" s="17">
        <v>2.4125179767348799</v>
      </c>
      <c r="AT16" s="20"/>
      <c r="AU16" s="20"/>
      <c r="AV16" s="13">
        <f t="shared" si="30"/>
        <v>0.27176046568402745</v>
      </c>
      <c r="AW16" s="13">
        <f t="shared" si="31"/>
        <v>2.2203543085912898</v>
      </c>
      <c r="AX16" s="19">
        <f t="shared" si="32"/>
        <v>0.12239509011354438</v>
      </c>
      <c r="AZ16" s="16">
        <f>2*1.86953778642734</f>
        <v>3.7390755728546798</v>
      </c>
      <c r="BA16" s="17">
        <v>2.87025075398024</v>
      </c>
      <c r="BB16" s="20"/>
      <c r="BC16" s="20"/>
      <c r="BD16" s="13">
        <f t="shared" si="33"/>
        <v>0.61435192108929371</v>
      </c>
      <c r="BE16" s="13">
        <f t="shared" si="34"/>
        <v>3.3046631634174597</v>
      </c>
      <c r="BF16" s="19">
        <f t="shared" si="12"/>
        <v>0.18590455084504662</v>
      </c>
      <c r="BG16" s="17">
        <f>2*93.3603163328807</f>
        <v>186.7206326657614</v>
      </c>
      <c r="BH16" s="17">
        <v>185.885220756537</v>
      </c>
      <c r="BI16" s="20"/>
      <c r="BJ16" s="20"/>
      <c r="BK16" s="13">
        <f t="shared" si="35"/>
        <v>0.59072542609657708</v>
      </c>
      <c r="BL16" s="13">
        <f t="shared" si="36"/>
        <v>186.30292671114921</v>
      </c>
      <c r="BM16" s="42">
        <f t="shared" si="13"/>
        <v>3.17077909899107E-3</v>
      </c>
      <c r="BN16" s="17">
        <f>2*0.0642950918614287</f>
        <v>0.12859018372285741</v>
      </c>
      <c r="BO16" s="17">
        <v>0.13784428509682201</v>
      </c>
      <c r="BP16" s="20"/>
      <c r="BQ16" s="20"/>
      <c r="BR16" s="13">
        <f t="shared" si="37"/>
        <v>6.5436378353181121E-3</v>
      </c>
      <c r="BS16" s="13">
        <f t="shared" si="38"/>
        <v>0.13321723440983971</v>
      </c>
      <c r="BT16" s="42">
        <f t="shared" si="14"/>
        <v>4.9120054655892066E-2</v>
      </c>
      <c r="BU16" s="17">
        <f>2*1.28056861267368</f>
        <v>2.5611372253473599</v>
      </c>
      <c r="BV16" s="17">
        <v>2.8391662673056701</v>
      </c>
      <c r="BW16" s="20"/>
      <c r="BX16" s="20"/>
      <c r="BY16" s="13">
        <f t="shared" si="39"/>
        <v>0.19659622093552032</v>
      </c>
      <c r="BZ16" s="13">
        <f t="shared" si="40"/>
        <v>2.7001517463265152</v>
      </c>
      <c r="CA16" s="42">
        <f t="shared" si="15"/>
        <v>7.2809323106741777E-2</v>
      </c>
      <c r="CC16" s="27">
        <v>3.5</v>
      </c>
    </row>
    <row r="17" spans="1:81" x14ac:dyDescent="0.2">
      <c r="A17" s="14" t="s">
        <v>30</v>
      </c>
      <c r="B17" s="17">
        <f>2*0.358950293304844</f>
        <v>0.71790058660968803</v>
      </c>
      <c r="C17" s="20">
        <v>0.67541096529007649</v>
      </c>
      <c r="D17" s="17"/>
      <c r="E17" s="17"/>
      <c r="F17" s="13">
        <f t="shared" si="16"/>
        <v>3.0044699365145821E-2</v>
      </c>
      <c r="G17" s="13">
        <f t="shared" si="17"/>
        <v>0.69665577594988226</v>
      </c>
      <c r="H17" s="42">
        <f t="shared" si="6"/>
        <v>4.3127036913144394E-2</v>
      </c>
      <c r="I17" s="16">
        <f>2*4.174606562082</f>
        <v>8.3492131241640006</v>
      </c>
      <c r="J17" s="17">
        <v>8.4237939650580973</v>
      </c>
      <c r="K17" s="17"/>
      <c r="L17" s="17"/>
      <c r="M17" s="13">
        <f t="shared" si="18"/>
        <v>5.273661834281073E-2</v>
      </c>
      <c r="N17" s="13">
        <f t="shared" si="19"/>
        <v>8.386503544611049</v>
      </c>
      <c r="O17" s="19">
        <f t="shared" ref="O17:O22" si="41">M17/N17</f>
        <v>6.2882723488142944E-3</v>
      </c>
      <c r="P17" s="16">
        <f>2*3.24849236880326</f>
        <v>6.4969847376065202</v>
      </c>
      <c r="Q17" s="17">
        <v>6.1777497296466395</v>
      </c>
      <c r="R17" s="17"/>
      <c r="S17" s="17"/>
      <c r="T17" s="13">
        <f t="shared" si="21"/>
        <v>0.22573323892057312</v>
      </c>
      <c r="U17" s="13">
        <f t="shared" si="22"/>
        <v>6.3373672336265798</v>
      </c>
      <c r="V17" s="19">
        <f t="shared" ref="V17:V22" si="42">T17/U17</f>
        <v>3.5619403231489322E-2</v>
      </c>
      <c r="W17" s="16">
        <f>2*92.8900292582846</f>
        <v>185.7800585165692</v>
      </c>
      <c r="X17" s="20">
        <v>184.4385481623379</v>
      </c>
      <c r="Y17" s="17"/>
      <c r="Z17" s="17"/>
      <c r="AA17" s="13">
        <f t="shared" si="24"/>
        <v>0.94859106850892205</v>
      </c>
      <c r="AB17" s="13">
        <f t="shared" si="25"/>
        <v>185.10930333945356</v>
      </c>
      <c r="AC17" s="19">
        <f t="shared" ref="AC17:AC22" si="43">AA17/AB17</f>
        <v>5.1244915917024181E-3</v>
      </c>
      <c r="AD17" s="17"/>
      <c r="AE17" s="17"/>
      <c r="AF17" s="17"/>
      <c r="AG17" s="17"/>
      <c r="AH17" s="13"/>
      <c r="AI17" s="13"/>
      <c r="AJ17" s="42"/>
      <c r="AK17" s="16">
        <f>2*0.206711324712846</f>
        <v>0.41342264942569201</v>
      </c>
      <c r="AL17" s="20">
        <v>0.46191002560671901</v>
      </c>
      <c r="AM17" s="17"/>
      <c r="AN17" s="17"/>
      <c r="AO17" s="13">
        <f t="shared" si="27"/>
        <v>3.4285752499547274E-2</v>
      </c>
      <c r="AP17" s="13">
        <f t="shared" si="28"/>
        <v>0.43766633751620554</v>
      </c>
      <c r="AQ17" s="19">
        <f t="shared" ref="AQ17:AQ22" si="44">AO17/AP17</f>
        <v>7.8337650307130996E-2</v>
      </c>
      <c r="AR17" s="16">
        <f>2*2.45364815395253</f>
        <v>4.9072963079050602</v>
      </c>
      <c r="AS17" s="20">
        <v>4.9715980195055227</v>
      </c>
      <c r="AT17" s="17"/>
      <c r="AU17" s="17"/>
      <c r="AV17" s="13">
        <f t="shared" si="30"/>
        <v>4.5468176314588715E-2</v>
      </c>
      <c r="AW17" s="13">
        <f t="shared" si="31"/>
        <v>4.9394471637052915</v>
      </c>
      <c r="AX17" s="19">
        <f t="shared" ref="AX17:AX22" si="45">AV17/AW17</f>
        <v>9.2051144202301947E-3</v>
      </c>
      <c r="AZ17" s="16">
        <f>2*3.73021206635017</f>
        <v>7.4604241327003402</v>
      </c>
      <c r="BA17" s="20">
        <v>7.1007735191446617</v>
      </c>
      <c r="BB17" s="20"/>
      <c r="BC17" s="20"/>
      <c r="BD17" s="13">
        <f>STDEV(AZ17:BC17)</f>
        <v>0.25431138770312273</v>
      </c>
      <c r="BE17" s="13">
        <f t="shared" ref="BE17:BE22" si="46">AVERAGE(AZ17:BC17)</f>
        <v>7.2805988259225014</v>
      </c>
      <c r="BF17" s="19">
        <f t="shared" ref="BF17:BF22" si="47">BD17/BE17</f>
        <v>3.4930009712614507E-2</v>
      </c>
      <c r="BG17" s="17">
        <f>2*102.031191301798</f>
        <v>204.06238260359601</v>
      </c>
      <c r="BH17" s="20">
        <v>203.59362453957465</v>
      </c>
      <c r="BI17" s="20"/>
      <c r="BJ17" s="20"/>
      <c r="BK17" s="13">
        <f>STDEV(BG17:BJ17)</f>
        <v>0.33146200580538016</v>
      </c>
      <c r="BL17" s="13">
        <f>AVERAGE(BG17:BJ17)</f>
        <v>203.82800357158533</v>
      </c>
      <c r="BM17" s="42">
        <f t="shared" ref="BM17:BM22" si="48">BK17/BL17</f>
        <v>1.6261848224842627E-3</v>
      </c>
      <c r="BN17" s="17">
        <f>2*0.208500357165787</f>
        <v>0.41700071433157399</v>
      </c>
      <c r="BO17" s="17">
        <v>0.41675991110760918</v>
      </c>
      <c r="BP17" s="20"/>
      <c r="BQ17" s="20"/>
      <c r="BR17" s="13">
        <f>STDEV(BN17:BQ17)</f>
        <v>1.7027359259709501E-4</v>
      </c>
      <c r="BS17" s="13">
        <f>AVERAGE(BN17:BQ17)</f>
        <v>0.41688031271959158</v>
      </c>
      <c r="BT17" s="42">
        <f t="shared" ref="BT17:BT22" si="49">BR17/BS17</f>
        <v>4.084471907207262E-4</v>
      </c>
      <c r="BU17" s="17">
        <f>2*2.58689205808747</f>
        <v>5.1737841161749403</v>
      </c>
      <c r="BV17" s="17">
        <v>5.3757389572699772</v>
      </c>
      <c r="BW17" s="20"/>
      <c r="BX17" s="20"/>
      <c r="BY17" s="13">
        <f>STDEV(BU17:BX17)</f>
        <v>0.14280363763175224</v>
      </c>
      <c r="BZ17" s="13">
        <f>AVERAGE(BU17:BX17)</f>
        <v>5.2747615367224583</v>
      </c>
      <c r="CA17" s="42">
        <f t="shared" ref="CA17:CA22" si="50">BY17/BZ17</f>
        <v>2.707300351637984E-2</v>
      </c>
      <c r="CC17" s="27">
        <v>3.63</v>
      </c>
    </row>
    <row r="18" spans="1:81" x14ac:dyDescent="0.2">
      <c r="A18" s="14" t="s">
        <v>31</v>
      </c>
      <c r="B18" s="17">
        <f>2*0.266920626018701</f>
        <v>0.53384125203740196</v>
      </c>
      <c r="C18" s="20">
        <v>0.54180136531269452</v>
      </c>
      <c r="D18" s="17"/>
      <c r="E18" s="17"/>
      <c r="F18" s="13">
        <f t="shared" si="16"/>
        <v>5.6286500759724261E-3</v>
      </c>
      <c r="G18" s="13">
        <f t="shared" si="17"/>
        <v>0.53782130867504829</v>
      </c>
      <c r="H18" s="42">
        <f t="shared" si="6"/>
        <v>1.0465650923796433E-2</v>
      </c>
      <c r="I18" s="16">
        <f>2*3.50027796029841</f>
        <v>7.0005559205968204</v>
      </c>
      <c r="J18" s="17">
        <v>7.1341080146944451</v>
      </c>
      <c r="K18" s="17"/>
      <c r="L18" s="17"/>
      <c r="M18" s="13">
        <f t="shared" si="18"/>
        <v>9.4435591378094305E-2</v>
      </c>
      <c r="N18" s="13">
        <f t="shared" si="19"/>
        <v>7.0673319676456323</v>
      </c>
      <c r="O18" s="19">
        <f t="shared" si="41"/>
        <v>1.3362269072745143E-2</v>
      </c>
      <c r="P18" s="16">
        <f>2*1.96362957170548</f>
        <v>3.9272591434109598</v>
      </c>
      <c r="Q18" s="17">
        <v>4.4112785269742751</v>
      </c>
      <c r="R18" s="17"/>
      <c r="S18" s="17"/>
      <c r="T18" s="13">
        <f t="shared" si="21"/>
        <v>0.34225338834335278</v>
      </c>
      <c r="U18" s="13">
        <f t="shared" si="22"/>
        <v>4.1692688351926179</v>
      </c>
      <c r="V18" s="19">
        <f t="shared" si="42"/>
        <v>8.2089546602130026E-2</v>
      </c>
      <c r="W18" s="16">
        <f>2*88.7484501879822</f>
        <v>177.4969003759644</v>
      </c>
      <c r="X18" s="20">
        <v>175.27868363318365</v>
      </c>
      <c r="Y18" s="17"/>
      <c r="Z18" s="17"/>
      <c r="AA18" s="13">
        <f t="shared" si="24"/>
        <v>1.5685161009618069</v>
      </c>
      <c r="AB18" s="13">
        <f t="shared" si="25"/>
        <v>176.38779200457401</v>
      </c>
      <c r="AC18" s="19">
        <f t="shared" si="43"/>
        <v>8.8924300436910783E-3</v>
      </c>
      <c r="AD18" s="17"/>
      <c r="AE18" s="17"/>
      <c r="AF18" s="17"/>
      <c r="AG18" s="17"/>
      <c r="AH18" s="13"/>
      <c r="AI18" s="13"/>
      <c r="AJ18" s="42"/>
      <c r="AK18" s="16">
        <f>2*0.209375157022803</f>
        <v>0.41875031404560598</v>
      </c>
      <c r="AL18" s="20">
        <v>0.3033383654000803</v>
      </c>
      <c r="AM18" s="17"/>
      <c r="AN18" s="17"/>
      <c r="AO18" s="13">
        <f t="shared" si="27"/>
        <v>8.1608571517204978E-2</v>
      </c>
      <c r="AP18" s="13">
        <f t="shared" si="28"/>
        <v>0.36104433972284311</v>
      </c>
      <c r="AQ18" s="19">
        <f t="shared" si="44"/>
        <v>0.22603476232268888</v>
      </c>
      <c r="AR18" s="16">
        <f>2*1.75917914637861</f>
        <v>3.5183582927572199</v>
      </c>
      <c r="AS18" s="20">
        <v>3.8728369633004736</v>
      </c>
      <c r="AT18" s="17"/>
      <c r="AU18" s="17"/>
      <c r="AV18" s="13">
        <f t="shared" si="30"/>
        <v>0.25065427172712673</v>
      </c>
      <c r="AW18" s="13">
        <f t="shared" si="31"/>
        <v>3.6955976280288469</v>
      </c>
      <c r="AX18" s="19">
        <f t="shared" si="45"/>
        <v>6.7825098118384816E-2</v>
      </c>
      <c r="AZ18" s="16">
        <f>2*3.02148429572811</f>
        <v>6.0429685914562201</v>
      </c>
      <c r="BA18" s="20">
        <v>5.3690955523627935</v>
      </c>
      <c r="BB18" s="20"/>
      <c r="BC18" s="20"/>
      <c r="BD18" s="13">
        <f>STDEV(AZ18:BC18)</f>
        <v>0.47650019560174944</v>
      </c>
      <c r="BE18" s="13">
        <f t="shared" si="46"/>
        <v>5.7060320719095063</v>
      </c>
      <c r="BF18" s="19">
        <f t="shared" si="47"/>
        <v>8.3508152354687004E-2</v>
      </c>
      <c r="BG18" s="17">
        <f>2*94.9560403403811</f>
        <v>189.91208068076219</v>
      </c>
      <c r="BH18" s="20">
        <v>188.3674581273772</v>
      </c>
      <c r="BI18" s="20"/>
      <c r="BJ18" s="20"/>
      <c r="BK18" s="13">
        <f>STDEV(BG18:BJ18)</f>
        <v>1.0922130818722011</v>
      </c>
      <c r="BL18" s="13">
        <f>AVERAGE(BG18:BJ18)</f>
        <v>189.13976940406968</v>
      </c>
      <c r="BM18" s="42">
        <f t="shared" si="48"/>
        <v>5.7746347334221727E-3</v>
      </c>
      <c r="BN18" s="17">
        <f>2*0.137135797221492</f>
        <v>0.27427159444298399</v>
      </c>
      <c r="BO18" s="17">
        <v>0.27754656814273243</v>
      </c>
      <c r="BP18" s="20"/>
      <c r="BQ18" s="20"/>
      <c r="BR18" s="13">
        <f>STDEV(BN18:BQ18)</f>
        <v>2.3157561112997181E-3</v>
      </c>
      <c r="BS18" s="13">
        <f>AVERAGE(BN18:BQ18)</f>
        <v>0.27590908129285818</v>
      </c>
      <c r="BT18" s="42">
        <f t="shared" si="49"/>
        <v>8.3931855394121842E-3</v>
      </c>
      <c r="BU18" s="17">
        <f>2*1.88616593814283</f>
        <v>3.7723318762856599</v>
      </c>
      <c r="BV18" s="17">
        <v>4.0333682887897506</v>
      </c>
      <c r="BW18" s="20"/>
      <c r="BX18" s="20"/>
      <c r="BY18" s="13">
        <f>STDEV(BU18:BX18)</f>
        <v>0.18458061741825144</v>
      </c>
      <c r="BZ18" s="13">
        <f>AVERAGE(BU18:BX18)</f>
        <v>3.9028500825377055</v>
      </c>
      <c r="CA18" s="42">
        <f t="shared" si="50"/>
        <v>4.7293801584670066E-2</v>
      </c>
      <c r="CC18" s="27">
        <v>3.57</v>
      </c>
    </row>
    <row r="19" spans="1:81" x14ac:dyDescent="0.2">
      <c r="A19" s="14" t="s">
        <v>32</v>
      </c>
      <c r="B19" s="12">
        <f>2*0.332209186395035</f>
        <v>0.66441837279006999</v>
      </c>
      <c r="C19">
        <v>0.67610999448989595</v>
      </c>
      <c r="D19" s="17"/>
      <c r="E19" s="17"/>
      <c r="F19" s="13">
        <f t="shared" si="16"/>
        <v>8.2672249870147253E-3</v>
      </c>
      <c r="G19" s="13">
        <f t="shared" si="17"/>
        <v>0.67026418363998297</v>
      </c>
      <c r="H19" s="42">
        <f t="shared" si="6"/>
        <v>1.2334278317122903E-2</v>
      </c>
      <c r="I19" s="16">
        <f>2*4.60296634063319</f>
        <v>9.2059326812663809</v>
      </c>
      <c r="J19" s="17">
        <v>9.3658990674976508</v>
      </c>
      <c r="K19" s="17"/>
      <c r="L19" s="17"/>
      <c r="M19" s="13">
        <f t="shared" si="18"/>
        <v>0.11311331646603733</v>
      </c>
      <c r="N19" s="13">
        <f t="shared" si="19"/>
        <v>9.2859158743820167</v>
      </c>
      <c r="O19" s="19">
        <f t="shared" si="41"/>
        <v>1.2181169633260875E-2</v>
      </c>
      <c r="P19" s="16">
        <f>2*3.98050246876784</f>
        <v>7.9610049375356802</v>
      </c>
      <c r="Q19" s="17">
        <v>8.9272055821756897</v>
      </c>
      <c r="R19" s="17"/>
      <c r="S19" s="17"/>
      <c r="T19" s="13">
        <f t="shared" si="21"/>
        <v>0.68320702781176434</v>
      </c>
      <c r="U19" s="13">
        <f t="shared" si="22"/>
        <v>8.4441052598556858</v>
      </c>
      <c r="V19" s="19">
        <f t="shared" si="42"/>
        <v>8.0909345251747936E-2</v>
      </c>
      <c r="W19" s="16">
        <f>2*59.6411369718617</f>
        <v>119.2822739437234</v>
      </c>
      <c r="X19" s="17">
        <v>118.06879712769955</v>
      </c>
      <c r="Y19" s="17"/>
      <c r="Z19" s="17"/>
      <c r="AA19" s="13">
        <f t="shared" si="24"/>
        <v>0.85805768542311944</v>
      </c>
      <c r="AB19" s="13">
        <f t="shared" si="25"/>
        <v>118.67553553571148</v>
      </c>
      <c r="AC19" s="19">
        <f t="shared" si="43"/>
        <v>7.2302828173454112E-3</v>
      </c>
      <c r="AD19">
        <f>2*0.0356947660373945</f>
        <v>7.1389532074789E-2</v>
      </c>
      <c r="AE19">
        <v>6.095215738408407E-2</v>
      </c>
      <c r="AF19" s="17"/>
      <c r="AG19" s="17"/>
      <c r="AH19" s="13">
        <f>STDEV(AD19:AG19)</f>
        <v>7.3803384215822996E-3</v>
      </c>
      <c r="AI19" s="13">
        <f>AVERAGE(AD19:AG19)</f>
        <v>6.6170844729436532E-2</v>
      </c>
      <c r="AJ19" s="42">
        <f>AH19/AI19</f>
        <v>0.11153459581420619</v>
      </c>
      <c r="AK19" s="16">
        <f>2*0.329810619800844</f>
        <v>0.65962123960168795</v>
      </c>
      <c r="AL19" s="20">
        <v>0.55788508122356106</v>
      </c>
      <c r="AM19" s="17"/>
      <c r="AN19" s="17"/>
      <c r="AO19" s="13">
        <f t="shared" si="27"/>
        <v>7.1938327481042105E-2</v>
      </c>
      <c r="AP19" s="13">
        <f t="shared" si="28"/>
        <v>0.60875316041262451</v>
      </c>
      <c r="AQ19" s="19">
        <f t="shared" si="44"/>
        <v>0.11817323039814846</v>
      </c>
      <c r="AR19" s="16">
        <f>2*3.35147701941402</f>
        <v>6.7029540388280404</v>
      </c>
      <c r="AS19" s="17">
        <v>7.3337102384584227</v>
      </c>
      <c r="AT19" s="17"/>
      <c r="AU19" s="17"/>
      <c r="AV19" s="13">
        <f t="shared" si="30"/>
        <v>0.44601198603409903</v>
      </c>
      <c r="AW19" s="13">
        <f t="shared" si="31"/>
        <v>7.0183321386432311</v>
      </c>
      <c r="AX19" s="19">
        <f t="shared" si="45"/>
        <v>6.3549569502181061E-2</v>
      </c>
      <c r="AZ19" s="16">
        <f>2*4.47275818172641</f>
        <v>8.9455163634528194</v>
      </c>
      <c r="BA19" s="17">
        <v>9.3950792213229057</v>
      </c>
      <c r="BB19" s="20"/>
      <c r="BC19" s="20"/>
      <c r="BD19" s="13">
        <f>STDEV(AZ19:BC19)</f>
        <v>0.3178889453695421</v>
      </c>
      <c r="BE19" s="13">
        <f t="shared" si="46"/>
        <v>9.1702977923878635</v>
      </c>
      <c r="BF19" s="19">
        <f t="shared" si="47"/>
        <v>3.4665062418520069E-2</v>
      </c>
      <c r="BG19" s="12">
        <f>2*71.7586720340032</f>
        <v>143.51734406800639</v>
      </c>
      <c r="BH19" s="12">
        <v>143.39203800404587</v>
      </c>
      <c r="BI19" s="20"/>
      <c r="BJ19" s="20"/>
      <c r="BK19" s="13">
        <f>STDEV(BG19:BJ19)</f>
        <v>8.86047675502806E-2</v>
      </c>
      <c r="BL19" s="13">
        <f>AVERAGE(BG19:BJ19)</f>
        <v>143.45469103602613</v>
      </c>
      <c r="BM19" s="42">
        <f t="shared" si="48"/>
        <v>6.1764984407536078E-4</v>
      </c>
      <c r="BN19" s="12">
        <f>2*0.305397401916499</f>
        <v>0.610794803832998</v>
      </c>
      <c r="BO19" s="12">
        <v>0.61304738144869131</v>
      </c>
      <c r="BP19" s="20"/>
      <c r="BQ19" s="20"/>
      <c r="BR19" s="13">
        <f>STDEV(BN19:BQ19)</f>
        <v>1.5928129072057626E-3</v>
      </c>
      <c r="BS19" s="13">
        <f>AVERAGE(BN19:BQ19)</f>
        <v>0.61192109264084471</v>
      </c>
      <c r="BT19" s="42">
        <f t="shared" si="49"/>
        <v>2.602971079705261E-3</v>
      </c>
      <c r="BU19" s="12">
        <f>2*3.62945720412958</f>
        <v>7.2589144082591597</v>
      </c>
      <c r="BV19" s="12">
        <v>7.4588416107222857</v>
      </c>
      <c r="BW19" s="20"/>
      <c r="BX19" s="20"/>
      <c r="BY19" s="13">
        <f>STDEV(BU19:BX19)</f>
        <v>0.14136988060533223</v>
      </c>
      <c r="BZ19" s="13">
        <f>AVERAGE(BU19:BX19)</f>
        <v>7.3588780094907227</v>
      </c>
      <c r="CA19" s="42">
        <f t="shared" si="50"/>
        <v>1.9210792789744295E-2</v>
      </c>
      <c r="CC19" s="27">
        <v>3.74</v>
      </c>
    </row>
    <row r="20" spans="1:81" x14ac:dyDescent="0.2">
      <c r="A20" s="14" t="s">
        <v>33</v>
      </c>
      <c r="B20" s="12">
        <f>2*0.291772108923818</f>
        <v>0.58354421784763599</v>
      </c>
      <c r="C20">
        <v>0.58883530511348392</v>
      </c>
      <c r="D20" s="17"/>
      <c r="E20" s="17"/>
      <c r="F20" s="13">
        <f t="shared" si="16"/>
        <v>3.7413636855308584E-3</v>
      </c>
      <c r="G20" s="13">
        <f t="shared" si="17"/>
        <v>0.58618976148056001</v>
      </c>
      <c r="H20" s="42">
        <f t="shared" si="6"/>
        <v>6.3825128505847067E-3</v>
      </c>
      <c r="I20" s="16">
        <f>2*3.91028173176957</f>
        <v>7.8205634635391403</v>
      </c>
      <c r="J20" s="17">
        <v>7.9634316409280741</v>
      </c>
      <c r="K20" s="17"/>
      <c r="L20" s="17"/>
      <c r="M20" s="13">
        <f t="shared" si="18"/>
        <v>0.10102305704747765</v>
      </c>
      <c r="N20" s="13">
        <f t="shared" si="19"/>
        <v>7.8919975522336072</v>
      </c>
      <c r="O20" s="19">
        <f t="shared" si="41"/>
        <v>1.2800695435959165E-2</v>
      </c>
      <c r="P20" s="16">
        <f>2*3.14883178775405</f>
        <v>6.2976635755080999</v>
      </c>
      <c r="Q20" s="17">
        <v>7.3857107281377639</v>
      </c>
      <c r="R20" s="17"/>
      <c r="S20" s="17"/>
      <c r="T20" s="13">
        <f t="shared" si="21"/>
        <v>0.76936551987515001</v>
      </c>
      <c r="U20" s="13">
        <f t="shared" si="22"/>
        <v>6.8416871518229314</v>
      </c>
      <c r="V20" s="19">
        <f t="shared" si="42"/>
        <v>0.1124526016466796</v>
      </c>
      <c r="W20" s="16">
        <f>2*37.2654294700312</f>
        <v>74.530858940062402</v>
      </c>
      <c r="X20" s="17">
        <v>73.505246995507164</v>
      </c>
      <c r="Y20" s="17"/>
      <c r="Z20" s="17"/>
      <c r="AA20" s="13">
        <f t="shared" si="24"/>
        <v>0.72521716086092958</v>
      </c>
      <c r="AB20" s="13">
        <f t="shared" si="25"/>
        <v>74.018052967784783</v>
      </c>
      <c r="AC20" s="19">
        <f t="shared" si="43"/>
        <v>9.7978416316431508E-3</v>
      </c>
      <c r="AD20">
        <f>2*0.0378934091271359</f>
        <v>7.5786818254271804E-2</v>
      </c>
      <c r="AE20">
        <v>7.2806994746279288E-2</v>
      </c>
      <c r="AF20" s="17"/>
      <c r="AG20" s="17"/>
      <c r="AH20" s="13">
        <f>STDEV(AD20:AG20)</f>
        <v>2.1070534092405943E-3</v>
      </c>
      <c r="AI20" s="13">
        <f>AVERAGE(AD20:AG20)</f>
        <v>7.4296906500275539E-2</v>
      </c>
      <c r="AJ20" s="42">
        <f>AH20/AI20</f>
        <v>2.835990767977372E-2</v>
      </c>
      <c r="AK20" s="16">
        <f>2*0.245531481291291</f>
        <v>0.49106296258258197</v>
      </c>
      <c r="AL20" s="20">
        <v>0.49107523180693852</v>
      </c>
      <c r="AM20" s="17"/>
      <c r="AN20" s="17"/>
      <c r="AO20" s="13">
        <f t="shared" si="27"/>
        <v>8.6756517424103852E-6</v>
      </c>
      <c r="AP20" s="13">
        <f t="shared" si="28"/>
        <v>0.49106909719476022</v>
      </c>
      <c r="AQ20" s="19">
        <f t="shared" si="44"/>
        <v>1.7666865603985628E-5</v>
      </c>
      <c r="AR20" s="16">
        <f>2*2.64897769009556</f>
        <v>5.2979553801911203</v>
      </c>
      <c r="AS20" s="17">
        <v>5.5843026738622479</v>
      </c>
      <c r="AT20" s="17"/>
      <c r="AU20" s="17"/>
      <c r="AV20" s="13">
        <f t="shared" si="30"/>
        <v>0.20247811312927005</v>
      </c>
      <c r="AW20" s="13">
        <f t="shared" si="31"/>
        <v>5.4411290270266841</v>
      </c>
      <c r="AX20" s="19">
        <f t="shared" si="45"/>
        <v>3.721251823353923E-2</v>
      </c>
      <c r="AZ20" s="16">
        <f>2*4.19508619629526</f>
        <v>8.3901723925905198</v>
      </c>
      <c r="BA20" s="17">
        <v>7.7456152904074509</v>
      </c>
      <c r="BB20" s="20"/>
      <c r="BC20" s="20"/>
      <c r="BD20" s="13">
        <f>STDEV(AZ20:BC20)</f>
        <v>0.45577069781559848</v>
      </c>
      <c r="BE20" s="13">
        <f t="shared" si="46"/>
        <v>8.0678938414989858</v>
      </c>
      <c r="BF20" s="19">
        <f t="shared" si="47"/>
        <v>5.6491905665793679E-2</v>
      </c>
      <c r="BG20" s="12">
        <f>2*47.5417190752953</f>
        <v>95.083438150590595</v>
      </c>
      <c r="BH20" s="12">
        <v>91.158246208678378</v>
      </c>
      <c r="BI20" s="20"/>
      <c r="BJ20" s="20"/>
      <c r="BK20" s="13">
        <f>STDEV(BG20:BJ20)</f>
        <v>2.7755298395849222</v>
      </c>
      <c r="BL20" s="13">
        <f>AVERAGE(BG20:BJ20)</f>
        <v>93.120842179634479</v>
      </c>
      <c r="BM20" s="42">
        <f t="shared" si="48"/>
        <v>2.9805678026738575E-2</v>
      </c>
      <c r="BN20" s="12">
        <f>2*0.202438931273833</f>
        <v>0.404877862547666</v>
      </c>
      <c r="BO20" s="12">
        <v>0.42084092775457016</v>
      </c>
      <c r="BP20" s="20"/>
      <c r="BQ20" s="20"/>
      <c r="BR20" s="13">
        <f>STDEV(BN20:BQ20)</f>
        <v>1.128759165632497E-2</v>
      </c>
      <c r="BS20" s="13">
        <f>AVERAGE(BN20:BQ20)</f>
        <v>0.41285939515111808</v>
      </c>
      <c r="BT20" s="42">
        <f t="shared" si="49"/>
        <v>2.7340038252474295E-2</v>
      </c>
      <c r="BU20" s="12">
        <f>2*2.75150660487755</f>
        <v>5.5030132097550997</v>
      </c>
      <c r="BV20" s="12">
        <v>5.8855495846199757</v>
      </c>
      <c r="BW20" s="20"/>
      <c r="BX20" s="20"/>
      <c r="BY20" s="13">
        <f>STDEV(BU20:BX20)</f>
        <v>0.270494064717473</v>
      </c>
      <c r="BZ20" s="13">
        <f>AVERAGE(BU20:BX20)</f>
        <v>5.6942813971875381</v>
      </c>
      <c r="CA20" s="42">
        <f t="shared" si="50"/>
        <v>4.7502756862538034E-2</v>
      </c>
      <c r="CC20" s="27">
        <v>3.73</v>
      </c>
    </row>
    <row r="21" spans="1:81" x14ac:dyDescent="0.2">
      <c r="A21" s="14" t="s">
        <v>34</v>
      </c>
      <c r="B21" s="12">
        <f>2*0.321183693870393</f>
        <v>0.64236738774078606</v>
      </c>
      <c r="C21">
        <v>0.64559915366147802</v>
      </c>
      <c r="D21" s="17"/>
      <c r="E21" s="17"/>
      <c r="F21" s="13">
        <f t="shared" si="16"/>
        <v>2.2852035977288742E-3</v>
      </c>
      <c r="G21" s="13">
        <f t="shared" si="17"/>
        <v>0.64398327070113204</v>
      </c>
      <c r="H21" s="42">
        <f t="shared" si="6"/>
        <v>3.5485449726681186E-3</v>
      </c>
      <c r="I21" s="21">
        <f>2*3.90078297149663</f>
        <v>7.8015659429932596</v>
      </c>
      <c r="J21" s="22">
        <v>7.9304651753715847</v>
      </c>
      <c r="K21" s="22"/>
      <c r="L21" s="22"/>
      <c r="M21" s="23">
        <f t="shared" si="18"/>
        <v>9.1145521304454288E-2</v>
      </c>
      <c r="N21" s="23">
        <f t="shared" si="19"/>
        <v>7.8660155591824221</v>
      </c>
      <c r="O21" s="24">
        <f t="shared" si="41"/>
        <v>1.1587254133772368E-2</v>
      </c>
      <c r="P21" s="21">
        <f>2*3.6454632512362</f>
        <v>7.2909265024724004</v>
      </c>
      <c r="Q21" s="22">
        <v>8.4167540593604961</v>
      </c>
      <c r="R21" s="22"/>
      <c r="S21" s="22"/>
      <c r="T21" s="23">
        <f t="shared" si="21"/>
        <v>0.79608029992225615</v>
      </c>
      <c r="U21" s="23">
        <f t="shared" si="22"/>
        <v>7.8538402809164483</v>
      </c>
      <c r="V21" s="24">
        <f t="shared" si="42"/>
        <v>0.10136191613886031</v>
      </c>
      <c r="W21" s="21">
        <f>2*57.0727744114116</f>
        <v>114.1455488228232</v>
      </c>
      <c r="X21" s="22">
        <v>113.00782964963398</v>
      </c>
      <c r="Y21" s="22"/>
      <c r="Z21" s="22"/>
      <c r="AA21" s="23">
        <f t="shared" si="24"/>
        <v>0.80448894244805336</v>
      </c>
      <c r="AB21" s="23">
        <f t="shared" si="25"/>
        <v>113.57668923622859</v>
      </c>
      <c r="AC21" s="24">
        <f t="shared" si="43"/>
        <v>7.0832223395312548E-3</v>
      </c>
      <c r="AD21">
        <f>2*0.0425538460856493</f>
        <v>8.5107692171298599E-2</v>
      </c>
      <c r="AE21">
        <v>7.8359494854234171E-2</v>
      </c>
      <c r="AF21" s="17"/>
      <c r="AG21" s="17"/>
      <c r="AH21" s="13">
        <f>STDEV(AD21:AG21)</f>
        <v>4.7716960836811234E-3</v>
      </c>
      <c r="AI21" s="13">
        <f>AVERAGE(AD21:AG21)</f>
        <v>8.1733593512766378E-2</v>
      </c>
      <c r="AJ21" s="42">
        <f>AH21/AI21</f>
        <v>5.8381087611617227E-2</v>
      </c>
      <c r="AK21" s="21">
        <f>2*0.270443134515296</f>
        <v>0.540886269030592</v>
      </c>
      <c r="AL21" s="51">
        <v>0.58608834584279412</v>
      </c>
      <c r="AM21" s="22"/>
      <c r="AN21" s="22"/>
      <c r="AO21" s="23">
        <f t="shared" si="27"/>
        <v>3.1962695037623313E-2</v>
      </c>
      <c r="AP21" s="23">
        <f t="shared" si="28"/>
        <v>0.56348730743669306</v>
      </c>
      <c r="AQ21" s="24">
        <f t="shared" si="44"/>
        <v>5.6723007982241502E-2</v>
      </c>
      <c r="AR21" s="21">
        <f>2*3.08412806899319</f>
        <v>6.1682561379863801</v>
      </c>
      <c r="AS21" s="22">
        <v>6.7636463220380456</v>
      </c>
      <c r="AT21" s="22"/>
      <c r="AU21" s="22"/>
      <c r="AV21" s="23">
        <f t="shared" si="30"/>
        <v>0.42100443659483933</v>
      </c>
      <c r="AW21" s="23">
        <f t="shared" si="31"/>
        <v>6.4659512300122124</v>
      </c>
      <c r="AX21" s="24">
        <f t="shared" si="45"/>
        <v>6.5110982378078372E-2</v>
      </c>
      <c r="AZ21" s="21">
        <f>2*4.2907383175642</f>
        <v>8.5814766351284</v>
      </c>
      <c r="BA21" s="22">
        <v>8.7376272930559189</v>
      </c>
      <c r="BB21" s="51"/>
      <c r="BC21" s="51"/>
      <c r="BD21" s="23">
        <f>STDEV(AZ21:BC21)</f>
        <v>0.11041518910728955</v>
      </c>
      <c r="BE21" s="23">
        <f t="shared" si="46"/>
        <v>8.6595519640921594</v>
      </c>
      <c r="BF21" s="24">
        <f t="shared" si="47"/>
        <v>1.2750681509290433E-2</v>
      </c>
      <c r="BG21" s="12">
        <f>2*70.9392003684112</f>
        <v>141.87840073682241</v>
      </c>
      <c r="BH21" s="12">
        <v>143.66617389860454</v>
      </c>
      <c r="BI21" s="20"/>
      <c r="BJ21" s="20"/>
      <c r="BK21" s="13">
        <f>STDEV(BG21:BJ21)</f>
        <v>1.2641465259194566</v>
      </c>
      <c r="BL21" s="13">
        <f>AVERAGE(BG21:BJ21)</f>
        <v>142.77228731771348</v>
      </c>
      <c r="BM21" s="42">
        <f t="shared" si="48"/>
        <v>8.854285027362005E-3</v>
      </c>
      <c r="BN21" s="12">
        <f>2*0.225695081019668</f>
        <v>0.45139016203933602</v>
      </c>
      <c r="BO21" s="12">
        <v>0.57036425624290543</v>
      </c>
      <c r="BP21" s="20"/>
      <c r="BQ21" s="20"/>
      <c r="BR21" s="13">
        <f>STDEV(BN21:BQ21)</f>
        <v>8.4127388796871982E-2</v>
      </c>
      <c r="BS21" s="13">
        <f>AVERAGE(BN21:BQ21)</f>
        <v>0.51087720914112067</v>
      </c>
      <c r="BT21" s="42">
        <f t="shared" si="49"/>
        <v>0.16467242478541119</v>
      </c>
      <c r="BU21" s="12">
        <f>2*3.27065556956836</f>
        <v>6.5413111391367202</v>
      </c>
      <c r="BV21" s="12">
        <v>7.0027754515764453</v>
      </c>
      <c r="BW21" s="20"/>
      <c r="BX21" s="20"/>
      <c r="BY21" s="13">
        <f>STDEV(BU21:BX21)</f>
        <v>0.32630454460171726</v>
      </c>
      <c r="BZ21" s="13">
        <f>AVERAGE(BU21:BX21)</f>
        <v>6.7720432953565828</v>
      </c>
      <c r="CA21" s="42">
        <f t="shared" si="50"/>
        <v>4.8184060610695738E-2</v>
      </c>
      <c r="CC21" s="27">
        <v>3.78</v>
      </c>
    </row>
    <row r="22" spans="1:81" x14ac:dyDescent="0.2">
      <c r="A22" s="43" t="s">
        <v>37</v>
      </c>
      <c r="B22" s="44">
        <v>1.5001787032413305</v>
      </c>
      <c r="C22" s="44"/>
      <c r="D22" s="44"/>
      <c r="E22" s="44"/>
      <c r="F22" s="45"/>
      <c r="G22" s="45">
        <f>AVERAGE(B22:C22)</f>
        <v>1.5001787032413305</v>
      </c>
      <c r="H22" s="46">
        <f t="shared" si="6"/>
        <v>0</v>
      </c>
      <c r="I22" s="44">
        <v>16.569230650929022</v>
      </c>
      <c r="J22" s="47"/>
      <c r="K22" s="47"/>
      <c r="L22" s="47"/>
      <c r="M22" s="45"/>
      <c r="N22" s="45">
        <f>AVERAGE(I22:J22)</f>
        <v>16.569230650929022</v>
      </c>
      <c r="O22" s="46">
        <f t="shared" si="41"/>
        <v>0</v>
      </c>
      <c r="P22" s="44">
        <v>28.723203792969571</v>
      </c>
      <c r="Q22" s="47"/>
      <c r="R22" s="47"/>
      <c r="S22" s="47"/>
      <c r="T22" s="45"/>
      <c r="U22" s="45">
        <f>AVERAGE(P22:Q22)</f>
        <v>28.723203792969571</v>
      </c>
      <c r="V22" s="46">
        <f t="shared" si="42"/>
        <v>0</v>
      </c>
      <c r="W22" s="44">
        <v>70.810019218666</v>
      </c>
      <c r="X22" s="44"/>
      <c r="Y22" s="44"/>
      <c r="Z22" s="44"/>
      <c r="AA22" s="45"/>
      <c r="AB22" s="45">
        <f>AVERAGE(W22:X22)</f>
        <v>70.810019218666</v>
      </c>
      <c r="AC22" s="46">
        <f t="shared" si="43"/>
        <v>0</v>
      </c>
      <c r="AD22" s="47">
        <v>0.16781991998245174</v>
      </c>
      <c r="AE22" s="44"/>
      <c r="AF22" s="44"/>
      <c r="AG22" s="44"/>
      <c r="AH22" s="45"/>
      <c r="AI22" s="45">
        <f>AVERAGE(AD22:AG22)</f>
        <v>0.16781991998245174</v>
      </c>
      <c r="AJ22" s="46">
        <f>AH22/AI22</f>
        <v>0</v>
      </c>
      <c r="AK22" s="47">
        <v>2.3624970164692352</v>
      </c>
      <c r="AL22" s="44"/>
      <c r="AM22" s="47"/>
      <c r="AN22" s="47"/>
      <c r="AO22" s="45"/>
      <c r="AP22" s="45">
        <f t="shared" si="28"/>
        <v>2.3624970164692352</v>
      </c>
      <c r="AQ22" s="48">
        <f t="shared" si="44"/>
        <v>0</v>
      </c>
      <c r="AR22" s="65">
        <v>22.76268460667125</v>
      </c>
      <c r="AS22" s="44"/>
      <c r="AT22" s="47"/>
      <c r="AU22" s="47"/>
      <c r="AV22" s="45"/>
      <c r="AW22" s="45">
        <f>AVERAGE(AR22:AS22)</f>
        <v>22.76268460667125</v>
      </c>
      <c r="AX22" s="46">
        <f t="shared" si="45"/>
        <v>0</v>
      </c>
      <c r="AZ22" s="66">
        <v>17.976147933238991</v>
      </c>
      <c r="BA22" s="47"/>
      <c r="BB22" s="47"/>
      <c r="BC22" s="47"/>
      <c r="BD22" s="45"/>
      <c r="BE22" s="45">
        <f t="shared" si="46"/>
        <v>17.976147933238991</v>
      </c>
      <c r="BF22" s="46">
        <f t="shared" si="47"/>
        <v>0</v>
      </c>
      <c r="BG22" s="44">
        <v>100.59622641419328</v>
      </c>
      <c r="BH22" s="47"/>
      <c r="BI22" s="44"/>
      <c r="BJ22" s="44"/>
      <c r="BK22" s="45"/>
      <c r="BL22" s="45">
        <f>AVERAGE(BG22:BI22)</f>
        <v>100.59622641419328</v>
      </c>
      <c r="BM22" s="46">
        <f t="shared" si="48"/>
        <v>0</v>
      </c>
      <c r="BN22" s="44">
        <v>2.3587185314548154</v>
      </c>
      <c r="BO22" s="47"/>
      <c r="BP22" s="44"/>
      <c r="BQ22" s="44"/>
      <c r="BR22" s="45"/>
      <c r="BS22" s="45">
        <f>AVERAGE(BN22:BP22)</f>
        <v>2.3587185314548154</v>
      </c>
      <c r="BT22" s="46">
        <f t="shared" si="49"/>
        <v>0</v>
      </c>
      <c r="BU22" s="44">
        <v>24.712091916988445</v>
      </c>
      <c r="BV22" s="44"/>
      <c r="BW22" s="44"/>
      <c r="BX22" s="47"/>
      <c r="BY22" s="45"/>
      <c r="BZ22" s="45">
        <f>AVERAGE(BU22:BV22)</f>
        <v>24.712091916988445</v>
      </c>
      <c r="CA22" s="46">
        <f t="shared" si="50"/>
        <v>0</v>
      </c>
      <c r="CC22" s="70">
        <v>3.67</v>
      </c>
    </row>
    <row r="23" spans="1:81" x14ac:dyDescent="0.2">
      <c r="F23" s="13"/>
      <c r="G23" s="13"/>
      <c r="H23" s="42"/>
      <c r="I23" s="17"/>
      <c r="J23" s="20"/>
      <c r="K23" s="17"/>
      <c r="L23" s="17"/>
      <c r="M23" s="13"/>
      <c r="N23" s="13"/>
      <c r="O23" s="42"/>
      <c r="P23" s="17"/>
      <c r="Q23" s="20"/>
      <c r="R23" s="17"/>
      <c r="S23" s="17"/>
      <c r="T23" s="13"/>
      <c r="U23" s="13"/>
      <c r="V23" s="42"/>
      <c r="W23" s="17"/>
      <c r="X23" s="20"/>
      <c r="Y23" s="17"/>
      <c r="Z23" s="17"/>
      <c r="AA23" s="13"/>
      <c r="AB23" s="13"/>
      <c r="AC23" s="42"/>
      <c r="AD23" s="17"/>
      <c r="AE23" s="17"/>
      <c r="AF23" s="17"/>
      <c r="AG23" s="17"/>
      <c r="AH23" s="13"/>
      <c r="AI23" s="13"/>
      <c r="AJ23" s="42"/>
      <c r="AK23" s="17"/>
      <c r="AL23" s="20"/>
      <c r="AM23" s="17"/>
      <c r="AN23" s="17"/>
      <c r="AO23" s="13"/>
      <c r="AP23" s="13"/>
      <c r="AQ23" s="42"/>
      <c r="AR23" s="17"/>
      <c r="AS23" s="20"/>
      <c r="AT23" s="17"/>
      <c r="AU23" s="17"/>
      <c r="AV23" s="13"/>
      <c r="AW23" s="13"/>
      <c r="AX23" s="42"/>
      <c r="AY23" s="20"/>
      <c r="AZ23" s="17"/>
      <c r="BA23" s="20"/>
      <c r="BB23" s="20"/>
      <c r="BC23" s="20"/>
      <c r="BD23" s="13"/>
      <c r="BE23" s="13"/>
      <c r="BF23" s="42"/>
      <c r="BG23" s="17"/>
      <c r="BH23" s="20"/>
      <c r="BI23" s="20"/>
      <c r="BJ23" s="20"/>
      <c r="BK23" s="13"/>
      <c r="BL23" s="13"/>
      <c r="BM23" s="42"/>
      <c r="BN23" s="17"/>
      <c r="BO23" s="20"/>
      <c r="BP23" s="20"/>
      <c r="BQ23" s="20"/>
      <c r="BR23" s="13"/>
      <c r="BS23" s="13"/>
      <c r="BT23" s="42"/>
      <c r="BU23" s="17"/>
      <c r="BV23" s="17"/>
      <c r="BW23" s="20"/>
      <c r="BX23" s="20"/>
      <c r="BY23" s="13"/>
      <c r="BZ23" s="13"/>
      <c r="CA23" s="42"/>
    </row>
    <row r="24" spans="1:81" x14ac:dyDescent="0.2">
      <c r="A24" t="s">
        <v>35</v>
      </c>
      <c r="F24" s="13"/>
      <c r="G24" s="13"/>
      <c r="H24" s="42"/>
      <c r="I24" s="17"/>
      <c r="J24" s="20"/>
      <c r="K24" s="17"/>
      <c r="L24" s="17"/>
      <c r="M24" s="13"/>
      <c r="N24" s="13"/>
      <c r="O24" s="42"/>
      <c r="P24" s="17"/>
      <c r="Q24" s="20"/>
      <c r="R24" s="17"/>
      <c r="S24" s="17"/>
      <c r="T24" s="13"/>
      <c r="U24" s="13"/>
      <c r="V24" s="42"/>
      <c r="W24" s="12">
        <v>42.831451718894243</v>
      </c>
      <c r="X24" s="20"/>
      <c r="Y24" s="17"/>
      <c r="Z24" s="17"/>
      <c r="AA24" s="13"/>
      <c r="AB24" s="13">
        <f>AVERAGE(W24:Z24)</f>
        <v>42.831451718894243</v>
      </c>
      <c r="AC24" s="42">
        <f>AA24/AB24</f>
        <v>0</v>
      </c>
      <c r="AD24" s="17"/>
      <c r="AE24" s="17"/>
      <c r="AF24" s="17"/>
      <c r="AG24" s="17"/>
      <c r="AH24" s="13"/>
      <c r="AI24" s="13"/>
      <c r="AJ24" s="42"/>
      <c r="AK24" s="17"/>
      <c r="AL24" s="20"/>
      <c r="AM24" s="17"/>
      <c r="AN24" s="17"/>
      <c r="AO24" s="13"/>
      <c r="AP24" s="13"/>
      <c r="AQ24" s="42"/>
      <c r="AR24" s="17"/>
      <c r="AS24" s="20"/>
      <c r="AT24" s="17"/>
      <c r="AU24" s="17"/>
      <c r="AV24" s="13"/>
      <c r="AW24" s="13"/>
      <c r="AX24" s="42"/>
      <c r="AY24" s="20"/>
      <c r="AZ24" s="17"/>
      <c r="BA24" s="20"/>
      <c r="BB24" s="20"/>
      <c r="BC24" s="20"/>
      <c r="BD24" s="13"/>
      <c r="BE24" s="13"/>
      <c r="BF24" s="42"/>
      <c r="BG24" s="12">
        <v>41.826888435978447</v>
      </c>
      <c r="BH24" s="20"/>
      <c r="BI24" s="20"/>
      <c r="BJ24" s="20"/>
      <c r="BK24" s="13"/>
      <c r="BL24" s="13">
        <f>AVERAGE(BG24:BJ24)</f>
        <v>41.826888435978447</v>
      </c>
      <c r="BM24" s="42">
        <f>BK24/BL24</f>
        <v>0</v>
      </c>
      <c r="BN24" s="17"/>
      <c r="BO24" s="20"/>
      <c r="BP24" s="20"/>
      <c r="BQ24" s="20"/>
      <c r="BR24" s="13"/>
      <c r="BS24" s="13"/>
      <c r="BT24" s="42"/>
      <c r="BU24" s="17"/>
      <c r="BV24" s="17"/>
      <c r="BW24" s="20"/>
      <c r="BX24" s="20"/>
      <c r="BY24" s="13"/>
      <c r="BZ24" s="13"/>
      <c r="CA24" s="42"/>
      <c r="CC24" s="68">
        <v>3.1</v>
      </c>
    </row>
    <row r="25" spans="1:81" x14ac:dyDescent="0.2">
      <c r="A25" t="s">
        <v>36</v>
      </c>
      <c r="F25" s="13"/>
      <c r="G25" s="13"/>
      <c r="H25" s="42"/>
      <c r="I25" s="17"/>
      <c r="J25" s="20"/>
      <c r="K25" s="17"/>
      <c r="L25" s="17"/>
      <c r="M25" s="13"/>
      <c r="N25" s="13"/>
      <c r="O25" s="42"/>
      <c r="P25" s="17"/>
      <c r="Q25" s="20"/>
      <c r="R25" s="17"/>
      <c r="S25" s="17"/>
      <c r="T25" s="13"/>
      <c r="U25" s="13"/>
      <c r="V25" s="42"/>
      <c r="W25" s="12">
        <v>84.308288360085925</v>
      </c>
      <c r="X25" s="20"/>
      <c r="Y25" s="17"/>
      <c r="Z25" s="17"/>
      <c r="AA25" s="13"/>
      <c r="AB25" s="13">
        <f>AVERAGE(W25:Z25)</f>
        <v>84.308288360085925</v>
      </c>
      <c r="AC25" s="42">
        <f>AA25/AB25</f>
        <v>0</v>
      </c>
      <c r="AD25" s="17"/>
      <c r="AE25" s="17"/>
      <c r="AF25" s="17"/>
      <c r="AG25" s="17"/>
      <c r="AH25" s="13"/>
      <c r="AI25" s="13"/>
      <c r="AJ25" s="42"/>
      <c r="AK25" s="17"/>
      <c r="AL25" s="20"/>
      <c r="AM25" s="17"/>
      <c r="AN25" s="17"/>
      <c r="AO25" s="13"/>
      <c r="AP25" s="13"/>
      <c r="AQ25" s="42"/>
      <c r="AR25" s="17"/>
      <c r="AS25" s="20"/>
      <c r="AT25" s="17"/>
      <c r="AU25" s="17"/>
      <c r="AV25" s="13"/>
      <c r="AW25" s="13"/>
      <c r="AX25" s="42"/>
      <c r="AY25" s="20"/>
      <c r="AZ25" s="17"/>
      <c r="BA25" s="20"/>
      <c r="BB25" s="20"/>
      <c r="BC25" s="20"/>
      <c r="BD25" s="13"/>
      <c r="BE25" s="13"/>
      <c r="BF25" s="42"/>
      <c r="BG25" s="12">
        <v>84.727876025135643</v>
      </c>
      <c r="BH25" s="20"/>
      <c r="BI25" s="20"/>
      <c r="BJ25" s="20"/>
      <c r="BK25" s="13"/>
      <c r="BL25" s="13">
        <f>AVERAGE(BG25:BJ25)</f>
        <v>84.727876025135643</v>
      </c>
      <c r="BM25" s="42">
        <f>BK25/BL25</f>
        <v>0</v>
      </c>
      <c r="BN25" s="17"/>
      <c r="BO25" s="20"/>
      <c r="BP25" s="20"/>
      <c r="BQ25" s="20"/>
      <c r="BR25" s="13"/>
      <c r="BS25" s="13"/>
      <c r="BT25" s="42"/>
      <c r="BU25" s="17"/>
      <c r="BV25" s="17"/>
      <c r="BW25" s="20"/>
      <c r="BX25" s="20"/>
      <c r="BY25" s="13"/>
      <c r="BZ25" s="13"/>
      <c r="CA25" s="42"/>
      <c r="CC25" s="28">
        <v>2.9</v>
      </c>
    </row>
    <row r="27" spans="1:81" x14ac:dyDescent="0.2">
      <c r="A27" s="36" t="s">
        <v>38</v>
      </c>
      <c r="B27" s="38">
        <f>2*0.717</f>
        <v>1.4339999999999999</v>
      </c>
      <c r="C27" s="38">
        <v>1.413</v>
      </c>
      <c r="D27" s="38"/>
      <c r="E27" s="38"/>
      <c r="F27" s="39">
        <f>STDEV(B27:E27)</f>
        <v>1.4849242404917433E-2</v>
      </c>
      <c r="G27" s="39">
        <f>AVERAGE(B27:E27)</f>
        <v>1.4235</v>
      </c>
      <c r="H27" s="49">
        <f>F27/G27</f>
        <v>1.0431501513816251E-2</v>
      </c>
      <c r="I27" s="37">
        <f>2*7.869</f>
        <v>15.738</v>
      </c>
      <c r="J27" s="38">
        <v>16.12</v>
      </c>
      <c r="K27" s="38"/>
      <c r="L27" s="38"/>
      <c r="M27" s="39">
        <f>STDEV(I27:L27)</f>
        <v>0.2701147904132622</v>
      </c>
      <c r="N27" s="39">
        <f>AVERAGE(I27:L27)</f>
        <v>15.929</v>
      </c>
      <c r="O27" s="41">
        <f>M27/N27</f>
        <v>1.6957422965237126E-2</v>
      </c>
      <c r="P27" s="37">
        <f>2*8.02</f>
        <v>16.04</v>
      </c>
      <c r="Q27" s="38">
        <v>16.997</v>
      </c>
      <c r="R27" s="38"/>
      <c r="S27" s="38"/>
      <c r="T27" s="39">
        <f>STDEV(P27:S27)</f>
        <v>0.6767011895955265</v>
      </c>
      <c r="U27" s="39">
        <f>AVERAGE(P27:S27)</f>
        <v>16.5185</v>
      </c>
      <c r="V27" s="41">
        <f>T27/U27</f>
        <v>4.0966261439932594E-2</v>
      </c>
      <c r="W27" s="37">
        <f>2*36.879</f>
        <v>73.757999999999996</v>
      </c>
      <c r="X27" s="38">
        <v>71.998999999999995</v>
      </c>
      <c r="Y27" s="38"/>
      <c r="Z27" s="38"/>
      <c r="AA27" s="39">
        <f>STDEV(W27:Z27)</f>
        <v>1.2438008281071373</v>
      </c>
      <c r="AB27" s="39">
        <f>AVERAGE(W27:Z27)</f>
        <v>72.878500000000003</v>
      </c>
      <c r="AC27" s="41">
        <f>AA27/AB27</f>
        <v>1.7066773165023117E-2</v>
      </c>
      <c r="AD27" s="37"/>
      <c r="AE27" s="38"/>
      <c r="AF27" s="38"/>
      <c r="AG27" s="38"/>
      <c r="AH27" s="38"/>
      <c r="AI27" s="38"/>
      <c r="AJ27" s="40"/>
      <c r="AK27" s="37">
        <f>2*1.124</f>
        <v>2.2480000000000002</v>
      </c>
      <c r="AL27" s="38">
        <v>2.3439999999999999</v>
      </c>
      <c r="AM27" s="38"/>
      <c r="AN27" s="38"/>
      <c r="AO27" s="39">
        <f>STDEV(AK27:AN27)</f>
        <v>6.7882250993908308E-2</v>
      </c>
      <c r="AP27" s="39">
        <f>AVERAGE(AK27:AN27)</f>
        <v>2.2960000000000003</v>
      </c>
      <c r="AQ27" s="41">
        <f>AO27/AP27</f>
        <v>2.9565440328357274E-2</v>
      </c>
      <c r="AR27" s="38">
        <f>2*9.522</f>
        <v>19.044</v>
      </c>
      <c r="AS27" s="38">
        <v>15.6</v>
      </c>
      <c r="AT27" s="38"/>
      <c r="AU27" s="38"/>
      <c r="AV27" s="39">
        <f>STDEV(AR27:AU27)</f>
        <v>2.43527575440647</v>
      </c>
      <c r="AW27" s="39">
        <f>AVERAGE(AR27:AU27)</f>
        <v>17.321999999999999</v>
      </c>
      <c r="AX27" s="41">
        <f>AV27/AW27</f>
        <v>0.14058860145517088</v>
      </c>
      <c r="AY27" s="12"/>
      <c r="AZ27" s="37">
        <f>2*8.396</f>
        <v>16.792000000000002</v>
      </c>
      <c r="BA27" s="38">
        <v>18.111000000000001</v>
      </c>
      <c r="BB27" s="38"/>
      <c r="BC27" s="38"/>
      <c r="BD27" s="39">
        <f>STDEV(AZ27:BC27)</f>
        <v>0.93267384438505552</v>
      </c>
      <c r="BE27" s="39">
        <f>AVERAGE(AZ27:BC27)</f>
        <v>17.451500000000003</v>
      </c>
      <c r="BF27" s="41">
        <f>BD27/BE27</f>
        <v>5.344376382460278E-2</v>
      </c>
      <c r="BG27" s="37">
        <f>2*51.677</f>
        <v>103.354</v>
      </c>
      <c r="BH27" s="38">
        <v>102.791</v>
      </c>
      <c r="BI27" s="38"/>
      <c r="BJ27" s="38"/>
      <c r="BK27" s="39">
        <f>STDEV(BG27:BJ27)</f>
        <v>0.39810111780802798</v>
      </c>
      <c r="BL27" s="39">
        <f>AVERAGE(BG27:BJ27)</f>
        <v>103.07249999999999</v>
      </c>
      <c r="BM27" s="41">
        <f>BK27/BL27</f>
        <v>3.8623407582820636E-3</v>
      </c>
      <c r="BN27" s="37">
        <f>2*1.136</f>
        <v>2.2719999999999998</v>
      </c>
      <c r="BO27" s="38">
        <v>2.306</v>
      </c>
      <c r="BP27" s="38"/>
      <c r="BQ27" s="38"/>
      <c r="BR27" s="39">
        <f>STDEV(BN27:BQ27)</f>
        <v>2.4041630560342794E-2</v>
      </c>
      <c r="BS27" s="39">
        <f>AVERAGE(BN27:BQ27)</f>
        <v>2.2889999999999997</v>
      </c>
      <c r="BT27" s="41">
        <f>BR27/BS27</f>
        <v>1.0503115142133158E-2</v>
      </c>
      <c r="BU27" s="38">
        <f>2*9.023</f>
        <v>18.045999999999999</v>
      </c>
      <c r="BV27" s="38">
        <v>16.623999999999999</v>
      </c>
      <c r="BW27" s="38"/>
      <c r="BX27" s="38"/>
      <c r="BY27" s="39">
        <f>STDEV(BU27:BX27)</f>
        <v>1.005505842847271</v>
      </c>
      <c r="BZ27" s="39">
        <f>AVERAGE(BU27:BX27)</f>
        <v>17.335000000000001</v>
      </c>
      <c r="CA27" s="41">
        <f>BY27/BZ27</f>
        <v>5.8004375128195611E-2</v>
      </c>
      <c r="CC27" s="68">
        <v>3.62</v>
      </c>
    </row>
    <row r="28" spans="1:81" x14ac:dyDescent="0.2">
      <c r="A28" s="29" t="s">
        <v>39</v>
      </c>
      <c r="B28" s="17">
        <f>2*0.795</f>
        <v>1.59</v>
      </c>
      <c r="C28" s="17">
        <v>1.575</v>
      </c>
      <c r="D28" s="17"/>
      <c r="E28" s="17"/>
      <c r="F28" s="13">
        <f t="shared" ref="F28:F40" si="51">STDEV(B28:E28)</f>
        <v>1.06066017177983E-2</v>
      </c>
      <c r="G28" s="13">
        <f t="shared" ref="G28:G40" si="52">AVERAGE(B28:E28)</f>
        <v>1.5825</v>
      </c>
      <c r="H28" s="42">
        <f t="shared" ref="H28:H40" si="53">F28/G28</f>
        <v>6.7024339448962401E-3</v>
      </c>
      <c r="I28" s="16">
        <f>2*7.004</f>
        <v>14.007999999999999</v>
      </c>
      <c r="J28" s="17">
        <v>14.244</v>
      </c>
      <c r="K28" s="17"/>
      <c r="L28" s="17"/>
      <c r="M28" s="13">
        <f t="shared" ref="M28:M40" si="54">STDEV(I28:L28)</f>
        <v>0.16687720036002568</v>
      </c>
      <c r="N28" s="13">
        <f t="shared" ref="N28:N40" si="55">AVERAGE(I28:L28)</f>
        <v>14.125999999999999</v>
      </c>
      <c r="O28" s="19">
        <f t="shared" ref="O28:O40" si="56">M28/N28</f>
        <v>1.1813478717260774E-2</v>
      </c>
      <c r="P28" s="16">
        <f>2*7.799</f>
        <v>15.598000000000001</v>
      </c>
      <c r="Q28" s="17">
        <v>17.981000000000002</v>
      </c>
      <c r="R28" s="17"/>
      <c r="S28" s="17"/>
      <c r="T28" s="13">
        <f t="shared" ref="T28:T40" si="57">STDEV(P28:S28)</f>
        <v>1.6850354595675434</v>
      </c>
      <c r="U28" s="13">
        <f t="shared" ref="U28:U40" si="58">AVERAGE(P28:S28)</f>
        <v>16.7895</v>
      </c>
      <c r="V28" s="19">
        <f t="shared" ref="V28:V40" si="59">T28/U28</f>
        <v>0.10036245627133288</v>
      </c>
      <c r="W28" s="16">
        <f>2*37.55</f>
        <v>75.099999999999994</v>
      </c>
      <c r="X28" s="17">
        <v>73.421999999999997</v>
      </c>
      <c r="Y28" s="17"/>
      <c r="Z28" s="17"/>
      <c r="AA28" s="13">
        <f t="shared" ref="AA28:AA40" si="60">STDEV(W28:Z28)</f>
        <v>1.1865251788310247</v>
      </c>
      <c r="AB28" s="13">
        <f t="shared" ref="AB28:AB40" si="61">AVERAGE(W28:Z28)</f>
        <v>74.260999999999996</v>
      </c>
      <c r="AC28" s="19">
        <f t="shared" ref="AC28:AC40" si="62">AA28/AB28</f>
        <v>1.5977770011594575E-2</v>
      </c>
      <c r="AD28" s="16"/>
      <c r="AE28" s="17"/>
      <c r="AF28" s="17"/>
      <c r="AG28" s="17"/>
      <c r="AH28" s="17"/>
      <c r="AI28" s="17"/>
      <c r="AJ28" s="31"/>
      <c r="AK28" s="16">
        <f>2*1.261</f>
        <v>2.5219999999999998</v>
      </c>
      <c r="AL28" s="17">
        <v>2.7629999999999999</v>
      </c>
      <c r="AM28" s="17"/>
      <c r="AN28" s="17"/>
      <c r="AO28" s="13">
        <f t="shared" ref="AO28:AO40" si="63">STDEV(AK28:AN28)</f>
        <v>0.17041273426595802</v>
      </c>
      <c r="AP28" s="13">
        <f t="shared" ref="AP28:AP40" si="64">AVERAGE(AK28:AN28)</f>
        <v>2.6425000000000001</v>
      </c>
      <c r="AQ28" s="19">
        <f t="shared" ref="AQ28:AQ40" si="65">AO28/AP28</f>
        <v>6.4489208804525258E-2</v>
      </c>
      <c r="AR28" s="17">
        <f>2*10.071</f>
        <v>20.141999999999999</v>
      </c>
      <c r="AS28" s="17">
        <v>18.151</v>
      </c>
      <c r="AT28" s="17"/>
      <c r="AU28" s="17"/>
      <c r="AV28" s="13">
        <f t="shared" ref="AV28:AV40" si="66">STDEV(AR28:AU28)</f>
        <v>1.407849601342416</v>
      </c>
      <c r="AW28" s="13">
        <f t="shared" ref="AW28:AW40" si="67">AVERAGE(AR28:AU28)</f>
        <v>19.1465</v>
      </c>
      <c r="AX28" s="19">
        <f t="shared" ref="AX28:AX40" si="68">AV28/AW28</f>
        <v>7.3530389436315569E-2</v>
      </c>
      <c r="AY28" s="12"/>
      <c r="AZ28" s="16">
        <f>2*8.928</f>
        <v>17.856000000000002</v>
      </c>
      <c r="BA28" s="17">
        <v>18.837</v>
      </c>
      <c r="BB28" s="17"/>
      <c r="BC28" s="17"/>
      <c r="BD28" s="13">
        <f t="shared" ref="BD28:BD40" si="69">STDEV(AZ28:BC28)</f>
        <v>0.6936717523440018</v>
      </c>
      <c r="BE28" s="13">
        <f t="shared" ref="BE28:BE40" si="70">AVERAGE(AZ28:BC28)</f>
        <v>18.346499999999999</v>
      </c>
      <c r="BF28" s="19">
        <f t="shared" ref="BF28:BF40" si="71">BD28/BE28</f>
        <v>3.7809486950862663E-2</v>
      </c>
      <c r="BG28" s="16">
        <f>2*52.526</f>
        <v>105.05200000000001</v>
      </c>
      <c r="BH28" s="17">
        <v>104.93300000000001</v>
      </c>
      <c r="BI28" s="17"/>
      <c r="BJ28" s="17"/>
      <c r="BK28" s="13">
        <f t="shared" ref="BK28:BK40" si="72">STDEV(BG28:BJ28)</f>
        <v>8.4145706961198996E-2</v>
      </c>
      <c r="BL28" s="13">
        <f t="shared" ref="BL28:BL40" si="73">AVERAGE(BG28:BJ28)</f>
        <v>104.99250000000001</v>
      </c>
      <c r="BM28" s="19">
        <f t="shared" ref="BM28:BM40" si="74">BK28/BL28</f>
        <v>8.0144493141128166E-4</v>
      </c>
      <c r="BN28" s="16">
        <f>2*1.268</f>
        <v>2.536</v>
      </c>
      <c r="BO28" s="17">
        <v>2.5630000000000002</v>
      </c>
      <c r="BP28" s="17"/>
      <c r="BQ28" s="17"/>
      <c r="BR28" s="13">
        <f t="shared" ref="BR28:BR40" si="75">STDEV(BN28:BQ28)</f>
        <v>1.9091883092036879E-2</v>
      </c>
      <c r="BS28" s="13">
        <f t="shared" ref="BS28:BS40" si="76">AVERAGE(BN28:BQ28)</f>
        <v>2.5495000000000001</v>
      </c>
      <c r="BT28" s="19">
        <f t="shared" ref="BT28:BT40" si="77">BR28/BS28</f>
        <v>7.4884813069373904E-3</v>
      </c>
      <c r="BU28" s="17">
        <f>2*10.571</f>
        <v>21.141999999999999</v>
      </c>
      <c r="BV28" s="17">
        <v>18.581</v>
      </c>
      <c r="BW28" s="17"/>
      <c r="BX28" s="17"/>
      <c r="BY28" s="13">
        <f t="shared" ref="BY28:BY40" si="78">STDEV(BU28:BX28)</f>
        <v>1.810900466618748</v>
      </c>
      <c r="BZ28" s="13">
        <f t="shared" ref="BZ28:BZ40" si="79">AVERAGE(BU28:BX28)</f>
        <v>19.861499999999999</v>
      </c>
      <c r="CA28" s="19">
        <f t="shared" ref="CA28:CA40" si="80">BY28/BZ28</f>
        <v>9.1176420039712408E-2</v>
      </c>
      <c r="CC28" s="27">
        <v>3.57</v>
      </c>
    </row>
    <row r="29" spans="1:81" x14ac:dyDescent="0.2">
      <c r="A29" s="29" t="s">
        <v>40</v>
      </c>
      <c r="B29" s="17">
        <f>2*0.641</f>
        <v>1.282</v>
      </c>
      <c r="C29" s="17">
        <v>1.2589999999999999</v>
      </c>
      <c r="D29" s="17"/>
      <c r="E29" s="17"/>
      <c r="F29" s="13">
        <f t="shared" si="51"/>
        <v>1.6263455967290685E-2</v>
      </c>
      <c r="G29" s="13">
        <f t="shared" si="52"/>
        <v>1.2705</v>
      </c>
      <c r="H29" s="42">
        <f t="shared" si="53"/>
        <v>1.2800831143085939E-2</v>
      </c>
      <c r="I29" s="16">
        <f>2*7.632</f>
        <v>15.263999999999999</v>
      </c>
      <c r="J29" s="17">
        <v>14.67</v>
      </c>
      <c r="K29" s="17"/>
      <c r="L29" s="17"/>
      <c r="M29" s="13">
        <f t="shared" si="54"/>
        <v>0.4200214280248088</v>
      </c>
      <c r="N29" s="13">
        <f t="shared" si="55"/>
        <v>14.966999999999999</v>
      </c>
      <c r="O29" s="19">
        <f t="shared" si="56"/>
        <v>2.8063167503494944E-2</v>
      </c>
      <c r="P29" s="16">
        <f>2*7.136</f>
        <v>14.272</v>
      </c>
      <c r="Q29" s="17">
        <v>15.388</v>
      </c>
      <c r="R29" s="17"/>
      <c r="S29" s="17"/>
      <c r="T29" s="13">
        <f t="shared" si="57"/>
        <v>0.78913116780418679</v>
      </c>
      <c r="U29" s="13">
        <f t="shared" si="58"/>
        <v>14.83</v>
      </c>
      <c r="V29" s="19">
        <f t="shared" si="59"/>
        <v>5.3211811719769846E-2</v>
      </c>
      <c r="W29" s="16">
        <f>2*35.753</f>
        <v>71.506</v>
      </c>
      <c r="X29" s="17">
        <v>69.899000000000001</v>
      </c>
      <c r="Y29" s="17"/>
      <c r="Z29" s="17"/>
      <c r="AA29" s="13">
        <f t="shared" si="60"/>
        <v>1.1363205973667814</v>
      </c>
      <c r="AB29" s="13">
        <f t="shared" si="61"/>
        <v>70.702500000000001</v>
      </c>
      <c r="AC29" s="19">
        <f t="shared" si="62"/>
        <v>1.6071858807917418E-2</v>
      </c>
      <c r="AD29" s="16"/>
      <c r="AE29" s="17"/>
      <c r="AF29" s="17"/>
      <c r="AG29" s="17"/>
      <c r="AH29" s="17"/>
      <c r="AI29" s="17"/>
      <c r="AJ29" s="31"/>
      <c r="AK29" s="16">
        <f>2*1.072</f>
        <v>2.1440000000000001</v>
      </c>
      <c r="AL29" s="17">
        <v>2.1669999999999998</v>
      </c>
      <c r="AM29" s="17"/>
      <c r="AN29" s="17"/>
      <c r="AO29" s="13">
        <f t="shared" si="63"/>
        <v>1.6263455967290372E-2</v>
      </c>
      <c r="AP29" s="13">
        <f t="shared" si="64"/>
        <v>2.1555</v>
      </c>
      <c r="AQ29" s="19">
        <f t="shared" si="65"/>
        <v>7.5450967141221861E-3</v>
      </c>
      <c r="AR29" s="17">
        <f>2*9.829</f>
        <v>19.658000000000001</v>
      </c>
      <c r="AS29" s="17">
        <v>17.172999999999998</v>
      </c>
      <c r="AT29" s="17"/>
      <c r="AU29" s="17"/>
      <c r="AV29" s="13">
        <f t="shared" si="66"/>
        <v>1.7571603512485727</v>
      </c>
      <c r="AW29" s="13">
        <f t="shared" si="67"/>
        <v>18.415500000000002</v>
      </c>
      <c r="AX29" s="19">
        <f t="shared" si="68"/>
        <v>9.5417466332631345E-2</v>
      </c>
      <c r="AY29" s="12"/>
      <c r="AZ29" s="16">
        <f>2*8.215</f>
        <v>16.43</v>
      </c>
      <c r="BA29" s="17">
        <v>17.244</v>
      </c>
      <c r="BB29" s="17"/>
      <c r="BC29" s="17"/>
      <c r="BD29" s="13">
        <f t="shared" si="69"/>
        <v>0.5755849198858497</v>
      </c>
      <c r="BE29" s="13">
        <f t="shared" si="70"/>
        <v>16.837</v>
      </c>
      <c r="BF29" s="19">
        <f t="shared" si="71"/>
        <v>3.4185717163737583E-2</v>
      </c>
      <c r="BG29" s="16">
        <f>2*50.572</f>
        <v>101.14400000000001</v>
      </c>
      <c r="BH29" s="17">
        <v>100.238</v>
      </c>
      <c r="BI29" s="17"/>
      <c r="BJ29" s="17"/>
      <c r="BK29" s="13">
        <f t="shared" si="72"/>
        <v>0.64063874375501617</v>
      </c>
      <c r="BL29" s="13">
        <f t="shared" si="73"/>
        <v>100.691</v>
      </c>
      <c r="BM29" s="19">
        <f t="shared" si="74"/>
        <v>6.3624230939708232E-3</v>
      </c>
      <c r="BN29" s="16">
        <f>2*1.033</f>
        <v>2.0659999999999998</v>
      </c>
      <c r="BO29" s="17">
        <v>2.1190000000000002</v>
      </c>
      <c r="BP29" s="17"/>
      <c r="BQ29" s="17"/>
      <c r="BR29" s="13">
        <f t="shared" si="75"/>
        <v>3.7476659402887288E-2</v>
      </c>
      <c r="BS29" s="13">
        <f t="shared" si="76"/>
        <v>2.0925000000000002</v>
      </c>
      <c r="BT29" s="19">
        <f t="shared" si="77"/>
        <v>1.7909992546182692E-2</v>
      </c>
      <c r="BU29" s="17">
        <f>2*10.352</f>
        <v>20.704000000000001</v>
      </c>
      <c r="BV29" s="17">
        <v>18.11</v>
      </c>
      <c r="BW29" s="17"/>
      <c r="BX29" s="17"/>
      <c r="BY29" s="13">
        <f t="shared" si="78"/>
        <v>1.8342349903979052</v>
      </c>
      <c r="BZ29" s="13">
        <f t="shared" si="79"/>
        <v>19.407</v>
      </c>
      <c r="CA29" s="19">
        <f t="shared" si="80"/>
        <v>9.4514092358319424E-2</v>
      </c>
      <c r="CC29" s="27">
        <v>3.55</v>
      </c>
    </row>
    <row r="30" spans="1:81" x14ac:dyDescent="0.2">
      <c r="A30" s="29" t="s">
        <v>41</v>
      </c>
      <c r="B30" s="17">
        <f>2*0.759</f>
        <v>1.518</v>
      </c>
      <c r="C30" s="17">
        <v>1.552</v>
      </c>
      <c r="D30" s="17"/>
      <c r="E30" s="17"/>
      <c r="F30" s="13">
        <f t="shared" si="51"/>
        <v>2.4041630560342638E-2</v>
      </c>
      <c r="G30" s="13">
        <f t="shared" si="52"/>
        <v>1.5350000000000001</v>
      </c>
      <c r="H30" s="42">
        <f t="shared" si="53"/>
        <v>1.5662300039311162E-2</v>
      </c>
      <c r="I30" s="16">
        <f>2*7.585</f>
        <v>15.17</v>
      </c>
      <c r="J30" s="17">
        <v>14.82</v>
      </c>
      <c r="K30" s="17"/>
      <c r="L30" s="17"/>
      <c r="M30" s="13">
        <f t="shared" si="54"/>
        <v>0.24748737341529137</v>
      </c>
      <c r="N30" s="13">
        <f t="shared" si="55"/>
        <v>14.995000000000001</v>
      </c>
      <c r="O30" s="19">
        <f t="shared" si="56"/>
        <v>1.6504659780946406E-2</v>
      </c>
      <c r="P30" s="16">
        <f>2*7.816</f>
        <v>15.632</v>
      </c>
      <c r="Q30" s="17">
        <v>17.22</v>
      </c>
      <c r="R30" s="17"/>
      <c r="S30" s="17"/>
      <c r="T30" s="13">
        <f t="shared" si="57"/>
        <v>1.1228855685242369</v>
      </c>
      <c r="U30" s="13">
        <f t="shared" si="58"/>
        <v>16.425999999999998</v>
      </c>
      <c r="V30" s="19">
        <f t="shared" si="59"/>
        <v>6.8360256211143125E-2</v>
      </c>
      <c r="W30" s="16">
        <f>2*37.586</f>
        <v>75.171999999999997</v>
      </c>
      <c r="X30" s="17">
        <v>73.596999999999994</v>
      </c>
      <c r="Y30" s="17"/>
      <c r="Z30" s="17"/>
      <c r="AA30" s="13">
        <f t="shared" si="60"/>
        <v>1.1136931803688144</v>
      </c>
      <c r="AB30" s="13">
        <f t="shared" si="61"/>
        <v>74.384500000000003</v>
      </c>
      <c r="AC30" s="19">
        <f t="shared" si="62"/>
        <v>1.4972113550118833E-2</v>
      </c>
      <c r="AD30" s="16"/>
      <c r="AE30" s="17"/>
      <c r="AF30" s="17"/>
      <c r="AG30" s="17"/>
      <c r="AH30" s="17"/>
      <c r="AI30" s="17"/>
      <c r="AJ30" s="31"/>
      <c r="AK30" s="16">
        <f>2*1.27</f>
        <v>2.54</v>
      </c>
      <c r="AL30" s="17">
        <v>2.681</v>
      </c>
      <c r="AM30" s="17"/>
      <c r="AN30" s="17"/>
      <c r="AO30" s="13">
        <f t="shared" si="63"/>
        <v>9.9702056147303209E-2</v>
      </c>
      <c r="AP30" s="13">
        <f t="shared" si="64"/>
        <v>2.6105</v>
      </c>
      <c r="AQ30" s="19">
        <f t="shared" si="65"/>
        <v>3.8192704902242178E-2</v>
      </c>
      <c r="AR30" s="17">
        <f>2*9.551</f>
        <v>19.102</v>
      </c>
      <c r="AS30" s="17">
        <v>17.184999999999999</v>
      </c>
      <c r="AT30" s="17"/>
      <c r="AU30" s="17"/>
      <c r="AV30" s="13">
        <f t="shared" si="66"/>
        <v>1.3555236995346127</v>
      </c>
      <c r="AW30" s="13">
        <f t="shared" si="67"/>
        <v>18.1435</v>
      </c>
      <c r="AX30" s="19">
        <f t="shared" si="68"/>
        <v>7.4711257449478471E-2</v>
      </c>
      <c r="AY30" s="12"/>
      <c r="AZ30" s="16">
        <f>2*8.428</f>
        <v>16.856000000000002</v>
      </c>
      <c r="BA30" s="17">
        <v>17.859000000000002</v>
      </c>
      <c r="BB30" s="17"/>
      <c r="BC30" s="17"/>
      <c r="BD30" s="13">
        <f t="shared" si="69"/>
        <v>0.70922810153010718</v>
      </c>
      <c r="BE30" s="13">
        <f t="shared" si="70"/>
        <v>17.357500000000002</v>
      </c>
      <c r="BF30" s="19">
        <f t="shared" si="71"/>
        <v>4.0860037535941647E-2</v>
      </c>
      <c r="BG30" s="16">
        <f>2*51.951</f>
        <v>103.902</v>
      </c>
      <c r="BH30" s="17">
        <v>103.036</v>
      </c>
      <c r="BI30" s="17"/>
      <c r="BJ30" s="17"/>
      <c r="BK30" s="13">
        <f t="shared" si="72"/>
        <v>0.61235447250754993</v>
      </c>
      <c r="BL30" s="13">
        <f t="shared" si="73"/>
        <v>103.46899999999999</v>
      </c>
      <c r="BM30" s="19">
        <f t="shared" si="74"/>
        <v>5.9182409466366735E-3</v>
      </c>
      <c r="BN30" s="16">
        <f>2*1.28</f>
        <v>2.56</v>
      </c>
      <c r="BO30" s="17">
        <v>2.5739999999999998</v>
      </c>
      <c r="BP30" s="17"/>
      <c r="BQ30" s="17"/>
      <c r="BR30" s="13">
        <f t="shared" si="75"/>
        <v>9.8994949366115175E-3</v>
      </c>
      <c r="BS30" s="13">
        <f t="shared" si="76"/>
        <v>2.5670000000000002</v>
      </c>
      <c r="BT30" s="19">
        <f t="shared" si="77"/>
        <v>3.8564452421548565E-3</v>
      </c>
      <c r="BU30" s="17">
        <f>2*10.157</f>
        <v>20.314</v>
      </c>
      <c r="BV30" s="17">
        <v>18.013000000000002</v>
      </c>
      <c r="BW30" s="17"/>
      <c r="BX30" s="17"/>
      <c r="BY30" s="13">
        <f t="shared" si="78"/>
        <v>1.6270527035102447</v>
      </c>
      <c r="BZ30" s="13">
        <f t="shared" si="79"/>
        <v>19.163499999999999</v>
      </c>
      <c r="CA30" s="19">
        <f t="shared" si="80"/>
        <v>8.4903733843517348E-2</v>
      </c>
      <c r="CC30" s="27">
        <v>3.55</v>
      </c>
    </row>
    <row r="31" spans="1:81" x14ac:dyDescent="0.2">
      <c r="A31" s="29" t="s">
        <v>42</v>
      </c>
      <c r="B31" s="17">
        <f>2*0.669</f>
        <v>1.3380000000000001</v>
      </c>
      <c r="C31" s="17">
        <v>1.3109999999999999</v>
      </c>
      <c r="D31" s="17"/>
      <c r="E31" s="17"/>
      <c r="F31" s="13">
        <f t="shared" si="51"/>
        <v>1.9091883092036879E-2</v>
      </c>
      <c r="G31" s="13">
        <f t="shared" si="52"/>
        <v>1.3245</v>
      </c>
      <c r="H31" s="42">
        <f t="shared" si="53"/>
        <v>1.441440777050727E-2</v>
      </c>
      <c r="I31" s="16">
        <f>2*6.379</f>
        <v>12.757999999999999</v>
      </c>
      <c r="J31" s="17">
        <v>12.632999999999999</v>
      </c>
      <c r="K31" s="17"/>
      <c r="L31" s="17"/>
      <c r="M31" s="13">
        <f t="shared" si="54"/>
        <v>8.8388347648318447E-2</v>
      </c>
      <c r="N31" s="13">
        <f t="shared" si="55"/>
        <v>12.695499999999999</v>
      </c>
      <c r="O31" s="19">
        <f t="shared" si="56"/>
        <v>6.9621793271882519E-3</v>
      </c>
      <c r="P31" s="16">
        <f>2*7.772</f>
        <v>15.544</v>
      </c>
      <c r="Q31" s="17">
        <v>17.117000000000001</v>
      </c>
      <c r="R31" s="17"/>
      <c r="S31" s="17"/>
      <c r="T31" s="13">
        <f t="shared" si="57"/>
        <v>1.1122789668064395</v>
      </c>
      <c r="U31" s="13">
        <f t="shared" si="58"/>
        <v>16.330500000000001</v>
      </c>
      <c r="V31" s="19">
        <f t="shared" si="59"/>
        <v>6.8110527344933683E-2</v>
      </c>
      <c r="W31" s="16">
        <f>2*35.394</f>
        <v>70.787999999999997</v>
      </c>
      <c r="X31" s="17">
        <v>68.942999999999998</v>
      </c>
      <c r="Y31" s="17"/>
      <c r="Z31" s="17"/>
      <c r="AA31" s="13">
        <f t="shared" si="60"/>
        <v>1.3046120112891795</v>
      </c>
      <c r="AB31" s="13">
        <f t="shared" si="61"/>
        <v>69.865499999999997</v>
      </c>
      <c r="AC31" s="19">
        <f t="shared" si="62"/>
        <v>1.8673193654796423E-2</v>
      </c>
      <c r="AD31" s="16"/>
      <c r="AE31" s="17"/>
      <c r="AF31" s="17"/>
      <c r="AG31" s="17"/>
      <c r="AH31" s="17"/>
      <c r="AI31" s="17"/>
      <c r="AJ31" s="31"/>
      <c r="AK31" s="16">
        <f>2*1.088</f>
        <v>2.1760000000000002</v>
      </c>
      <c r="AL31" s="17">
        <v>2.1890000000000001</v>
      </c>
      <c r="AM31" s="17"/>
      <c r="AN31" s="17"/>
      <c r="AO31" s="13">
        <f t="shared" si="63"/>
        <v>9.1923881554250471E-3</v>
      </c>
      <c r="AP31" s="13">
        <f t="shared" si="64"/>
        <v>2.1825000000000001</v>
      </c>
      <c r="AQ31" s="19">
        <f t="shared" si="65"/>
        <v>4.2118616977892542E-3</v>
      </c>
      <c r="AR31" s="17">
        <f>2*9.287</f>
        <v>18.574000000000002</v>
      </c>
      <c r="AS31" s="17">
        <v>17.494</v>
      </c>
      <c r="AT31" s="17"/>
      <c r="AU31" s="17"/>
      <c r="AV31" s="13">
        <f t="shared" si="66"/>
        <v>0.76367532368147262</v>
      </c>
      <c r="AW31" s="13">
        <f t="shared" si="67"/>
        <v>18.033999999999999</v>
      </c>
      <c r="AX31" s="19">
        <f t="shared" si="68"/>
        <v>4.2346419190499758E-2</v>
      </c>
      <c r="AY31" s="12"/>
      <c r="AZ31" s="16">
        <f>2*8.59</f>
        <v>17.18</v>
      </c>
      <c r="BA31" s="17">
        <v>18.277000000000001</v>
      </c>
      <c r="BB31" s="17"/>
      <c r="BC31" s="17"/>
      <c r="BD31" s="13">
        <f t="shared" si="69"/>
        <v>0.77569613896164358</v>
      </c>
      <c r="BE31" s="13">
        <f t="shared" si="70"/>
        <v>17.7285</v>
      </c>
      <c r="BF31" s="19">
        <f t="shared" si="71"/>
        <v>4.3754188959113496E-2</v>
      </c>
      <c r="BG31" s="16">
        <f>2*52.898</f>
        <v>105.79600000000001</v>
      </c>
      <c r="BH31" s="17">
        <v>104.32599999999999</v>
      </c>
      <c r="BI31" s="17"/>
      <c r="BJ31" s="17"/>
      <c r="BK31" s="13">
        <f t="shared" si="72"/>
        <v>1.039446968344234</v>
      </c>
      <c r="BL31" s="13">
        <f t="shared" si="73"/>
        <v>105.06100000000001</v>
      </c>
      <c r="BM31" s="19">
        <f t="shared" si="74"/>
        <v>9.8937471406538476E-3</v>
      </c>
      <c r="BN31" s="16">
        <f>2*1.072</f>
        <v>2.1440000000000001</v>
      </c>
      <c r="BO31" s="17">
        <v>2.177</v>
      </c>
      <c r="BP31" s="17"/>
      <c r="BQ31" s="17"/>
      <c r="BR31" s="13">
        <f t="shared" si="75"/>
        <v>2.333452377915601E-2</v>
      </c>
      <c r="BS31" s="13">
        <f t="shared" si="76"/>
        <v>2.1604999999999999</v>
      </c>
      <c r="BT31" s="19">
        <f t="shared" si="77"/>
        <v>1.0800520147723218E-2</v>
      </c>
      <c r="BU31" s="17">
        <f>2*9.71</f>
        <v>19.420000000000002</v>
      </c>
      <c r="BV31" s="17">
        <v>18.167000000000002</v>
      </c>
      <c r="BW31" s="17"/>
      <c r="BX31" s="17"/>
      <c r="BY31" s="13">
        <f t="shared" si="78"/>
        <v>0.88600479682674416</v>
      </c>
      <c r="BZ31" s="13">
        <f t="shared" si="79"/>
        <v>18.793500000000002</v>
      </c>
      <c r="CA31" s="19">
        <f t="shared" si="80"/>
        <v>4.7144214586252911E-2</v>
      </c>
      <c r="CC31" s="27">
        <v>3.71</v>
      </c>
    </row>
    <row r="32" spans="1:81" ht="13.5" customHeight="1" x14ac:dyDescent="0.2">
      <c r="A32" s="29" t="s">
        <v>43</v>
      </c>
      <c r="B32" s="17">
        <f>2*0.718</f>
        <v>1.4359999999999999</v>
      </c>
      <c r="C32" s="17">
        <v>1.4530000000000001</v>
      </c>
      <c r="D32" s="17"/>
      <c r="E32" s="17"/>
      <c r="F32" s="13">
        <f t="shared" si="51"/>
        <v>1.2020815280171397E-2</v>
      </c>
      <c r="G32" s="13">
        <f t="shared" si="52"/>
        <v>1.4445000000000001</v>
      </c>
      <c r="H32" s="42">
        <f t="shared" si="53"/>
        <v>8.3217828177025929E-3</v>
      </c>
      <c r="I32" s="16">
        <f>2*7.385</f>
        <v>14.77</v>
      </c>
      <c r="J32" s="17">
        <v>14.912000000000001</v>
      </c>
      <c r="K32" s="17"/>
      <c r="L32" s="17"/>
      <c r="M32" s="13">
        <f t="shared" si="54"/>
        <v>0.10040916292849061</v>
      </c>
      <c r="N32" s="13">
        <f t="shared" si="55"/>
        <v>14.841000000000001</v>
      </c>
      <c r="O32" s="19">
        <f t="shared" si="56"/>
        <v>6.7656601932814912E-3</v>
      </c>
      <c r="P32" s="16">
        <f>2*7.722</f>
        <v>15.444000000000001</v>
      </c>
      <c r="Q32" s="17">
        <v>15.534000000000001</v>
      </c>
      <c r="R32" s="17"/>
      <c r="S32" s="17"/>
      <c r="T32" s="13">
        <f t="shared" si="57"/>
        <v>6.3639610306789177E-2</v>
      </c>
      <c r="U32" s="13">
        <f t="shared" si="58"/>
        <v>15.489000000000001</v>
      </c>
      <c r="V32" s="19">
        <f t="shared" si="59"/>
        <v>4.1086971597126456E-3</v>
      </c>
      <c r="W32" s="16">
        <f>2*36.471</f>
        <v>72.941999999999993</v>
      </c>
      <c r="X32" s="17">
        <v>72.441000000000003</v>
      </c>
      <c r="Y32" s="17"/>
      <c r="Z32" s="17"/>
      <c r="AA32" s="13">
        <f t="shared" si="60"/>
        <v>0.3542604973744537</v>
      </c>
      <c r="AB32" s="13">
        <f t="shared" si="61"/>
        <v>72.691499999999991</v>
      </c>
      <c r="AC32" s="19">
        <f t="shared" si="62"/>
        <v>4.8734789813727015E-3</v>
      </c>
      <c r="AD32" s="16"/>
      <c r="AE32" s="17"/>
      <c r="AF32" s="17"/>
      <c r="AG32" s="17"/>
      <c r="AH32" s="17"/>
      <c r="AI32" s="17"/>
      <c r="AJ32" s="31"/>
      <c r="AK32" s="16">
        <f>2*1.228</f>
        <v>2.456</v>
      </c>
      <c r="AL32" s="17">
        <v>2.452</v>
      </c>
      <c r="AM32" s="17"/>
      <c r="AN32" s="17"/>
      <c r="AO32" s="13">
        <f t="shared" si="63"/>
        <v>2.8284271247461927E-3</v>
      </c>
      <c r="AP32" s="13">
        <f t="shared" si="64"/>
        <v>2.4539999999999997</v>
      </c>
      <c r="AQ32" s="19">
        <f t="shared" si="65"/>
        <v>1.1525782904426214E-3</v>
      </c>
      <c r="AR32" s="17">
        <f>2*8.156</f>
        <v>16.312000000000001</v>
      </c>
      <c r="AS32" s="17">
        <v>16.114000000000001</v>
      </c>
      <c r="AT32" s="17"/>
      <c r="AU32" s="17"/>
      <c r="AV32" s="13">
        <f t="shared" si="66"/>
        <v>0.14000714267493669</v>
      </c>
      <c r="AW32" s="13">
        <f t="shared" si="67"/>
        <v>16.213000000000001</v>
      </c>
      <c r="AX32" s="19">
        <f t="shared" si="68"/>
        <v>8.6354865031108789E-3</v>
      </c>
      <c r="AY32" s="12"/>
      <c r="AZ32" s="16">
        <f>2*8.192</f>
        <v>16.384</v>
      </c>
      <c r="BA32" s="17">
        <v>17.41</v>
      </c>
      <c r="BB32" s="17"/>
      <c r="BC32" s="17"/>
      <c r="BD32" s="13">
        <f t="shared" si="69"/>
        <v>0.72549155749739758</v>
      </c>
      <c r="BE32" s="13">
        <f t="shared" si="70"/>
        <v>16.896999999999998</v>
      </c>
      <c r="BF32" s="19">
        <f t="shared" si="71"/>
        <v>4.2936116322270089E-2</v>
      </c>
      <c r="BG32" s="16">
        <f>2*50.569</f>
        <v>101.13800000000001</v>
      </c>
      <c r="BH32" s="17">
        <v>101.012</v>
      </c>
      <c r="BI32" s="17"/>
      <c r="BJ32" s="17"/>
      <c r="BK32" s="13">
        <f t="shared" si="72"/>
        <v>8.9095454429508364E-2</v>
      </c>
      <c r="BL32" s="13">
        <f t="shared" si="73"/>
        <v>101.075</v>
      </c>
      <c r="BM32" s="19">
        <f t="shared" si="74"/>
        <v>8.8147864882026574E-4</v>
      </c>
      <c r="BN32" s="16">
        <f>2*1.176</f>
        <v>2.3519999999999999</v>
      </c>
      <c r="BO32" s="17">
        <v>2.4449999999999998</v>
      </c>
      <c r="BP32" s="17"/>
      <c r="BQ32" s="17"/>
      <c r="BR32" s="13">
        <f t="shared" si="75"/>
        <v>6.5760930650348895E-2</v>
      </c>
      <c r="BS32" s="13">
        <f t="shared" si="76"/>
        <v>2.3984999999999999</v>
      </c>
      <c r="BT32" s="19">
        <f t="shared" si="77"/>
        <v>2.7417523723305776E-2</v>
      </c>
      <c r="BU32" s="17">
        <f>2*9.354</f>
        <v>18.707999999999998</v>
      </c>
      <c r="BV32" s="17">
        <v>16.492000000000001</v>
      </c>
      <c r="BW32" s="17"/>
      <c r="BX32" s="17"/>
      <c r="BY32" s="13">
        <f t="shared" si="78"/>
        <v>1.5669486271093875</v>
      </c>
      <c r="BZ32" s="13">
        <f t="shared" si="79"/>
        <v>17.600000000000001</v>
      </c>
      <c r="CA32" s="19">
        <f t="shared" si="80"/>
        <v>8.9031171994851555E-2</v>
      </c>
      <c r="CC32" s="27">
        <v>3.51</v>
      </c>
    </row>
    <row r="33" spans="1:81" x14ac:dyDescent="0.2">
      <c r="A33" s="29" t="s">
        <v>44</v>
      </c>
      <c r="B33" s="17">
        <f>2*0.654</f>
        <v>1.3080000000000001</v>
      </c>
      <c r="C33" s="17">
        <v>1.302</v>
      </c>
      <c r="D33" s="17"/>
      <c r="E33" s="17"/>
      <c r="F33" s="13">
        <f t="shared" si="51"/>
        <v>4.2426406871192892E-3</v>
      </c>
      <c r="G33" s="13">
        <f t="shared" si="52"/>
        <v>1.3050000000000002</v>
      </c>
      <c r="H33" s="42">
        <f t="shared" si="53"/>
        <v>3.2510656606278073E-3</v>
      </c>
      <c r="I33" s="16">
        <f>2*7.138</f>
        <v>14.276</v>
      </c>
      <c r="J33" s="17">
        <v>14.539</v>
      </c>
      <c r="K33" s="17"/>
      <c r="L33" s="17"/>
      <c r="M33" s="13">
        <f t="shared" si="54"/>
        <v>0.18596908345206192</v>
      </c>
      <c r="N33" s="13">
        <f t="shared" si="55"/>
        <v>14.407499999999999</v>
      </c>
      <c r="O33" s="19">
        <f t="shared" si="56"/>
        <v>1.2907796873299458E-2</v>
      </c>
      <c r="P33" s="16">
        <f>2*7.811</f>
        <v>15.622</v>
      </c>
      <c r="Q33" s="17">
        <v>16.54</v>
      </c>
      <c r="R33" s="17"/>
      <c r="S33" s="17"/>
      <c r="T33" s="13">
        <f t="shared" si="57"/>
        <v>0.64912402512925016</v>
      </c>
      <c r="U33" s="13">
        <f t="shared" si="58"/>
        <v>16.081</v>
      </c>
      <c r="V33" s="19">
        <f t="shared" si="59"/>
        <v>4.0365899205848529E-2</v>
      </c>
      <c r="W33" s="16">
        <f>2*35.209</f>
        <v>70.418000000000006</v>
      </c>
      <c r="X33" s="17">
        <v>68.447999999999993</v>
      </c>
      <c r="Y33" s="17"/>
      <c r="Z33" s="17"/>
      <c r="AA33" s="13">
        <f t="shared" si="60"/>
        <v>1.393000358937508</v>
      </c>
      <c r="AB33" s="13">
        <f t="shared" si="61"/>
        <v>69.432999999999993</v>
      </c>
      <c r="AC33" s="19">
        <f t="shared" si="62"/>
        <v>2.0062511470590471E-2</v>
      </c>
      <c r="AD33" s="16"/>
      <c r="AE33" s="17"/>
      <c r="AF33" s="17"/>
      <c r="AG33" s="17"/>
      <c r="AH33" s="17"/>
      <c r="AI33" s="17"/>
      <c r="AJ33" s="31"/>
      <c r="AK33" s="16">
        <f>2*1.052</f>
        <v>2.1040000000000001</v>
      </c>
      <c r="AL33" s="17">
        <v>2.2050000000000001</v>
      </c>
      <c r="AM33" s="17"/>
      <c r="AN33" s="17"/>
      <c r="AO33" s="13">
        <f t="shared" si="63"/>
        <v>7.1417784899841283E-2</v>
      </c>
      <c r="AP33" s="13">
        <f t="shared" si="64"/>
        <v>2.1545000000000001</v>
      </c>
      <c r="AQ33" s="19">
        <f t="shared" si="65"/>
        <v>3.3148194430188571E-2</v>
      </c>
      <c r="AR33" s="17">
        <f>2*8.448</f>
        <v>16.896000000000001</v>
      </c>
      <c r="AS33" s="17">
        <v>15.599</v>
      </c>
      <c r="AT33" s="17"/>
      <c r="AU33" s="17"/>
      <c r="AV33" s="13">
        <f t="shared" si="66"/>
        <v>0.91711749519895258</v>
      </c>
      <c r="AW33" s="13">
        <f t="shared" si="67"/>
        <v>16.247500000000002</v>
      </c>
      <c r="AX33" s="19">
        <f t="shared" si="68"/>
        <v>5.6446683809752422E-2</v>
      </c>
      <c r="AY33" s="12"/>
      <c r="AZ33" s="16">
        <f>2*8.349</f>
        <v>16.698</v>
      </c>
      <c r="BA33" s="17">
        <v>17.512</v>
      </c>
      <c r="BB33" s="17"/>
      <c r="BC33" s="17"/>
      <c r="BD33" s="13">
        <f t="shared" si="69"/>
        <v>0.5755849198858497</v>
      </c>
      <c r="BE33" s="13">
        <f t="shared" si="70"/>
        <v>17.105</v>
      </c>
      <c r="BF33" s="19">
        <f t="shared" si="71"/>
        <v>3.3650097625597758E-2</v>
      </c>
      <c r="BG33" s="16">
        <f>2*51.027</f>
        <v>102.054</v>
      </c>
      <c r="BH33" s="17">
        <v>101.13200000000001</v>
      </c>
      <c r="BI33" s="17"/>
      <c r="BJ33" s="17"/>
      <c r="BK33" s="13">
        <f t="shared" si="72"/>
        <v>0.65195245225399467</v>
      </c>
      <c r="BL33" s="13">
        <f t="shared" si="73"/>
        <v>101.593</v>
      </c>
      <c r="BM33" s="19">
        <f t="shared" si="74"/>
        <v>6.4172969816226966E-3</v>
      </c>
      <c r="BN33" s="16">
        <f>2*1.053</f>
        <v>2.1059999999999999</v>
      </c>
      <c r="BO33" s="17">
        <v>2.1829999999999998</v>
      </c>
      <c r="BP33" s="17"/>
      <c r="BQ33" s="17"/>
      <c r="BR33" s="13">
        <f t="shared" si="75"/>
        <v>5.4447222151364126E-2</v>
      </c>
      <c r="BS33" s="13">
        <f t="shared" si="76"/>
        <v>2.1444999999999999</v>
      </c>
      <c r="BT33" s="19">
        <f t="shared" si="77"/>
        <v>2.5389238587719343E-2</v>
      </c>
      <c r="BU33" s="17">
        <f>2*9.282</f>
        <v>18.564</v>
      </c>
      <c r="BV33" s="17">
        <v>15.882999999999999</v>
      </c>
      <c r="BW33" s="17"/>
      <c r="BX33" s="17"/>
      <c r="BY33" s="13">
        <f t="shared" si="78"/>
        <v>1.8957532803611346</v>
      </c>
      <c r="BZ33" s="13">
        <f t="shared" si="79"/>
        <v>17.223500000000001</v>
      </c>
      <c r="CA33" s="19">
        <f t="shared" si="80"/>
        <v>0.11006783060127932</v>
      </c>
      <c r="CC33" s="27">
        <v>3.61</v>
      </c>
    </row>
    <row r="34" spans="1:81" x14ac:dyDescent="0.2">
      <c r="A34" s="29" t="s">
        <v>45</v>
      </c>
      <c r="B34" s="17">
        <f>2*0.685</f>
        <v>1.37</v>
      </c>
      <c r="C34" s="17">
        <v>1.407</v>
      </c>
      <c r="D34" s="17"/>
      <c r="E34" s="17"/>
      <c r="F34" s="13">
        <f t="shared" si="51"/>
        <v>2.6162950903902204E-2</v>
      </c>
      <c r="G34" s="13">
        <f t="shared" si="52"/>
        <v>1.3885000000000001</v>
      </c>
      <c r="H34" s="42">
        <f t="shared" si="53"/>
        <v>1.8842600578971698E-2</v>
      </c>
      <c r="I34" s="16">
        <f>2*8.282</f>
        <v>16.564</v>
      </c>
      <c r="J34" s="17">
        <v>16.838000000000001</v>
      </c>
      <c r="K34" s="17"/>
      <c r="L34" s="17"/>
      <c r="M34" s="13">
        <f t="shared" si="54"/>
        <v>0.19374725804511467</v>
      </c>
      <c r="N34" s="13">
        <f t="shared" si="55"/>
        <v>16.701000000000001</v>
      </c>
      <c r="O34" s="19">
        <f t="shared" si="56"/>
        <v>1.1600937551351097E-2</v>
      </c>
      <c r="P34" s="16">
        <f>2*6.94</f>
        <v>13.88</v>
      </c>
      <c r="Q34" s="17">
        <v>15.611000000000001</v>
      </c>
      <c r="R34" s="17"/>
      <c r="S34" s="17"/>
      <c r="T34" s="13">
        <f t="shared" si="57"/>
        <v>1.2240018382339137</v>
      </c>
      <c r="U34" s="13">
        <f t="shared" si="58"/>
        <v>14.7455</v>
      </c>
      <c r="V34" s="19">
        <f t="shared" si="59"/>
        <v>8.3008500100635027E-2</v>
      </c>
      <c r="W34" s="16">
        <f>2*35.97</f>
        <v>71.94</v>
      </c>
      <c r="X34" s="17">
        <v>71.497</v>
      </c>
      <c r="Y34" s="17"/>
      <c r="Z34" s="17"/>
      <c r="AA34" s="13">
        <f t="shared" si="60"/>
        <v>0.31324830406563903</v>
      </c>
      <c r="AB34" s="13">
        <f t="shared" si="61"/>
        <v>71.718500000000006</v>
      </c>
      <c r="AC34" s="19">
        <f t="shared" si="62"/>
        <v>4.3677475695342071E-3</v>
      </c>
      <c r="AD34" s="16"/>
      <c r="AE34" s="17"/>
      <c r="AF34" s="17"/>
      <c r="AG34" s="17"/>
      <c r="AH34" s="17"/>
      <c r="AI34" s="17"/>
      <c r="AJ34" s="31"/>
      <c r="AK34" s="16">
        <f>2*1.173</f>
        <v>2.3460000000000001</v>
      </c>
      <c r="AL34" s="17">
        <v>2.4500000000000002</v>
      </c>
      <c r="AM34" s="17"/>
      <c r="AN34" s="17"/>
      <c r="AO34" s="13">
        <f t="shared" si="63"/>
        <v>7.3539105243401015E-2</v>
      </c>
      <c r="AP34" s="13">
        <f t="shared" si="64"/>
        <v>2.3980000000000001</v>
      </c>
      <c r="AQ34" s="19">
        <f t="shared" si="65"/>
        <v>3.0666849559383241E-2</v>
      </c>
      <c r="AR34" s="17">
        <f>2*9.132</f>
        <v>18.263999999999999</v>
      </c>
      <c r="AS34" s="17">
        <v>16.483000000000001</v>
      </c>
      <c r="AT34" s="17"/>
      <c r="AU34" s="17"/>
      <c r="AV34" s="13">
        <f t="shared" si="66"/>
        <v>1.2593571772932404</v>
      </c>
      <c r="AW34" s="13">
        <f t="shared" si="67"/>
        <v>17.3735</v>
      </c>
      <c r="AX34" s="19">
        <f t="shared" si="68"/>
        <v>7.2487246512978984E-2</v>
      </c>
      <c r="AY34" s="12"/>
      <c r="AZ34" s="16">
        <f>2*7.756</f>
        <v>15.512</v>
      </c>
      <c r="BA34" s="17">
        <v>16.567</v>
      </c>
      <c r="BB34" s="17"/>
      <c r="BC34" s="17"/>
      <c r="BD34" s="13">
        <f t="shared" si="69"/>
        <v>0.74599765415180752</v>
      </c>
      <c r="BE34" s="13">
        <f t="shared" si="70"/>
        <v>16.0395</v>
      </c>
      <c r="BF34" s="19">
        <f t="shared" si="71"/>
        <v>4.6510031743620908E-2</v>
      </c>
      <c r="BG34" s="16">
        <f>2*49.079</f>
        <v>98.158000000000001</v>
      </c>
      <c r="BH34" s="17">
        <v>99.269000000000005</v>
      </c>
      <c r="BI34" s="17"/>
      <c r="BJ34" s="17"/>
      <c r="BK34" s="13">
        <f t="shared" si="72"/>
        <v>0.78559563389825726</v>
      </c>
      <c r="BL34" s="13">
        <f t="shared" si="73"/>
        <v>98.71350000000001</v>
      </c>
      <c r="BM34" s="19">
        <f t="shared" si="74"/>
        <v>7.9583403880751583E-3</v>
      </c>
      <c r="BN34" s="16">
        <f>2*1.143</f>
        <v>2.286</v>
      </c>
      <c r="BO34" s="17">
        <v>2.4430000000000001</v>
      </c>
      <c r="BP34" s="17"/>
      <c r="BQ34" s="17"/>
      <c r="BR34" s="13">
        <f t="shared" si="75"/>
        <v>0.11101576464628798</v>
      </c>
      <c r="BS34" s="13">
        <f t="shared" si="76"/>
        <v>2.3645</v>
      </c>
      <c r="BT34" s="19">
        <f t="shared" si="77"/>
        <v>4.6951052927167683E-2</v>
      </c>
      <c r="BU34" s="17">
        <f>2*9.534</f>
        <v>19.068000000000001</v>
      </c>
      <c r="BV34" s="17">
        <v>17.518000000000001</v>
      </c>
      <c r="BW34" s="17"/>
      <c r="BX34" s="17"/>
      <c r="BY34" s="13">
        <f t="shared" si="78"/>
        <v>1.0960155108391492</v>
      </c>
      <c r="BZ34" s="13">
        <f t="shared" si="79"/>
        <v>18.292999999999999</v>
      </c>
      <c r="CA34" s="19">
        <f t="shared" si="80"/>
        <v>5.9914476074954856E-2</v>
      </c>
      <c r="CC34" s="27">
        <v>3.47</v>
      </c>
    </row>
    <row r="35" spans="1:81" x14ac:dyDescent="0.2">
      <c r="A35" s="29" t="s">
        <v>46</v>
      </c>
      <c r="B35" s="17">
        <f>2*1.41</f>
        <v>2.82</v>
      </c>
      <c r="C35" s="17">
        <v>2.8479999999999999</v>
      </c>
      <c r="D35" s="17"/>
      <c r="E35" s="17"/>
      <c r="F35" s="13">
        <f t="shared" si="51"/>
        <v>1.9798989873223347E-2</v>
      </c>
      <c r="G35" s="13">
        <f t="shared" si="52"/>
        <v>2.8339999999999996</v>
      </c>
      <c r="H35" s="42">
        <f t="shared" si="53"/>
        <v>6.9862349587944067E-3</v>
      </c>
      <c r="I35" s="16">
        <f>2*4.815</f>
        <v>9.6300000000000008</v>
      </c>
      <c r="J35" s="17">
        <v>10.268000000000001</v>
      </c>
      <c r="K35" s="17"/>
      <c r="L35" s="17"/>
      <c r="M35" s="13">
        <f t="shared" si="54"/>
        <v>0.45113412639701722</v>
      </c>
      <c r="N35" s="13">
        <f t="shared" si="55"/>
        <v>9.9490000000000016</v>
      </c>
      <c r="O35" s="19">
        <f t="shared" si="56"/>
        <v>4.5344670459042835E-2</v>
      </c>
      <c r="P35" s="16">
        <f>2*18.935</f>
        <v>37.869999999999997</v>
      </c>
      <c r="Q35" s="17">
        <v>38.356000000000002</v>
      </c>
      <c r="R35" s="17"/>
      <c r="S35" s="17"/>
      <c r="T35" s="13">
        <f t="shared" si="57"/>
        <v>0.3436538956566651</v>
      </c>
      <c r="U35" s="13">
        <f t="shared" si="58"/>
        <v>38.113</v>
      </c>
      <c r="V35" s="19">
        <f t="shared" si="59"/>
        <v>9.0167107196144382E-3</v>
      </c>
      <c r="W35" s="16">
        <f>2*74.546</f>
        <v>149.09200000000001</v>
      </c>
      <c r="X35" s="17">
        <v>147.023</v>
      </c>
      <c r="Y35" s="17"/>
      <c r="Z35" s="17"/>
      <c r="AA35" s="13">
        <f t="shared" si="60"/>
        <v>1.4630039302749787</v>
      </c>
      <c r="AB35" s="13">
        <f t="shared" si="61"/>
        <v>148.0575</v>
      </c>
      <c r="AC35" s="19">
        <f t="shared" si="62"/>
        <v>9.8813226636609332E-3</v>
      </c>
      <c r="AD35" s="16"/>
      <c r="AE35" s="17"/>
      <c r="AF35" s="17"/>
      <c r="AG35" s="17"/>
      <c r="AH35" s="17"/>
      <c r="AI35" s="17"/>
      <c r="AJ35" s="31"/>
      <c r="AK35" s="16">
        <f>2*3.639</f>
        <v>7.2779999999999996</v>
      </c>
      <c r="AL35" s="17">
        <v>7.5670000000000002</v>
      </c>
      <c r="AM35" s="17"/>
      <c r="AN35" s="17"/>
      <c r="AO35" s="13">
        <f t="shared" si="63"/>
        <v>0.20435385976291265</v>
      </c>
      <c r="AP35" s="13">
        <f t="shared" si="64"/>
        <v>7.4224999999999994</v>
      </c>
      <c r="AQ35" s="19">
        <f t="shared" si="65"/>
        <v>2.7531675279611003E-2</v>
      </c>
      <c r="AR35" s="17">
        <f>2*16.269</f>
        <v>32.537999999999997</v>
      </c>
      <c r="AS35" s="17">
        <v>32.703000000000003</v>
      </c>
      <c r="AT35" s="17"/>
      <c r="AU35" s="17"/>
      <c r="AV35" s="13">
        <f t="shared" si="66"/>
        <v>0.11667261889578476</v>
      </c>
      <c r="AW35" s="13">
        <f t="shared" si="67"/>
        <v>32.6205</v>
      </c>
      <c r="AX35" s="19">
        <f t="shared" si="68"/>
        <v>3.5766655598713924E-3</v>
      </c>
      <c r="AY35" s="12"/>
      <c r="AZ35" s="16">
        <f>2*19.387</f>
        <v>38.774000000000001</v>
      </c>
      <c r="BA35" s="17">
        <v>43.207999999999998</v>
      </c>
      <c r="BB35" s="17"/>
      <c r="BC35" s="17"/>
      <c r="BD35" s="13">
        <f t="shared" si="69"/>
        <v>3.13531146778115</v>
      </c>
      <c r="BE35" s="13">
        <f t="shared" si="70"/>
        <v>40.991</v>
      </c>
      <c r="BF35" s="19">
        <f t="shared" si="71"/>
        <v>7.6487801414484885E-2</v>
      </c>
      <c r="BG35" s="16">
        <f>2*96.417</f>
        <v>192.834</v>
      </c>
      <c r="BH35" s="17">
        <v>192.33</v>
      </c>
      <c r="BI35" s="17"/>
      <c r="BJ35" s="17"/>
      <c r="BK35" s="13">
        <f t="shared" si="72"/>
        <v>0.35638181771801336</v>
      </c>
      <c r="BL35" s="13">
        <f t="shared" si="73"/>
        <v>192.58199999999999</v>
      </c>
      <c r="BM35" s="19">
        <f t="shared" si="74"/>
        <v>1.8505458335566843E-3</v>
      </c>
      <c r="BN35" s="16">
        <f>2*3.47</f>
        <v>6.94</v>
      </c>
      <c r="BO35" s="17">
        <v>7.085</v>
      </c>
      <c r="BP35" s="17"/>
      <c r="BQ35" s="17"/>
      <c r="BR35" s="13">
        <f t="shared" si="75"/>
        <v>0.1025304832720491</v>
      </c>
      <c r="BS35" s="13">
        <f t="shared" si="76"/>
        <v>7.0125000000000002</v>
      </c>
      <c r="BT35" s="19">
        <f t="shared" si="77"/>
        <v>1.462110278389292E-2</v>
      </c>
      <c r="BU35" s="17">
        <f>2*16.969</f>
        <v>33.938000000000002</v>
      </c>
      <c r="BV35" s="17">
        <v>33.536000000000001</v>
      </c>
      <c r="BW35" s="17"/>
      <c r="BX35" s="17"/>
      <c r="BY35" s="13">
        <f t="shared" si="78"/>
        <v>0.28425692603699282</v>
      </c>
      <c r="BZ35" s="13">
        <f t="shared" si="79"/>
        <v>33.737000000000002</v>
      </c>
      <c r="CA35" s="19">
        <f t="shared" si="80"/>
        <v>8.4256728825026772E-3</v>
      </c>
      <c r="CC35" s="27">
        <v>3.43</v>
      </c>
    </row>
    <row r="36" spans="1:81" x14ac:dyDescent="0.2">
      <c r="A36" s="29" t="s">
        <v>47</v>
      </c>
      <c r="B36" s="17">
        <f>2*1.429</f>
        <v>2.8580000000000001</v>
      </c>
      <c r="C36" s="17">
        <v>2.81</v>
      </c>
      <c r="D36" s="17"/>
      <c r="E36" s="17"/>
      <c r="F36" s="13">
        <f t="shared" si="51"/>
        <v>3.3941125496954314E-2</v>
      </c>
      <c r="G36" s="13">
        <f t="shared" si="52"/>
        <v>2.8340000000000001</v>
      </c>
      <c r="H36" s="42">
        <f t="shared" si="53"/>
        <v>1.1976402786504697E-2</v>
      </c>
      <c r="I36" s="16">
        <f>2*4.385</f>
        <v>8.77</v>
      </c>
      <c r="J36" s="17">
        <v>8.7050000000000001</v>
      </c>
      <c r="K36" s="17"/>
      <c r="L36" s="17"/>
      <c r="M36" s="13">
        <f t="shared" si="54"/>
        <v>4.5961940777125239E-2</v>
      </c>
      <c r="N36" s="13">
        <f t="shared" si="55"/>
        <v>8.7375000000000007</v>
      </c>
      <c r="O36" s="19">
        <f t="shared" si="56"/>
        <v>5.2603079573247764E-3</v>
      </c>
      <c r="P36" s="16">
        <f>2*18.999</f>
        <v>37.997999999999998</v>
      </c>
      <c r="Q36" s="17">
        <v>38.840000000000003</v>
      </c>
      <c r="R36" s="17"/>
      <c r="S36" s="17"/>
      <c r="T36" s="13">
        <f t="shared" si="57"/>
        <v>0.59538390975907718</v>
      </c>
      <c r="U36" s="13">
        <f t="shared" si="58"/>
        <v>38.418999999999997</v>
      </c>
      <c r="V36" s="19">
        <f t="shared" si="59"/>
        <v>1.5497121470081919E-2</v>
      </c>
      <c r="W36" s="16">
        <f>2*75.848</f>
        <v>151.696</v>
      </c>
      <c r="X36" s="17">
        <v>148.63800000000001</v>
      </c>
      <c r="Y36" s="17"/>
      <c r="Z36" s="17"/>
      <c r="AA36" s="13">
        <f t="shared" si="60"/>
        <v>2.1623325368684574</v>
      </c>
      <c r="AB36" s="13">
        <f t="shared" si="61"/>
        <v>150.167</v>
      </c>
      <c r="AC36" s="19">
        <f t="shared" si="62"/>
        <v>1.4399518781546262E-2</v>
      </c>
      <c r="AD36" s="16"/>
      <c r="AE36" s="17"/>
      <c r="AF36" s="17"/>
      <c r="AG36" s="17"/>
      <c r="AH36" s="17"/>
      <c r="AI36" s="17"/>
      <c r="AJ36" s="31"/>
      <c r="AK36" s="16">
        <f>2*3.917</f>
        <v>7.8339999999999996</v>
      </c>
      <c r="AL36" s="17">
        <v>7.8380000000000001</v>
      </c>
      <c r="AM36" s="17"/>
      <c r="AN36" s="17"/>
      <c r="AO36" s="13">
        <f t="shared" si="63"/>
        <v>2.8284271247465066E-3</v>
      </c>
      <c r="AP36" s="13">
        <f t="shared" si="64"/>
        <v>7.8360000000000003</v>
      </c>
      <c r="AQ36" s="19">
        <f t="shared" si="65"/>
        <v>3.6095292556744598E-4</v>
      </c>
      <c r="AR36" s="17">
        <f>2*16.284</f>
        <v>32.567999999999998</v>
      </c>
      <c r="AS36" s="17">
        <v>35.427999999999997</v>
      </c>
      <c r="AT36" s="17"/>
      <c r="AU36" s="17"/>
      <c r="AV36" s="13">
        <f t="shared" si="66"/>
        <v>2.0223253941935257</v>
      </c>
      <c r="AW36" s="13">
        <f t="shared" si="67"/>
        <v>33.997999999999998</v>
      </c>
      <c r="AX36" s="19">
        <f t="shared" si="68"/>
        <v>5.9483657691438492E-2</v>
      </c>
      <c r="AY36" s="12"/>
      <c r="AZ36" s="16">
        <f>2*20.189</f>
        <v>40.378</v>
      </c>
      <c r="BA36" s="17">
        <v>43.624000000000002</v>
      </c>
      <c r="BB36" s="17"/>
      <c r="BC36" s="17"/>
      <c r="BD36" s="13">
        <f t="shared" si="69"/>
        <v>2.2952686117315348</v>
      </c>
      <c r="BE36" s="13">
        <f t="shared" si="70"/>
        <v>42.001000000000005</v>
      </c>
      <c r="BF36" s="19">
        <f t="shared" si="71"/>
        <v>5.4647951518571811E-2</v>
      </c>
      <c r="BG36" s="16">
        <f>2*97.372</f>
        <v>194.744</v>
      </c>
      <c r="BH36" s="17">
        <v>191.816</v>
      </c>
      <c r="BI36" s="17"/>
      <c r="BJ36" s="17"/>
      <c r="BK36" s="13">
        <f t="shared" si="72"/>
        <v>2.0704086553142091</v>
      </c>
      <c r="BL36" s="13">
        <f t="shared" si="73"/>
        <v>193.28</v>
      </c>
      <c r="BM36" s="19">
        <f t="shared" si="74"/>
        <v>1.0711965311021364E-2</v>
      </c>
      <c r="BN36" s="16">
        <f>2*3.629</f>
        <v>7.258</v>
      </c>
      <c r="BO36" s="17">
        <v>7.3570000000000002</v>
      </c>
      <c r="BP36" s="17"/>
      <c r="BQ36" s="17"/>
      <c r="BR36" s="13">
        <f t="shared" si="75"/>
        <v>7.0003571337468345E-2</v>
      </c>
      <c r="BS36" s="13">
        <f t="shared" si="76"/>
        <v>7.3075000000000001</v>
      </c>
      <c r="BT36" s="19">
        <f t="shared" si="77"/>
        <v>9.5796881748160586E-3</v>
      </c>
      <c r="BU36" s="17">
        <f>2*18.129</f>
        <v>36.258000000000003</v>
      </c>
      <c r="BV36" s="17">
        <v>35.542999999999999</v>
      </c>
      <c r="BW36" s="17"/>
      <c r="BX36" s="17"/>
      <c r="BY36" s="13">
        <f t="shared" si="78"/>
        <v>0.50558134854838388</v>
      </c>
      <c r="BZ36" s="13">
        <f t="shared" si="79"/>
        <v>35.900500000000001</v>
      </c>
      <c r="CA36" s="19">
        <f t="shared" si="80"/>
        <v>1.4082849780598707E-2</v>
      </c>
      <c r="CC36" s="27">
        <v>3.4</v>
      </c>
    </row>
    <row r="37" spans="1:81" x14ac:dyDescent="0.2">
      <c r="A37" s="29" t="s">
        <v>48</v>
      </c>
      <c r="B37" s="17">
        <f>2*1.468</f>
        <v>2.9359999999999999</v>
      </c>
      <c r="C37" s="17">
        <v>2.887</v>
      </c>
      <c r="D37" s="17"/>
      <c r="E37" s="17"/>
      <c r="F37" s="13">
        <f t="shared" si="51"/>
        <v>3.4648232278140782E-2</v>
      </c>
      <c r="G37" s="13">
        <f t="shared" si="52"/>
        <v>2.9115000000000002</v>
      </c>
      <c r="H37" s="42">
        <f t="shared" si="53"/>
        <v>1.1900474764946172E-2</v>
      </c>
      <c r="I37" s="16">
        <f>2*4.083</f>
        <v>8.1660000000000004</v>
      </c>
      <c r="J37" s="17">
        <v>8.0839999999999996</v>
      </c>
      <c r="K37" s="17"/>
      <c r="L37" s="17"/>
      <c r="M37" s="13">
        <f t="shared" si="54"/>
        <v>5.798275605729742E-2</v>
      </c>
      <c r="N37" s="13">
        <f t="shared" si="55"/>
        <v>8.125</v>
      </c>
      <c r="O37" s="19">
        <f t="shared" si="56"/>
        <v>7.1363392070519904E-3</v>
      </c>
      <c r="P37" s="16">
        <f>2*19.8</f>
        <v>39.6</v>
      </c>
      <c r="Q37" s="17">
        <v>40.445</v>
      </c>
      <c r="R37" s="17"/>
      <c r="S37" s="17"/>
      <c r="T37" s="13">
        <f t="shared" si="57"/>
        <v>0.5975052301026319</v>
      </c>
      <c r="U37" s="13">
        <f t="shared" si="58"/>
        <v>40.022500000000001</v>
      </c>
      <c r="V37" s="19">
        <f t="shared" si="59"/>
        <v>1.4929233058970126E-2</v>
      </c>
      <c r="W37" s="16">
        <f>2*76.794</f>
        <v>153.58799999999999</v>
      </c>
      <c r="X37" s="17">
        <v>149.78100000000001</v>
      </c>
      <c r="Y37" s="17"/>
      <c r="Z37" s="17"/>
      <c r="AA37" s="13">
        <f t="shared" si="60"/>
        <v>2.691955515977178</v>
      </c>
      <c r="AB37" s="13">
        <f t="shared" si="61"/>
        <v>151.68450000000001</v>
      </c>
      <c r="AC37" s="19">
        <f t="shared" si="62"/>
        <v>1.7747070504746217E-2</v>
      </c>
      <c r="AD37" s="16"/>
      <c r="AE37" s="17"/>
      <c r="AF37" s="17"/>
      <c r="AG37" s="17"/>
      <c r="AH37" s="17"/>
      <c r="AI37" s="17"/>
      <c r="AJ37" s="31"/>
      <c r="AK37" s="16">
        <f>2*3.915</f>
        <v>7.83</v>
      </c>
      <c r="AL37" s="17">
        <v>7.9020000000000001</v>
      </c>
      <c r="AM37" s="17"/>
      <c r="AN37" s="17"/>
      <c r="AO37" s="13">
        <f t="shared" si="63"/>
        <v>5.091168824543147E-2</v>
      </c>
      <c r="AP37" s="13">
        <f t="shared" si="64"/>
        <v>7.8659999999999997</v>
      </c>
      <c r="AQ37" s="19">
        <f t="shared" si="65"/>
        <v>6.4723732831720665E-3</v>
      </c>
      <c r="AR37" s="17">
        <f>2*14.874</f>
        <v>29.748000000000001</v>
      </c>
      <c r="AS37" s="17">
        <v>27.510999999999999</v>
      </c>
      <c r="AT37" s="17"/>
      <c r="AU37" s="17"/>
      <c r="AV37" s="13">
        <f t="shared" si="66"/>
        <v>1.581797869514308</v>
      </c>
      <c r="AW37" s="13">
        <f t="shared" si="67"/>
        <v>28.6295</v>
      </c>
      <c r="AX37" s="19">
        <f t="shared" si="68"/>
        <v>5.5250628530512512E-2</v>
      </c>
      <c r="AY37" s="12"/>
      <c r="AZ37" s="16">
        <f>2*21.048</f>
        <v>42.095999999999997</v>
      </c>
      <c r="BA37" s="17">
        <v>48.244999999999997</v>
      </c>
      <c r="BB37" s="17"/>
      <c r="BC37" s="17"/>
      <c r="BD37" s="13">
        <f t="shared" si="69"/>
        <v>4.3479995975160817</v>
      </c>
      <c r="BE37" s="13">
        <f t="shared" si="70"/>
        <v>45.170499999999997</v>
      </c>
      <c r="BF37" s="19">
        <f t="shared" si="71"/>
        <v>9.6257504289659887E-2</v>
      </c>
      <c r="BG37" s="16">
        <f>2*99.393</f>
        <v>198.786</v>
      </c>
      <c r="BH37" s="17">
        <v>195.626</v>
      </c>
      <c r="BI37" s="17"/>
      <c r="BJ37" s="17"/>
      <c r="BK37" s="13">
        <f t="shared" si="72"/>
        <v>2.2344574285494878</v>
      </c>
      <c r="BL37" s="13">
        <f t="shared" si="73"/>
        <v>197.20600000000002</v>
      </c>
      <c r="BM37" s="19">
        <f t="shared" si="74"/>
        <v>1.1330575279400665E-2</v>
      </c>
      <c r="BN37" s="16">
        <f>2*3.692</f>
        <v>7.3840000000000003</v>
      </c>
      <c r="BO37" s="17">
        <v>7.4850000000000003</v>
      </c>
      <c r="BP37" s="17"/>
      <c r="BQ37" s="17"/>
      <c r="BR37" s="13">
        <f t="shared" si="75"/>
        <v>7.1417784899841283E-2</v>
      </c>
      <c r="BS37" s="13">
        <f t="shared" si="76"/>
        <v>7.4344999999999999</v>
      </c>
      <c r="BT37" s="19">
        <f t="shared" si="77"/>
        <v>9.6062660434247469E-3</v>
      </c>
      <c r="BU37" s="17">
        <f>2*16.816</f>
        <v>33.631999999999998</v>
      </c>
      <c r="BV37" s="17">
        <v>27.658000000000001</v>
      </c>
      <c r="BW37" s="17"/>
      <c r="BX37" s="17"/>
      <c r="BY37" s="13">
        <f t="shared" si="78"/>
        <v>4.2242559108084325</v>
      </c>
      <c r="BZ37" s="13">
        <f t="shared" si="79"/>
        <v>30.645</v>
      </c>
      <c r="CA37" s="19">
        <f t="shared" si="80"/>
        <v>0.13784486574672647</v>
      </c>
      <c r="CC37" s="27">
        <v>3.54</v>
      </c>
    </row>
    <row r="38" spans="1:81" x14ac:dyDescent="0.2">
      <c r="A38" s="29" t="s">
        <v>49</v>
      </c>
      <c r="B38" s="17">
        <f>2*1.374</f>
        <v>2.7480000000000002</v>
      </c>
      <c r="C38" s="17">
        <v>2.786</v>
      </c>
      <c r="D38" s="17"/>
      <c r="E38" s="17"/>
      <c r="F38" s="13">
        <f t="shared" si="51"/>
        <v>2.6870057685088673E-2</v>
      </c>
      <c r="G38" s="13">
        <f t="shared" si="52"/>
        <v>2.7670000000000003</v>
      </c>
      <c r="H38" s="42">
        <f t="shared" si="53"/>
        <v>9.7108990549651854E-3</v>
      </c>
      <c r="I38" s="16">
        <f>2*4.173</f>
        <v>8.3460000000000001</v>
      </c>
      <c r="J38" s="17">
        <v>8.8640000000000008</v>
      </c>
      <c r="K38" s="17"/>
      <c r="L38" s="17"/>
      <c r="M38" s="13">
        <f t="shared" si="54"/>
        <v>0.3662813126546321</v>
      </c>
      <c r="N38" s="13">
        <f t="shared" si="55"/>
        <v>8.6050000000000004</v>
      </c>
      <c r="O38" s="19">
        <f t="shared" si="56"/>
        <v>4.2566102574623135E-2</v>
      </c>
      <c r="P38" s="16">
        <f>2*18.163</f>
        <v>36.326000000000001</v>
      </c>
      <c r="Q38" s="17">
        <v>35.276000000000003</v>
      </c>
      <c r="R38" s="17"/>
      <c r="S38" s="17"/>
      <c r="T38" s="13">
        <f t="shared" si="57"/>
        <v>0.74246212024587288</v>
      </c>
      <c r="U38" s="13">
        <f t="shared" si="58"/>
        <v>35.801000000000002</v>
      </c>
      <c r="V38" s="19">
        <f t="shared" si="59"/>
        <v>2.0738586079882486E-2</v>
      </c>
      <c r="W38" s="16">
        <f>2*73.051</f>
        <v>146.102</v>
      </c>
      <c r="X38" s="17">
        <v>148.13200000000001</v>
      </c>
      <c r="Y38" s="17"/>
      <c r="Z38" s="17"/>
      <c r="AA38" s="13">
        <f t="shared" si="60"/>
        <v>1.4354267658086921</v>
      </c>
      <c r="AB38" s="13">
        <f t="shared" si="61"/>
        <v>147.11700000000002</v>
      </c>
      <c r="AC38" s="19">
        <f t="shared" si="62"/>
        <v>9.7570421216357853E-3</v>
      </c>
      <c r="AD38" s="16"/>
      <c r="AE38" s="17"/>
      <c r="AF38" s="17"/>
      <c r="AG38" s="17"/>
      <c r="AH38" s="17"/>
      <c r="AI38" s="17"/>
      <c r="AJ38" s="31"/>
      <c r="AK38" s="16">
        <f>2*3.681</f>
        <v>7.3620000000000001</v>
      </c>
      <c r="AL38" s="17">
        <v>7.6790000000000003</v>
      </c>
      <c r="AM38" s="17"/>
      <c r="AN38" s="17"/>
      <c r="AO38" s="13">
        <f t="shared" si="63"/>
        <v>0.22415284963613569</v>
      </c>
      <c r="AP38" s="13">
        <f t="shared" si="64"/>
        <v>7.5205000000000002</v>
      </c>
      <c r="AQ38" s="19">
        <f t="shared" si="65"/>
        <v>2.9805578038180399E-2</v>
      </c>
      <c r="AR38" s="17">
        <f>2*18.315</f>
        <v>36.630000000000003</v>
      </c>
      <c r="AS38" s="17">
        <v>33.18</v>
      </c>
      <c r="AT38" s="17"/>
      <c r="AU38" s="17"/>
      <c r="AV38" s="13">
        <f t="shared" si="66"/>
        <v>2.4395183950935908</v>
      </c>
      <c r="AW38" s="13">
        <f t="shared" si="67"/>
        <v>34.905000000000001</v>
      </c>
      <c r="AX38" s="19">
        <f t="shared" si="68"/>
        <v>6.9890227620501094E-2</v>
      </c>
      <c r="AY38" s="12"/>
      <c r="AZ38" s="16">
        <f>2*19.365</f>
        <v>38.729999999999997</v>
      </c>
      <c r="BA38" s="17">
        <v>45.177</v>
      </c>
      <c r="BB38" s="17"/>
      <c r="BC38" s="17"/>
      <c r="BD38" s="13">
        <f t="shared" si="69"/>
        <v>4.5587174183096737</v>
      </c>
      <c r="BE38" s="13">
        <f t="shared" si="70"/>
        <v>41.953499999999998</v>
      </c>
      <c r="BF38" s="19">
        <f t="shared" si="71"/>
        <v>0.10866119437733858</v>
      </c>
      <c r="BG38" s="16">
        <f>2*95.028</f>
        <v>190.05600000000001</v>
      </c>
      <c r="BH38" s="17">
        <v>194.239</v>
      </c>
      <c r="BI38" s="17"/>
      <c r="BJ38" s="17"/>
      <c r="BK38" s="13">
        <f t="shared" si="72"/>
        <v>2.9578276657033231</v>
      </c>
      <c r="BL38" s="13">
        <f t="shared" si="73"/>
        <v>192.14750000000001</v>
      </c>
      <c r="BM38" s="19">
        <f t="shared" si="74"/>
        <v>1.5393526669372867E-2</v>
      </c>
      <c r="BN38" s="16">
        <f>2*3.408</f>
        <v>6.8159999999999998</v>
      </c>
      <c r="BO38" s="17">
        <v>7.1870000000000003</v>
      </c>
      <c r="BP38" s="17"/>
      <c r="BQ38" s="17"/>
      <c r="BR38" s="13">
        <f t="shared" si="75"/>
        <v>0.26233661582020945</v>
      </c>
      <c r="BS38" s="13">
        <f t="shared" si="76"/>
        <v>7.0015000000000001</v>
      </c>
      <c r="BT38" s="19">
        <f t="shared" si="77"/>
        <v>3.7468630410656206E-2</v>
      </c>
      <c r="BU38" s="17">
        <f>2*19.083</f>
        <v>38.165999999999997</v>
      </c>
      <c r="BV38" s="17">
        <v>33.301000000000002</v>
      </c>
      <c r="BW38" s="17"/>
      <c r="BX38" s="17"/>
      <c r="BY38" s="13">
        <f t="shared" si="78"/>
        <v>3.4400744904725502</v>
      </c>
      <c r="BZ38" s="13">
        <f t="shared" si="79"/>
        <v>35.733499999999999</v>
      </c>
      <c r="CA38" s="19">
        <f t="shared" si="80"/>
        <v>9.6270292315965414E-2</v>
      </c>
      <c r="CC38" s="27">
        <v>3.49</v>
      </c>
    </row>
    <row r="39" spans="1:81" x14ac:dyDescent="0.2">
      <c r="A39" s="29" t="s">
        <v>50</v>
      </c>
      <c r="B39" s="17">
        <f>2*1.363</f>
        <v>2.726</v>
      </c>
      <c r="C39" s="17">
        <v>2.7210000000000001</v>
      </c>
      <c r="D39" s="17"/>
      <c r="E39" s="17"/>
      <c r="F39" s="13">
        <f t="shared" si="51"/>
        <v>3.5355339059326622E-3</v>
      </c>
      <c r="G39" s="13">
        <f t="shared" si="52"/>
        <v>2.7235</v>
      </c>
      <c r="H39" s="42">
        <f t="shared" si="53"/>
        <v>1.2981582177098081E-3</v>
      </c>
      <c r="I39" s="16">
        <f>2*2.22</f>
        <v>4.4400000000000004</v>
      </c>
      <c r="J39" s="17">
        <v>4.3339999999999996</v>
      </c>
      <c r="K39" s="17"/>
      <c r="L39" s="17"/>
      <c r="M39" s="13">
        <f t="shared" si="54"/>
        <v>7.4953318805774577E-2</v>
      </c>
      <c r="N39" s="13">
        <f t="shared" si="55"/>
        <v>4.3870000000000005</v>
      </c>
      <c r="O39" s="19">
        <f t="shared" si="56"/>
        <v>1.7085324551122535E-2</v>
      </c>
      <c r="P39" s="16">
        <f>2*29.806</f>
        <v>59.612000000000002</v>
      </c>
      <c r="Q39" s="17">
        <v>59.058</v>
      </c>
      <c r="R39" s="17"/>
      <c r="S39" s="17"/>
      <c r="T39" s="13">
        <f t="shared" si="57"/>
        <v>0.39173715677734877</v>
      </c>
      <c r="U39" s="13">
        <f t="shared" si="58"/>
        <v>59.335000000000001</v>
      </c>
      <c r="V39" s="19">
        <f t="shared" si="59"/>
        <v>6.6021261780963812E-3</v>
      </c>
      <c r="W39" s="16">
        <f>2*111.569</f>
        <v>223.13800000000001</v>
      </c>
      <c r="X39" s="17">
        <v>220.489</v>
      </c>
      <c r="Y39" s="17"/>
      <c r="Z39" s="17"/>
      <c r="AA39" s="13">
        <f t="shared" si="60"/>
        <v>1.8731258633631649</v>
      </c>
      <c r="AB39" s="13">
        <f t="shared" si="61"/>
        <v>221.8135</v>
      </c>
      <c r="AC39" s="19">
        <f t="shared" si="62"/>
        <v>8.4445981122121278E-3</v>
      </c>
      <c r="AD39" s="16"/>
      <c r="AE39" s="17"/>
      <c r="AF39" s="17"/>
      <c r="AG39" s="17"/>
      <c r="AH39" s="17"/>
      <c r="AI39" s="17"/>
      <c r="AJ39" s="31"/>
      <c r="AK39" s="16">
        <f>2*5.189</f>
        <v>10.378</v>
      </c>
      <c r="AL39" s="17">
        <v>10.648</v>
      </c>
      <c r="AM39" s="17"/>
      <c r="AN39" s="17"/>
      <c r="AO39" s="13">
        <f t="shared" si="63"/>
        <v>0.19091883092036754</v>
      </c>
      <c r="AP39" s="13">
        <f t="shared" si="64"/>
        <v>10.513</v>
      </c>
      <c r="AQ39" s="19">
        <f t="shared" si="65"/>
        <v>1.8160261668445501E-2</v>
      </c>
      <c r="AR39" s="17">
        <f>2*18.386</f>
        <v>36.771999999999998</v>
      </c>
      <c r="AS39" s="17">
        <v>33.896999999999998</v>
      </c>
      <c r="AT39" s="17"/>
      <c r="AU39" s="17"/>
      <c r="AV39" s="13">
        <f t="shared" si="66"/>
        <v>2.0329319959113241</v>
      </c>
      <c r="AW39" s="13">
        <f t="shared" si="67"/>
        <v>35.334499999999998</v>
      </c>
      <c r="AX39" s="19">
        <f t="shared" si="68"/>
        <v>5.7533911500412462E-2</v>
      </c>
      <c r="AY39" s="12"/>
      <c r="AZ39" s="16">
        <f>2*33.797</f>
        <v>67.593999999999994</v>
      </c>
      <c r="BA39" s="17">
        <v>74.884</v>
      </c>
      <c r="BB39" s="17"/>
      <c r="BC39" s="17"/>
      <c r="BD39" s="13">
        <f t="shared" si="69"/>
        <v>5.1548084348499357</v>
      </c>
      <c r="BE39" s="13">
        <f t="shared" si="70"/>
        <v>71.239000000000004</v>
      </c>
      <c r="BF39" s="19">
        <f t="shared" si="71"/>
        <v>7.2359359828884959E-2</v>
      </c>
      <c r="BG39" s="16">
        <f>2*139.449</f>
        <v>278.89800000000002</v>
      </c>
      <c r="BH39" s="17">
        <v>277.53899999999999</v>
      </c>
      <c r="BI39" s="17"/>
      <c r="BJ39" s="17"/>
      <c r="BK39" s="13">
        <f t="shared" si="72"/>
        <v>0.96095811563254441</v>
      </c>
      <c r="BL39" s="13">
        <f t="shared" si="73"/>
        <v>278.21850000000001</v>
      </c>
      <c r="BM39" s="19">
        <f t="shared" si="74"/>
        <v>3.4539691488256331E-3</v>
      </c>
      <c r="BN39" s="16">
        <f>2*4.879</f>
        <v>9.7579999999999991</v>
      </c>
      <c r="BO39" s="17">
        <v>9.9629999999999992</v>
      </c>
      <c r="BP39" s="17"/>
      <c r="BQ39" s="17"/>
      <c r="BR39" s="13">
        <f t="shared" si="75"/>
        <v>0.14495689014324228</v>
      </c>
      <c r="BS39" s="13">
        <f t="shared" si="76"/>
        <v>9.8604999999999983</v>
      </c>
      <c r="BT39" s="19">
        <f t="shared" si="77"/>
        <v>1.4700764681633012E-2</v>
      </c>
      <c r="BU39" s="17">
        <f>2*19.126</f>
        <v>38.252000000000002</v>
      </c>
      <c r="BV39" s="17">
        <v>35.618000000000002</v>
      </c>
      <c r="BW39" s="17"/>
      <c r="BX39" s="17"/>
      <c r="BY39" s="13">
        <f t="shared" si="78"/>
        <v>1.8625192616453663</v>
      </c>
      <c r="BZ39" s="13">
        <f t="shared" si="79"/>
        <v>36.935000000000002</v>
      </c>
      <c r="CA39" s="19">
        <f t="shared" si="80"/>
        <v>5.0426946301485483E-2</v>
      </c>
      <c r="CC39" s="27">
        <v>3.51</v>
      </c>
    </row>
    <row r="40" spans="1:81" x14ac:dyDescent="0.2">
      <c r="A40" s="30" t="s">
        <v>51</v>
      </c>
      <c r="B40" s="22">
        <f>2*1.331</f>
        <v>2.6619999999999999</v>
      </c>
      <c r="C40" s="22">
        <v>2.641</v>
      </c>
      <c r="D40" s="22"/>
      <c r="E40" s="22"/>
      <c r="F40" s="23">
        <f t="shared" si="51"/>
        <v>1.4849242404917433E-2</v>
      </c>
      <c r="G40" s="23">
        <f t="shared" si="52"/>
        <v>2.6515</v>
      </c>
      <c r="H40" s="50">
        <f t="shared" si="53"/>
        <v>5.6003177088129108E-3</v>
      </c>
      <c r="I40" s="21">
        <f>2*2.458</f>
        <v>4.9160000000000004</v>
      </c>
      <c r="J40" s="22">
        <v>4.7839999999999998</v>
      </c>
      <c r="K40" s="22"/>
      <c r="L40" s="22"/>
      <c r="M40" s="23">
        <f t="shared" si="54"/>
        <v>9.3338095116624664E-2</v>
      </c>
      <c r="N40" s="23">
        <f t="shared" si="55"/>
        <v>4.8499999999999996</v>
      </c>
      <c r="O40" s="24">
        <f t="shared" si="56"/>
        <v>1.9244968065283436E-2</v>
      </c>
      <c r="P40" s="21">
        <f>2*29.388</f>
        <v>58.776000000000003</v>
      </c>
      <c r="Q40" s="22">
        <v>58.387</v>
      </c>
      <c r="R40" s="22"/>
      <c r="S40" s="22"/>
      <c r="T40" s="23">
        <f t="shared" si="57"/>
        <v>0.27506453788156904</v>
      </c>
      <c r="U40" s="23">
        <f t="shared" si="58"/>
        <v>58.581500000000005</v>
      </c>
      <c r="V40" s="24">
        <f t="shared" si="59"/>
        <v>4.6954164349081026E-3</v>
      </c>
      <c r="W40" s="21">
        <f>2*110.411</f>
        <v>220.822</v>
      </c>
      <c r="X40" s="22">
        <v>216.49700000000001</v>
      </c>
      <c r="Y40" s="22"/>
      <c r="Z40" s="22"/>
      <c r="AA40" s="23">
        <f t="shared" si="60"/>
        <v>3.0582368286318102</v>
      </c>
      <c r="AB40" s="23">
        <f t="shared" si="61"/>
        <v>218.65950000000001</v>
      </c>
      <c r="AC40" s="24">
        <f t="shared" si="62"/>
        <v>1.3986297547702295E-2</v>
      </c>
      <c r="AD40" s="21"/>
      <c r="AE40" s="22"/>
      <c r="AF40" s="22"/>
      <c r="AG40" s="22"/>
      <c r="AH40" s="22"/>
      <c r="AI40" s="22"/>
      <c r="AJ40" s="32"/>
      <c r="AK40" s="21">
        <f>2*5.045</f>
        <v>10.09</v>
      </c>
      <c r="AL40" s="22">
        <v>10.119999999999999</v>
      </c>
      <c r="AM40" s="22"/>
      <c r="AN40" s="22"/>
      <c r="AO40" s="23">
        <f t="shared" si="63"/>
        <v>2.1213203435595972E-2</v>
      </c>
      <c r="AP40" s="23">
        <f t="shared" si="64"/>
        <v>10.105</v>
      </c>
      <c r="AQ40" s="24">
        <f t="shared" si="65"/>
        <v>2.0992779253434903E-3</v>
      </c>
      <c r="AR40" s="22">
        <f>2*17.381</f>
        <v>34.762</v>
      </c>
      <c r="AS40" s="22">
        <v>31.082999999999998</v>
      </c>
      <c r="AT40" s="22"/>
      <c r="AU40" s="22"/>
      <c r="AV40" s="23">
        <f t="shared" si="66"/>
        <v>2.60144584798531</v>
      </c>
      <c r="AW40" s="23">
        <f t="shared" si="67"/>
        <v>32.922499999999999</v>
      </c>
      <c r="AX40" s="24">
        <f t="shared" si="68"/>
        <v>7.9017263208605359E-2</v>
      </c>
      <c r="AY40" s="12"/>
      <c r="AZ40" s="21">
        <f>2*32.855</f>
        <v>65.709999999999994</v>
      </c>
      <c r="BA40" s="22">
        <v>72.531000000000006</v>
      </c>
      <c r="BB40" s="22"/>
      <c r="BC40" s="22"/>
      <c r="BD40" s="23">
        <f t="shared" si="69"/>
        <v>4.8231753544734488</v>
      </c>
      <c r="BE40" s="23">
        <f t="shared" si="70"/>
        <v>69.120499999999993</v>
      </c>
      <c r="BF40" s="24">
        <f t="shared" si="71"/>
        <v>6.9779231262410563E-2</v>
      </c>
      <c r="BG40" s="21">
        <f>2*139.39</f>
        <v>278.77999999999997</v>
      </c>
      <c r="BH40" s="22">
        <v>275.43400000000003</v>
      </c>
      <c r="BI40" s="22"/>
      <c r="BJ40" s="22"/>
      <c r="BK40" s="23">
        <f t="shared" si="72"/>
        <v>2.3659792898501504</v>
      </c>
      <c r="BL40" s="23">
        <f t="shared" si="73"/>
        <v>277.10699999999997</v>
      </c>
      <c r="BM40" s="24">
        <f t="shared" si="74"/>
        <v>8.5381433520270167E-3</v>
      </c>
      <c r="BN40" s="21">
        <f>2*4.645</f>
        <v>9.2899999999999991</v>
      </c>
      <c r="BO40" s="22">
        <v>9.4450000000000003</v>
      </c>
      <c r="BP40" s="22"/>
      <c r="BQ40" s="22"/>
      <c r="BR40" s="23">
        <f t="shared" si="75"/>
        <v>0.10960155108391567</v>
      </c>
      <c r="BS40" s="23">
        <f t="shared" si="76"/>
        <v>9.3674999999999997</v>
      </c>
      <c r="BT40" s="24">
        <f t="shared" si="77"/>
        <v>1.1700192269433219E-2</v>
      </c>
      <c r="BU40" s="22">
        <f>2*17.383</f>
        <v>34.765999999999998</v>
      </c>
      <c r="BV40" s="22">
        <v>32.79</v>
      </c>
      <c r="BW40" s="22"/>
      <c r="BX40" s="22"/>
      <c r="BY40" s="23">
        <f t="shared" si="78"/>
        <v>1.3972429996246172</v>
      </c>
      <c r="BZ40" s="23">
        <f t="shared" si="79"/>
        <v>33.777999999999999</v>
      </c>
      <c r="CA40" s="24">
        <f t="shared" si="80"/>
        <v>4.1365474558133025E-2</v>
      </c>
      <c r="CC40" s="28">
        <v>3.5</v>
      </c>
    </row>
    <row r="41" spans="1:81" x14ac:dyDescent="0.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</row>
    <row r="42" spans="1:81" x14ac:dyDescent="0.2">
      <c r="A42" s="36" t="s">
        <v>52</v>
      </c>
      <c r="B42" s="37">
        <f>2*0.702</f>
        <v>1.4039999999999999</v>
      </c>
      <c r="C42" s="38">
        <v>1.4279999999999999</v>
      </c>
      <c r="D42" s="38"/>
      <c r="E42" s="38"/>
      <c r="F42" s="39">
        <f>STDEV(B42:E42)</f>
        <v>1.6970562748477157E-2</v>
      </c>
      <c r="G42" s="39">
        <f>AVERAGE(B42:E42)</f>
        <v>1.4159999999999999</v>
      </c>
      <c r="H42" s="41">
        <f>F42/G42</f>
        <v>1.1984860698077089E-2</v>
      </c>
      <c r="I42" s="37">
        <f>2*7.287</f>
        <v>14.574</v>
      </c>
      <c r="J42" s="38">
        <v>14.877000000000001</v>
      </c>
      <c r="K42" s="38"/>
      <c r="L42" s="38"/>
      <c r="M42" s="39">
        <f>STDEV(I42:L42)</f>
        <v>0.21425335469952447</v>
      </c>
      <c r="N42" s="39">
        <f>AVERAGE(I42:L42)</f>
        <v>14.7255</v>
      </c>
      <c r="O42" s="41">
        <f>M42/N42</f>
        <v>1.4549818661473259E-2</v>
      </c>
      <c r="P42" s="37">
        <f>2*8.382</f>
        <v>16.763999999999999</v>
      </c>
      <c r="Q42" s="38">
        <v>42.762</v>
      </c>
      <c r="R42" s="38"/>
      <c r="S42" s="38"/>
      <c r="T42" s="39">
        <f>STDEV(P42:S42)</f>
        <v>18.383362097287865</v>
      </c>
      <c r="U42" s="39">
        <f>AVERAGE(P42:S42)</f>
        <v>29.762999999999998</v>
      </c>
      <c r="V42" s="41">
        <f>T42/U42</f>
        <v>0.61765823664576369</v>
      </c>
      <c r="W42" s="37">
        <f>2*35.703</f>
        <v>71.406000000000006</v>
      </c>
      <c r="X42" s="38">
        <v>69.513999999999996</v>
      </c>
      <c r="Y42" s="38"/>
      <c r="Z42" s="38"/>
      <c r="AA42" s="39">
        <f>STDEV(W42:Z42)</f>
        <v>1.3378460300049551</v>
      </c>
      <c r="AB42" s="39">
        <f>AVERAGE(W42:Z42)</f>
        <v>70.460000000000008</v>
      </c>
      <c r="AC42" s="41">
        <f>AA42/AB42</f>
        <v>1.8987312375886387E-2</v>
      </c>
      <c r="AD42" s="37"/>
      <c r="AE42" s="38"/>
      <c r="AF42" s="38"/>
      <c r="AG42" s="38"/>
      <c r="AH42" s="38"/>
      <c r="AI42" s="38"/>
      <c r="AJ42" s="40"/>
      <c r="AK42" s="38">
        <f>2*1.123</f>
        <v>2.246</v>
      </c>
      <c r="AL42" s="38">
        <v>2.327</v>
      </c>
      <c r="AM42" s="38"/>
      <c r="AN42" s="38"/>
      <c r="AO42" s="39">
        <f>STDEV(AK42:AN42)</f>
        <v>5.727564927611032E-2</v>
      </c>
      <c r="AP42" s="39">
        <f>AVERAGE(AK42:AN42)</f>
        <v>2.2865000000000002</v>
      </c>
      <c r="AQ42" s="49">
        <f>AO42/AP42</f>
        <v>2.5049485797555355E-2</v>
      </c>
      <c r="AR42" s="37">
        <f>2*7.311</f>
        <v>14.622</v>
      </c>
      <c r="AS42" s="38">
        <v>13.353999999999999</v>
      </c>
      <c r="AT42" s="38"/>
      <c r="AU42" s="38"/>
      <c r="AV42" s="39">
        <f>STDEV(AR42:AU42)</f>
        <v>0.89661139854454275</v>
      </c>
      <c r="AW42" s="39">
        <f>AVERAGE(AR42:AU42)</f>
        <v>13.988</v>
      </c>
      <c r="AX42" s="41">
        <f>AV42/AW42</f>
        <v>6.4098612992889811E-2</v>
      </c>
      <c r="AY42" s="12"/>
      <c r="AZ42" s="37"/>
      <c r="BA42" s="38">
        <v>17.757999999999999</v>
      </c>
      <c r="BB42" s="38"/>
      <c r="BC42" s="38"/>
      <c r="BD42" s="39"/>
      <c r="BE42" s="39">
        <f>AVERAGE(AZ42:BC42)</f>
        <v>17.757999999999999</v>
      </c>
      <c r="BF42" s="41">
        <f>BD42/BE42</f>
        <v>0</v>
      </c>
      <c r="BG42" s="37">
        <f>2*50.297</f>
        <v>100.59399999999999</v>
      </c>
      <c r="BH42" s="38">
        <v>100.075</v>
      </c>
      <c r="BI42" s="38"/>
      <c r="BJ42" s="38"/>
      <c r="BK42" s="39">
        <f>STDEV(BG42:BJ42)</f>
        <v>0.36698841943581195</v>
      </c>
      <c r="BL42" s="39">
        <f>AVERAGE(BG42:BJ42)</f>
        <v>100.33449999999999</v>
      </c>
      <c r="BM42" s="41">
        <f>BK42/BL42</f>
        <v>3.6576493572580914E-3</v>
      </c>
      <c r="BN42" s="37">
        <f>2*1.069</f>
        <v>2.1379999999999999</v>
      </c>
      <c r="BO42" s="38">
        <v>2.3940000000000001</v>
      </c>
      <c r="BP42" s="38"/>
      <c r="BQ42" s="38"/>
      <c r="BR42" s="39">
        <f>STDEV(BN42:BQ42)</f>
        <v>0.18101933598375633</v>
      </c>
      <c r="BS42" s="39">
        <f>AVERAGE(BN42:BQ42)</f>
        <v>2.266</v>
      </c>
      <c r="BT42" s="41">
        <f>BR42/BS42</f>
        <v>7.9884967336167845E-2</v>
      </c>
      <c r="BU42" s="38">
        <f>2*7.632</f>
        <v>15.263999999999999</v>
      </c>
      <c r="BV42" s="38">
        <v>14.29</v>
      </c>
      <c r="BW42" s="34"/>
      <c r="BX42" s="34"/>
      <c r="BY42" s="39">
        <f>STDEV(BU42:BX42)</f>
        <v>0.68872200487569746</v>
      </c>
      <c r="BZ42" s="39">
        <f>AVERAGE(BU42:BX42)</f>
        <v>14.776999999999999</v>
      </c>
      <c r="CA42" s="41">
        <f>BY42/BZ42</f>
        <v>4.6607701487155546E-2</v>
      </c>
      <c r="CC42" s="68"/>
    </row>
    <row r="43" spans="1:81" x14ac:dyDescent="0.2">
      <c r="A43" s="29" t="s">
        <v>53</v>
      </c>
      <c r="B43" s="16">
        <f>2*1.506</f>
        <v>3.012</v>
      </c>
      <c r="C43" s="17">
        <v>2.875</v>
      </c>
      <c r="D43" s="17"/>
      <c r="E43" s="17"/>
      <c r="F43" s="13">
        <f>STDEV(B43:E43)</f>
        <v>9.6873629022557015E-2</v>
      </c>
      <c r="G43" s="13">
        <f>AVERAGE(B43:E43)</f>
        <v>2.9435000000000002</v>
      </c>
      <c r="H43" s="19">
        <f t="shared" ref="H43:H58" si="81">F43/G43</f>
        <v>3.2911034150690334E-2</v>
      </c>
      <c r="I43" s="16">
        <f>2*4.659</f>
        <v>9.3179999999999996</v>
      </c>
      <c r="J43" s="17">
        <v>8.4280000000000008</v>
      </c>
      <c r="K43" s="17"/>
      <c r="L43" s="17"/>
      <c r="M43" s="13">
        <f>STDEV(I43:L43)</f>
        <v>0.62932503525602645</v>
      </c>
      <c r="N43" s="13">
        <f>AVERAGE(I43:L43)</f>
        <v>8.8730000000000011</v>
      </c>
      <c r="O43" s="19">
        <f>M43/N43</f>
        <v>7.092584641677295E-2</v>
      </c>
      <c r="P43" s="16">
        <f>2*20.734</f>
        <v>41.468000000000004</v>
      </c>
      <c r="Q43" s="17">
        <v>37.994999999999997</v>
      </c>
      <c r="R43" s="17"/>
      <c r="S43" s="17"/>
      <c r="T43" s="13">
        <f>STDEV(P43:S43)</f>
        <v>2.455781851060884</v>
      </c>
      <c r="U43" s="13">
        <f>AVERAGE(P43:S43)</f>
        <v>39.731499999999997</v>
      </c>
      <c r="V43" s="19">
        <f>T43/U43</f>
        <v>6.1809442157000974E-2</v>
      </c>
      <c r="W43" s="16">
        <f>2*75.59</f>
        <v>151.18</v>
      </c>
      <c r="X43" s="17">
        <v>147.381</v>
      </c>
      <c r="Y43" s="17"/>
      <c r="Z43" s="17"/>
      <c r="AA43" s="13">
        <f>STDEV(W43:Z43)</f>
        <v>2.6862986617276987</v>
      </c>
      <c r="AB43" s="13">
        <f>AVERAGE(W43:Z43)</f>
        <v>149.28050000000002</v>
      </c>
      <c r="AC43" s="19">
        <f>AA43/AB43</f>
        <v>1.7994973635054132E-2</v>
      </c>
      <c r="AD43" s="16"/>
      <c r="AE43" s="17"/>
      <c r="AF43" s="17"/>
      <c r="AG43" s="17"/>
      <c r="AH43" s="17"/>
      <c r="AI43" s="17"/>
      <c r="AJ43" s="31"/>
      <c r="AK43" s="17">
        <f>2*3.829</f>
        <v>7.6580000000000004</v>
      </c>
      <c r="AL43" s="17">
        <v>7.7640000000000002</v>
      </c>
      <c r="AM43" s="17"/>
      <c r="AN43" s="17"/>
      <c r="AO43" s="13">
        <f>STDEV(AK43:AN43)</f>
        <v>7.4953318805773952E-2</v>
      </c>
      <c r="AP43" s="13">
        <f>AVERAGE(AK43:AN43)</f>
        <v>7.7110000000000003</v>
      </c>
      <c r="AQ43" s="42">
        <f>AO43/AP43</f>
        <v>9.7203110888048182E-3</v>
      </c>
      <c r="AR43" s="16">
        <f>2*16.98</f>
        <v>33.96</v>
      </c>
      <c r="AS43" s="17">
        <v>29.529</v>
      </c>
      <c r="AT43" s="17"/>
      <c r="AU43" s="17"/>
      <c r="AV43" s="13">
        <f>STDEV(AR43:AU43)</f>
        <v>3.1331901474375927</v>
      </c>
      <c r="AW43" s="13">
        <f>AVERAGE(AR43:AU43)</f>
        <v>31.744500000000002</v>
      </c>
      <c r="AX43" s="19">
        <f>AV43/AW43</f>
        <v>9.8700251931439859E-2</v>
      </c>
      <c r="AY43" s="12"/>
      <c r="AZ43" s="16">
        <f>2*18.82</f>
        <v>37.64</v>
      </c>
      <c r="BA43" s="17">
        <v>42.712000000000003</v>
      </c>
      <c r="BB43" s="17"/>
      <c r="BC43" s="17"/>
      <c r="BD43" s="13">
        <f>STDEV(AZ43:BC43)</f>
        <v>3.586445594178171</v>
      </c>
      <c r="BE43" s="13">
        <f>AVERAGE(AZ43:BC43)</f>
        <v>40.176000000000002</v>
      </c>
      <c r="BF43" s="19">
        <f>BD43/BE43</f>
        <v>8.9268359074526349E-2</v>
      </c>
      <c r="BG43" s="16">
        <f>2*98.12</f>
        <v>196.24</v>
      </c>
      <c r="BH43" s="17">
        <v>191.39400000000001</v>
      </c>
      <c r="BI43" s="17"/>
      <c r="BJ43" s="17"/>
      <c r="BK43" s="13">
        <f>STDEV(BG43:BJ43)</f>
        <v>3.4266394616300118</v>
      </c>
      <c r="BL43" s="13">
        <f>AVERAGE(BG43:BJ43)</f>
        <v>193.81700000000001</v>
      </c>
      <c r="BM43" s="19">
        <f>BK43/BL43</f>
        <v>1.7679767314683497E-2</v>
      </c>
      <c r="BN43" s="16">
        <f>2*3.544</f>
        <v>7.0880000000000001</v>
      </c>
      <c r="BO43" s="17">
        <v>7.2009999999999996</v>
      </c>
      <c r="BP43" s="17"/>
      <c r="BQ43" s="17"/>
      <c r="BR43" s="13">
        <f>STDEV(BN43:BQ43)</f>
        <v>7.9903066274079546E-2</v>
      </c>
      <c r="BS43" s="13">
        <f>AVERAGE(BN43:BQ43)</f>
        <v>7.1444999999999999</v>
      </c>
      <c r="BT43" s="19">
        <f>BR43/BS43</f>
        <v>1.1183856991263147E-2</v>
      </c>
      <c r="BU43" s="17">
        <f>2*17.302</f>
        <v>34.603999999999999</v>
      </c>
      <c r="BV43" s="17">
        <v>31.114000000000001</v>
      </c>
      <c r="BW43" s="20"/>
      <c r="BX43" s="20"/>
      <c r="BY43" s="13">
        <f>STDEV(BU43:BX43)</f>
        <v>2.4678026663410497</v>
      </c>
      <c r="BZ43" s="13">
        <f>AVERAGE(BU43:BX43)</f>
        <v>32.859000000000002</v>
      </c>
      <c r="CA43" s="19">
        <f>BY43/BZ43</f>
        <v>7.5102792730790638E-2</v>
      </c>
      <c r="CC43" s="27"/>
    </row>
    <row r="44" spans="1:81" x14ac:dyDescent="0.2">
      <c r="A44" s="29" t="s">
        <v>54</v>
      </c>
      <c r="B44" s="16">
        <f>2*1.385</f>
        <v>2.77</v>
      </c>
      <c r="C44" s="17">
        <v>2.6520000000000001</v>
      </c>
      <c r="D44" s="17"/>
      <c r="E44" s="17"/>
      <c r="F44" s="13">
        <f>STDEV(B44:E44)</f>
        <v>8.343860018001252E-2</v>
      </c>
      <c r="G44" s="13">
        <f>AVERAGE(B44:E44)</f>
        <v>2.7110000000000003</v>
      </c>
      <c r="H44" s="19">
        <f t="shared" si="81"/>
        <v>3.077779423829307E-2</v>
      </c>
      <c r="I44" s="16">
        <f>2*2.407</f>
        <v>4.8140000000000001</v>
      </c>
      <c r="J44" s="17">
        <v>4.4020000000000001</v>
      </c>
      <c r="K44" s="17"/>
      <c r="L44" s="17"/>
      <c r="M44" s="13">
        <f>STDEV(I44:L44)</f>
        <v>0.29132799384885755</v>
      </c>
      <c r="N44" s="13">
        <f>AVERAGE(I44:L44)</f>
        <v>4.6080000000000005</v>
      </c>
      <c r="O44" s="19">
        <f>M44/N44</f>
        <v>6.3222220887338865E-2</v>
      </c>
      <c r="P44" s="16">
        <f>2*33.259</f>
        <v>66.518000000000001</v>
      </c>
      <c r="Q44" s="17">
        <v>59.11</v>
      </c>
      <c r="R44" s="17"/>
      <c r="S44" s="17"/>
      <c r="T44" s="13">
        <f>STDEV(P44:S44)</f>
        <v>5.2382470350299446</v>
      </c>
      <c r="U44" s="13">
        <f>AVERAGE(P44:S44)</f>
        <v>62.814</v>
      </c>
      <c r="V44" s="19">
        <f>T44/U44</f>
        <v>8.3392986197821262E-2</v>
      </c>
      <c r="W44" s="16">
        <f>2*111.021</f>
        <v>222.042</v>
      </c>
      <c r="X44" s="17">
        <v>218.01400000000001</v>
      </c>
      <c r="Y44" s="17"/>
      <c r="Z44" s="17"/>
      <c r="AA44" s="13">
        <f>STDEV(W44:Z44)</f>
        <v>2.8482261146194077</v>
      </c>
      <c r="AB44" s="13">
        <f>AVERAGE(W44:Z44)</f>
        <v>220.02800000000002</v>
      </c>
      <c r="AC44" s="19">
        <f>AA44/AB44</f>
        <v>1.2944834814748157E-2</v>
      </c>
      <c r="AD44" s="16"/>
      <c r="AE44" s="17"/>
      <c r="AF44" s="17"/>
      <c r="AG44" s="17"/>
      <c r="AH44" s="17"/>
      <c r="AI44" s="17"/>
      <c r="AJ44" s="31"/>
      <c r="AK44" s="17">
        <f>2*4.995</f>
        <v>9.99</v>
      </c>
      <c r="AL44" s="17">
        <v>10.250999999999999</v>
      </c>
      <c r="AM44" s="17"/>
      <c r="AN44" s="17"/>
      <c r="AO44" s="13">
        <f>STDEV(AK44:AN44)</f>
        <v>0.18455486988968836</v>
      </c>
      <c r="AP44" s="13">
        <f>AVERAGE(AK44:AN44)</f>
        <v>10.1205</v>
      </c>
      <c r="AQ44" s="42">
        <f>AO44/AP44</f>
        <v>1.8235746246696147E-2</v>
      </c>
      <c r="AR44" s="16">
        <f>2*16.581</f>
        <v>33.161999999999999</v>
      </c>
      <c r="AS44" s="17">
        <v>28.393999999999998</v>
      </c>
      <c r="AT44" s="17"/>
      <c r="AU44" s="17"/>
      <c r="AV44" s="13">
        <f>STDEV(AR44:AU44)</f>
        <v>3.3714851326974591</v>
      </c>
      <c r="AW44" s="13">
        <f>AVERAGE(AR44:AU44)</f>
        <v>30.777999999999999</v>
      </c>
      <c r="AX44" s="19">
        <f>AV44/AW44</f>
        <v>0.1095420473291786</v>
      </c>
      <c r="AY44" s="12"/>
      <c r="AZ44" s="16">
        <f>2*29.13</f>
        <v>58.26</v>
      </c>
      <c r="BA44" s="17">
        <v>69.025000000000006</v>
      </c>
      <c r="BB44" s="17"/>
      <c r="BC44" s="17"/>
      <c r="BD44" s="13">
        <f>STDEV(AZ44:BC44)</f>
        <v>7.6120044994731897</v>
      </c>
      <c r="BE44" s="13">
        <f>AVERAGE(AZ44:BC44)</f>
        <v>63.642499999999998</v>
      </c>
      <c r="BF44" s="19">
        <f>BD44/BE44</f>
        <v>0.11960568015827772</v>
      </c>
      <c r="BG44" s="16">
        <f>2*140.325</f>
        <v>280.64999999999998</v>
      </c>
      <c r="BH44" s="17">
        <v>273.98099999999999</v>
      </c>
      <c r="BI44" s="17"/>
      <c r="BJ44" s="17"/>
      <c r="BK44" s="13">
        <f>STDEV(BG44:BJ44)</f>
        <v>4.7156951237330738</v>
      </c>
      <c r="BL44" s="13">
        <f>AVERAGE(BG44:BJ44)</f>
        <v>277.31549999999999</v>
      </c>
      <c r="BM44" s="19">
        <f>BK44/BL44</f>
        <v>1.700480183665563E-2</v>
      </c>
      <c r="BN44" s="16">
        <f>2*4.776</f>
        <v>9.5519999999999996</v>
      </c>
      <c r="BO44" s="17">
        <v>9.6519999999999992</v>
      </c>
      <c r="BP44" s="17"/>
      <c r="BQ44" s="17"/>
      <c r="BR44" s="13">
        <f>STDEV(BN44:BQ44)</f>
        <v>7.0710678118654502E-2</v>
      </c>
      <c r="BS44" s="13">
        <f>AVERAGE(BN44:BQ44)</f>
        <v>9.6020000000000003</v>
      </c>
      <c r="BT44" s="19">
        <f>BR44/BS44</f>
        <v>7.3641614370604565E-3</v>
      </c>
      <c r="BU44" s="17">
        <f>2*17.441</f>
        <v>34.881999999999998</v>
      </c>
      <c r="BV44" s="17">
        <v>30.311</v>
      </c>
      <c r="BW44" s="20"/>
      <c r="BX44" s="20"/>
      <c r="BY44" s="13">
        <f>STDEV(BU44:BX44)</f>
        <v>3.2321850968037071</v>
      </c>
      <c r="BZ44" s="13">
        <f>AVERAGE(BU44:BX44)</f>
        <v>32.596499999999999</v>
      </c>
      <c r="CA44" s="19">
        <f>BY44/BZ44</f>
        <v>9.9157427846661678E-2</v>
      </c>
      <c r="CC44" s="27"/>
    </row>
    <row r="45" spans="1:81" x14ac:dyDescent="0.2">
      <c r="A45" s="30" t="s">
        <v>55</v>
      </c>
      <c r="B45" s="21">
        <f>2*1.241</f>
        <v>2.4820000000000002</v>
      </c>
      <c r="C45" s="22">
        <v>2.375</v>
      </c>
      <c r="D45" s="22"/>
      <c r="E45" s="22"/>
      <c r="F45" s="23">
        <f>STDEV(B45:E45)</f>
        <v>7.5660425586960733E-2</v>
      </c>
      <c r="G45" s="23">
        <f>AVERAGE(B45:E45)</f>
        <v>2.4285000000000001</v>
      </c>
      <c r="H45" s="24">
        <f t="shared" si="81"/>
        <v>3.1155209218431432E-2</v>
      </c>
      <c r="I45" s="21">
        <f>2*1.819</f>
        <v>3.6379999999999999</v>
      </c>
      <c r="J45" s="22">
        <v>3.4329999999999998</v>
      </c>
      <c r="K45" s="22"/>
      <c r="L45" s="22"/>
      <c r="M45" s="23">
        <f>STDEV(I45:L45)</f>
        <v>0.14495689014324228</v>
      </c>
      <c r="N45" s="23">
        <f>AVERAGE(I45:L45)</f>
        <v>3.5354999999999999</v>
      </c>
      <c r="O45" s="24">
        <f>M45/N45</f>
        <v>4.100039319565614E-2</v>
      </c>
      <c r="P45" s="21">
        <f>2*47.45</f>
        <v>94.9</v>
      </c>
      <c r="Q45" s="22">
        <v>80.149000000000001</v>
      </c>
      <c r="R45" s="22"/>
      <c r="S45" s="22"/>
      <c r="T45" s="23">
        <f>STDEV(P45:S45)</f>
        <v>10.430532129282767</v>
      </c>
      <c r="U45" s="23">
        <f>AVERAGE(P45:S45)</f>
        <v>87.524500000000003</v>
      </c>
      <c r="V45" s="24">
        <f>T45/U45</f>
        <v>0.11917271311784433</v>
      </c>
      <c r="W45" s="21">
        <f>2*147.481</f>
        <v>294.96199999999999</v>
      </c>
      <c r="X45" s="22">
        <v>287.37700000000001</v>
      </c>
      <c r="Y45" s="22"/>
      <c r="Z45" s="22"/>
      <c r="AA45" s="23">
        <f>STDEV(W45:Z45)</f>
        <v>5.3634049352999487</v>
      </c>
      <c r="AB45" s="23">
        <f>AVERAGE(W45:Z45)</f>
        <v>291.16949999999997</v>
      </c>
      <c r="AC45" s="24">
        <f>AA45/AB45</f>
        <v>1.8420215494067714E-2</v>
      </c>
      <c r="AD45" s="21"/>
      <c r="AE45" s="22"/>
      <c r="AF45" s="22"/>
      <c r="AG45" s="22"/>
      <c r="AH45" s="22"/>
      <c r="AI45" s="22"/>
      <c r="AJ45" s="32"/>
      <c r="AK45" s="22">
        <f>2*5.113</f>
        <v>10.226000000000001</v>
      </c>
      <c r="AL45" s="22">
        <v>10.151999999999999</v>
      </c>
      <c r="AM45" s="22"/>
      <c r="AN45" s="22"/>
      <c r="AO45" s="23">
        <f>STDEV(AK45:AN45)</f>
        <v>5.2325901807805664E-2</v>
      </c>
      <c r="AP45" s="23">
        <f>AVERAGE(AK45:AN45)</f>
        <v>10.189</v>
      </c>
      <c r="AQ45" s="50">
        <f>AO45/AP45</f>
        <v>5.1355286885666563E-3</v>
      </c>
      <c r="AR45" s="21">
        <f>2*17.446</f>
        <v>34.892000000000003</v>
      </c>
      <c r="AS45" s="22">
        <v>27.036000000000001</v>
      </c>
      <c r="AT45" s="22"/>
      <c r="AU45" s="22"/>
      <c r="AV45" s="23">
        <f>STDEV(AR45:AU45)</f>
        <v>5.5550308730015105</v>
      </c>
      <c r="AW45" s="23">
        <f>AVERAGE(AR45:AU45)</f>
        <v>30.964000000000002</v>
      </c>
      <c r="AX45" s="24">
        <f>AV45/AW45</f>
        <v>0.17940288312238439</v>
      </c>
      <c r="AY45" s="12"/>
      <c r="AZ45" s="21">
        <f>2*41.06</f>
        <v>82.12</v>
      </c>
      <c r="BA45" s="22">
        <v>103.53</v>
      </c>
      <c r="BB45" s="22"/>
      <c r="BC45" s="22"/>
      <c r="BD45" s="23">
        <f>STDEV(AZ45:BC45)</f>
        <v>15.139156185203925</v>
      </c>
      <c r="BE45" s="23">
        <f>AVERAGE(AZ45:BC45)</f>
        <v>92.825000000000003</v>
      </c>
      <c r="BF45" s="24">
        <f>BD45/BE45</f>
        <v>0.16309352205983221</v>
      </c>
      <c r="BG45" s="21">
        <f>2*184.446</f>
        <v>368.892</v>
      </c>
      <c r="BH45" s="22">
        <v>357.63900000000001</v>
      </c>
      <c r="BI45" s="22"/>
      <c r="BJ45" s="22"/>
      <c r="BK45" s="23">
        <f>STDEV(BG45:BJ45)</f>
        <v>7.9570726086922097</v>
      </c>
      <c r="BL45" s="23">
        <f>AVERAGE(BG45:BJ45)</f>
        <v>363.26549999999997</v>
      </c>
      <c r="BM45" s="24">
        <f>BK45/BL45</f>
        <v>2.1904289310964598E-2</v>
      </c>
      <c r="BN45" s="21">
        <f>2*4.78</f>
        <v>9.56</v>
      </c>
      <c r="BO45" s="22">
        <v>9.4459999999999997</v>
      </c>
      <c r="BP45" s="22"/>
      <c r="BQ45" s="22"/>
      <c r="BR45" s="23">
        <f>STDEV(BN45:BQ45)</f>
        <v>8.0610173055266965E-2</v>
      </c>
      <c r="BS45" s="23">
        <f>AVERAGE(BN45:BQ45)</f>
        <v>9.5030000000000001</v>
      </c>
      <c r="BT45" s="24">
        <f>BR45/BS45</f>
        <v>8.482602657609908E-3</v>
      </c>
      <c r="BU45" s="22">
        <f>2*17.773</f>
        <v>35.545999999999999</v>
      </c>
      <c r="BV45" s="22">
        <v>28.832000000000001</v>
      </c>
      <c r="BW45" s="51"/>
      <c r="BX45" s="51"/>
      <c r="BY45" s="23">
        <f>STDEV(BU45:BX45)</f>
        <v>4.7475149288865062</v>
      </c>
      <c r="BZ45" s="23">
        <f>AVERAGE(BU45:BX45)</f>
        <v>32.189</v>
      </c>
      <c r="CA45" s="24">
        <f>BY45/BZ45</f>
        <v>0.14748873617964231</v>
      </c>
      <c r="CC45" s="28">
        <v>3.5</v>
      </c>
    </row>
    <row r="47" spans="1:81" x14ac:dyDescent="0.2">
      <c r="A47" s="36" t="s">
        <v>74</v>
      </c>
      <c r="B47" s="59">
        <v>8.7119999999999997</v>
      </c>
      <c r="C47" s="34"/>
      <c r="D47" s="34"/>
      <c r="E47" s="34"/>
      <c r="F47" s="34"/>
      <c r="G47" s="39">
        <f>AVERAGE(B47:E47)</f>
        <v>8.7119999999999997</v>
      </c>
      <c r="H47" s="41">
        <f t="shared" si="81"/>
        <v>0</v>
      </c>
      <c r="I47" s="53">
        <v>3.0139999999999998</v>
      </c>
      <c r="J47" s="34"/>
      <c r="K47" s="34"/>
      <c r="L47" s="34"/>
      <c r="M47" s="34"/>
      <c r="N47" s="39">
        <f>AVERAGE(I47:L47)</f>
        <v>3.0139999999999998</v>
      </c>
      <c r="O47" s="41">
        <f t="shared" ref="O47:O58" si="82">M47/N47</f>
        <v>0</v>
      </c>
      <c r="P47" s="59">
        <v>4.5970000000000004</v>
      </c>
      <c r="Q47" s="34"/>
      <c r="R47" s="34"/>
      <c r="S47" s="34"/>
      <c r="T47" s="34"/>
      <c r="U47" s="39">
        <f>AVERAGE(P47:S47)</f>
        <v>4.5970000000000004</v>
      </c>
      <c r="V47" s="41">
        <f t="shared" ref="V47:V58" si="83">T47/U47</f>
        <v>0</v>
      </c>
      <c r="W47" s="59">
        <v>2.9159999999999999</v>
      </c>
      <c r="X47" s="34"/>
      <c r="Y47" s="34"/>
      <c r="Z47" s="34"/>
      <c r="AA47" s="34"/>
      <c r="AB47" s="39">
        <f>AVERAGE(W47:Z47)</f>
        <v>2.9159999999999999</v>
      </c>
      <c r="AC47" s="41">
        <f t="shared" ref="AC47:AC57" si="84">AA47/AB47</f>
        <v>0</v>
      </c>
      <c r="AD47" s="59"/>
      <c r="AE47" s="34"/>
      <c r="AF47" s="34"/>
      <c r="AG47" s="34"/>
      <c r="AH47" s="34"/>
      <c r="AI47" s="39"/>
      <c r="AJ47" s="41"/>
      <c r="AK47" s="34"/>
      <c r="AL47" s="34"/>
      <c r="AM47" s="34"/>
      <c r="AN47" s="34"/>
      <c r="AO47" s="34"/>
      <c r="AP47" s="34"/>
      <c r="AQ47" s="34"/>
      <c r="AR47" s="36"/>
      <c r="AS47" s="34"/>
      <c r="AT47" s="34"/>
      <c r="AU47" s="34"/>
      <c r="AV47" s="34"/>
      <c r="AW47" s="34"/>
      <c r="AX47" s="54"/>
      <c r="AZ47" s="59">
        <v>1.381</v>
      </c>
      <c r="BA47" s="34"/>
      <c r="BB47" s="34"/>
      <c r="BC47" s="34"/>
      <c r="BD47" s="34"/>
      <c r="BE47" s="39">
        <f>AVERAGE(AZ47:BC47)</f>
        <v>1.381</v>
      </c>
      <c r="BF47" s="41">
        <f t="shared" ref="BF47:BF57" si="85">BD47/BE47</f>
        <v>0</v>
      </c>
      <c r="BG47" s="59">
        <v>2.9020000000000001</v>
      </c>
      <c r="BH47" s="34"/>
      <c r="BI47" s="34"/>
      <c r="BJ47" s="34"/>
      <c r="BK47" s="34"/>
      <c r="BL47" s="39">
        <f>AVERAGE(BG47:BJ47)</f>
        <v>2.9020000000000001</v>
      </c>
      <c r="BM47" s="41">
        <f t="shared" ref="BM47:BM57" si="86">BK47/BL47</f>
        <v>0</v>
      </c>
      <c r="BN47" s="59">
        <v>6.3E-2</v>
      </c>
      <c r="BO47" s="34"/>
      <c r="BP47" s="34"/>
      <c r="BQ47" s="34"/>
      <c r="BR47" s="34"/>
      <c r="BS47" s="39">
        <f>AVERAGE(BN47:BQ47)</f>
        <v>6.3E-2</v>
      </c>
      <c r="BT47" s="41">
        <f t="shared" ref="BT47:BT57" si="87">BR47/BS47</f>
        <v>0</v>
      </c>
      <c r="BU47" s="34"/>
      <c r="BV47" s="34"/>
      <c r="BW47" s="34"/>
      <c r="BX47" s="34"/>
      <c r="BY47" s="34"/>
      <c r="BZ47" s="34"/>
      <c r="CA47" s="54"/>
      <c r="CC47" s="68"/>
    </row>
    <row r="48" spans="1:81" x14ac:dyDescent="0.2">
      <c r="A48" s="29" t="s">
        <v>75</v>
      </c>
      <c r="B48" s="60">
        <v>9.2739999999999991</v>
      </c>
      <c r="C48" s="20"/>
      <c r="D48" s="20"/>
      <c r="E48" s="20"/>
      <c r="F48" s="20"/>
      <c r="G48" s="13">
        <f t="shared" ref="G48:G58" si="88">AVERAGE(B48:E48)</f>
        <v>9.2739999999999991</v>
      </c>
      <c r="H48" s="19">
        <f t="shared" si="81"/>
        <v>0</v>
      </c>
      <c r="I48" s="55">
        <v>2.9620000000000002</v>
      </c>
      <c r="J48" s="20"/>
      <c r="K48" s="20"/>
      <c r="L48" s="20"/>
      <c r="M48" s="20"/>
      <c r="N48" s="13">
        <f t="shared" ref="N48:N58" si="89">AVERAGE(I48:L48)</f>
        <v>2.9620000000000002</v>
      </c>
      <c r="O48" s="19">
        <f t="shared" si="82"/>
        <v>0</v>
      </c>
      <c r="P48" s="60">
        <v>5.431</v>
      </c>
      <c r="Q48" s="20"/>
      <c r="R48" s="20"/>
      <c r="S48" s="20"/>
      <c r="T48" s="20"/>
      <c r="U48" s="13">
        <f t="shared" ref="U48:U58" si="90">AVERAGE(P48:S48)</f>
        <v>5.431</v>
      </c>
      <c r="V48" s="19">
        <f t="shared" si="83"/>
        <v>0</v>
      </c>
      <c r="W48" s="60">
        <v>3.1459999999999999</v>
      </c>
      <c r="X48" s="20"/>
      <c r="Y48" s="20"/>
      <c r="Z48" s="20"/>
      <c r="AA48" s="20"/>
      <c r="AB48" s="13">
        <f t="shared" ref="AB48:AB57" si="91">AVERAGE(W48:Z48)</f>
        <v>3.1459999999999999</v>
      </c>
      <c r="AC48" s="19">
        <f t="shared" si="84"/>
        <v>0</v>
      </c>
      <c r="AD48" s="60"/>
      <c r="AE48" s="20"/>
      <c r="AF48" s="20"/>
      <c r="AG48" s="20"/>
      <c r="AH48" s="20"/>
      <c r="AI48" s="13"/>
      <c r="AJ48" s="19"/>
      <c r="AK48" s="20"/>
      <c r="AL48" s="20"/>
      <c r="AM48" s="20"/>
      <c r="AN48" s="20"/>
      <c r="AO48" s="20"/>
      <c r="AP48" s="20"/>
      <c r="AQ48" s="20"/>
      <c r="AR48" s="29"/>
      <c r="AS48" s="20"/>
      <c r="AT48" s="20"/>
      <c r="AU48" s="20"/>
      <c r="AV48" s="20"/>
      <c r="AW48" s="20"/>
      <c r="AX48" s="56"/>
      <c r="AZ48" s="60">
        <v>1.38</v>
      </c>
      <c r="BA48" s="20"/>
      <c r="BB48" s="20"/>
      <c r="BC48" s="20"/>
      <c r="BD48" s="20"/>
      <c r="BE48" s="13">
        <f t="shared" ref="BE48:BE57" si="92">AVERAGE(AZ48:BC48)</f>
        <v>1.38</v>
      </c>
      <c r="BF48" s="19">
        <f t="shared" si="85"/>
        <v>0</v>
      </c>
      <c r="BG48" s="60">
        <v>2.3929999999999998</v>
      </c>
      <c r="BH48" s="20"/>
      <c r="BI48" s="20"/>
      <c r="BJ48" s="20"/>
      <c r="BK48" s="20"/>
      <c r="BL48" s="13">
        <f t="shared" ref="BL48:BL57" si="93">AVERAGE(BG48:BJ48)</f>
        <v>2.3929999999999998</v>
      </c>
      <c r="BM48" s="19">
        <f t="shared" si="86"/>
        <v>0</v>
      </c>
      <c r="BN48" s="60">
        <v>6.4000000000000001E-2</v>
      </c>
      <c r="BO48" s="20"/>
      <c r="BP48" s="20"/>
      <c r="BQ48" s="20"/>
      <c r="BR48" s="20"/>
      <c r="BS48" s="13">
        <f t="shared" ref="BS48:BS57" si="94">AVERAGE(BN48:BQ48)</f>
        <v>6.4000000000000001E-2</v>
      </c>
      <c r="BT48" s="19">
        <f t="shared" si="87"/>
        <v>0</v>
      </c>
      <c r="BU48" s="20"/>
      <c r="BV48" s="20"/>
      <c r="BW48" s="20"/>
      <c r="BX48" s="20"/>
      <c r="BY48" s="20"/>
      <c r="BZ48" s="20"/>
      <c r="CA48" s="56"/>
      <c r="CC48" s="27"/>
    </row>
    <row r="49" spans="1:81" x14ac:dyDescent="0.2">
      <c r="A49" s="29" t="s">
        <v>76</v>
      </c>
      <c r="B49" s="60">
        <v>8.6579999999999995</v>
      </c>
      <c r="C49" s="20"/>
      <c r="D49" s="20"/>
      <c r="E49" s="20"/>
      <c r="F49" s="20"/>
      <c r="G49" s="13">
        <f t="shared" si="88"/>
        <v>8.6579999999999995</v>
      </c>
      <c r="H49" s="19">
        <f t="shared" si="81"/>
        <v>0</v>
      </c>
      <c r="I49" s="55">
        <v>3.4689999999999999</v>
      </c>
      <c r="J49" s="20"/>
      <c r="K49" s="20"/>
      <c r="L49" s="20"/>
      <c r="M49" s="20"/>
      <c r="N49" s="13">
        <f t="shared" si="89"/>
        <v>3.4689999999999999</v>
      </c>
      <c r="O49" s="19">
        <f t="shared" si="82"/>
        <v>0</v>
      </c>
      <c r="P49" s="60">
        <v>0.75</v>
      </c>
      <c r="Q49" s="20"/>
      <c r="R49" s="20"/>
      <c r="S49" s="20"/>
      <c r="T49" s="20"/>
      <c r="U49" s="13">
        <f t="shared" si="90"/>
        <v>0.75</v>
      </c>
      <c r="V49" s="19">
        <f t="shared" si="83"/>
        <v>0</v>
      </c>
      <c r="W49" s="60">
        <v>3.198</v>
      </c>
      <c r="X49" s="20"/>
      <c r="Y49" s="20"/>
      <c r="Z49" s="20"/>
      <c r="AA49" s="20"/>
      <c r="AB49" s="13">
        <f t="shared" si="91"/>
        <v>3.198</v>
      </c>
      <c r="AC49" s="19">
        <f t="shared" si="84"/>
        <v>0</v>
      </c>
      <c r="AD49" s="60"/>
      <c r="AE49" s="20"/>
      <c r="AF49" s="20"/>
      <c r="AG49" s="20"/>
      <c r="AH49" s="20"/>
      <c r="AI49" s="13"/>
      <c r="AJ49" s="19"/>
      <c r="AK49" s="55"/>
      <c r="AL49" s="55"/>
      <c r="AM49" s="55"/>
      <c r="AN49" s="55"/>
      <c r="AO49" s="55"/>
      <c r="AP49" s="55"/>
      <c r="AQ49" s="55"/>
      <c r="AR49" s="60"/>
      <c r="AS49" s="55"/>
      <c r="AT49" s="55"/>
      <c r="AU49" s="55"/>
      <c r="AV49" s="20"/>
      <c r="AW49" s="20"/>
      <c r="AX49" s="56"/>
      <c r="AZ49" s="60">
        <v>1.395</v>
      </c>
      <c r="BA49" s="20"/>
      <c r="BB49" s="20"/>
      <c r="BC49" s="20"/>
      <c r="BD49" s="20"/>
      <c r="BE49" s="13">
        <f t="shared" si="92"/>
        <v>1.395</v>
      </c>
      <c r="BF49" s="19">
        <f t="shared" si="85"/>
        <v>0</v>
      </c>
      <c r="BG49" s="60">
        <v>2.5190000000000001</v>
      </c>
      <c r="BH49" s="20"/>
      <c r="BI49" s="20"/>
      <c r="BJ49" s="20"/>
      <c r="BK49" s="20"/>
      <c r="BL49" s="13">
        <f t="shared" si="93"/>
        <v>2.5190000000000001</v>
      </c>
      <c r="BM49" s="19">
        <f t="shared" si="86"/>
        <v>0</v>
      </c>
      <c r="BN49" s="60">
        <v>7.1999999999999995E-2</v>
      </c>
      <c r="BO49" s="20"/>
      <c r="BP49" s="20"/>
      <c r="BQ49" s="20"/>
      <c r="BR49" s="20"/>
      <c r="BS49" s="13">
        <f t="shared" si="94"/>
        <v>7.1999999999999995E-2</v>
      </c>
      <c r="BT49" s="19">
        <f t="shared" si="87"/>
        <v>0</v>
      </c>
      <c r="BU49" s="20"/>
      <c r="BV49" s="20"/>
      <c r="BW49" s="20"/>
      <c r="BX49" s="20"/>
      <c r="BY49" s="20"/>
      <c r="BZ49" s="20"/>
      <c r="CA49" s="56"/>
      <c r="CC49" s="27"/>
    </row>
    <row r="50" spans="1:81" x14ac:dyDescent="0.2">
      <c r="A50" s="29" t="s">
        <v>77</v>
      </c>
      <c r="B50" s="60">
        <v>7.9089999999999998</v>
      </c>
      <c r="C50" s="55"/>
      <c r="D50" s="55"/>
      <c r="E50" s="55"/>
      <c r="F50" s="55"/>
      <c r="G50" s="13">
        <f t="shared" si="88"/>
        <v>7.9089999999999998</v>
      </c>
      <c r="H50" s="19">
        <f t="shared" si="81"/>
        <v>0</v>
      </c>
      <c r="I50" s="55">
        <v>3.1419999999999999</v>
      </c>
      <c r="J50" s="55"/>
      <c r="K50" s="55"/>
      <c r="L50" s="55"/>
      <c r="M50" s="55"/>
      <c r="N50" s="13">
        <f t="shared" si="89"/>
        <v>3.1419999999999999</v>
      </c>
      <c r="O50" s="19">
        <f t="shared" si="82"/>
        <v>0</v>
      </c>
      <c r="P50" s="60">
        <v>4.2350000000000003</v>
      </c>
      <c r="Q50" s="20"/>
      <c r="R50" s="20"/>
      <c r="S50" s="20"/>
      <c r="T50" s="20"/>
      <c r="U50" s="13">
        <f t="shared" si="90"/>
        <v>4.2350000000000003</v>
      </c>
      <c r="V50" s="19">
        <f t="shared" si="83"/>
        <v>0</v>
      </c>
      <c r="W50" s="60">
        <v>2.7709999999999999</v>
      </c>
      <c r="X50" s="20"/>
      <c r="Y50" s="20"/>
      <c r="Z50" s="20"/>
      <c r="AA50" s="20"/>
      <c r="AB50" s="13">
        <f t="shared" si="91"/>
        <v>2.7709999999999999</v>
      </c>
      <c r="AC50" s="19">
        <f t="shared" si="84"/>
        <v>0</v>
      </c>
      <c r="AD50" s="60"/>
      <c r="AE50" s="20"/>
      <c r="AF50" s="20"/>
      <c r="AG50" s="20"/>
      <c r="AH50" s="20"/>
      <c r="AI50" s="13"/>
      <c r="AJ50" s="19"/>
      <c r="AK50" s="55"/>
      <c r="AL50" s="55"/>
      <c r="AM50" s="55"/>
      <c r="AN50" s="55"/>
      <c r="AO50" s="55"/>
      <c r="AP50" s="55"/>
      <c r="AQ50" s="55"/>
      <c r="AR50" s="60"/>
      <c r="AS50" s="55"/>
      <c r="AT50" s="55"/>
      <c r="AU50" s="55"/>
      <c r="AV50" s="20"/>
      <c r="AW50" s="20"/>
      <c r="AX50" s="56"/>
      <c r="AZ50" s="60">
        <v>1.397</v>
      </c>
      <c r="BA50" s="20"/>
      <c r="BB50" s="20"/>
      <c r="BC50" s="20"/>
      <c r="BD50" s="20"/>
      <c r="BE50" s="13">
        <f t="shared" si="92"/>
        <v>1.397</v>
      </c>
      <c r="BF50" s="19">
        <f t="shared" si="85"/>
        <v>0</v>
      </c>
      <c r="BG50" s="60">
        <v>2.3559999999999999</v>
      </c>
      <c r="BH50" s="20"/>
      <c r="BI50" s="20"/>
      <c r="BJ50" s="20"/>
      <c r="BK50" s="20"/>
      <c r="BL50" s="13">
        <f t="shared" si="93"/>
        <v>2.3559999999999999</v>
      </c>
      <c r="BM50" s="19">
        <f t="shared" si="86"/>
        <v>0</v>
      </c>
      <c r="BN50" s="60">
        <v>6.0999999999999999E-2</v>
      </c>
      <c r="BO50" s="20"/>
      <c r="BP50" s="20"/>
      <c r="BQ50" s="20"/>
      <c r="BR50" s="20"/>
      <c r="BS50" s="13">
        <f t="shared" si="94"/>
        <v>6.0999999999999999E-2</v>
      </c>
      <c r="BT50" s="19">
        <f t="shared" si="87"/>
        <v>0</v>
      </c>
      <c r="BU50" s="20"/>
      <c r="BV50" s="20"/>
      <c r="BW50" s="20"/>
      <c r="BX50" s="20"/>
      <c r="BY50" s="20"/>
      <c r="BZ50" s="20"/>
      <c r="CA50" s="56"/>
      <c r="CC50" s="27"/>
    </row>
    <row r="51" spans="1:81" x14ac:dyDescent="0.2">
      <c r="A51" s="29" t="s">
        <v>78</v>
      </c>
      <c r="B51" s="60">
        <v>10.48</v>
      </c>
      <c r="C51" s="55"/>
      <c r="D51" s="55"/>
      <c r="E51" s="55"/>
      <c r="F51" s="55"/>
      <c r="G51" s="13">
        <f t="shared" si="88"/>
        <v>10.48</v>
      </c>
      <c r="H51" s="19">
        <f t="shared" si="81"/>
        <v>0</v>
      </c>
      <c r="I51" s="55">
        <v>2.4809999999999999</v>
      </c>
      <c r="J51" s="55"/>
      <c r="K51" s="55"/>
      <c r="L51" s="55"/>
      <c r="M51" s="55"/>
      <c r="N51" s="13">
        <f t="shared" si="89"/>
        <v>2.4809999999999999</v>
      </c>
      <c r="O51" s="19">
        <f t="shared" si="82"/>
        <v>0</v>
      </c>
      <c r="P51" s="60">
        <v>2.6859999999999999</v>
      </c>
      <c r="Q51" s="20"/>
      <c r="R51" s="20"/>
      <c r="S51" s="20"/>
      <c r="T51" s="20"/>
      <c r="U51" s="13">
        <f t="shared" si="90"/>
        <v>2.6859999999999999</v>
      </c>
      <c r="V51" s="19">
        <f t="shared" si="83"/>
        <v>0</v>
      </c>
      <c r="W51" s="60">
        <v>2.61</v>
      </c>
      <c r="X51" s="20"/>
      <c r="Y51" s="20"/>
      <c r="Z51" s="20"/>
      <c r="AA51" s="20"/>
      <c r="AB51" s="13">
        <f t="shared" si="91"/>
        <v>2.61</v>
      </c>
      <c r="AC51" s="19">
        <f t="shared" si="84"/>
        <v>0</v>
      </c>
      <c r="AD51" s="60">
        <v>0.26700000000000002</v>
      </c>
      <c r="AE51" s="20"/>
      <c r="AF51" s="20"/>
      <c r="AG51" s="20"/>
      <c r="AH51" s="20"/>
      <c r="AI51" s="13">
        <f t="shared" ref="AI51:AI58" si="95">AVERAGE(AD51:AG51)</f>
        <v>0.26700000000000002</v>
      </c>
      <c r="AJ51" s="19">
        <f t="shared" ref="AJ51:AJ58" si="96">AH51/AI51</f>
        <v>0</v>
      </c>
      <c r="AK51" s="55"/>
      <c r="AL51" s="55"/>
      <c r="AM51" s="55"/>
      <c r="AN51" s="55"/>
      <c r="AO51" s="55"/>
      <c r="AP51" s="55"/>
      <c r="AQ51" s="55"/>
      <c r="AR51" s="60"/>
      <c r="AS51" s="55"/>
      <c r="AT51" s="55"/>
      <c r="AU51" s="55"/>
      <c r="AV51" s="20"/>
      <c r="AW51" s="20"/>
      <c r="AX51" s="56"/>
      <c r="AZ51" s="60">
        <v>1.5049999999999999</v>
      </c>
      <c r="BA51" s="20"/>
      <c r="BB51" s="20"/>
      <c r="BC51" s="20"/>
      <c r="BD51" s="20"/>
      <c r="BE51" s="13">
        <f t="shared" si="92"/>
        <v>1.5049999999999999</v>
      </c>
      <c r="BF51" s="19">
        <f t="shared" si="85"/>
        <v>0</v>
      </c>
      <c r="BG51" s="60">
        <v>1.917</v>
      </c>
      <c r="BH51" s="20"/>
      <c r="BI51" s="20"/>
      <c r="BJ51" s="20"/>
      <c r="BK51" s="20"/>
      <c r="BL51" s="13">
        <f t="shared" si="93"/>
        <v>1.917</v>
      </c>
      <c r="BM51" s="19">
        <f t="shared" si="86"/>
        <v>0</v>
      </c>
      <c r="BN51" s="60">
        <v>0.11</v>
      </c>
      <c r="BO51" s="20"/>
      <c r="BP51" s="20"/>
      <c r="BQ51" s="20"/>
      <c r="BR51" s="20"/>
      <c r="BS51" s="13">
        <f t="shared" si="94"/>
        <v>0.11</v>
      </c>
      <c r="BT51" s="19">
        <f t="shared" si="87"/>
        <v>0</v>
      </c>
      <c r="BU51" s="20"/>
      <c r="BV51" s="20"/>
      <c r="BW51" s="20"/>
      <c r="BX51" s="20"/>
      <c r="BY51" s="20"/>
      <c r="BZ51" s="20"/>
      <c r="CA51" s="56"/>
      <c r="CC51" s="27"/>
    </row>
    <row r="52" spans="1:81" x14ac:dyDescent="0.2">
      <c r="A52" s="29" t="s">
        <v>79</v>
      </c>
      <c r="B52" s="60">
        <v>9.5259999999999998</v>
      </c>
      <c r="C52" s="55"/>
      <c r="D52" s="55"/>
      <c r="E52" s="55"/>
      <c r="F52" s="55"/>
      <c r="G52" s="13">
        <f t="shared" si="88"/>
        <v>9.5259999999999998</v>
      </c>
      <c r="H52" s="19">
        <f t="shared" si="81"/>
        <v>0</v>
      </c>
      <c r="I52" s="55">
        <v>3.4249999999999998</v>
      </c>
      <c r="J52" s="55"/>
      <c r="K52" s="55"/>
      <c r="L52" s="55"/>
      <c r="M52" s="55"/>
      <c r="N52" s="13">
        <f t="shared" si="89"/>
        <v>3.4249999999999998</v>
      </c>
      <c r="O52" s="19">
        <f t="shared" si="82"/>
        <v>0</v>
      </c>
      <c r="P52" s="60">
        <v>4.8049999999999997</v>
      </c>
      <c r="Q52" s="20"/>
      <c r="R52" s="20"/>
      <c r="S52" s="20"/>
      <c r="T52" s="20"/>
      <c r="U52" s="13">
        <f t="shared" si="90"/>
        <v>4.8049999999999997</v>
      </c>
      <c r="V52" s="19">
        <f t="shared" si="83"/>
        <v>0</v>
      </c>
      <c r="W52" s="60">
        <v>3.335</v>
      </c>
      <c r="X52" s="20"/>
      <c r="Y52" s="20"/>
      <c r="Z52" s="20"/>
      <c r="AA52" s="20"/>
      <c r="AB52" s="13">
        <f t="shared" si="91"/>
        <v>3.335</v>
      </c>
      <c r="AC52" s="19">
        <f t="shared" si="84"/>
        <v>0</v>
      </c>
      <c r="AD52" s="60">
        <v>0.24</v>
      </c>
      <c r="AE52" s="20"/>
      <c r="AF52" s="20"/>
      <c r="AG52" s="20"/>
      <c r="AH52" s="20"/>
      <c r="AI52" s="13">
        <f t="shared" si="95"/>
        <v>0.24</v>
      </c>
      <c r="AJ52" s="19">
        <f t="shared" si="96"/>
        <v>0</v>
      </c>
      <c r="AK52" s="55"/>
      <c r="AL52" s="55"/>
      <c r="AM52" s="55"/>
      <c r="AN52" s="55"/>
      <c r="AO52" s="55"/>
      <c r="AP52" s="55"/>
      <c r="AQ52" s="55"/>
      <c r="AR52" s="60"/>
      <c r="AS52" s="55"/>
      <c r="AT52" s="55"/>
      <c r="AU52" s="55"/>
      <c r="AV52" s="20"/>
      <c r="AW52" s="20"/>
      <c r="AX52" s="56"/>
      <c r="AZ52" s="60">
        <v>1.464</v>
      </c>
      <c r="BA52" s="20"/>
      <c r="BB52" s="20"/>
      <c r="BC52" s="20"/>
      <c r="BD52" s="20"/>
      <c r="BE52" s="13">
        <f t="shared" si="92"/>
        <v>1.464</v>
      </c>
      <c r="BF52" s="19">
        <f t="shared" si="85"/>
        <v>0</v>
      </c>
      <c r="BG52" s="60">
        <v>2.5659999999999998</v>
      </c>
      <c r="BH52" s="20"/>
      <c r="BI52" s="20"/>
      <c r="BJ52" s="20"/>
      <c r="BK52" s="20"/>
      <c r="BL52" s="13">
        <f t="shared" si="93"/>
        <v>2.5659999999999998</v>
      </c>
      <c r="BM52" s="19">
        <f t="shared" si="86"/>
        <v>0</v>
      </c>
      <c r="BN52" s="60">
        <v>0.1</v>
      </c>
      <c r="BO52" s="20"/>
      <c r="BP52" s="20"/>
      <c r="BQ52" s="20"/>
      <c r="BR52" s="20"/>
      <c r="BS52" s="13">
        <f t="shared" si="94"/>
        <v>0.1</v>
      </c>
      <c r="BT52" s="19">
        <f t="shared" si="87"/>
        <v>0</v>
      </c>
      <c r="BU52" s="20"/>
      <c r="BV52" s="20"/>
      <c r="BW52" s="20"/>
      <c r="BX52" s="20"/>
      <c r="BY52" s="20"/>
      <c r="BZ52" s="20"/>
      <c r="CA52" s="56"/>
      <c r="CC52" s="27"/>
    </row>
    <row r="53" spans="1:81" x14ac:dyDescent="0.2">
      <c r="A53" s="29" t="s">
        <v>80</v>
      </c>
      <c r="B53" s="60">
        <v>9.0879999999999992</v>
      </c>
      <c r="C53" s="20"/>
      <c r="D53" s="20"/>
      <c r="E53" s="20"/>
      <c r="F53" s="20"/>
      <c r="G53" s="13">
        <f t="shared" si="88"/>
        <v>9.0879999999999992</v>
      </c>
      <c r="H53" s="19">
        <f t="shared" si="81"/>
        <v>0</v>
      </c>
      <c r="I53" s="55">
        <v>3.3159999999999998</v>
      </c>
      <c r="J53" s="20"/>
      <c r="K53" s="20"/>
      <c r="L53" s="20"/>
      <c r="M53" s="20"/>
      <c r="N53" s="13">
        <f t="shared" si="89"/>
        <v>3.3159999999999998</v>
      </c>
      <c r="O53" s="19">
        <f t="shared" si="82"/>
        <v>0</v>
      </c>
      <c r="P53" s="60">
        <v>4.6420000000000003</v>
      </c>
      <c r="Q53" s="20"/>
      <c r="R53" s="20"/>
      <c r="S53" s="20"/>
      <c r="T53" s="20"/>
      <c r="U53" s="13">
        <f t="shared" si="90"/>
        <v>4.6420000000000003</v>
      </c>
      <c r="V53" s="19">
        <f t="shared" si="83"/>
        <v>0</v>
      </c>
      <c r="W53" s="60">
        <v>3.01</v>
      </c>
      <c r="X53" s="20"/>
      <c r="Y53" s="20"/>
      <c r="Z53" s="20"/>
      <c r="AA53" s="20"/>
      <c r="AB53" s="13">
        <f t="shared" si="91"/>
        <v>3.01</v>
      </c>
      <c r="AC53" s="19">
        <f t="shared" si="84"/>
        <v>0</v>
      </c>
      <c r="AD53" s="60">
        <v>0.21099999999999999</v>
      </c>
      <c r="AE53" s="20"/>
      <c r="AF53" s="20"/>
      <c r="AG53" s="20"/>
      <c r="AH53" s="20"/>
      <c r="AI53" s="13">
        <f t="shared" si="95"/>
        <v>0.21099999999999999</v>
      </c>
      <c r="AJ53" s="19">
        <f t="shared" si="96"/>
        <v>0</v>
      </c>
      <c r="AK53" s="20"/>
      <c r="AL53" s="20"/>
      <c r="AM53" s="20"/>
      <c r="AN53" s="20"/>
      <c r="AO53" s="20"/>
      <c r="AP53" s="20"/>
      <c r="AQ53" s="20"/>
      <c r="AR53" s="29"/>
      <c r="AS53" s="20"/>
      <c r="AT53" s="20"/>
      <c r="AU53" s="20"/>
      <c r="AV53" s="20"/>
      <c r="AW53" s="20"/>
      <c r="AX53" s="56"/>
      <c r="AZ53" s="60">
        <v>1.4790000000000001</v>
      </c>
      <c r="BA53" s="20"/>
      <c r="BB53" s="20"/>
      <c r="BC53" s="20"/>
      <c r="BD53" s="20"/>
      <c r="BE53" s="13">
        <f t="shared" si="92"/>
        <v>1.4790000000000001</v>
      </c>
      <c r="BF53" s="19">
        <f t="shared" si="85"/>
        <v>0</v>
      </c>
      <c r="BG53" s="60">
        <v>2.3410000000000002</v>
      </c>
      <c r="BH53" s="20"/>
      <c r="BI53" s="20"/>
      <c r="BJ53" s="20"/>
      <c r="BK53" s="20"/>
      <c r="BL53" s="13">
        <f t="shared" si="93"/>
        <v>2.3410000000000002</v>
      </c>
      <c r="BM53" s="19">
        <f t="shared" si="86"/>
        <v>0</v>
      </c>
      <c r="BN53" s="60">
        <v>9.8000000000000004E-2</v>
      </c>
      <c r="BO53" s="20"/>
      <c r="BP53" s="20"/>
      <c r="BQ53" s="20"/>
      <c r="BR53" s="20"/>
      <c r="BS53" s="13">
        <f t="shared" si="94"/>
        <v>9.8000000000000004E-2</v>
      </c>
      <c r="BT53" s="19">
        <f t="shared" si="87"/>
        <v>0</v>
      </c>
      <c r="BU53" s="20"/>
      <c r="BV53" s="20"/>
      <c r="BW53" s="20"/>
      <c r="BX53" s="20"/>
      <c r="BY53" s="20"/>
      <c r="BZ53" s="20"/>
      <c r="CA53" s="56"/>
      <c r="CC53" s="27"/>
    </row>
    <row r="54" spans="1:81" x14ac:dyDescent="0.2">
      <c r="A54" s="29" t="s">
        <v>81</v>
      </c>
      <c r="B54" s="60">
        <v>9.7200000000000006</v>
      </c>
      <c r="C54" s="20"/>
      <c r="D54" s="20"/>
      <c r="E54" s="20"/>
      <c r="F54" s="20"/>
      <c r="G54" s="13">
        <f t="shared" si="88"/>
        <v>9.7200000000000006</v>
      </c>
      <c r="H54" s="19">
        <f t="shared" si="81"/>
        <v>0</v>
      </c>
      <c r="I54" s="55">
        <v>2.9990000000000001</v>
      </c>
      <c r="J54" s="20"/>
      <c r="K54" s="20"/>
      <c r="L54" s="20"/>
      <c r="M54" s="20"/>
      <c r="N54" s="13">
        <f t="shared" si="89"/>
        <v>2.9990000000000001</v>
      </c>
      <c r="O54" s="19">
        <f t="shared" si="82"/>
        <v>0</v>
      </c>
      <c r="P54" s="60">
        <v>5.32</v>
      </c>
      <c r="Q54" s="20"/>
      <c r="R54" s="20"/>
      <c r="S54" s="20"/>
      <c r="T54" s="20"/>
      <c r="U54" s="13">
        <f t="shared" si="90"/>
        <v>5.32</v>
      </c>
      <c r="V54" s="19">
        <f t="shared" si="83"/>
        <v>0</v>
      </c>
      <c r="W54" s="60">
        <v>2.6789999999999998</v>
      </c>
      <c r="X54" s="20"/>
      <c r="Y54" s="20"/>
      <c r="Z54" s="20"/>
      <c r="AA54" s="20"/>
      <c r="AB54" s="13">
        <f t="shared" si="91"/>
        <v>2.6789999999999998</v>
      </c>
      <c r="AC54" s="19">
        <f t="shared" si="84"/>
        <v>0</v>
      </c>
      <c r="AD54" s="60">
        <v>0.187</v>
      </c>
      <c r="AE54" s="20"/>
      <c r="AF54" s="20"/>
      <c r="AG54" s="20"/>
      <c r="AH54" s="20"/>
      <c r="AI54" s="13">
        <f t="shared" si="95"/>
        <v>0.187</v>
      </c>
      <c r="AJ54" s="19">
        <f t="shared" si="96"/>
        <v>0</v>
      </c>
      <c r="AK54" s="20"/>
      <c r="AL54" s="20"/>
      <c r="AM54" s="20"/>
      <c r="AN54" s="20"/>
      <c r="AO54" s="20"/>
      <c r="AP54" s="20"/>
      <c r="AQ54" s="20"/>
      <c r="AR54" s="29"/>
      <c r="AS54" s="20"/>
      <c r="AT54" s="20"/>
      <c r="AU54" s="20"/>
      <c r="AV54" s="20"/>
      <c r="AW54" s="20"/>
      <c r="AX54" s="56"/>
      <c r="AZ54" s="60">
        <v>1.478</v>
      </c>
      <c r="BA54" s="20"/>
      <c r="BB54" s="20"/>
      <c r="BC54" s="20"/>
      <c r="BD54" s="20"/>
      <c r="BE54" s="13">
        <f t="shared" si="92"/>
        <v>1.478</v>
      </c>
      <c r="BF54" s="19">
        <f t="shared" si="85"/>
        <v>0</v>
      </c>
      <c r="BG54" s="60">
        <v>2.0699999999999998</v>
      </c>
      <c r="BH54" s="20"/>
      <c r="BI54" s="20"/>
      <c r="BJ54" s="20"/>
      <c r="BK54" s="20"/>
      <c r="BL54" s="13">
        <f t="shared" si="93"/>
        <v>2.0699999999999998</v>
      </c>
      <c r="BM54" s="19">
        <f t="shared" si="86"/>
        <v>0</v>
      </c>
      <c r="BN54" s="60">
        <v>0.1</v>
      </c>
      <c r="BO54" s="20"/>
      <c r="BP54" s="20"/>
      <c r="BQ54" s="20"/>
      <c r="BR54" s="20"/>
      <c r="BS54" s="13">
        <f t="shared" si="94"/>
        <v>0.1</v>
      </c>
      <c r="BT54" s="19">
        <f t="shared" si="87"/>
        <v>0</v>
      </c>
      <c r="BU54" s="20"/>
      <c r="BV54" s="20"/>
      <c r="BW54" s="20"/>
      <c r="BX54" s="20"/>
      <c r="BY54" s="20"/>
      <c r="BZ54" s="20"/>
      <c r="CA54" s="56"/>
      <c r="CC54" s="27"/>
    </row>
    <row r="55" spans="1:81" x14ac:dyDescent="0.2">
      <c r="A55" s="29" t="s">
        <v>82</v>
      </c>
      <c r="B55" s="60">
        <v>10.034000000000001</v>
      </c>
      <c r="C55" s="20"/>
      <c r="D55" s="20"/>
      <c r="E55" s="20"/>
      <c r="F55" s="20"/>
      <c r="G55" s="13">
        <f t="shared" si="88"/>
        <v>10.034000000000001</v>
      </c>
      <c r="H55" s="19">
        <f t="shared" si="81"/>
        <v>0</v>
      </c>
      <c r="I55" s="55">
        <v>2.6080000000000001</v>
      </c>
      <c r="J55" s="20"/>
      <c r="K55" s="20"/>
      <c r="L55" s="20"/>
      <c r="M55" s="20"/>
      <c r="N55" s="13">
        <f t="shared" si="89"/>
        <v>2.6080000000000001</v>
      </c>
      <c r="O55" s="19">
        <f t="shared" si="82"/>
        <v>0</v>
      </c>
      <c r="P55" s="60">
        <v>3.0409999999999999</v>
      </c>
      <c r="Q55" s="20"/>
      <c r="R55" s="20"/>
      <c r="S55" s="20"/>
      <c r="T55" s="20"/>
      <c r="U55" s="13">
        <f t="shared" si="90"/>
        <v>3.0409999999999999</v>
      </c>
      <c r="V55" s="19">
        <f t="shared" si="83"/>
        <v>0</v>
      </c>
      <c r="W55" s="60">
        <v>2.5939999999999999</v>
      </c>
      <c r="X55" s="20"/>
      <c r="Y55" s="20"/>
      <c r="Z55" s="20"/>
      <c r="AA55" s="20"/>
      <c r="AB55" s="13">
        <f t="shared" si="91"/>
        <v>2.5939999999999999</v>
      </c>
      <c r="AC55" s="19">
        <f t="shared" si="84"/>
        <v>0</v>
      </c>
      <c r="AD55" s="60">
        <v>0.20300000000000001</v>
      </c>
      <c r="AE55" s="20"/>
      <c r="AF55" s="20"/>
      <c r="AG55" s="20"/>
      <c r="AH55" s="20"/>
      <c r="AI55" s="13">
        <f t="shared" si="95"/>
        <v>0.20300000000000001</v>
      </c>
      <c r="AJ55" s="19">
        <f t="shared" si="96"/>
        <v>0</v>
      </c>
      <c r="AK55" s="20"/>
      <c r="AL55" s="20"/>
      <c r="AM55" s="20"/>
      <c r="AN55" s="20"/>
      <c r="AO55" s="20"/>
      <c r="AP55" s="20"/>
      <c r="AQ55" s="20"/>
      <c r="AR55" s="29"/>
      <c r="AS55" s="20"/>
      <c r="AT55" s="20"/>
      <c r="AU55" s="20"/>
      <c r="AV55" s="20"/>
      <c r="AW55" s="20"/>
      <c r="AX55" s="56"/>
      <c r="AZ55" s="60">
        <v>1.55</v>
      </c>
      <c r="BA55" s="20"/>
      <c r="BB55" s="20"/>
      <c r="BC55" s="20"/>
      <c r="BD55" s="20"/>
      <c r="BE55" s="13">
        <f t="shared" si="92"/>
        <v>1.55</v>
      </c>
      <c r="BF55" s="19">
        <f t="shared" si="85"/>
        <v>0</v>
      </c>
      <c r="BG55" s="60">
        <v>1.9890000000000001</v>
      </c>
      <c r="BH55" s="20"/>
      <c r="BI55" s="20"/>
      <c r="BJ55" s="20"/>
      <c r="BK55" s="20"/>
      <c r="BL55" s="13">
        <f t="shared" si="93"/>
        <v>1.9890000000000001</v>
      </c>
      <c r="BM55" s="19">
        <f t="shared" si="86"/>
        <v>0</v>
      </c>
      <c r="BN55" s="60">
        <v>0.107</v>
      </c>
      <c r="BO55" s="20"/>
      <c r="BP55" s="20"/>
      <c r="BQ55" s="20"/>
      <c r="BR55" s="20"/>
      <c r="BS55" s="13">
        <f t="shared" si="94"/>
        <v>0.107</v>
      </c>
      <c r="BT55" s="19">
        <f t="shared" si="87"/>
        <v>0</v>
      </c>
      <c r="BU55" s="20"/>
      <c r="BV55" s="20"/>
      <c r="BW55" s="20"/>
      <c r="BX55" s="20"/>
      <c r="BY55" s="20"/>
      <c r="BZ55" s="20"/>
      <c r="CA55" s="56"/>
      <c r="CC55" s="27"/>
    </row>
    <row r="56" spans="1:81" x14ac:dyDescent="0.2">
      <c r="A56" s="29" t="s">
        <v>83</v>
      </c>
      <c r="B56" s="60">
        <v>10.215999999999999</v>
      </c>
      <c r="C56" s="20"/>
      <c r="D56" s="20"/>
      <c r="E56" s="20"/>
      <c r="F56" s="20"/>
      <c r="G56" s="13">
        <f t="shared" si="88"/>
        <v>10.215999999999999</v>
      </c>
      <c r="H56" s="19">
        <f t="shared" si="81"/>
        <v>0</v>
      </c>
      <c r="I56" s="55">
        <v>2.7949999999999999</v>
      </c>
      <c r="J56" s="20"/>
      <c r="K56" s="20"/>
      <c r="L56" s="20"/>
      <c r="M56" s="20"/>
      <c r="N56" s="13">
        <f t="shared" si="89"/>
        <v>2.7949999999999999</v>
      </c>
      <c r="O56" s="19">
        <f t="shared" si="82"/>
        <v>0</v>
      </c>
      <c r="P56" s="60">
        <v>3.2240000000000002</v>
      </c>
      <c r="Q56" s="20"/>
      <c r="R56" s="20"/>
      <c r="S56" s="20"/>
      <c r="T56" s="20"/>
      <c r="U56" s="13">
        <f t="shared" si="90"/>
        <v>3.2240000000000002</v>
      </c>
      <c r="V56" s="19">
        <f t="shared" si="83"/>
        <v>0</v>
      </c>
      <c r="W56" s="60">
        <v>2.6549999999999998</v>
      </c>
      <c r="X56" s="20"/>
      <c r="Y56" s="20"/>
      <c r="Z56" s="20"/>
      <c r="AA56" s="20"/>
      <c r="AB56" s="13">
        <f t="shared" si="91"/>
        <v>2.6549999999999998</v>
      </c>
      <c r="AC56" s="19">
        <f t="shared" si="84"/>
        <v>0</v>
      </c>
      <c r="AD56" s="60">
        <v>0.188</v>
      </c>
      <c r="AE56" s="20"/>
      <c r="AF56" s="20"/>
      <c r="AG56" s="20"/>
      <c r="AH56" s="20"/>
      <c r="AI56" s="13">
        <f t="shared" si="95"/>
        <v>0.188</v>
      </c>
      <c r="AJ56" s="19">
        <f t="shared" si="96"/>
        <v>0</v>
      </c>
      <c r="AK56" s="20"/>
      <c r="AL56" s="20"/>
      <c r="AM56" s="20"/>
      <c r="AN56" s="20"/>
      <c r="AO56" s="20"/>
      <c r="AP56" s="20"/>
      <c r="AQ56" s="20"/>
      <c r="AR56" s="29"/>
      <c r="AS56" s="20"/>
      <c r="AT56" s="20"/>
      <c r="AU56" s="20"/>
      <c r="AV56" s="20"/>
      <c r="AW56" s="20"/>
      <c r="AX56" s="56"/>
      <c r="AZ56" s="60">
        <v>1.538</v>
      </c>
      <c r="BA56" s="20"/>
      <c r="BB56" s="20"/>
      <c r="BC56" s="20"/>
      <c r="BD56" s="20"/>
      <c r="BE56" s="13">
        <f t="shared" si="92"/>
        <v>1.538</v>
      </c>
      <c r="BF56" s="19">
        <f t="shared" si="85"/>
        <v>0</v>
      </c>
      <c r="BG56" s="60">
        <v>2.0219999999999998</v>
      </c>
      <c r="BH56" s="20"/>
      <c r="BI56" s="20"/>
      <c r="BJ56" s="20"/>
      <c r="BK56" s="20"/>
      <c r="BL56" s="13">
        <f t="shared" si="93"/>
        <v>2.0219999999999998</v>
      </c>
      <c r="BM56" s="19">
        <f t="shared" si="86"/>
        <v>0</v>
      </c>
      <c r="BN56" s="60">
        <v>0.107</v>
      </c>
      <c r="BO56" s="20"/>
      <c r="BP56" s="20"/>
      <c r="BQ56" s="20"/>
      <c r="BR56" s="20"/>
      <c r="BS56" s="13">
        <f t="shared" si="94"/>
        <v>0.107</v>
      </c>
      <c r="BT56" s="19">
        <f t="shared" si="87"/>
        <v>0</v>
      </c>
      <c r="BU56" s="20"/>
      <c r="BV56" s="20"/>
      <c r="BW56" s="20"/>
      <c r="BX56" s="20"/>
      <c r="BY56" s="20"/>
      <c r="BZ56" s="20"/>
      <c r="CA56" s="56"/>
      <c r="CC56" s="27"/>
    </row>
    <row r="57" spans="1:81" x14ac:dyDescent="0.2">
      <c r="A57" s="30" t="s">
        <v>84</v>
      </c>
      <c r="B57" s="61">
        <v>9.5510000000000002</v>
      </c>
      <c r="C57" s="51"/>
      <c r="D57" s="51"/>
      <c r="E57" s="51"/>
      <c r="F57" s="51"/>
      <c r="G57" s="23">
        <f t="shared" si="88"/>
        <v>9.5510000000000002</v>
      </c>
      <c r="H57" s="24">
        <f t="shared" si="81"/>
        <v>0</v>
      </c>
      <c r="I57" s="57">
        <v>2.6309999999999998</v>
      </c>
      <c r="J57" s="51"/>
      <c r="K57" s="51"/>
      <c r="L57" s="51"/>
      <c r="M57" s="51"/>
      <c r="N57" s="23">
        <f t="shared" si="89"/>
        <v>2.6309999999999998</v>
      </c>
      <c r="O57" s="24">
        <f t="shared" si="82"/>
        <v>0</v>
      </c>
      <c r="P57" s="61">
        <v>4.8650000000000002</v>
      </c>
      <c r="Q57" s="51"/>
      <c r="R57" s="51"/>
      <c r="S57" s="51"/>
      <c r="T57" s="51"/>
      <c r="U57" s="23">
        <f t="shared" si="90"/>
        <v>4.8650000000000002</v>
      </c>
      <c r="V57" s="24">
        <f t="shared" si="83"/>
        <v>0</v>
      </c>
      <c r="W57" s="61">
        <v>2.5790000000000002</v>
      </c>
      <c r="X57" s="51"/>
      <c r="Y57" s="51"/>
      <c r="Z57" s="51"/>
      <c r="AA57" s="51"/>
      <c r="AB57" s="23">
        <f t="shared" si="91"/>
        <v>2.5790000000000002</v>
      </c>
      <c r="AC57" s="24">
        <f t="shared" si="84"/>
        <v>0</v>
      </c>
      <c r="AD57" s="61">
        <v>0.16900000000000001</v>
      </c>
      <c r="AE57" s="51"/>
      <c r="AF57" s="51"/>
      <c r="AG57" s="51"/>
      <c r="AH57" s="51"/>
      <c r="AI57" s="23">
        <f t="shared" si="95"/>
        <v>0.16900000000000001</v>
      </c>
      <c r="AJ57" s="24">
        <f t="shared" si="96"/>
        <v>0</v>
      </c>
      <c r="AK57" s="51"/>
      <c r="AL57" s="51"/>
      <c r="AM57" s="51"/>
      <c r="AN57" s="51"/>
      <c r="AO57" s="51"/>
      <c r="AP57" s="51"/>
      <c r="AQ57" s="51"/>
      <c r="AR57" s="30"/>
      <c r="AS57" s="51"/>
      <c r="AT57" s="51"/>
      <c r="AU57" s="51"/>
      <c r="AV57" s="51"/>
      <c r="AW57" s="51"/>
      <c r="AX57" s="58"/>
      <c r="AZ57" s="61">
        <v>1.546</v>
      </c>
      <c r="BA57" s="51"/>
      <c r="BB57" s="51"/>
      <c r="BC57" s="51"/>
      <c r="BD57" s="51"/>
      <c r="BE57" s="23">
        <f t="shared" si="92"/>
        <v>1.546</v>
      </c>
      <c r="BF57" s="24">
        <f t="shared" si="85"/>
        <v>0</v>
      </c>
      <c r="BG57" s="61">
        <v>1.966</v>
      </c>
      <c r="BH57" s="51"/>
      <c r="BI57" s="51"/>
      <c r="BJ57" s="51"/>
      <c r="BK57" s="51"/>
      <c r="BL57" s="23">
        <f t="shared" si="93"/>
        <v>1.966</v>
      </c>
      <c r="BM57" s="24">
        <f t="shared" si="86"/>
        <v>0</v>
      </c>
      <c r="BN57" s="61">
        <v>0.104</v>
      </c>
      <c r="BO57" s="51"/>
      <c r="BP57" s="51"/>
      <c r="BQ57" s="51"/>
      <c r="BR57" s="51"/>
      <c r="BS57" s="23">
        <f t="shared" si="94"/>
        <v>0.104</v>
      </c>
      <c r="BT57" s="24">
        <f t="shared" si="87"/>
        <v>0</v>
      </c>
      <c r="BU57" s="51"/>
      <c r="BV57" s="51"/>
      <c r="BW57" s="51"/>
      <c r="BX57" s="51"/>
      <c r="BY57" s="51"/>
      <c r="BZ57" s="51"/>
      <c r="CA57" s="58"/>
      <c r="CC57" s="28"/>
    </row>
    <row r="58" spans="1:81" x14ac:dyDescent="0.2">
      <c r="A58" s="65" t="s">
        <v>110</v>
      </c>
      <c r="B58" s="65">
        <v>11.538</v>
      </c>
      <c r="C58" s="47">
        <v>11.393000000000001</v>
      </c>
      <c r="D58" s="116" t="s">
        <v>111</v>
      </c>
      <c r="E58" s="116" t="s">
        <v>111</v>
      </c>
      <c r="F58" s="45">
        <f>STDEV(B58:E58)</f>
        <v>0.1025304832720491</v>
      </c>
      <c r="G58" s="45">
        <f t="shared" si="88"/>
        <v>11.4655</v>
      </c>
      <c r="H58" s="46">
        <f t="shared" si="81"/>
        <v>8.9425217628580599E-3</v>
      </c>
      <c r="I58" s="66">
        <v>2.0219999999999998</v>
      </c>
      <c r="J58" s="44">
        <v>2.085</v>
      </c>
      <c r="K58" s="116" t="s">
        <v>111</v>
      </c>
      <c r="L58" s="116" t="s">
        <v>111</v>
      </c>
      <c r="M58" s="45">
        <f>STDEV(I58:L58)</f>
        <v>4.4547727214752614E-2</v>
      </c>
      <c r="N58" s="45">
        <f t="shared" si="89"/>
        <v>2.0534999999999997</v>
      </c>
      <c r="O58" s="46">
        <f t="shared" si="82"/>
        <v>2.1693560854517954E-2</v>
      </c>
      <c r="P58" s="65">
        <v>8.234</v>
      </c>
      <c r="Q58" s="47">
        <v>7.6829999999999998</v>
      </c>
      <c r="R58" s="116" t="s">
        <v>111</v>
      </c>
      <c r="S58" s="116" t="s">
        <v>111</v>
      </c>
      <c r="T58" s="45">
        <f>STDEV(P58:S58)</f>
        <v>0.38961583643378778</v>
      </c>
      <c r="U58" s="45">
        <f t="shared" si="90"/>
        <v>7.9584999999999999</v>
      </c>
      <c r="V58" s="46">
        <f t="shared" si="83"/>
        <v>4.8955938485115008E-2</v>
      </c>
      <c r="W58" s="117" t="s">
        <v>111</v>
      </c>
      <c r="X58" s="116" t="s">
        <v>111</v>
      </c>
      <c r="Y58" s="116" t="s">
        <v>111</v>
      </c>
      <c r="Z58" s="116" t="s">
        <v>111</v>
      </c>
      <c r="AA58" s="45"/>
      <c r="AB58" s="45"/>
      <c r="AC58" s="46"/>
      <c r="AD58" s="66">
        <v>0.17</v>
      </c>
      <c r="AE58" s="44">
        <v>0.20899999999999999</v>
      </c>
      <c r="AF58" s="116" t="s">
        <v>111</v>
      </c>
      <c r="AG58" s="116" t="s">
        <v>111</v>
      </c>
      <c r="AH58" s="45">
        <f>STDEV(AD58:AG58)</f>
        <v>2.7577164466275558E-2</v>
      </c>
      <c r="AI58" s="45">
        <f t="shared" si="95"/>
        <v>0.1895</v>
      </c>
      <c r="AJ58" s="46">
        <f t="shared" si="96"/>
        <v>0.14552593385897392</v>
      </c>
      <c r="AK58" s="66">
        <v>0.114</v>
      </c>
      <c r="AL58" s="44">
        <v>0.11600000000000001</v>
      </c>
      <c r="AM58" s="116" t="s">
        <v>111</v>
      </c>
      <c r="AN58" s="116" t="s">
        <v>111</v>
      </c>
      <c r="AO58" s="45">
        <f>STDEV(AK58:AN58)</f>
        <v>1.4142135623730963E-3</v>
      </c>
      <c r="AP58" s="45">
        <f>AVERAGE(AK58:AN58)</f>
        <v>0.115</v>
      </c>
      <c r="AQ58" s="46">
        <f>AO58/AP58</f>
        <v>1.2297509238026924E-2</v>
      </c>
      <c r="AR58" s="117" t="s">
        <v>111</v>
      </c>
      <c r="AS58" s="116" t="s">
        <v>111</v>
      </c>
      <c r="AT58" s="116" t="s">
        <v>111</v>
      </c>
      <c r="AU58" s="116" t="s">
        <v>111</v>
      </c>
      <c r="AV58" s="116" t="s">
        <v>111</v>
      </c>
      <c r="AW58" s="45"/>
      <c r="AX58" s="46"/>
      <c r="AY58" s="56"/>
      <c r="AZ58" s="65">
        <v>1.415</v>
      </c>
      <c r="BA58" s="47">
        <v>1.391</v>
      </c>
      <c r="BB58" s="116" t="s">
        <v>111</v>
      </c>
      <c r="BC58" s="47"/>
      <c r="BD58" s="45"/>
      <c r="BE58" s="45">
        <f>AVERAGE(AZ58:BB58)</f>
        <v>1.403</v>
      </c>
      <c r="BF58" s="46">
        <f>BD58/BE58</f>
        <v>0</v>
      </c>
      <c r="BG58" s="66">
        <v>0.21</v>
      </c>
      <c r="BH58" s="44">
        <v>0.182</v>
      </c>
      <c r="BI58" s="116" t="s">
        <v>111</v>
      </c>
      <c r="BJ58" s="116" t="s">
        <v>111</v>
      </c>
      <c r="BK58" s="45">
        <f>STDEV(BG58:BJ58)</f>
        <v>1.9798989873223326E-2</v>
      </c>
      <c r="BL58" s="45">
        <f>AVERAGE(BG58:BJ58)</f>
        <v>0.19600000000000001</v>
      </c>
      <c r="BM58" s="46">
        <f>BK58/BL58</f>
        <v>0.10101525445522105</v>
      </c>
      <c r="BN58" s="66">
        <v>0.11899999999999999</v>
      </c>
      <c r="BO58" s="44">
        <v>0.12</v>
      </c>
      <c r="BP58" s="44"/>
      <c r="BQ58" s="118" t="s">
        <v>111</v>
      </c>
      <c r="BR58" s="45">
        <f>STDEV(BN58:BQ58)</f>
        <v>7.0710678118654816E-4</v>
      </c>
      <c r="BS58" s="45">
        <f>AVERAGE(BN58:BQ58)</f>
        <v>0.1195</v>
      </c>
      <c r="BT58" s="46">
        <f>BR58/BS58</f>
        <v>5.917211558046428E-3</v>
      </c>
      <c r="BU58" s="119" t="s">
        <v>111</v>
      </c>
      <c r="BV58" s="118" t="s">
        <v>111</v>
      </c>
      <c r="BW58" s="116" t="s">
        <v>111</v>
      </c>
      <c r="BX58" s="116" t="s">
        <v>111</v>
      </c>
      <c r="BY58" s="116" t="s">
        <v>111</v>
      </c>
      <c r="BZ58" s="47"/>
      <c r="CA58" s="120"/>
      <c r="CB58" s="56"/>
      <c r="CC58" s="121" t="s">
        <v>111</v>
      </c>
    </row>
    <row r="60" spans="1:81" x14ac:dyDescent="0.2">
      <c r="A60" s="36" t="s">
        <v>56</v>
      </c>
      <c r="B60" s="59">
        <v>9.577</v>
      </c>
      <c r="C60" s="53">
        <v>9.6709999999999994</v>
      </c>
      <c r="D60" s="34"/>
      <c r="E60" s="34"/>
      <c r="F60" s="39">
        <f>STDEV(B60:E60)</f>
        <v>6.6468037431535051E-2</v>
      </c>
      <c r="G60" s="39">
        <f>AVERAGE(B60:E60)</f>
        <v>9.6239999999999988</v>
      </c>
      <c r="H60" s="41">
        <f>F60/G60</f>
        <v>6.9064876799184395E-3</v>
      </c>
      <c r="I60" s="59">
        <v>3.7490000000000001</v>
      </c>
      <c r="J60" s="53">
        <v>3.702</v>
      </c>
      <c r="K60" s="34"/>
      <c r="L60" s="34"/>
      <c r="M60" s="39">
        <f>STDEV(I60:L60)</f>
        <v>3.3234018715767845E-2</v>
      </c>
      <c r="N60" s="39">
        <f>AVERAGE(I60:L60)</f>
        <v>3.7255000000000003</v>
      </c>
      <c r="O60" s="41">
        <f>M60/N60</f>
        <v>8.9206868113723917E-3</v>
      </c>
      <c r="P60" s="59">
        <v>5.5979999999999999</v>
      </c>
      <c r="Q60" s="53">
        <v>5.5759999999999996</v>
      </c>
      <c r="R60" s="34"/>
      <c r="S60" s="34"/>
      <c r="T60" s="39">
        <f>STDEV(P60:S60)</f>
        <v>1.5556349186104216E-2</v>
      </c>
      <c r="U60" s="39">
        <f>AVERAGE(P60:S60)</f>
        <v>5.5869999999999997</v>
      </c>
      <c r="V60" s="41">
        <f>T60/U60</f>
        <v>2.7843832443358182E-3</v>
      </c>
      <c r="W60" s="53">
        <v>1.6040000000000001</v>
      </c>
      <c r="X60" s="53">
        <v>1.6140000000000001</v>
      </c>
      <c r="Y60" s="34"/>
      <c r="Z60" s="34"/>
      <c r="AA60" s="39">
        <f t="shared" ref="AA60:AA66" si="97">STDEV(W60:Z60)</f>
        <v>7.0710678118654814E-3</v>
      </c>
      <c r="AB60" s="39">
        <f t="shared" ref="AB60:AB66" si="98">AVERAGE(W60:Z60)</f>
        <v>1.609</v>
      </c>
      <c r="AC60" s="41">
        <f t="shared" ref="AC60:AC66" si="99">AA60/AB60</f>
        <v>4.3946972106062654E-3</v>
      </c>
      <c r="AD60" s="53">
        <v>0.20100000000000001</v>
      </c>
      <c r="AE60" s="53">
        <v>0.24</v>
      </c>
      <c r="AF60" s="34"/>
      <c r="AG60" s="34"/>
      <c r="AH60" s="39">
        <f>STDEV(AD60:AG60)</f>
        <v>2.7577164466275339E-2</v>
      </c>
      <c r="AI60" s="39">
        <f t="shared" ref="AI60:AI66" si="100">AVERAGE(AD60:AG60)</f>
        <v>0.2205</v>
      </c>
      <c r="AJ60" s="41">
        <f t="shared" ref="AJ60:AJ66" si="101">AH60/AI60</f>
        <v>0.12506650551598794</v>
      </c>
      <c r="AK60" s="53">
        <v>8.7999999999999995E-2</v>
      </c>
      <c r="AL60" s="53">
        <v>8.4000000000000005E-2</v>
      </c>
      <c r="AM60" s="34"/>
      <c r="AN60" s="34"/>
      <c r="AO60" s="39">
        <f>STDEV(AK60:AN60)</f>
        <v>2.8284271247461827E-3</v>
      </c>
      <c r="AP60" s="39">
        <f t="shared" ref="AP60:AP66" si="102">AVERAGE(AK60:AN60)</f>
        <v>8.5999999999999993E-2</v>
      </c>
      <c r="AQ60" s="41">
        <f t="shared" ref="AQ60:AQ66" si="103">AO60/AP60</f>
        <v>3.2888687497048638E-2</v>
      </c>
      <c r="AR60" s="34"/>
      <c r="AS60" s="34"/>
      <c r="AT60" s="34"/>
      <c r="AU60" s="34"/>
      <c r="AV60" s="34"/>
      <c r="AW60" s="34"/>
      <c r="AX60" s="54"/>
      <c r="AZ60" s="59">
        <v>1.409</v>
      </c>
      <c r="BA60" s="53">
        <v>1.3939999999999999</v>
      </c>
      <c r="BB60" s="34"/>
      <c r="BC60" s="34"/>
      <c r="BD60" s="39">
        <f>STDEV(AZ60:BC60)</f>
        <v>1.06066017177983E-2</v>
      </c>
      <c r="BE60" s="39">
        <f t="shared" ref="BE60:BE66" si="104">AVERAGE(AZ60:BC60)</f>
        <v>1.4015</v>
      </c>
      <c r="BF60" s="41">
        <f t="shared" ref="BF60:BF66" si="105">BD60/BE60</f>
        <v>7.5680354747044596E-3</v>
      </c>
      <c r="BG60" s="53">
        <v>1.8109999999999999</v>
      </c>
      <c r="BH60" s="53">
        <v>1.865</v>
      </c>
      <c r="BI60" s="34"/>
      <c r="BJ60" s="34"/>
      <c r="BK60" s="39">
        <f>STDEV(BG60:BJ60)</f>
        <v>3.8183766184073605E-2</v>
      </c>
      <c r="BL60" s="39">
        <f t="shared" ref="BL60:BL66" si="106">AVERAGE(BG60:BJ60)</f>
        <v>1.8380000000000001</v>
      </c>
      <c r="BM60" s="41">
        <f t="shared" ref="BM60:BM66" si="107">BK60/BL60</f>
        <v>2.0774627956514472E-2</v>
      </c>
      <c r="BN60" s="53">
        <v>8.4000000000000005E-2</v>
      </c>
      <c r="BO60" s="53">
        <v>9.4E-2</v>
      </c>
      <c r="BP60" s="34"/>
      <c r="BQ60" s="34"/>
      <c r="BR60" s="39">
        <f>STDEV(BN60:BQ60)</f>
        <v>7.0710678118654719E-3</v>
      </c>
      <c r="BS60" s="39">
        <f t="shared" ref="BS60:BS66" si="108">AVERAGE(BN60:BQ60)</f>
        <v>8.8999999999999996E-2</v>
      </c>
      <c r="BT60" s="41">
        <f t="shared" ref="BT60:BT66" si="109">BR60/BS60</f>
        <v>7.9450200133319909E-2</v>
      </c>
      <c r="BU60" s="34"/>
      <c r="BV60" s="34"/>
      <c r="BW60" s="34"/>
      <c r="BX60" s="34"/>
      <c r="BY60" s="34"/>
      <c r="BZ60" s="34"/>
      <c r="CA60" s="54"/>
      <c r="CC60" s="68"/>
    </row>
    <row r="61" spans="1:81" x14ac:dyDescent="0.2">
      <c r="A61" s="29" t="s">
        <v>60</v>
      </c>
      <c r="B61" s="60">
        <v>7.8079999999999998</v>
      </c>
      <c r="C61" s="55">
        <v>7.7830000000000004</v>
      </c>
      <c r="D61" s="20"/>
      <c r="E61" s="55"/>
      <c r="F61" s="13">
        <f t="shared" ref="F61:F66" si="110">STDEV(B61:E61)</f>
        <v>1.7677669529663313E-2</v>
      </c>
      <c r="G61" s="13">
        <f t="shared" ref="G61:G66" si="111">AVERAGE(B61:E61)</f>
        <v>7.7955000000000005</v>
      </c>
      <c r="H61" s="19">
        <f t="shared" ref="H61:H66" si="112">F61/G61</f>
        <v>2.2676761631278703E-3</v>
      </c>
      <c r="I61" s="60">
        <v>5.008</v>
      </c>
      <c r="J61" s="55">
        <v>5.05</v>
      </c>
      <c r="K61" s="55"/>
      <c r="L61" s="20"/>
      <c r="M61" s="13">
        <f t="shared" ref="M61:M66" si="113">STDEV(I61:L61)</f>
        <v>2.9698484809834867E-2</v>
      </c>
      <c r="N61" s="13">
        <f t="shared" ref="N61:N66" si="114">AVERAGE(I61:L61)</f>
        <v>5.0289999999999999</v>
      </c>
      <c r="O61" s="19">
        <f t="shared" ref="O61:O66" si="115">M61/N61</f>
        <v>5.9054453787701069E-3</v>
      </c>
      <c r="P61" s="60">
        <v>0.77400000000000002</v>
      </c>
      <c r="Q61" s="55">
        <v>0.81200000000000006</v>
      </c>
      <c r="R61" s="20"/>
      <c r="S61" s="20"/>
      <c r="T61" s="13">
        <f t="shared" ref="T61:T66" si="116">STDEV(P61:S61)</f>
        <v>2.6870057685088829E-2</v>
      </c>
      <c r="U61" s="13">
        <f t="shared" ref="U61:U66" si="117">AVERAGE(P61:S61)</f>
        <v>0.79300000000000004</v>
      </c>
      <c r="V61" s="19">
        <f t="shared" ref="V61:V66" si="118">T61/U61</f>
        <v>3.3884057610452496E-2</v>
      </c>
      <c r="W61" s="55">
        <v>2.6230000000000002</v>
      </c>
      <c r="X61" s="55">
        <v>2.6339999999999999</v>
      </c>
      <c r="Y61" s="20"/>
      <c r="Z61" s="20"/>
      <c r="AA61" s="13">
        <f t="shared" si="97"/>
        <v>7.778174593051794E-3</v>
      </c>
      <c r="AB61" s="13">
        <f t="shared" si="98"/>
        <v>2.6284999999999998</v>
      </c>
      <c r="AC61" s="19">
        <f t="shared" si="99"/>
        <v>2.9591685725896119E-3</v>
      </c>
      <c r="AD61" s="55">
        <v>0.16400000000000001</v>
      </c>
      <c r="AE61" s="55">
        <v>0.155</v>
      </c>
      <c r="AF61" s="20"/>
      <c r="AG61" s="20"/>
      <c r="AH61" s="13">
        <f>STDEV(AD61:AG61)</f>
        <v>6.3639610306789329E-3</v>
      </c>
      <c r="AI61" s="13">
        <f t="shared" si="100"/>
        <v>0.1595</v>
      </c>
      <c r="AJ61" s="19">
        <f t="shared" si="101"/>
        <v>3.9899442198614E-2</v>
      </c>
      <c r="AK61" s="55">
        <v>7.6999999999999999E-2</v>
      </c>
      <c r="AL61" s="55">
        <v>0.09</v>
      </c>
      <c r="AM61" s="20"/>
      <c r="AN61" s="20"/>
      <c r="AO61" s="13">
        <f>STDEV(AK61:AN61)</f>
        <v>9.1923881554251165E-3</v>
      </c>
      <c r="AP61" s="13">
        <f t="shared" si="102"/>
        <v>8.3499999999999991E-2</v>
      </c>
      <c r="AQ61" s="19">
        <f t="shared" si="103"/>
        <v>0.11008848090329482</v>
      </c>
      <c r="AR61" s="20"/>
      <c r="AS61" s="20"/>
      <c r="AT61" s="20"/>
      <c r="AU61" s="20"/>
      <c r="AV61" s="20"/>
      <c r="AW61" s="20"/>
      <c r="AX61" s="56"/>
      <c r="AZ61" s="60">
        <v>1.371</v>
      </c>
      <c r="BA61" s="55">
        <v>1.369</v>
      </c>
      <c r="BB61" s="20"/>
      <c r="BC61" s="20"/>
      <c r="BD61" s="13">
        <f>STDEV(AZ61:BC61)</f>
        <v>1.4142135623730963E-3</v>
      </c>
      <c r="BE61" s="13">
        <f t="shared" si="104"/>
        <v>1.37</v>
      </c>
      <c r="BF61" s="19">
        <f t="shared" si="105"/>
        <v>1.0322726732650337E-3</v>
      </c>
      <c r="BG61" s="55">
        <v>2.6520000000000001</v>
      </c>
      <c r="BH61" s="55">
        <v>2.6309999999999998</v>
      </c>
      <c r="BI61" s="20"/>
      <c r="BJ61" s="20"/>
      <c r="BK61" s="13">
        <f>STDEV(BG61:BJ61)</f>
        <v>1.4849242404917747E-2</v>
      </c>
      <c r="BL61" s="13">
        <f t="shared" si="106"/>
        <v>2.6414999999999997</v>
      </c>
      <c r="BM61" s="19">
        <f t="shared" si="107"/>
        <v>5.6215189872866741E-3</v>
      </c>
      <c r="BN61" s="55">
        <v>7.6999999999999999E-2</v>
      </c>
      <c r="BO61" s="55">
        <v>7.6999999999999999E-2</v>
      </c>
      <c r="BP61" s="20"/>
      <c r="BQ61" s="20"/>
      <c r="BR61" s="13">
        <f>STDEV(BN61:BQ61)</f>
        <v>0</v>
      </c>
      <c r="BS61" s="13">
        <f t="shared" si="108"/>
        <v>7.6999999999999999E-2</v>
      </c>
      <c r="BT61" s="19">
        <f t="shared" si="109"/>
        <v>0</v>
      </c>
      <c r="BU61" s="20"/>
      <c r="BV61" s="20"/>
      <c r="BW61" s="20"/>
      <c r="BX61" s="20"/>
      <c r="BY61" s="20"/>
      <c r="BZ61" s="20"/>
      <c r="CA61" s="56"/>
      <c r="CC61" s="27"/>
    </row>
    <row r="62" spans="1:81" x14ac:dyDescent="0.2">
      <c r="A62" s="29" t="s">
        <v>65</v>
      </c>
      <c r="B62" s="60">
        <v>7.7240000000000002</v>
      </c>
      <c r="C62" s="20"/>
      <c r="D62" s="20"/>
      <c r="E62" s="55"/>
      <c r="F62" s="13"/>
      <c r="G62" s="13">
        <f t="shared" si="111"/>
        <v>7.7240000000000002</v>
      </c>
      <c r="H62" s="19">
        <f t="shared" si="112"/>
        <v>0</v>
      </c>
      <c r="I62" s="60">
        <v>4.8150000000000004</v>
      </c>
      <c r="J62" s="20"/>
      <c r="K62" s="55"/>
      <c r="L62" s="20"/>
      <c r="M62" s="13"/>
      <c r="N62" s="13">
        <f t="shared" si="114"/>
        <v>4.8150000000000004</v>
      </c>
      <c r="O62" s="19">
        <f t="shared" si="115"/>
        <v>0</v>
      </c>
      <c r="P62" s="60">
        <v>3.8780000000000001</v>
      </c>
      <c r="Q62" s="20"/>
      <c r="R62" s="20"/>
      <c r="S62" s="20"/>
      <c r="T62" s="13"/>
      <c r="U62" s="13">
        <f t="shared" si="117"/>
        <v>3.8780000000000001</v>
      </c>
      <c r="V62" s="19">
        <f t="shared" si="118"/>
        <v>0</v>
      </c>
      <c r="W62" s="55">
        <v>2.556</v>
      </c>
      <c r="X62" s="20"/>
      <c r="Y62" s="20"/>
      <c r="Z62" s="20"/>
      <c r="AA62" s="13"/>
      <c r="AB62" s="13">
        <f t="shared" si="98"/>
        <v>2.556</v>
      </c>
      <c r="AC62" s="19">
        <f t="shared" si="99"/>
        <v>0</v>
      </c>
      <c r="AD62" s="55">
        <v>0.20200000000000001</v>
      </c>
      <c r="AE62" s="20"/>
      <c r="AF62" s="20"/>
      <c r="AG62" s="20"/>
      <c r="AH62" s="13"/>
      <c r="AI62" s="13">
        <f t="shared" si="100"/>
        <v>0.20200000000000001</v>
      </c>
      <c r="AJ62" s="19">
        <f t="shared" si="101"/>
        <v>0</v>
      </c>
      <c r="AK62" s="55">
        <v>6.9000000000000006E-2</v>
      </c>
      <c r="AL62" s="20"/>
      <c r="AM62" s="20"/>
      <c r="AN62" s="20"/>
      <c r="AO62" s="13"/>
      <c r="AP62" s="13">
        <f t="shared" si="102"/>
        <v>6.9000000000000006E-2</v>
      </c>
      <c r="AQ62" s="19">
        <f t="shared" si="103"/>
        <v>0</v>
      </c>
      <c r="AR62" s="20"/>
      <c r="AS62" s="20"/>
      <c r="AT62" s="20"/>
      <c r="AU62" s="20"/>
      <c r="AV62" s="20"/>
      <c r="AW62" s="20"/>
      <c r="AX62" s="56"/>
      <c r="AZ62" s="60">
        <v>1.4870000000000001</v>
      </c>
      <c r="BA62" s="20"/>
      <c r="BB62" s="20"/>
      <c r="BC62" s="20"/>
      <c r="BD62" s="13"/>
      <c r="BE62" s="13">
        <f t="shared" si="104"/>
        <v>1.4870000000000001</v>
      </c>
      <c r="BF62" s="19">
        <f t="shared" si="105"/>
        <v>0</v>
      </c>
      <c r="BG62" s="55">
        <v>2.7559999999999998</v>
      </c>
      <c r="BH62" s="20"/>
      <c r="BI62" s="20"/>
      <c r="BJ62" s="20"/>
      <c r="BK62" s="13"/>
      <c r="BL62" s="13">
        <f t="shared" si="106"/>
        <v>2.7559999999999998</v>
      </c>
      <c r="BM62" s="19">
        <f t="shared" si="107"/>
        <v>0</v>
      </c>
      <c r="BN62" s="55">
        <v>7.5999999999999998E-2</v>
      </c>
      <c r="BO62" s="20"/>
      <c r="BP62" s="20"/>
      <c r="BQ62" s="20"/>
      <c r="BR62" s="13"/>
      <c r="BS62" s="13">
        <f t="shared" si="108"/>
        <v>7.5999999999999998E-2</v>
      </c>
      <c r="BT62" s="19">
        <f t="shared" si="109"/>
        <v>0</v>
      </c>
      <c r="BU62" s="20"/>
      <c r="BV62" s="20"/>
      <c r="BW62" s="20"/>
      <c r="BX62" s="20"/>
      <c r="BY62" s="20"/>
      <c r="BZ62" s="20"/>
      <c r="CA62" s="56"/>
      <c r="CC62" s="27"/>
    </row>
    <row r="63" spans="1:81" x14ac:dyDescent="0.2">
      <c r="A63" s="29" t="s">
        <v>73</v>
      </c>
      <c r="B63" s="60">
        <v>7.6669999999999998</v>
      </c>
      <c r="C63" s="55">
        <v>7.6159999999999997</v>
      </c>
      <c r="D63" s="20"/>
      <c r="E63" s="55"/>
      <c r="F63" s="13">
        <f t="shared" si="110"/>
        <v>3.6062445840514032E-2</v>
      </c>
      <c r="G63" s="13">
        <f t="shared" si="111"/>
        <v>7.6414999999999997</v>
      </c>
      <c r="H63" s="19">
        <f t="shared" si="112"/>
        <v>4.7192888622016663E-3</v>
      </c>
      <c r="I63" s="60">
        <v>4.95</v>
      </c>
      <c r="J63" s="55">
        <v>4.7430000000000003</v>
      </c>
      <c r="K63" s="55"/>
      <c r="L63" s="20"/>
      <c r="M63" s="13">
        <f t="shared" si="113"/>
        <v>0.14637110370561524</v>
      </c>
      <c r="N63" s="13">
        <f t="shared" si="114"/>
        <v>4.8465000000000007</v>
      </c>
      <c r="O63" s="19">
        <f t="shared" si="115"/>
        <v>3.0201403838979721E-2</v>
      </c>
      <c r="P63" s="60">
        <v>4.1989999999999998</v>
      </c>
      <c r="Q63" s="55">
        <v>4.1689999999999996</v>
      </c>
      <c r="R63" s="20"/>
      <c r="S63" s="20"/>
      <c r="T63" s="13">
        <f t="shared" si="116"/>
        <v>2.12132034355966E-2</v>
      </c>
      <c r="U63" s="13">
        <f t="shared" si="117"/>
        <v>4.1839999999999993</v>
      </c>
      <c r="V63" s="19">
        <f t="shared" si="118"/>
        <v>5.0700773029628598E-3</v>
      </c>
      <c r="W63" s="55">
        <v>2.5409999999999999</v>
      </c>
      <c r="X63" s="55">
        <v>2.5059999999999998</v>
      </c>
      <c r="Y63" s="20"/>
      <c r="Z63" s="20"/>
      <c r="AA63" s="13">
        <f>STDEV(W63:Z63)</f>
        <v>2.4748737341529263E-2</v>
      </c>
      <c r="AB63" s="13">
        <f>AVERAGE(W63:Z63)</f>
        <v>2.5234999999999999</v>
      </c>
      <c r="AC63" s="19">
        <f t="shared" si="99"/>
        <v>9.8073062577884937E-3</v>
      </c>
      <c r="AD63" s="55">
        <v>0.182</v>
      </c>
      <c r="AE63" s="55">
        <v>0.19700000000000001</v>
      </c>
      <c r="AF63" s="20"/>
      <c r="AG63" s="20"/>
      <c r="AH63" s="13">
        <f>STDEV(AD63:AG63)</f>
        <v>1.0606601717798222E-2</v>
      </c>
      <c r="AI63" s="13">
        <f t="shared" si="100"/>
        <v>0.1895</v>
      </c>
      <c r="AJ63" s="19">
        <f t="shared" si="101"/>
        <v>5.5971513022681912E-2</v>
      </c>
      <c r="AK63" s="55">
        <v>8.6999999999999994E-2</v>
      </c>
      <c r="AL63" s="55">
        <v>9.1999999999999998E-2</v>
      </c>
      <c r="AM63" s="20"/>
      <c r="AN63" s="20"/>
      <c r="AO63" s="13">
        <f>STDEV(AK63:AN63)</f>
        <v>3.5355339059327407E-3</v>
      </c>
      <c r="AP63" s="13">
        <f t="shared" si="102"/>
        <v>8.9499999999999996E-2</v>
      </c>
      <c r="AQ63" s="19">
        <f t="shared" si="103"/>
        <v>3.9503172133326714E-2</v>
      </c>
      <c r="AR63" s="20"/>
      <c r="AS63" s="20"/>
      <c r="AT63" s="20"/>
      <c r="AU63" s="20"/>
      <c r="AV63" s="20"/>
      <c r="AW63" s="20"/>
      <c r="AX63" s="56"/>
      <c r="AZ63" s="60">
        <v>1.444</v>
      </c>
      <c r="BA63" s="55">
        <v>1.4530000000000001</v>
      </c>
      <c r="BB63" s="20"/>
      <c r="BC63" s="20"/>
      <c r="BD63" s="13">
        <f>STDEV(AZ63:BC63)</f>
        <v>6.3639610306790119E-3</v>
      </c>
      <c r="BE63" s="13">
        <f t="shared" si="104"/>
        <v>1.4485000000000001</v>
      </c>
      <c r="BF63" s="19">
        <f t="shared" si="105"/>
        <v>4.3934836249078435E-3</v>
      </c>
      <c r="BG63" s="55">
        <v>2.484</v>
      </c>
      <c r="BH63" s="55">
        <v>2.6160000000000001</v>
      </c>
      <c r="BI63" s="20"/>
      <c r="BJ63" s="20"/>
      <c r="BK63" s="13">
        <f>STDEV(BG63:BJ63)</f>
        <v>9.3338095116624359E-2</v>
      </c>
      <c r="BL63" s="13">
        <f t="shared" si="106"/>
        <v>2.5499999999999998</v>
      </c>
      <c r="BM63" s="19">
        <f t="shared" si="107"/>
        <v>3.6603174555538964E-2</v>
      </c>
      <c r="BN63" s="55">
        <v>0.08</v>
      </c>
      <c r="BO63" s="55">
        <v>7.6999999999999999E-2</v>
      </c>
      <c r="BP63" s="20"/>
      <c r="BQ63" s="20"/>
      <c r="BR63" s="13">
        <f>STDEV(BN63:BQ63)</f>
        <v>2.1213203435596446E-3</v>
      </c>
      <c r="BS63" s="13">
        <f t="shared" si="108"/>
        <v>7.85E-2</v>
      </c>
      <c r="BT63" s="19">
        <f t="shared" si="109"/>
        <v>2.7023189089931777E-2</v>
      </c>
      <c r="BU63" s="20"/>
      <c r="BV63" s="20"/>
      <c r="BW63" s="20"/>
      <c r="BX63" s="20"/>
      <c r="BY63" s="20"/>
      <c r="BZ63" s="20"/>
      <c r="CA63" s="56"/>
      <c r="CC63" s="27"/>
    </row>
    <row r="64" spans="1:81" x14ac:dyDescent="0.2">
      <c r="A64" s="29" t="s">
        <v>85</v>
      </c>
      <c r="B64" s="60">
        <v>7.5570000000000004</v>
      </c>
      <c r="C64" s="55">
        <v>7.5270000000000001</v>
      </c>
      <c r="D64" s="20"/>
      <c r="E64" s="55"/>
      <c r="F64" s="13">
        <f t="shared" si="110"/>
        <v>2.12132034355966E-2</v>
      </c>
      <c r="G64" s="13">
        <f t="shared" si="111"/>
        <v>7.5419999999999998</v>
      </c>
      <c r="H64" s="19">
        <f t="shared" si="112"/>
        <v>2.812676138371334E-3</v>
      </c>
      <c r="I64" s="60">
        <v>4.4450000000000003</v>
      </c>
      <c r="J64" s="55">
        <v>4.4509999999999996</v>
      </c>
      <c r="K64" s="55"/>
      <c r="L64" s="20"/>
      <c r="M64" s="13">
        <f t="shared" si="113"/>
        <v>4.2426406871188182E-3</v>
      </c>
      <c r="N64" s="13">
        <f t="shared" si="114"/>
        <v>4.4480000000000004</v>
      </c>
      <c r="O64" s="19">
        <f t="shared" si="115"/>
        <v>9.5383108972995007E-4</v>
      </c>
      <c r="P64" s="60">
        <v>1.91</v>
      </c>
      <c r="Q64" s="55">
        <v>1.5860000000000001</v>
      </c>
      <c r="R64" s="20"/>
      <c r="S64" s="20"/>
      <c r="T64" s="13">
        <f t="shared" si="116"/>
        <v>0.22910259710444128</v>
      </c>
      <c r="U64" s="13">
        <f t="shared" si="117"/>
        <v>1.748</v>
      </c>
      <c r="V64" s="19">
        <f t="shared" si="118"/>
        <v>0.13106555898423414</v>
      </c>
      <c r="W64" s="55">
        <v>2.617</v>
      </c>
      <c r="X64" s="55">
        <v>2.4</v>
      </c>
      <c r="Y64" s="20"/>
      <c r="Z64" s="20"/>
      <c r="AA64" s="13">
        <f t="shared" si="97"/>
        <v>0.15344217151748088</v>
      </c>
      <c r="AB64" s="13">
        <f t="shared" si="98"/>
        <v>2.5084999999999997</v>
      </c>
      <c r="AC64" s="19">
        <f t="shared" si="99"/>
        <v>6.1168894366147454E-2</v>
      </c>
      <c r="AD64" s="55">
        <v>0.40899999999999997</v>
      </c>
      <c r="AE64" s="55">
        <v>0.32700000000000001</v>
      </c>
      <c r="AF64" s="20"/>
      <c r="AG64" s="20"/>
      <c r="AH64" s="13">
        <f>STDEV(AD64:AG64)</f>
        <v>5.798275605729717E-2</v>
      </c>
      <c r="AI64" s="13">
        <f t="shared" si="100"/>
        <v>0.36799999999999999</v>
      </c>
      <c r="AJ64" s="19">
        <f t="shared" si="101"/>
        <v>0.15756183711222058</v>
      </c>
      <c r="AK64" s="55">
        <v>6.3E-2</v>
      </c>
      <c r="AL64" s="55">
        <v>5.8999999999999997E-2</v>
      </c>
      <c r="AM64" s="20"/>
      <c r="AN64" s="20"/>
      <c r="AO64" s="13">
        <f>STDEV(AK64:AN64)</f>
        <v>2.8284271247461927E-3</v>
      </c>
      <c r="AP64" s="13">
        <f t="shared" si="102"/>
        <v>6.0999999999999999E-2</v>
      </c>
      <c r="AQ64" s="19">
        <f t="shared" si="103"/>
        <v>4.6367657782724468E-2</v>
      </c>
      <c r="AR64" s="20"/>
      <c r="AS64" s="20"/>
      <c r="AT64" s="20"/>
      <c r="AU64" s="20"/>
      <c r="AV64" s="20"/>
      <c r="AW64" s="20"/>
      <c r="AX64" s="56"/>
      <c r="AZ64" s="60">
        <v>1.4990000000000001</v>
      </c>
      <c r="BA64" s="55">
        <v>1.498</v>
      </c>
      <c r="BB64" s="20"/>
      <c r="BC64" s="20"/>
      <c r="BD64" s="13">
        <f>STDEV(AZ64:BC64)</f>
        <v>7.0710678118662666E-4</v>
      </c>
      <c r="BE64" s="13">
        <f t="shared" si="104"/>
        <v>1.4984999999999999</v>
      </c>
      <c r="BF64" s="19">
        <f t="shared" si="105"/>
        <v>4.7187639718827276E-4</v>
      </c>
      <c r="BG64" s="55">
        <v>2.5979999999999999</v>
      </c>
      <c r="BH64" s="55">
        <v>2.637</v>
      </c>
      <c r="BI64" s="20"/>
      <c r="BJ64" s="20"/>
      <c r="BK64" s="13">
        <f>STDEV(BG64:BJ64)</f>
        <v>2.7577164466275457E-2</v>
      </c>
      <c r="BL64" s="13">
        <f t="shared" si="106"/>
        <v>2.6174999999999997</v>
      </c>
      <c r="BM64" s="19">
        <f t="shared" si="107"/>
        <v>1.0535688430286709E-2</v>
      </c>
      <c r="BN64" s="55">
        <v>8.7999999999999995E-2</v>
      </c>
      <c r="BO64" s="55">
        <v>8.5999999999999993E-2</v>
      </c>
      <c r="BP64" s="20"/>
      <c r="BQ64" s="20"/>
      <c r="BR64" s="13">
        <f>STDEV(BN64:BQ64)</f>
        <v>1.4142135623730963E-3</v>
      </c>
      <c r="BS64" s="13">
        <f t="shared" si="108"/>
        <v>8.6999999999999994E-2</v>
      </c>
      <c r="BT64" s="19">
        <f t="shared" si="109"/>
        <v>1.6255328303139041E-2</v>
      </c>
      <c r="BU64" s="20"/>
      <c r="BV64" s="20"/>
      <c r="BW64" s="20"/>
      <c r="BX64" s="20"/>
      <c r="BY64" s="20"/>
      <c r="BZ64" s="20"/>
      <c r="CA64" s="56"/>
      <c r="CC64" s="27"/>
    </row>
    <row r="65" spans="1:81" x14ac:dyDescent="0.2">
      <c r="A65" s="29" t="s">
        <v>86</v>
      </c>
      <c r="B65" s="60">
        <v>7.0620000000000003</v>
      </c>
      <c r="C65" s="55">
        <v>7.0549999999999997</v>
      </c>
      <c r="D65" s="20"/>
      <c r="E65" s="55"/>
      <c r="F65" s="13">
        <f t="shared" si="110"/>
        <v>4.9497474683062297E-3</v>
      </c>
      <c r="G65" s="13">
        <f t="shared" si="111"/>
        <v>7.0585000000000004</v>
      </c>
      <c r="H65" s="19">
        <f t="shared" si="112"/>
        <v>7.0124636513511788E-4</v>
      </c>
      <c r="I65" s="60">
        <v>4.2859999999999996</v>
      </c>
      <c r="J65" s="55">
        <v>4.24</v>
      </c>
      <c r="K65" s="55"/>
      <c r="L65" s="20"/>
      <c r="M65" s="13">
        <f t="shared" si="113"/>
        <v>3.2526911934580745E-2</v>
      </c>
      <c r="N65" s="13">
        <f t="shared" si="114"/>
        <v>4.2629999999999999</v>
      </c>
      <c r="O65" s="19">
        <f t="shared" si="115"/>
        <v>7.630052060656989E-3</v>
      </c>
      <c r="P65" s="60">
        <v>10.231999999999999</v>
      </c>
      <c r="Q65" s="55">
        <v>9.8819999999999997</v>
      </c>
      <c r="R65" s="20"/>
      <c r="S65" s="20"/>
      <c r="T65" s="13">
        <f t="shared" si="116"/>
        <v>0.24748737341529137</v>
      </c>
      <c r="U65" s="13">
        <f t="shared" si="117"/>
        <v>10.056999999999999</v>
      </c>
      <c r="V65" s="19">
        <f t="shared" si="118"/>
        <v>2.4608469067842437E-2</v>
      </c>
      <c r="W65" s="55">
        <v>2.2389999999999999</v>
      </c>
      <c r="X65" s="55">
        <v>2.0630000000000002</v>
      </c>
      <c r="Y65" s="20"/>
      <c r="Z65" s="20"/>
      <c r="AA65" s="13">
        <f t="shared" si="97"/>
        <v>0.12445079348883216</v>
      </c>
      <c r="AB65" s="13">
        <f t="shared" si="98"/>
        <v>2.1509999999999998</v>
      </c>
      <c r="AC65" s="19">
        <f t="shared" si="99"/>
        <v>5.7857179678676041E-2</v>
      </c>
      <c r="AD65" s="55">
        <v>0.19700000000000001</v>
      </c>
      <c r="AE65" s="55">
        <v>0.16400000000000001</v>
      </c>
      <c r="AF65" s="20"/>
      <c r="AG65" s="20"/>
      <c r="AH65" s="13">
        <f>STDEV(AD65:AG65)</f>
        <v>2.3334523779156069E-2</v>
      </c>
      <c r="AI65" s="13">
        <f t="shared" si="100"/>
        <v>0.18049999999999999</v>
      </c>
      <c r="AJ65" s="19">
        <f t="shared" si="101"/>
        <v>0.12927714005072616</v>
      </c>
      <c r="AK65" s="55">
        <v>6.5000000000000002E-2</v>
      </c>
      <c r="AL65" s="55">
        <v>5.5E-2</v>
      </c>
      <c r="AM65" s="20"/>
      <c r="AN65" s="20"/>
      <c r="AO65" s="13">
        <f>STDEV(AK65:AN65)</f>
        <v>7.0710678118654771E-3</v>
      </c>
      <c r="AP65" s="13">
        <f t="shared" si="102"/>
        <v>0.06</v>
      </c>
      <c r="AQ65" s="19">
        <f t="shared" si="103"/>
        <v>0.11785113019775796</v>
      </c>
      <c r="AR65" s="20"/>
      <c r="AS65" s="20"/>
      <c r="AT65" s="20"/>
      <c r="AU65" s="20"/>
      <c r="AV65" s="20"/>
      <c r="AW65" s="20"/>
      <c r="AX65" s="56"/>
      <c r="AZ65" s="60">
        <v>1.5069999999999999</v>
      </c>
      <c r="BA65" s="55">
        <v>1.4930000000000001</v>
      </c>
      <c r="BB65" s="20"/>
      <c r="BC65" s="20"/>
      <c r="BD65" s="13">
        <f>STDEV(AZ65:BC65)</f>
        <v>9.8994949366115175E-3</v>
      </c>
      <c r="BE65" s="13">
        <f t="shared" si="104"/>
        <v>1.5</v>
      </c>
      <c r="BF65" s="19">
        <f t="shared" si="105"/>
        <v>6.5996632910743447E-3</v>
      </c>
      <c r="BG65" s="55">
        <v>2.6389999999999998</v>
      </c>
      <c r="BH65" s="55">
        <v>2.6030000000000002</v>
      </c>
      <c r="BI65" s="20"/>
      <c r="BJ65" s="20"/>
      <c r="BK65" s="13">
        <f>STDEV(BG65:BJ65)</f>
        <v>2.5455844122715419E-2</v>
      </c>
      <c r="BL65" s="13">
        <f t="shared" si="106"/>
        <v>2.621</v>
      </c>
      <c r="BM65" s="19">
        <f t="shared" si="107"/>
        <v>9.7122640681859673E-3</v>
      </c>
      <c r="BN65" s="55">
        <v>8.5999999999999993E-2</v>
      </c>
      <c r="BO65" s="55">
        <v>8.3000000000000004E-2</v>
      </c>
      <c r="BP65" s="20"/>
      <c r="BQ65" s="20"/>
      <c r="BR65" s="13">
        <f>STDEV(BN65:BQ65)</f>
        <v>2.1213203435596346E-3</v>
      </c>
      <c r="BS65" s="13">
        <f t="shared" si="108"/>
        <v>8.4499999999999992E-2</v>
      </c>
      <c r="BT65" s="19">
        <f t="shared" si="109"/>
        <v>2.5104382764019346E-2</v>
      </c>
      <c r="BU65" s="20"/>
      <c r="BV65" s="20"/>
      <c r="BW65" s="20"/>
      <c r="BX65" s="20"/>
      <c r="BY65" s="20"/>
      <c r="BZ65" s="20"/>
      <c r="CA65" s="56"/>
      <c r="CC65" s="27"/>
    </row>
    <row r="66" spans="1:81" x14ac:dyDescent="0.2">
      <c r="A66" s="30" t="s">
        <v>87</v>
      </c>
      <c r="B66" s="61">
        <v>7.4089999999999998</v>
      </c>
      <c r="C66" s="57">
        <v>7.3689999999999998</v>
      </c>
      <c r="D66" s="51"/>
      <c r="E66" s="57"/>
      <c r="F66" s="23">
        <f t="shared" si="110"/>
        <v>2.8284271247461926E-2</v>
      </c>
      <c r="G66" s="23">
        <f t="shared" si="111"/>
        <v>7.3889999999999993</v>
      </c>
      <c r="H66" s="24">
        <f t="shared" si="112"/>
        <v>3.8278889223794734E-3</v>
      </c>
      <c r="I66" s="61">
        <v>4.4390000000000001</v>
      </c>
      <c r="J66" s="57">
        <v>4.4770000000000003</v>
      </c>
      <c r="K66" s="57"/>
      <c r="L66" s="51"/>
      <c r="M66" s="23">
        <f t="shared" si="113"/>
        <v>2.6870057685088988E-2</v>
      </c>
      <c r="N66" s="23">
        <f t="shared" si="114"/>
        <v>4.4580000000000002</v>
      </c>
      <c r="O66" s="24">
        <f t="shared" si="115"/>
        <v>6.0273794717561656E-3</v>
      </c>
      <c r="P66" s="61">
        <v>12.587999999999999</v>
      </c>
      <c r="Q66" s="57">
        <v>12.577999999999999</v>
      </c>
      <c r="R66" s="51"/>
      <c r="S66" s="51"/>
      <c r="T66" s="23">
        <f t="shared" si="116"/>
        <v>7.0710678118653244E-3</v>
      </c>
      <c r="U66" s="23">
        <f t="shared" si="117"/>
        <v>12.582999999999998</v>
      </c>
      <c r="V66" s="24">
        <f t="shared" si="118"/>
        <v>5.6195405005684857E-4</v>
      </c>
      <c r="W66" s="57">
        <v>2.137</v>
      </c>
      <c r="X66" s="57">
        <v>2.1059999999999999</v>
      </c>
      <c r="Y66" s="51"/>
      <c r="Z66" s="51"/>
      <c r="AA66" s="23">
        <f t="shared" si="97"/>
        <v>2.1920310216783073E-2</v>
      </c>
      <c r="AB66" s="23">
        <f t="shared" si="98"/>
        <v>2.1215000000000002</v>
      </c>
      <c r="AC66" s="24">
        <f t="shared" si="99"/>
        <v>1.0332458268575569E-2</v>
      </c>
      <c r="AD66" s="57">
        <v>0.159</v>
      </c>
      <c r="AE66" s="57">
        <v>0.157</v>
      </c>
      <c r="AF66" s="51"/>
      <c r="AG66" s="51"/>
      <c r="AH66" s="23">
        <f>STDEV(AD66:AG66)</f>
        <v>1.4142135623730963E-3</v>
      </c>
      <c r="AI66" s="23">
        <f t="shared" si="100"/>
        <v>0.158</v>
      </c>
      <c r="AJ66" s="24">
        <f t="shared" si="101"/>
        <v>8.9507187491968121E-3</v>
      </c>
      <c r="AK66" s="57">
        <v>6.9000000000000006E-2</v>
      </c>
      <c r="AL66" s="57">
        <v>6.0999999999999999E-2</v>
      </c>
      <c r="AM66" s="51"/>
      <c r="AN66" s="51"/>
      <c r="AO66" s="23">
        <f>STDEV(AK66:AN66)</f>
        <v>5.6568542494923853E-3</v>
      </c>
      <c r="AP66" s="23">
        <f t="shared" si="102"/>
        <v>6.5000000000000002E-2</v>
      </c>
      <c r="AQ66" s="24">
        <f t="shared" si="103"/>
        <v>8.7028526915267468E-2</v>
      </c>
      <c r="AR66" s="51"/>
      <c r="AS66" s="51"/>
      <c r="AT66" s="51"/>
      <c r="AU66" s="51"/>
      <c r="AV66" s="51"/>
      <c r="AW66" s="51"/>
      <c r="AX66" s="58"/>
      <c r="AZ66" s="61">
        <v>1.5309999999999999</v>
      </c>
      <c r="BA66" s="57">
        <v>1.518</v>
      </c>
      <c r="BB66" s="51"/>
      <c r="BC66" s="51"/>
      <c r="BD66" s="23">
        <f>STDEV(AZ66:BC66)</f>
        <v>9.1923881554250471E-3</v>
      </c>
      <c r="BE66" s="23">
        <f t="shared" si="104"/>
        <v>1.5245</v>
      </c>
      <c r="BF66" s="24">
        <f t="shared" si="105"/>
        <v>6.0297724863398149E-3</v>
      </c>
      <c r="BG66" s="57">
        <v>2.6280000000000001</v>
      </c>
      <c r="BH66" s="57">
        <v>2.6190000000000002</v>
      </c>
      <c r="BI66" s="51"/>
      <c r="BJ66" s="51"/>
      <c r="BK66" s="23">
        <f>STDEV(BG66:BJ66)</f>
        <v>6.3639610306788549E-3</v>
      </c>
      <c r="BL66" s="23">
        <f t="shared" si="106"/>
        <v>2.6234999999999999</v>
      </c>
      <c r="BM66" s="24">
        <f t="shared" si="107"/>
        <v>2.4257522510687459E-3</v>
      </c>
      <c r="BN66" s="57">
        <v>8.5999999999999993E-2</v>
      </c>
      <c r="BO66" s="57">
        <v>8.6999999999999994E-2</v>
      </c>
      <c r="BP66" s="51"/>
      <c r="BQ66" s="51"/>
      <c r="BR66" s="23">
        <f>STDEV(BN66:BQ66)</f>
        <v>7.0710678118654816E-4</v>
      </c>
      <c r="BS66" s="23">
        <f t="shared" si="108"/>
        <v>8.6499999999999994E-2</v>
      </c>
      <c r="BT66" s="24">
        <f t="shared" si="109"/>
        <v>8.1746448692086495E-3</v>
      </c>
      <c r="BU66" s="51"/>
      <c r="BV66" s="51"/>
      <c r="BW66" s="51"/>
      <c r="BX66" s="51"/>
      <c r="BY66" s="51"/>
      <c r="BZ66" s="51"/>
      <c r="CA66" s="58"/>
      <c r="CC66" s="28"/>
    </row>
    <row r="67" spans="1:81" x14ac:dyDescent="0.2">
      <c r="E67" s="52"/>
      <c r="F67" s="52"/>
      <c r="G67" s="52"/>
      <c r="H67" s="52"/>
      <c r="I67" s="52"/>
      <c r="J67" s="52"/>
      <c r="K67" s="52"/>
    </row>
    <row r="68" spans="1:81" x14ac:dyDescent="0.2">
      <c r="A68" s="36" t="s">
        <v>57</v>
      </c>
      <c r="B68" s="59">
        <v>11.608000000000001</v>
      </c>
      <c r="C68" s="53">
        <v>11.571999999999999</v>
      </c>
      <c r="D68" s="34"/>
      <c r="E68" s="53"/>
      <c r="F68" s="39">
        <f>STDEV(B68:E68)</f>
        <v>2.5455844122716675E-2</v>
      </c>
      <c r="G68" s="39">
        <f>AVERAGE(B68:E68)</f>
        <v>11.59</v>
      </c>
      <c r="H68" s="41">
        <f>F68/G68</f>
        <v>2.1963627370765034E-3</v>
      </c>
      <c r="I68" s="53">
        <v>1.6919999999999999</v>
      </c>
      <c r="J68" s="53">
        <v>1.7490000000000001</v>
      </c>
      <c r="K68" s="53"/>
      <c r="L68" s="34"/>
      <c r="M68" s="39">
        <f t="shared" ref="M68:M81" si="119">STDEV(I68:L68)</f>
        <v>4.0305086527633323E-2</v>
      </c>
      <c r="N68" s="39">
        <f t="shared" ref="N68:N81" si="120">AVERAGE(I68:L68)</f>
        <v>1.7204999999999999</v>
      </c>
      <c r="O68" s="41">
        <f t="shared" ref="O68:O81" si="121">M68/N68</f>
        <v>2.3426379847505566E-2</v>
      </c>
      <c r="P68" s="53">
        <v>2.794</v>
      </c>
      <c r="Q68" s="53">
        <v>2.891</v>
      </c>
      <c r="R68" s="34"/>
      <c r="S68" s="34"/>
      <c r="T68" s="39">
        <f t="shared" ref="T68:T81" si="122">STDEV(P68:S68)</f>
        <v>6.8589357775095089E-2</v>
      </c>
      <c r="U68" s="39">
        <f t="shared" ref="U68:U81" si="123">AVERAGE(P68:S68)</f>
        <v>2.8425000000000002</v>
      </c>
      <c r="V68" s="41">
        <f t="shared" ref="V68:V81" si="124">T68/U68</f>
        <v>2.4129941169778395E-2</v>
      </c>
      <c r="W68" s="53">
        <v>0.107</v>
      </c>
      <c r="X68" s="53">
        <v>9.9000000000000005E-2</v>
      </c>
      <c r="Y68" s="34"/>
      <c r="Z68" s="34"/>
      <c r="AA68" s="39">
        <f t="shared" ref="AA68:AA76" si="125">STDEV(W68:Z68)</f>
        <v>5.6568542494923758E-3</v>
      </c>
      <c r="AB68" s="39">
        <f t="shared" ref="AB68:AB78" si="126">AVERAGE(W68:Z68)</f>
        <v>0.10300000000000001</v>
      </c>
      <c r="AC68" s="41">
        <f t="shared" ref="AC68:AC78" si="127">AA68/AB68</f>
        <v>5.4920915043615293E-2</v>
      </c>
      <c r="AD68" s="53">
        <v>0.21299999999999999</v>
      </c>
      <c r="AE68" s="53">
        <v>0.221</v>
      </c>
      <c r="AF68" s="34"/>
      <c r="AG68" s="34"/>
      <c r="AH68" s="39">
        <f t="shared" ref="AH68:AH81" si="128">STDEV(AD68:AG68)</f>
        <v>5.6568542494923853E-3</v>
      </c>
      <c r="AI68" s="39">
        <f t="shared" ref="AI68:AI81" si="129">AVERAGE(AD68:AG68)</f>
        <v>0.217</v>
      </c>
      <c r="AJ68" s="41">
        <f t="shared" ref="AJ68:AJ81" si="130">AH68/AI68</f>
        <v>2.6068452762637719E-2</v>
      </c>
      <c r="AK68" s="53">
        <v>0.105</v>
      </c>
      <c r="AL68" s="53">
        <v>0.1</v>
      </c>
      <c r="AM68" s="34"/>
      <c r="AN68" s="34"/>
      <c r="AO68" s="39">
        <f t="shared" ref="AO68:AO81" si="131">STDEV(AK68:AN68)</f>
        <v>3.5355339059327312E-3</v>
      </c>
      <c r="AP68" s="39">
        <f t="shared" ref="AP68:AP81" si="132">AVERAGE(AK68:AN68)</f>
        <v>0.10250000000000001</v>
      </c>
      <c r="AQ68" s="41">
        <f t="shared" ref="AQ68:AQ81" si="133">AO68/AP68</f>
        <v>3.4493013716416887E-2</v>
      </c>
      <c r="AR68" s="34"/>
      <c r="AS68" s="34"/>
      <c r="AT68" s="34"/>
      <c r="AU68" s="34"/>
      <c r="AV68" s="34"/>
      <c r="AW68" s="34"/>
      <c r="AX68" s="54"/>
      <c r="AZ68" s="59">
        <v>1.3640000000000001</v>
      </c>
      <c r="BA68" s="53">
        <v>1.373</v>
      </c>
      <c r="BB68" s="34"/>
      <c r="BC68" s="34"/>
      <c r="BD68" s="39">
        <f t="shared" ref="BD68:BD81" si="134">STDEV(AZ68:BC68)</f>
        <v>6.3639610306788549E-3</v>
      </c>
      <c r="BE68" s="39">
        <f t="shared" ref="BE68:BE81" si="135">AVERAGE(AZ68:BC68)</f>
        <v>1.3685</v>
      </c>
      <c r="BF68" s="41">
        <f t="shared" ref="BF68:BF81" si="136">BD68/BE68</f>
        <v>4.6503186194218884E-3</v>
      </c>
      <c r="BG68" s="53">
        <v>0.188</v>
      </c>
      <c r="BH68" s="53">
        <v>0.185</v>
      </c>
      <c r="BI68" s="34"/>
      <c r="BJ68" s="34"/>
      <c r="BK68" s="39">
        <f t="shared" ref="BK68:BK81" si="137">STDEV(BG68:BJ68)</f>
        <v>2.1213203435596446E-3</v>
      </c>
      <c r="BL68" s="39">
        <f t="shared" ref="BL68:BL81" si="138">AVERAGE(BG68:BJ68)</f>
        <v>0.1865</v>
      </c>
      <c r="BM68" s="41">
        <f t="shared" ref="BM68:BM81" si="139">BK68/BL68</f>
        <v>1.1374371815333215E-2</v>
      </c>
      <c r="BN68" s="53">
        <v>0.1</v>
      </c>
      <c r="BO68" s="53">
        <v>0.10100000000000001</v>
      </c>
      <c r="BP68" s="34"/>
      <c r="BQ68" s="34"/>
      <c r="BR68" s="39">
        <f t="shared" ref="BR68:BR81" si="140">STDEV(BN68:BQ68)</f>
        <v>7.0710678118654816E-4</v>
      </c>
      <c r="BS68" s="39">
        <f t="shared" ref="BS68:BS81" si="141">AVERAGE(BN68:BQ68)</f>
        <v>0.10050000000000001</v>
      </c>
      <c r="BT68" s="41">
        <f t="shared" ref="BT68:BT81" si="142">BR68/BS68</f>
        <v>7.0358883700154043E-3</v>
      </c>
      <c r="BU68" s="34"/>
      <c r="BV68" s="34"/>
      <c r="BW68" s="34"/>
      <c r="BX68" s="34"/>
      <c r="BY68" s="34"/>
      <c r="BZ68" s="34"/>
      <c r="CA68" s="54"/>
      <c r="CC68" s="68"/>
    </row>
    <row r="69" spans="1:81" x14ac:dyDescent="0.2">
      <c r="A69" s="29" t="s">
        <v>61</v>
      </c>
      <c r="B69" s="60">
        <v>11.303000000000001</v>
      </c>
      <c r="C69" s="55">
        <v>11.308</v>
      </c>
      <c r="D69" s="20"/>
      <c r="E69" s="55"/>
      <c r="F69" s="13">
        <f t="shared" ref="F69:F81" si="143">STDEV(B69:E69)</f>
        <v>3.5355339059320342E-3</v>
      </c>
      <c r="G69" s="13">
        <f t="shared" ref="G69:G81" si="144">AVERAGE(B69:E69)</f>
        <v>11.3055</v>
      </c>
      <c r="H69" s="19">
        <f t="shared" ref="H69:H81" si="145">F69/G69</f>
        <v>3.1272689451435445E-4</v>
      </c>
      <c r="I69" s="55">
        <v>1.962</v>
      </c>
      <c r="J69" s="55">
        <v>1.915</v>
      </c>
      <c r="K69" s="55"/>
      <c r="L69" s="20"/>
      <c r="M69" s="13">
        <f t="shared" si="119"/>
        <v>3.3234018715767685E-2</v>
      </c>
      <c r="N69" s="13">
        <f t="shared" si="120"/>
        <v>1.9384999999999999</v>
      </c>
      <c r="O69" s="19">
        <f t="shared" si="121"/>
        <v>1.7144193301917816E-2</v>
      </c>
      <c r="P69" s="55">
        <v>2.7919999999999998</v>
      </c>
      <c r="Q69" s="55">
        <v>2.665</v>
      </c>
      <c r="R69" s="20"/>
      <c r="S69" s="20"/>
      <c r="T69" s="13">
        <f t="shared" si="122"/>
        <v>8.9802561210691384E-2</v>
      </c>
      <c r="U69" s="13">
        <f t="shared" si="123"/>
        <v>2.7284999999999999</v>
      </c>
      <c r="V69" s="19">
        <f t="shared" si="124"/>
        <v>3.2912795019494734E-2</v>
      </c>
      <c r="W69" s="55">
        <v>9.6000000000000002E-2</v>
      </c>
      <c r="X69" s="55">
        <v>0.107</v>
      </c>
      <c r="Y69" s="20"/>
      <c r="Z69" s="20"/>
      <c r="AA69" s="13">
        <f t="shared" si="125"/>
        <v>7.7781745930520195E-3</v>
      </c>
      <c r="AB69" s="13">
        <f t="shared" si="126"/>
        <v>0.10150000000000001</v>
      </c>
      <c r="AC69" s="19">
        <f t="shared" si="127"/>
        <v>7.6632262000512499E-2</v>
      </c>
      <c r="AD69" s="55">
        <v>0.20100000000000001</v>
      </c>
      <c r="AE69" s="55">
        <v>0.2</v>
      </c>
      <c r="AF69" s="20"/>
      <c r="AG69" s="20"/>
      <c r="AH69" s="13">
        <f t="shared" si="128"/>
        <v>7.0710678118654816E-4</v>
      </c>
      <c r="AI69" s="13">
        <f t="shared" si="129"/>
        <v>0.20050000000000001</v>
      </c>
      <c r="AJ69" s="19">
        <f t="shared" si="130"/>
        <v>3.5267171131498657E-3</v>
      </c>
      <c r="AK69" s="55">
        <v>0.1</v>
      </c>
      <c r="AL69" s="55">
        <v>0.114</v>
      </c>
      <c r="AM69" s="20"/>
      <c r="AN69" s="20"/>
      <c r="AO69" s="13">
        <f t="shared" si="131"/>
        <v>9.8994949366116632E-3</v>
      </c>
      <c r="AP69" s="13">
        <f t="shared" si="132"/>
        <v>0.10700000000000001</v>
      </c>
      <c r="AQ69" s="19">
        <f t="shared" si="133"/>
        <v>9.2518644267398711E-2</v>
      </c>
      <c r="AR69" s="20"/>
      <c r="AS69" s="20"/>
      <c r="AT69" s="20"/>
      <c r="AU69" s="20"/>
      <c r="AV69" s="20"/>
      <c r="AW69" s="20"/>
      <c r="AX69" s="56"/>
      <c r="AZ69" s="60">
        <v>1.3560000000000001</v>
      </c>
      <c r="BA69" s="55">
        <v>1.367</v>
      </c>
      <c r="BB69" s="20"/>
      <c r="BC69" s="20"/>
      <c r="BD69" s="13">
        <f t="shared" si="134"/>
        <v>7.778174593051951E-3</v>
      </c>
      <c r="BE69" s="13">
        <f t="shared" si="135"/>
        <v>1.3614999999999999</v>
      </c>
      <c r="BF69" s="19">
        <f t="shared" si="136"/>
        <v>5.7129449820432984E-3</v>
      </c>
      <c r="BG69" s="55">
        <v>0.17599999999999999</v>
      </c>
      <c r="BH69" s="55">
        <v>0.185</v>
      </c>
      <c r="BI69" s="20"/>
      <c r="BJ69" s="20"/>
      <c r="BK69" s="13">
        <f t="shared" si="137"/>
        <v>6.3639610306789329E-3</v>
      </c>
      <c r="BL69" s="13">
        <f t="shared" si="138"/>
        <v>0.18049999999999999</v>
      </c>
      <c r="BM69" s="19">
        <f t="shared" si="139"/>
        <v>3.5257401832016248E-2</v>
      </c>
      <c r="BN69" s="55">
        <v>0.104</v>
      </c>
      <c r="BO69" s="55">
        <v>0.104</v>
      </c>
      <c r="BP69" s="20"/>
      <c r="BQ69" s="20"/>
      <c r="BR69" s="13">
        <f t="shared" si="140"/>
        <v>0</v>
      </c>
      <c r="BS69" s="13">
        <f t="shared" si="141"/>
        <v>0.104</v>
      </c>
      <c r="BT69" s="19">
        <f t="shared" si="142"/>
        <v>0</v>
      </c>
      <c r="BU69" s="20"/>
      <c r="BV69" s="20"/>
      <c r="BW69" s="20"/>
      <c r="BX69" s="20"/>
      <c r="BY69" s="20"/>
      <c r="BZ69" s="20"/>
      <c r="CA69" s="56"/>
      <c r="CC69" s="27"/>
    </row>
    <row r="70" spans="1:81" x14ac:dyDescent="0.2">
      <c r="A70" s="29" t="s">
        <v>58</v>
      </c>
      <c r="B70" s="60">
        <v>11.173</v>
      </c>
      <c r="C70" s="55">
        <v>11.132</v>
      </c>
      <c r="D70" s="20"/>
      <c r="E70" s="55"/>
      <c r="F70" s="13">
        <f t="shared" si="143"/>
        <v>2.899137802864871E-2</v>
      </c>
      <c r="G70" s="13">
        <f t="shared" si="144"/>
        <v>11.1525</v>
      </c>
      <c r="H70" s="19">
        <f t="shared" si="145"/>
        <v>2.5995407333466677E-3</v>
      </c>
      <c r="I70" s="55">
        <v>1.49</v>
      </c>
      <c r="J70" s="55">
        <v>1.464</v>
      </c>
      <c r="K70" s="55"/>
      <c r="L70" s="20"/>
      <c r="M70" s="13">
        <f t="shared" si="119"/>
        <v>1.8384776310850254E-2</v>
      </c>
      <c r="N70" s="13">
        <f t="shared" si="120"/>
        <v>1.4769999999999999</v>
      </c>
      <c r="O70" s="19">
        <f t="shared" si="121"/>
        <v>1.2447377326235786E-2</v>
      </c>
      <c r="P70" s="55">
        <v>1.1679999999999999</v>
      </c>
      <c r="Q70" s="55">
        <v>1.1339999999999999</v>
      </c>
      <c r="R70" s="20"/>
      <c r="S70" s="20"/>
      <c r="T70" s="13">
        <f t="shared" si="122"/>
        <v>2.4041630560342638E-2</v>
      </c>
      <c r="U70" s="13">
        <f t="shared" si="123"/>
        <v>1.1509999999999998</v>
      </c>
      <c r="V70" s="19">
        <f t="shared" si="124"/>
        <v>2.0887602571974494E-2</v>
      </c>
      <c r="W70" s="55">
        <v>6.3E-2</v>
      </c>
      <c r="X70" s="55">
        <v>2.4E-2</v>
      </c>
      <c r="Y70" s="20"/>
      <c r="Z70" s="20"/>
      <c r="AA70" s="13">
        <f t="shared" si="125"/>
        <v>2.7577164466275367E-2</v>
      </c>
      <c r="AB70" s="13">
        <f t="shared" si="126"/>
        <v>4.3499999999999997E-2</v>
      </c>
      <c r="AC70" s="19">
        <f t="shared" si="127"/>
        <v>0.63395780382242228</v>
      </c>
      <c r="AD70" s="55">
        <v>0.183</v>
      </c>
      <c r="AE70" s="55">
        <v>0.22700000000000001</v>
      </c>
      <c r="AF70" s="20"/>
      <c r="AG70" s="20"/>
      <c r="AH70" s="13">
        <f t="shared" si="128"/>
        <v>3.1112698372208036E-2</v>
      </c>
      <c r="AI70" s="13">
        <f t="shared" si="129"/>
        <v>0.20500000000000002</v>
      </c>
      <c r="AJ70" s="19">
        <f t="shared" si="130"/>
        <v>0.15176926035223431</v>
      </c>
      <c r="AK70" s="55">
        <v>9.5000000000000001E-2</v>
      </c>
      <c r="AL70" s="55">
        <v>8.7999999999999995E-2</v>
      </c>
      <c r="AM70" s="20"/>
      <c r="AN70" s="20"/>
      <c r="AO70" s="13">
        <f t="shared" si="131"/>
        <v>4.9497474683058368E-3</v>
      </c>
      <c r="AP70" s="13">
        <f t="shared" si="132"/>
        <v>9.1499999999999998E-2</v>
      </c>
      <c r="AQ70" s="19">
        <f t="shared" si="133"/>
        <v>5.4095600746511881E-2</v>
      </c>
      <c r="AR70" s="20"/>
      <c r="AS70" s="20"/>
      <c r="AT70" s="20"/>
      <c r="AU70" s="20"/>
      <c r="AV70" s="20"/>
      <c r="AW70" s="20"/>
      <c r="AX70" s="56"/>
      <c r="AZ70" s="60">
        <v>1.35</v>
      </c>
      <c r="BA70" s="55">
        <v>1.37</v>
      </c>
      <c r="BB70" s="20"/>
      <c r="BC70" s="20"/>
      <c r="BD70" s="13">
        <f t="shared" si="134"/>
        <v>1.4142135623730963E-2</v>
      </c>
      <c r="BE70" s="13">
        <f t="shared" si="135"/>
        <v>1.36</v>
      </c>
      <c r="BF70" s="19">
        <f t="shared" si="136"/>
        <v>1.0398629135096295E-2</v>
      </c>
      <c r="BG70" s="55"/>
      <c r="BH70" s="55">
        <v>8.8999999999999996E-2</v>
      </c>
      <c r="BI70" s="20"/>
      <c r="BJ70" s="20"/>
      <c r="BK70" s="13"/>
      <c r="BL70" s="13">
        <f t="shared" si="138"/>
        <v>8.8999999999999996E-2</v>
      </c>
      <c r="BM70" s="19">
        <f t="shared" si="139"/>
        <v>0</v>
      </c>
      <c r="BN70" s="55">
        <v>9.4E-2</v>
      </c>
      <c r="BO70" s="55">
        <v>9.4E-2</v>
      </c>
      <c r="BP70" s="20"/>
      <c r="BQ70" s="20"/>
      <c r="BR70" s="13">
        <f t="shared" si="140"/>
        <v>0</v>
      </c>
      <c r="BS70" s="13">
        <f t="shared" si="141"/>
        <v>9.4E-2</v>
      </c>
      <c r="BT70" s="19">
        <f t="shared" si="142"/>
        <v>0</v>
      </c>
      <c r="BU70" s="20"/>
      <c r="BV70" s="20"/>
      <c r="BW70" s="20"/>
      <c r="BX70" s="20"/>
      <c r="BY70" s="20"/>
      <c r="BZ70" s="20"/>
      <c r="CA70" s="56"/>
      <c r="CC70" s="27"/>
    </row>
    <row r="71" spans="1:81" x14ac:dyDescent="0.2">
      <c r="A71" s="29" t="s">
        <v>62</v>
      </c>
      <c r="B71" s="60">
        <v>11.003</v>
      </c>
      <c r="C71" s="55">
        <v>11.015000000000001</v>
      </c>
      <c r="D71" s="20"/>
      <c r="E71" s="55"/>
      <c r="F71" s="13">
        <f t="shared" si="143"/>
        <v>8.4852813742388924E-3</v>
      </c>
      <c r="G71" s="13">
        <f t="shared" si="144"/>
        <v>11.009</v>
      </c>
      <c r="H71" s="19">
        <f t="shared" si="145"/>
        <v>7.7075859517112286E-4</v>
      </c>
      <c r="I71" s="55">
        <v>1.597</v>
      </c>
      <c r="J71" s="55">
        <v>1.6220000000000001</v>
      </c>
      <c r="K71" s="20"/>
      <c r="L71" s="20"/>
      <c r="M71" s="13">
        <f t="shared" si="119"/>
        <v>1.7677669529663782E-2</v>
      </c>
      <c r="N71" s="13">
        <f t="shared" si="120"/>
        <v>1.6095000000000002</v>
      </c>
      <c r="O71" s="19">
        <f t="shared" si="121"/>
        <v>1.0983329934553452E-2</v>
      </c>
      <c r="P71" s="55">
        <v>35.256999999999998</v>
      </c>
      <c r="Q71" s="55">
        <v>35.131999999999998</v>
      </c>
      <c r="R71" s="20"/>
      <c r="S71" s="20"/>
      <c r="T71" s="13">
        <f t="shared" si="122"/>
        <v>8.8388347648318447E-2</v>
      </c>
      <c r="U71" s="13">
        <f t="shared" si="123"/>
        <v>35.194499999999998</v>
      </c>
      <c r="V71" s="19">
        <f t="shared" si="124"/>
        <v>2.5114250138038173E-3</v>
      </c>
      <c r="W71" s="55">
        <v>0.25600000000000001</v>
      </c>
      <c r="X71" s="55">
        <v>0.25800000000000001</v>
      </c>
      <c r="Y71" s="20"/>
      <c r="Z71" s="20"/>
      <c r="AA71" s="13">
        <f t="shared" si="125"/>
        <v>1.4142135623730963E-3</v>
      </c>
      <c r="AB71" s="13">
        <f t="shared" si="126"/>
        <v>0.25700000000000001</v>
      </c>
      <c r="AC71" s="19">
        <f t="shared" si="127"/>
        <v>5.5027765072883121E-3</v>
      </c>
      <c r="AD71" s="55">
        <v>0.161</v>
      </c>
      <c r="AE71" s="55">
        <v>0.156</v>
      </c>
      <c r="AF71" s="20"/>
      <c r="AG71" s="20"/>
      <c r="AH71" s="13">
        <f t="shared" si="128"/>
        <v>3.5355339059327407E-3</v>
      </c>
      <c r="AI71" s="13">
        <f t="shared" si="129"/>
        <v>0.1585</v>
      </c>
      <c r="AJ71" s="19">
        <f t="shared" si="130"/>
        <v>2.2306207608408457E-2</v>
      </c>
      <c r="AK71" s="55">
        <v>0.10100000000000001</v>
      </c>
      <c r="AL71" s="55">
        <v>0.114</v>
      </c>
      <c r="AM71" s="20"/>
      <c r="AN71" s="20"/>
      <c r="AO71" s="13">
        <f t="shared" si="131"/>
        <v>9.1923881554251165E-3</v>
      </c>
      <c r="AP71" s="13">
        <f t="shared" si="132"/>
        <v>0.10750000000000001</v>
      </c>
      <c r="AQ71" s="19">
        <f t="shared" si="133"/>
        <v>8.5510587492326651E-2</v>
      </c>
      <c r="AR71" s="20"/>
      <c r="AS71" s="20"/>
      <c r="AT71" s="20"/>
      <c r="AU71" s="20"/>
      <c r="AV71" s="20"/>
      <c r="AW71" s="20"/>
      <c r="AX71" s="56"/>
      <c r="AZ71" s="60">
        <v>1.369</v>
      </c>
      <c r="BA71" s="55">
        <v>1.37</v>
      </c>
      <c r="BB71" s="20"/>
      <c r="BC71" s="20"/>
      <c r="BD71" s="13">
        <f t="shared" si="134"/>
        <v>7.0710678118662666E-4</v>
      </c>
      <c r="BE71" s="13">
        <f t="shared" si="135"/>
        <v>1.3694999999999999</v>
      </c>
      <c r="BF71" s="19">
        <f t="shared" si="136"/>
        <v>5.1632477633196548E-4</v>
      </c>
      <c r="BG71" s="55">
        <v>0.17399999999999999</v>
      </c>
      <c r="BH71" s="55">
        <v>0.16800000000000001</v>
      </c>
      <c r="BI71" s="55"/>
      <c r="BJ71" s="55"/>
      <c r="BK71" s="13">
        <f t="shared" si="137"/>
        <v>4.2426406871192692E-3</v>
      </c>
      <c r="BL71" s="13">
        <f t="shared" si="138"/>
        <v>0.17099999999999999</v>
      </c>
      <c r="BM71" s="19">
        <f t="shared" si="139"/>
        <v>2.4810764252159473E-2</v>
      </c>
      <c r="BN71" s="55">
        <v>9.7000000000000003E-2</v>
      </c>
      <c r="BO71" s="55">
        <v>9.9000000000000005E-2</v>
      </c>
      <c r="BP71" s="20"/>
      <c r="BQ71" s="20"/>
      <c r="BR71" s="13">
        <f t="shared" si="140"/>
        <v>1.4142135623730963E-3</v>
      </c>
      <c r="BS71" s="13">
        <f t="shared" si="141"/>
        <v>9.8000000000000004E-2</v>
      </c>
      <c r="BT71" s="19">
        <f t="shared" si="142"/>
        <v>1.4430750636460167E-2</v>
      </c>
      <c r="BU71" s="20"/>
      <c r="BV71" s="20"/>
      <c r="BW71" s="20"/>
      <c r="BX71" s="20"/>
      <c r="BY71" s="20"/>
      <c r="BZ71" s="20"/>
      <c r="CA71" s="56"/>
      <c r="CC71" s="27"/>
    </row>
    <row r="72" spans="1:81" x14ac:dyDescent="0.2">
      <c r="A72" s="29" t="s">
        <v>59</v>
      </c>
      <c r="B72" s="60">
        <v>10.816000000000001</v>
      </c>
      <c r="C72" s="55">
        <v>10.744999999999999</v>
      </c>
      <c r="D72" s="20"/>
      <c r="E72" s="55"/>
      <c r="F72" s="13">
        <f t="shared" si="143"/>
        <v>5.0204581464245938E-2</v>
      </c>
      <c r="G72" s="13">
        <f t="shared" si="144"/>
        <v>10.7805</v>
      </c>
      <c r="H72" s="19">
        <f t="shared" si="145"/>
        <v>4.656980795347705E-3</v>
      </c>
      <c r="I72" s="55">
        <v>1.278</v>
      </c>
      <c r="J72" s="55">
        <v>1.2869999999999999</v>
      </c>
      <c r="K72" s="20"/>
      <c r="L72" s="20"/>
      <c r="M72" s="13">
        <f t="shared" si="119"/>
        <v>6.3639610306788549E-3</v>
      </c>
      <c r="N72" s="13">
        <f t="shared" si="120"/>
        <v>1.2825</v>
      </c>
      <c r="O72" s="19">
        <f t="shared" si="121"/>
        <v>4.9621528504318561E-3</v>
      </c>
      <c r="P72" s="55">
        <v>1.1879999999999999</v>
      </c>
      <c r="Q72" s="55">
        <v>0.84299999999999997</v>
      </c>
      <c r="R72" s="20"/>
      <c r="S72" s="20"/>
      <c r="T72" s="13">
        <f t="shared" si="122"/>
        <v>0.2439518395093595</v>
      </c>
      <c r="U72" s="13">
        <f t="shared" si="123"/>
        <v>1.0154999999999998</v>
      </c>
      <c r="V72" s="19">
        <f t="shared" si="124"/>
        <v>0.24022830084624278</v>
      </c>
      <c r="W72" s="55">
        <v>2.3E-2</v>
      </c>
      <c r="X72" s="55">
        <v>3.1E-2</v>
      </c>
      <c r="Y72" s="20"/>
      <c r="Z72" s="20"/>
      <c r="AA72" s="13">
        <f t="shared" si="125"/>
        <v>5.6568542494923914E-3</v>
      </c>
      <c r="AB72" s="13">
        <f t="shared" si="126"/>
        <v>2.7E-2</v>
      </c>
      <c r="AC72" s="19">
        <f t="shared" si="127"/>
        <v>0.20951312035157005</v>
      </c>
      <c r="AD72" s="55">
        <v>0.248</v>
      </c>
      <c r="AE72" s="55">
        <v>0.23499999999999999</v>
      </c>
      <c r="AF72" s="20"/>
      <c r="AG72" s="20"/>
      <c r="AH72" s="13">
        <f t="shared" si="128"/>
        <v>9.1923881554251269E-3</v>
      </c>
      <c r="AI72" s="13">
        <f t="shared" si="129"/>
        <v>0.24149999999999999</v>
      </c>
      <c r="AJ72" s="19">
        <f t="shared" si="130"/>
        <v>3.8063719070083345E-2</v>
      </c>
      <c r="AK72" s="55">
        <v>0.109</v>
      </c>
      <c r="AL72" s="55">
        <v>7.8E-2</v>
      </c>
      <c r="AM72" s="20"/>
      <c r="AN72" s="20"/>
      <c r="AO72" s="13">
        <f t="shared" si="131"/>
        <v>2.1920310216782934E-2</v>
      </c>
      <c r="AP72" s="13">
        <f t="shared" si="132"/>
        <v>9.35E-2</v>
      </c>
      <c r="AQ72" s="19">
        <f t="shared" si="133"/>
        <v>0.23444182050035223</v>
      </c>
      <c r="AR72" s="20"/>
      <c r="AS72" s="20"/>
      <c r="AT72" s="20"/>
      <c r="AU72" s="20"/>
      <c r="AV72" s="20"/>
      <c r="AW72" s="20"/>
      <c r="AX72" s="56"/>
      <c r="AZ72" s="60">
        <v>1.3660000000000001</v>
      </c>
      <c r="BA72" s="55">
        <v>1.371</v>
      </c>
      <c r="BB72" s="20"/>
      <c r="BC72" s="20"/>
      <c r="BD72" s="13">
        <f t="shared" si="134"/>
        <v>3.5355339059326622E-3</v>
      </c>
      <c r="BE72" s="13">
        <f t="shared" si="135"/>
        <v>1.3685</v>
      </c>
      <c r="BF72" s="19">
        <f t="shared" si="136"/>
        <v>2.5835103441232458E-3</v>
      </c>
      <c r="BG72" s="55">
        <v>2.7E-2</v>
      </c>
      <c r="BH72" s="55">
        <v>4.2999999999999997E-2</v>
      </c>
      <c r="BI72" s="55"/>
      <c r="BJ72" s="55"/>
      <c r="BK72" s="13">
        <f t="shared" si="137"/>
        <v>1.1313708498984764E-2</v>
      </c>
      <c r="BL72" s="13">
        <f t="shared" si="138"/>
        <v>3.4999999999999996E-2</v>
      </c>
      <c r="BM72" s="19">
        <f t="shared" si="139"/>
        <v>0.32324881425670754</v>
      </c>
      <c r="BN72" s="55">
        <v>9.2999999999999999E-2</v>
      </c>
      <c r="BO72" s="55">
        <v>9.4E-2</v>
      </c>
      <c r="BP72" s="20"/>
      <c r="BQ72" s="20"/>
      <c r="BR72" s="13">
        <f t="shared" si="140"/>
        <v>7.0710678118654816E-4</v>
      </c>
      <c r="BS72" s="13">
        <f t="shared" si="141"/>
        <v>9.35E-2</v>
      </c>
      <c r="BT72" s="19">
        <f t="shared" si="142"/>
        <v>7.5626393709791245E-3</v>
      </c>
      <c r="BU72" s="20"/>
      <c r="BV72" s="20"/>
      <c r="BW72" s="20"/>
      <c r="BX72" s="20"/>
      <c r="BY72" s="20"/>
      <c r="BZ72" s="20"/>
      <c r="CA72" s="56"/>
      <c r="CC72" s="27"/>
    </row>
    <row r="73" spans="1:81" x14ac:dyDescent="0.2">
      <c r="A73" s="29" t="s">
        <v>63</v>
      </c>
      <c r="B73" s="60">
        <v>10.134</v>
      </c>
      <c r="C73" s="55">
        <v>10.117000000000001</v>
      </c>
      <c r="D73" s="20"/>
      <c r="E73" s="55"/>
      <c r="F73" s="13">
        <f t="shared" si="143"/>
        <v>1.2020815280170927E-2</v>
      </c>
      <c r="G73" s="13">
        <f t="shared" si="144"/>
        <v>10.125500000000001</v>
      </c>
      <c r="H73" s="19">
        <f t="shared" si="145"/>
        <v>1.187182389034707E-3</v>
      </c>
      <c r="I73" s="55">
        <v>1.296</v>
      </c>
      <c r="J73" s="55">
        <v>1.2909999999999999</v>
      </c>
      <c r="K73" s="20"/>
      <c r="L73" s="20"/>
      <c r="M73" s="13">
        <f t="shared" si="119"/>
        <v>3.5355339059328192E-3</v>
      </c>
      <c r="N73" s="13">
        <f t="shared" si="120"/>
        <v>1.2934999999999999</v>
      </c>
      <c r="O73" s="19">
        <f t="shared" si="121"/>
        <v>2.7333080061328332E-3</v>
      </c>
      <c r="P73" s="55">
        <v>0.61499999999999999</v>
      </c>
      <c r="Q73" s="55">
        <v>0.753</v>
      </c>
      <c r="R73" s="20"/>
      <c r="S73" s="20"/>
      <c r="T73" s="13">
        <f t="shared" si="122"/>
        <v>9.7580735803743712E-2</v>
      </c>
      <c r="U73" s="13">
        <f t="shared" si="123"/>
        <v>0.68399999999999994</v>
      </c>
      <c r="V73" s="19">
        <f t="shared" si="124"/>
        <v>0.14266189444991773</v>
      </c>
      <c r="W73" s="55"/>
      <c r="X73" s="55"/>
      <c r="Y73" s="20"/>
      <c r="Z73" s="20"/>
      <c r="AA73" s="13"/>
      <c r="AB73" s="13"/>
      <c r="AC73" s="19"/>
      <c r="AD73" s="55">
        <v>0.14000000000000001</v>
      </c>
      <c r="AE73" s="55">
        <v>0.124</v>
      </c>
      <c r="AF73" s="20"/>
      <c r="AG73" s="20"/>
      <c r="AH73" s="13">
        <f t="shared" si="128"/>
        <v>1.1313708498984771E-2</v>
      </c>
      <c r="AI73" s="13">
        <f t="shared" si="129"/>
        <v>0.13200000000000001</v>
      </c>
      <c r="AJ73" s="19">
        <f t="shared" si="130"/>
        <v>8.5709912871096749E-2</v>
      </c>
      <c r="AK73" s="55">
        <v>8.6999999999999994E-2</v>
      </c>
      <c r="AL73" s="55">
        <v>8.7999999999999995E-2</v>
      </c>
      <c r="AM73" s="20"/>
      <c r="AN73" s="20"/>
      <c r="AO73" s="13">
        <f t="shared" si="131"/>
        <v>7.0710678118654816E-4</v>
      </c>
      <c r="AP73" s="13">
        <f t="shared" si="132"/>
        <v>8.7499999999999994E-2</v>
      </c>
      <c r="AQ73" s="19">
        <f t="shared" si="133"/>
        <v>8.081220356417694E-3</v>
      </c>
      <c r="AR73" s="20"/>
      <c r="AS73" s="20"/>
      <c r="AT73" s="20"/>
      <c r="AU73" s="20"/>
      <c r="AV73" s="20"/>
      <c r="AW73" s="20"/>
      <c r="AX73" s="56"/>
      <c r="AZ73" s="60">
        <v>1.357</v>
      </c>
      <c r="BA73" s="55">
        <v>1.3560000000000001</v>
      </c>
      <c r="BB73" s="20"/>
      <c r="BC73" s="20"/>
      <c r="BD73" s="13">
        <f t="shared" si="134"/>
        <v>7.0710678118646967E-4</v>
      </c>
      <c r="BE73" s="13">
        <f t="shared" si="135"/>
        <v>1.3565</v>
      </c>
      <c r="BF73" s="19">
        <f t="shared" si="136"/>
        <v>5.2127296806964217E-4</v>
      </c>
      <c r="BG73" s="55"/>
      <c r="BH73" s="55">
        <v>1.0999999999999999E-2</v>
      </c>
      <c r="BI73" s="55"/>
      <c r="BJ73" s="55"/>
      <c r="BK73" s="13"/>
      <c r="BL73" s="13">
        <f t="shared" si="138"/>
        <v>1.0999999999999999E-2</v>
      </c>
      <c r="BM73" s="19">
        <f t="shared" si="139"/>
        <v>0</v>
      </c>
      <c r="BN73" s="55">
        <v>9.2999999999999999E-2</v>
      </c>
      <c r="BO73" s="55">
        <v>9.2999999999999999E-2</v>
      </c>
      <c r="BP73" s="20"/>
      <c r="BQ73" s="20"/>
      <c r="BR73" s="13">
        <f t="shared" si="140"/>
        <v>0</v>
      </c>
      <c r="BS73" s="13">
        <f t="shared" si="141"/>
        <v>9.2999999999999999E-2</v>
      </c>
      <c r="BT73" s="19">
        <f t="shared" si="142"/>
        <v>0</v>
      </c>
      <c r="BU73" s="20"/>
      <c r="BV73" s="20"/>
      <c r="BW73" s="20"/>
      <c r="BX73" s="20"/>
      <c r="BY73" s="20"/>
      <c r="BZ73" s="20"/>
      <c r="CA73" s="56"/>
      <c r="CC73" s="27"/>
    </row>
    <row r="74" spans="1:81" x14ac:dyDescent="0.2">
      <c r="A74" s="29" t="s">
        <v>64</v>
      </c>
      <c r="B74" s="60">
        <v>9.9779999999999998</v>
      </c>
      <c r="C74" s="55">
        <v>10.066000000000001</v>
      </c>
      <c r="D74" s="20"/>
      <c r="E74" s="55"/>
      <c r="F74" s="13">
        <f t="shared" si="143"/>
        <v>6.2225396744416864E-2</v>
      </c>
      <c r="G74" s="13">
        <f t="shared" si="144"/>
        <v>10.022</v>
      </c>
      <c r="H74" s="19">
        <f t="shared" si="145"/>
        <v>6.2088801381377833E-3</v>
      </c>
      <c r="I74" s="55">
        <v>1.234</v>
      </c>
      <c r="J74" s="55">
        <v>1.371</v>
      </c>
      <c r="K74" s="20"/>
      <c r="L74" s="20"/>
      <c r="M74" s="13">
        <f t="shared" si="119"/>
        <v>9.6873629022557028E-2</v>
      </c>
      <c r="N74" s="13">
        <f t="shared" si="120"/>
        <v>1.3025</v>
      </c>
      <c r="O74" s="19">
        <f t="shared" si="121"/>
        <v>7.4375147042270273E-2</v>
      </c>
      <c r="P74" s="55">
        <v>27.109000000000002</v>
      </c>
      <c r="Q74" s="55">
        <v>27.157</v>
      </c>
      <c r="R74" s="20"/>
      <c r="S74" s="20"/>
      <c r="T74" s="13">
        <f t="shared" si="122"/>
        <v>3.3941125496953058E-2</v>
      </c>
      <c r="U74" s="13">
        <f t="shared" si="123"/>
        <v>27.133000000000003</v>
      </c>
      <c r="V74" s="19">
        <f t="shared" si="124"/>
        <v>1.2509167986198746E-3</v>
      </c>
      <c r="W74" s="55">
        <v>5.2999999999999999E-2</v>
      </c>
      <c r="X74" s="55">
        <v>0.128</v>
      </c>
      <c r="Y74" s="20"/>
      <c r="Z74" s="20"/>
      <c r="AA74" s="13">
        <f t="shared" si="125"/>
        <v>5.3033008588991057E-2</v>
      </c>
      <c r="AB74" s="13">
        <f t="shared" si="126"/>
        <v>9.0499999999999997E-2</v>
      </c>
      <c r="AC74" s="19">
        <f t="shared" si="127"/>
        <v>0.5860000949059786</v>
      </c>
      <c r="AD74" s="55"/>
      <c r="AE74" s="55">
        <v>0.14199999999999999</v>
      </c>
      <c r="AF74" s="20"/>
      <c r="AG74" s="20"/>
      <c r="AH74" s="13"/>
      <c r="AI74" s="13">
        <f t="shared" si="129"/>
        <v>0.14199999999999999</v>
      </c>
      <c r="AJ74" s="19">
        <f t="shared" si="130"/>
        <v>0</v>
      </c>
      <c r="AK74" s="55">
        <v>8.2000000000000003E-2</v>
      </c>
      <c r="AL74" s="55">
        <v>9.9000000000000005E-2</v>
      </c>
      <c r="AM74" s="20"/>
      <c r="AN74" s="20"/>
      <c r="AO74" s="13">
        <f t="shared" si="131"/>
        <v>1.2020815280171309E-2</v>
      </c>
      <c r="AP74" s="13">
        <f t="shared" si="132"/>
        <v>9.0499999999999997E-2</v>
      </c>
      <c r="AQ74" s="19">
        <f t="shared" si="133"/>
        <v>0.13282668817868851</v>
      </c>
      <c r="AR74" s="20"/>
      <c r="AS74" s="20"/>
      <c r="AT74" s="20"/>
      <c r="AU74" s="20"/>
      <c r="AV74" s="20"/>
      <c r="AW74" s="20"/>
      <c r="AX74" s="56"/>
      <c r="AZ74" s="60">
        <v>1.355</v>
      </c>
      <c r="BA74" s="55">
        <v>1.373</v>
      </c>
      <c r="BB74" s="20"/>
      <c r="BC74" s="20"/>
      <c r="BD74" s="13">
        <f t="shared" si="134"/>
        <v>1.2727922061357868E-2</v>
      </c>
      <c r="BE74" s="13">
        <f t="shared" si="135"/>
        <v>1.3639999999999999</v>
      </c>
      <c r="BF74" s="19">
        <f t="shared" si="136"/>
        <v>9.3313211593532754E-3</v>
      </c>
      <c r="BG74" s="55">
        <v>9.6000000000000002E-2</v>
      </c>
      <c r="BH74" s="55">
        <v>0.106</v>
      </c>
      <c r="BI74" s="55"/>
      <c r="BJ74" s="55"/>
      <c r="BK74" s="13">
        <f t="shared" si="137"/>
        <v>7.0710678118654719E-3</v>
      </c>
      <c r="BL74" s="13">
        <f t="shared" si="138"/>
        <v>0.10100000000000001</v>
      </c>
      <c r="BM74" s="19">
        <f t="shared" si="139"/>
        <v>7.0010572394707635E-2</v>
      </c>
      <c r="BN74" s="55">
        <v>8.6999999999999994E-2</v>
      </c>
      <c r="BO74" s="55">
        <v>8.6999999999999994E-2</v>
      </c>
      <c r="BP74" s="20"/>
      <c r="BQ74" s="20"/>
      <c r="BR74" s="13">
        <f t="shared" si="140"/>
        <v>0</v>
      </c>
      <c r="BS74" s="13">
        <f t="shared" si="141"/>
        <v>8.6999999999999994E-2</v>
      </c>
      <c r="BT74" s="19">
        <f t="shared" si="142"/>
        <v>0</v>
      </c>
      <c r="BU74" s="20"/>
      <c r="BV74" s="20"/>
      <c r="BW74" s="20"/>
      <c r="BX74" s="20"/>
      <c r="BY74" s="20"/>
      <c r="BZ74" s="20"/>
      <c r="CA74" s="56"/>
      <c r="CC74" s="27"/>
    </row>
    <row r="75" spans="1:81" x14ac:dyDescent="0.2">
      <c r="A75" s="29" t="s">
        <v>66</v>
      </c>
      <c r="B75" s="60">
        <v>11.18</v>
      </c>
      <c r="C75" s="20"/>
      <c r="D75" s="20"/>
      <c r="E75" s="20"/>
      <c r="F75" s="13"/>
      <c r="G75" s="13">
        <f t="shared" si="144"/>
        <v>11.18</v>
      </c>
      <c r="H75" s="19">
        <f t="shared" si="145"/>
        <v>0</v>
      </c>
      <c r="I75" s="55">
        <v>1.895</v>
      </c>
      <c r="J75" s="20"/>
      <c r="K75" s="20"/>
      <c r="L75" s="20"/>
      <c r="M75" s="13"/>
      <c r="N75" s="13">
        <f t="shared" si="120"/>
        <v>1.895</v>
      </c>
      <c r="O75" s="19">
        <f t="shared" si="121"/>
        <v>0</v>
      </c>
      <c r="P75" s="55">
        <v>5.4539999999999997</v>
      </c>
      <c r="Q75" s="20"/>
      <c r="R75" s="20"/>
      <c r="S75" s="20"/>
      <c r="T75" s="13"/>
      <c r="U75" s="13">
        <f t="shared" si="123"/>
        <v>5.4539999999999997</v>
      </c>
      <c r="V75" s="19">
        <f t="shared" si="124"/>
        <v>0</v>
      </c>
      <c r="W75" s="55">
        <v>0.06</v>
      </c>
      <c r="X75" s="20"/>
      <c r="Y75" s="20"/>
      <c r="Z75" s="20"/>
      <c r="AA75" s="13"/>
      <c r="AB75" s="13">
        <f t="shared" si="126"/>
        <v>0.06</v>
      </c>
      <c r="AC75" s="19">
        <f t="shared" si="127"/>
        <v>0</v>
      </c>
      <c r="AD75" s="55">
        <v>0.14299999999999999</v>
      </c>
      <c r="AE75" s="20"/>
      <c r="AF75" s="20"/>
      <c r="AG75" s="20"/>
      <c r="AH75" s="13"/>
      <c r="AI75" s="13">
        <f t="shared" si="129"/>
        <v>0.14299999999999999</v>
      </c>
      <c r="AJ75" s="19">
        <f t="shared" si="130"/>
        <v>0</v>
      </c>
      <c r="AK75" s="55">
        <v>9.9000000000000005E-2</v>
      </c>
      <c r="AL75" s="20"/>
      <c r="AM75" s="20"/>
      <c r="AN75" s="20"/>
      <c r="AO75" s="13"/>
      <c r="AP75" s="13">
        <f t="shared" si="132"/>
        <v>9.9000000000000005E-2</v>
      </c>
      <c r="AQ75" s="19">
        <f t="shared" si="133"/>
        <v>0</v>
      </c>
      <c r="AR75" s="20"/>
      <c r="AS75" s="20"/>
      <c r="AT75" s="20"/>
      <c r="AU75" s="20"/>
      <c r="AV75" s="20"/>
      <c r="AW75" s="20"/>
      <c r="AX75" s="56"/>
      <c r="AZ75" s="60">
        <v>1.506</v>
      </c>
      <c r="BA75" s="20"/>
      <c r="BB75" s="20"/>
      <c r="BC75" s="20"/>
      <c r="BD75" s="13"/>
      <c r="BE75" s="13">
        <f t="shared" si="135"/>
        <v>1.506</v>
      </c>
      <c r="BF75" s="19">
        <f t="shared" si="136"/>
        <v>0</v>
      </c>
      <c r="BG75" s="55">
        <v>0.28899999999999998</v>
      </c>
      <c r="BH75" s="20"/>
      <c r="BI75" s="20"/>
      <c r="BJ75" s="20"/>
      <c r="BK75" s="13"/>
      <c r="BL75" s="13">
        <f t="shared" si="138"/>
        <v>0.28899999999999998</v>
      </c>
      <c r="BM75" s="19">
        <f t="shared" si="139"/>
        <v>0</v>
      </c>
      <c r="BN75" s="55">
        <v>9.9000000000000005E-2</v>
      </c>
      <c r="BO75" s="20"/>
      <c r="BP75" s="20"/>
      <c r="BQ75" s="20"/>
      <c r="BR75" s="13"/>
      <c r="BS75" s="13">
        <f t="shared" si="141"/>
        <v>9.9000000000000005E-2</v>
      </c>
      <c r="BT75" s="19">
        <f t="shared" si="142"/>
        <v>0</v>
      </c>
      <c r="BU75" s="20"/>
      <c r="BV75" s="20"/>
      <c r="BW75" s="20"/>
      <c r="BX75" s="20"/>
      <c r="BY75" s="20"/>
      <c r="BZ75" s="20"/>
      <c r="CA75" s="56"/>
      <c r="CC75" s="27"/>
    </row>
    <row r="76" spans="1:81" x14ac:dyDescent="0.2">
      <c r="A76" s="29" t="s">
        <v>69</v>
      </c>
      <c r="B76" s="60">
        <v>10.98</v>
      </c>
      <c r="C76" s="55">
        <v>10.909000000000001</v>
      </c>
      <c r="D76" s="20"/>
      <c r="E76" s="20"/>
      <c r="F76" s="13">
        <f t="shared" si="143"/>
        <v>5.0204581464244682E-2</v>
      </c>
      <c r="G76" s="13">
        <f t="shared" si="144"/>
        <v>10.944500000000001</v>
      </c>
      <c r="H76" s="19">
        <f t="shared" si="145"/>
        <v>4.5871973561372997E-3</v>
      </c>
      <c r="I76" s="55">
        <v>1.867</v>
      </c>
      <c r="J76" s="55">
        <v>1.7310000000000001</v>
      </c>
      <c r="K76" s="20"/>
      <c r="L76" s="20"/>
      <c r="M76" s="13">
        <f t="shared" si="119"/>
        <v>9.6166522241370386E-2</v>
      </c>
      <c r="N76" s="13">
        <f t="shared" si="120"/>
        <v>1.7989999999999999</v>
      </c>
      <c r="O76" s="19">
        <f t="shared" si="121"/>
        <v>5.3455543213657801E-2</v>
      </c>
      <c r="P76" s="55">
        <v>4.2690000000000001</v>
      </c>
      <c r="Q76" s="55">
        <v>4.2919999999999998</v>
      </c>
      <c r="R76" s="20"/>
      <c r="S76" s="20"/>
      <c r="T76" s="13">
        <f t="shared" si="122"/>
        <v>1.6263455967290372E-2</v>
      </c>
      <c r="U76" s="13">
        <f t="shared" si="123"/>
        <v>4.2805</v>
      </c>
      <c r="V76" s="19">
        <f t="shared" si="124"/>
        <v>3.799429031022164E-3</v>
      </c>
      <c r="W76" s="55">
        <v>8.5999999999999993E-2</v>
      </c>
      <c r="X76" s="55">
        <v>7.5999999999999998E-2</v>
      </c>
      <c r="Y76" s="20"/>
      <c r="Z76" s="20"/>
      <c r="AA76" s="13">
        <f t="shared" si="125"/>
        <v>7.0710678118654719E-3</v>
      </c>
      <c r="AB76" s="13">
        <f t="shared" si="126"/>
        <v>8.0999999999999989E-2</v>
      </c>
      <c r="AC76" s="19">
        <f t="shared" si="127"/>
        <v>8.7297133479820654E-2</v>
      </c>
      <c r="AD76" s="55">
        <v>0.151</v>
      </c>
      <c r="AE76" s="55">
        <v>0.154</v>
      </c>
      <c r="AF76" s="20"/>
      <c r="AG76" s="20"/>
      <c r="AH76" s="13">
        <f t="shared" si="128"/>
        <v>2.1213203435596446E-3</v>
      </c>
      <c r="AI76" s="13">
        <f t="shared" si="129"/>
        <v>0.1525</v>
      </c>
      <c r="AJ76" s="19">
        <f t="shared" si="130"/>
        <v>1.3910297334817343E-2</v>
      </c>
      <c r="AK76" s="55">
        <v>9.5000000000000001E-2</v>
      </c>
      <c r="AL76" s="55">
        <v>0.112</v>
      </c>
      <c r="AM76" s="20"/>
      <c r="AN76" s="20"/>
      <c r="AO76" s="13">
        <f t="shared" si="131"/>
        <v>1.2020815280171309E-2</v>
      </c>
      <c r="AP76" s="13">
        <f t="shared" si="132"/>
        <v>0.10350000000000001</v>
      </c>
      <c r="AQ76" s="19">
        <f t="shared" si="133"/>
        <v>0.11614314280358752</v>
      </c>
      <c r="AR76" s="20"/>
      <c r="AS76" s="20"/>
      <c r="AT76" s="20"/>
      <c r="AU76" s="20"/>
      <c r="AV76" s="20"/>
      <c r="AW76" s="20"/>
      <c r="AX76" s="56"/>
      <c r="AZ76" s="60">
        <v>1.476</v>
      </c>
      <c r="BA76" s="55">
        <v>1.4670000000000001</v>
      </c>
      <c r="BB76" s="20"/>
      <c r="BC76" s="20"/>
      <c r="BD76" s="13">
        <f t="shared" si="134"/>
        <v>6.3639610306788549E-3</v>
      </c>
      <c r="BE76" s="13">
        <f t="shared" si="135"/>
        <v>1.4715</v>
      </c>
      <c r="BF76" s="19">
        <f t="shared" si="136"/>
        <v>4.3248121173488649E-3</v>
      </c>
      <c r="BG76" s="55">
        <v>0.24099999999999999</v>
      </c>
      <c r="BH76" s="55">
        <v>0.20200000000000001</v>
      </c>
      <c r="BI76" s="20"/>
      <c r="BJ76" s="20"/>
      <c r="BK76" s="13">
        <f t="shared" si="137"/>
        <v>2.7577164466275339E-2</v>
      </c>
      <c r="BL76" s="13">
        <f t="shared" si="138"/>
        <v>0.2215</v>
      </c>
      <c r="BM76" s="19">
        <f t="shared" si="139"/>
        <v>0.12450187117957263</v>
      </c>
      <c r="BN76" s="55">
        <v>0.104</v>
      </c>
      <c r="BO76" s="55">
        <v>0.10299999999999999</v>
      </c>
      <c r="BP76" s="20"/>
      <c r="BQ76" s="20"/>
      <c r="BR76" s="13">
        <f t="shared" si="140"/>
        <v>7.0710678118654816E-4</v>
      </c>
      <c r="BS76" s="13">
        <f t="shared" si="141"/>
        <v>0.10349999999999999</v>
      </c>
      <c r="BT76" s="19">
        <f t="shared" si="142"/>
        <v>6.8319495766816247E-3</v>
      </c>
      <c r="BU76" s="20"/>
      <c r="BV76" s="20"/>
      <c r="BW76" s="20"/>
      <c r="BX76" s="20"/>
      <c r="BY76" s="20"/>
      <c r="BZ76" s="20"/>
      <c r="CA76" s="56"/>
      <c r="CC76" s="27"/>
    </row>
    <row r="77" spans="1:81" x14ac:dyDescent="0.2">
      <c r="A77" s="29" t="s">
        <v>67</v>
      </c>
      <c r="B77" s="60">
        <v>10.842000000000001</v>
      </c>
      <c r="C77" s="20"/>
      <c r="D77" s="20"/>
      <c r="E77" s="20"/>
      <c r="F77" s="13"/>
      <c r="G77" s="13">
        <f t="shared" si="144"/>
        <v>10.842000000000001</v>
      </c>
      <c r="H77" s="19">
        <f t="shared" si="145"/>
        <v>0</v>
      </c>
      <c r="I77" s="55">
        <v>1.5860000000000001</v>
      </c>
      <c r="J77" s="20"/>
      <c r="K77" s="20"/>
      <c r="L77" s="20"/>
      <c r="M77" s="13"/>
      <c r="N77" s="13">
        <f t="shared" si="120"/>
        <v>1.5860000000000001</v>
      </c>
      <c r="O77" s="19">
        <f t="shared" si="121"/>
        <v>0</v>
      </c>
      <c r="P77" s="55">
        <v>4.9779999999999998</v>
      </c>
      <c r="Q77" s="20"/>
      <c r="R77" s="20"/>
      <c r="S77" s="20"/>
      <c r="T77" s="13"/>
      <c r="U77" s="13">
        <f t="shared" si="123"/>
        <v>4.9779999999999998</v>
      </c>
      <c r="V77" s="19">
        <f t="shared" si="124"/>
        <v>0</v>
      </c>
      <c r="W77" s="55">
        <v>4.0000000000000001E-3</v>
      </c>
      <c r="X77" s="20"/>
      <c r="Y77" s="20"/>
      <c r="Z77" s="20"/>
      <c r="AA77" s="13"/>
      <c r="AB77" s="13">
        <f t="shared" si="126"/>
        <v>4.0000000000000001E-3</v>
      </c>
      <c r="AC77" s="19">
        <f t="shared" si="127"/>
        <v>0</v>
      </c>
      <c r="AD77" s="55">
        <v>0.13500000000000001</v>
      </c>
      <c r="AE77" s="20"/>
      <c r="AF77" s="20"/>
      <c r="AG77" s="20"/>
      <c r="AH77" s="13"/>
      <c r="AI77" s="13">
        <f t="shared" si="129"/>
        <v>0.13500000000000001</v>
      </c>
      <c r="AJ77" s="19">
        <f t="shared" si="130"/>
        <v>0</v>
      </c>
      <c r="AK77" s="55">
        <v>0.113</v>
      </c>
      <c r="AL77" s="20"/>
      <c r="AM77" s="20"/>
      <c r="AN77" s="20"/>
      <c r="AO77" s="13"/>
      <c r="AP77" s="13">
        <f t="shared" si="132"/>
        <v>0.113</v>
      </c>
      <c r="AQ77" s="19">
        <f t="shared" si="133"/>
        <v>0</v>
      </c>
      <c r="AR77" s="20"/>
      <c r="AS77" s="20"/>
      <c r="AT77" s="20"/>
      <c r="AU77" s="20"/>
      <c r="AV77" s="20"/>
      <c r="AW77" s="20"/>
      <c r="AX77" s="56"/>
      <c r="AZ77" s="60">
        <v>1.506</v>
      </c>
      <c r="BA77" s="20"/>
      <c r="BB77" s="20"/>
      <c r="BC77" s="20"/>
      <c r="BD77" s="13"/>
      <c r="BE77" s="13">
        <f t="shared" si="135"/>
        <v>1.506</v>
      </c>
      <c r="BF77" s="19">
        <f t="shared" si="136"/>
        <v>0</v>
      </c>
      <c r="BG77" s="55">
        <v>0.20300000000000001</v>
      </c>
      <c r="BH77" s="20"/>
      <c r="BI77" s="20"/>
      <c r="BJ77" s="20"/>
      <c r="BK77" s="13"/>
      <c r="BL77" s="13">
        <f t="shared" si="138"/>
        <v>0.20300000000000001</v>
      </c>
      <c r="BM77" s="19">
        <f t="shared" si="139"/>
        <v>0</v>
      </c>
      <c r="BN77" s="55">
        <v>9.2999999999999999E-2</v>
      </c>
      <c r="BO77" s="20"/>
      <c r="BP77" s="20"/>
      <c r="BQ77" s="20"/>
      <c r="BR77" s="13"/>
      <c r="BS77" s="13">
        <f t="shared" si="141"/>
        <v>9.2999999999999999E-2</v>
      </c>
      <c r="BT77" s="19">
        <f t="shared" si="142"/>
        <v>0</v>
      </c>
      <c r="BU77" s="20"/>
      <c r="BV77" s="20"/>
      <c r="BW77" s="20"/>
      <c r="BX77" s="20"/>
      <c r="BY77" s="20"/>
      <c r="BZ77" s="20"/>
      <c r="CA77" s="56"/>
      <c r="CC77" s="27"/>
    </row>
    <row r="78" spans="1:81" x14ac:dyDescent="0.2">
      <c r="A78" s="29" t="s">
        <v>70</v>
      </c>
      <c r="B78" s="60">
        <v>10.749000000000001</v>
      </c>
      <c r="C78" s="55">
        <v>10.741</v>
      </c>
      <c r="D78" s="20"/>
      <c r="E78" s="20"/>
      <c r="F78" s="13">
        <f t="shared" si="143"/>
        <v>5.6568542494930133E-3</v>
      </c>
      <c r="G78" s="13">
        <f t="shared" si="144"/>
        <v>10.745000000000001</v>
      </c>
      <c r="H78" s="19">
        <f t="shared" si="145"/>
        <v>5.2646386686766057E-4</v>
      </c>
      <c r="I78" s="55">
        <v>1.52</v>
      </c>
      <c r="J78" s="55">
        <v>1.5609999999999999</v>
      </c>
      <c r="K78" s="20"/>
      <c r="L78" s="20"/>
      <c r="M78" s="13">
        <f t="shared" si="119"/>
        <v>2.8991378028648394E-2</v>
      </c>
      <c r="N78" s="13">
        <f t="shared" si="120"/>
        <v>1.5405</v>
      </c>
      <c r="O78" s="19">
        <f t="shared" si="121"/>
        <v>1.8819459934208631E-2</v>
      </c>
      <c r="P78" s="55">
        <v>5.8630000000000004</v>
      </c>
      <c r="Q78" s="55">
        <v>5.9290000000000003</v>
      </c>
      <c r="R78" s="20"/>
      <c r="S78" s="20"/>
      <c r="T78" s="13">
        <f t="shared" si="122"/>
        <v>4.666904755831202E-2</v>
      </c>
      <c r="U78" s="13">
        <f t="shared" si="123"/>
        <v>5.8960000000000008</v>
      </c>
      <c r="V78" s="19">
        <f t="shared" si="124"/>
        <v>7.9153744162673029E-3</v>
      </c>
      <c r="W78" s="55">
        <v>1.4E-2</v>
      </c>
      <c r="X78" s="55"/>
      <c r="Y78" s="20"/>
      <c r="Z78" s="20"/>
      <c r="AA78" s="13"/>
      <c r="AB78" s="13">
        <f t="shared" si="126"/>
        <v>1.4E-2</v>
      </c>
      <c r="AC78" s="19">
        <f t="shared" si="127"/>
        <v>0</v>
      </c>
      <c r="AD78" s="55">
        <v>0.15</v>
      </c>
      <c r="AE78" s="55">
        <v>0.14000000000000001</v>
      </c>
      <c r="AF78" s="20"/>
      <c r="AG78" s="20"/>
      <c r="AH78" s="13">
        <f t="shared" si="128"/>
        <v>7.0710678118654623E-3</v>
      </c>
      <c r="AI78" s="13">
        <f t="shared" si="129"/>
        <v>0.14500000000000002</v>
      </c>
      <c r="AJ78" s="19">
        <f t="shared" si="130"/>
        <v>4.8765984909416978E-2</v>
      </c>
      <c r="AK78" s="55">
        <v>9.0999999999999998E-2</v>
      </c>
      <c r="AL78" s="55">
        <v>9.7000000000000003E-2</v>
      </c>
      <c r="AM78" s="20"/>
      <c r="AN78" s="20"/>
      <c r="AO78" s="13">
        <f t="shared" si="131"/>
        <v>4.2426406871192892E-3</v>
      </c>
      <c r="AP78" s="13">
        <f t="shared" si="132"/>
        <v>9.4E-2</v>
      </c>
      <c r="AQ78" s="19">
        <f t="shared" si="133"/>
        <v>4.5134475394886055E-2</v>
      </c>
      <c r="AR78" s="20"/>
      <c r="AS78" s="20"/>
      <c r="AT78" s="20"/>
      <c r="AU78" s="20"/>
      <c r="AV78" s="20"/>
      <c r="AW78" s="20"/>
      <c r="AX78" s="56"/>
      <c r="AZ78" s="60">
        <v>1.4630000000000001</v>
      </c>
      <c r="BA78" s="55">
        <v>1.472</v>
      </c>
      <c r="BB78" s="20"/>
      <c r="BC78" s="20"/>
      <c r="BD78" s="13">
        <f t="shared" si="134"/>
        <v>6.3639610306788549E-3</v>
      </c>
      <c r="BE78" s="13">
        <f t="shared" si="135"/>
        <v>1.4675</v>
      </c>
      <c r="BF78" s="19">
        <f t="shared" si="136"/>
        <v>4.3366003616210251E-3</v>
      </c>
      <c r="BG78" s="55">
        <v>0.18099999999999999</v>
      </c>
      <c r="BH78" s="55">
        <v>0.14799999999999999</v>
      </c>
      <c r="BI78" s="20"/>
      <c r="BJ78" s="20"/>
      <c r="BK78" s="13">
        <f t="shared" si="137"/>
        <v>2.3334523779156069E-2</v>
      </c>
      <c r="BL78" s="13">
        <f t="shared" si="138"/>
        <v>0.16449999999999998</v>
      </c>
      <c r="BM78" s="19">
        <f t="shared" si="139"/>
        <v>0.14185120838392748</v>
      </c>
      <c r="BN78" s="55">
        <v>0.10100000000000001</v>
      </c>
      <c r="BO78" s="55">
        <v>0.109</v>
      </c>
      <c r="BP78" s="20"/>
      <c r="BQ78" s="20"/>
      <c r="BR78" s="13">
        <f t="shared" si="140"/>
        <v>5.6568542494923758E-3</v>
      </c>
      <c r="BS78" s="13">
        <f t="shared" si="141"/>
        <v>0.10500000000000001</v>
      </c>
      <c r="BT78" s="19">
        <f t="shared" si="142"/>
        <v>5.3874802376117858E-2</v>
      </c>
      <c r="BU78" s="20"/>
      <c r="BV78" s="20"/>
      <c r="BW78" s="20"/>
      <c r="BX78" s="20"/>
      <c r="BY78" s="20"/>
      <c r="BZ78" s="20"/>
      <c r="CA78" s="56"/>
      <c r="CC78" s="27"/>
    </row>
    <row r="79" spans="1:81" x14ac:dyDescent="0.2">
      <c r="A79" s="29" t="s">
        <v>68</v>
      </c>
      <c r="B79" s="60">
        <v>10.54</v>
      </c>
      <c r="C79" s="20"/>
      <c r="D79" s="20"/>
      <c r="E79" s="20"/>
      <c r="F79" s="13"/>
      <c r="G79" s="13">
        <f t="shared" si="144"/>
        <v>10.54</v>
      </c>
      <c r="H79" s="19">
        <f t="shared" si="145"/>
        <v>0</v>
      </c>
      <c r="I79" s="55">
        <v>1.5349999999999999</v>
      </c>
      <c r="J79" s="20"/>
      <c r="K79" s="20"/>
      <c r="L79" s="20"/>
      <c r="M79" s="13"/>
      <c r="N79" s="13">
        <f t="shared" si="120"/>
        <v>1.5349999999999999</v>
      </c>
      <c r="O79" s="19">
        <f t="shared" si="121"/>
        <v>0</v>
      </c>
      <c r="P79" s="55">
        <v>5.4909999999999997</v>
      </c>
      <c r="Q79" s="20"/>
      <c r="R79" s="20"/>
      <c r="S79" s="20"/>
      <c r="T79" s="13"/>
      <c r="U79" s="13">
        <f t="shared" si="123"/>
        <v>5.4909999999999997</v>
      </c>
      <c r="V79" s="19">
        <f t="shared" si="124"/>
        <v>0</v>
      </c>
      <c r="W79" s="55"/>
      <c r="X79" s="20"/>
      <c r="Y79" s="20"/>
      <c r="Z79" s="20"/>
      <c r="AA79" s="13"/>
      <c r="AB79" s="13"/>
      <c r="AC79" s="19"/>
      <c r="AD79" s="55">
        <v>0.16300000000000001</v>
      </c>
      <c r="AE79" s="20"/>
      <c r="AF79" s="20"/>
      <c r="AG79" s="20"/>
      <c r="AH79" s="13"/>
      <c r="AI79" s="13">
        <f t="shared" si="129"/>
        <v>0.16300000000000001</v>
      </c>
      <c r="AJ79" s="19">
        <f t="shared" si="130"/>
        <v>0</v>
      </c>
      <c r="AK79" s="55">
        <v>7.8E-2</v>
      </c>
      <c r="AL79" s="20"/>
      <c r="AM79" s="20"/>
      <c r="AN79" s="20"/>
      <c r="AO79" s="13"/>
      <c r="AP79" s="13">
        <f t="shared" si="132"/>
        <v>7.8E-2</v>
      </c>
      <c r="AQ79" s="19">
        <f t="shared" si="133"/>
        <v>0</v>
      </c>
      <c r="AR79" s="20"/>
      <c r="AS79" s="20"/>
      <c r="AT79" s="20"/>
      <c r="AU79" s="20"/>
      <c r="AV79" s="20"/>
      <c r="AW79" s="20"/>
      <c r="AX79" s="56"/>
      <c r="AZ79" s="60">
        <v>1.51</v>
      </c>
      <c r="BA79" s="20"/>
      <c r="BB79" s="20"/>
      <c r="BC79" s="20"/>
      <c r="BD79" s="13"/>
      <c r="BE79" s="13">
        <f t="shared" si="135"/>
        <v>1.51</v>
      </c>
      <c r="BF79" s="19">
        <f t="shared" si="136"/>
        <v>0</v>
      </c>
      <c r="BG79" s="55">
        <v>0.13600000000000001</v>
      </c>
      <c r="BH79" s="20"/>
      <c r="BI79" s="20"/>
      <c r="BJ79" s="20"/>
      <c r="BK79" s="13"/>
      <c r="BL79" s="13">
        <f t="shared" si="138"/>
        <v>0.13600000000000001</v>
      </c>
      <c r="BM79" s="19">
        <f t="shared" si="139"/>
        <v>0</v>
      </c>
      <c r="BN79" s="55">
        <v>9.2999999999999999E-2</v>
      </c>
      <c r="BO79" s="20"/>
      <c r="BP79" s="20"/>
      <c r="BQ79" s="20"/>
      <c r="BR79" s="13"/>
      <c r="BS79" s="13">
        <f t="shared" si="141"/>
        <v>9.2999999999999999E-2</v>
      </c>
      <c r="BT79" s="19">
        <f t="shared" si="142"/>
        <v>0</v>
      </c>
      <c r="BU79" s="20"/>
      <c r="BV79" s="20"/>
      <c r="BW79" s="20"/>
      <c r="BX79" s="20"/>
      <c r="BY79" s="20"/>
      <c r="BZ79" s="20"/>
      <c r="CA79" s="56"/>
      <c r="CC79" s="27"/>
    </row>
    <row r="80" spans="1:81" x14ac:dyDescent="0.2">
      <c r="A80" s="29" t="s">
        <v>71</v>
      </c>
      <c r="B80" s="60">
        <v>10.025</v>
      </c>
      <c r="C80" s="55">
        <v>10.079000000000001</v>
      </c>
      <c r="D80" s="20"/>
      <c r="E80" s="20"/>
      <c r="F80" s="13">
        <f t="shared" si="143"/>
        <v>3.8183766184073757E-2</v>
      </c>
      <c r="G80" s="13">
        <f t="shared" si="144"/>
        <v>10.052</v>
      </c>
      <c r="H80" s="19">
        <f t="shared" si="145"/>
        <v>3.7986237747785275E-3</v>
      </c>
      <c r="I80" s="55">
        <v>1.2949999999999999</v>
      </c>
      <c r="J80" s="55">
        <v>1.4119999999999999</v>
      </c>
      <c r="K80" s="20"/>
      <c r="L80" s="20"/>
      <c r="M80" s="13">
        <f t="shared" si="119"/>
        <v>8.2731493398826059E-2</v>
      </c>
      <c r="N80" s="13">
        <f t="shared" si="120"/>
        <v>1.3534999999999999</v>
      </c>
      <c r="O80" s="19">
        <f t="shared" si="121"/>
        <v>6.1124117767880355E-2</v>
      </c>
      <c r="P80" s="55">
        <v>5.4589999999999996</v>
      </c>
      <c r="Q80" s="55">
        <v>5.5119999999999996</v>
      </c>
      <c r="R80" s="20"/>
      <c r="S80" s="20"/>
      <c r="T80" s="13">
        <f t="shared" si="122"/>
        <v>3.7476659402886976E-2</v>
      </c>
      <c r="U80" s="13">
        <f t="shared" si="123"/>
        <v>5.4855</v>
      </c>
      <c r="V80" s="19">
        <f t="shared" si="124"/>
        <v>6.8319495766816108E-3</v>
      </c>
      <c r="W80" s="55"/>
      <c r="X80" s="55"/>
      <c r="Y80" s="20"/>
      <c r="Z80" s="20"/>
      <c r="AA80" s="13"/>
      <c r="AB80" s="13"/>
      <c r="AC80" s="19"/>
      <c r="AD80" s="55">
        <v>0.14799999999999999</v>
      </c>
      <c r="AE80" s="55">
        <v>0.14899999999999999</v>
      </c>
      <c r="AF80" s="20"/>
      <c r="AG80" s="20"/>
      <c r="AH80" s="13">
        <f t="shared" si="128"/>
        <v>7.0710678118654816E-4</v>
      </c>
      <c r="AI80" s="13">
        <f t="shared" si="129"/>
        <v>0.14849999999999999</v>
      </c>
      <c r="AJ80" s="19">
        <f t="shared" si="130"/>
        <v>4.7616618261720417E-3</v>
      </c>
      <c r="AK80" s="55">
        <v>9.8000000000000004E-2</v>
      </c>
      <c r="AL80" s="55">
        <v>8.6999999999999994E-2</v>
      </c>
      <c r="AM80" s="20"/>
      <c r="AN80" s="20"/>
      <c r="AO80" s="13">
        <f t="shared" si="131"/>
        <v>7.7781745930520299E-3</v>
      </c>
      <c r="AP80" s="13">
        <f t="shared" si="132"/>
        <v>9.2499999999999999E-2</v>
      </c>
      <c r="AQ80" s="19">
        <f t="shared" si="133"/>
        <v>8.4088373978940867E-2</v>
      </c>
      <c r="AR80" s="20"/>
      <c r="AS80" s="20"/>
      <c r="AT80" s="20"/>
      <c r="AU80" s="20"/>
      <c r="AV80" s="20"/>
      <c r="AW80" s="20"/>
      <c r="AX80" s="56"/>
      <c r="AZ80" s="60">
        <v>1.4650000000000001</v>
      </c>
      <c r="BA80" s="55">
        <v>1.4650000000000001</v>
      </c>
      <c r="BB80" s="20"/>
      <c r="BC80" s="20"/>
      <c r="BD80" s="13">
        <f t="shared" si="134"/>
        <v>0</v>
      </c>
      <c r="BE80" s="13">
        <f t="shared" si="135"/>
        <v>1.4650000000000001</v>
      </c>
      <c r="BF80" s="19">
        <f t="shared" si="136"/>
        <v>0</v>
      </c>
      <c r="BG80" s="55">
        <v>0.11</v>
      </c>
      <c r="BH80" s="55">
        <v>0.10199999999999999</v>
      </c>
      <c r="BI80" s="20"/>
      <c r="BJ80" s="20"/>
      <c r="BK80" s="13">
        <f t="shared" si="137"/>
        <v>5.6568542494923853E-3</v>
      </c>
      <c r="BL80" s="13">
        <f t="shared" si="138"/>
        <v>0.106</v>
      </c>
      <c r="BM80" s="19">
        <f t="shared" si="139"/>
        <v>5.3366549523513072E-2</v>
      </c>
      <c r="BN80" s="55">
        <v>9.4E-2</v>
      </c>
      <c r="BO80" s="55">
        <v>9.0999999999999998E-2</v>
      </c>
      <c r="BP80" s="20"/>
      <c r="BQ80" s="20"/>
      <c r="BR80" s="13">
        <f t="shared" si="140"/>
        <v>2.1213203435596446E-3</v>
      </c>
      <c r="BS80" s="13">
        <f t="shared" si="141"/>
        <v>9.2499999999999999E-2</v>
      </c>
      <c r="BT80" s="19">
        <f t="shared" si="142"/>
        <v>2.2933192903347509E-2</v>
      </c>
      <c r="BU80" s="20"/>
      <c r="BV80" s="20"/>
      <c r="BW80" s="20"/>
      <c r="BX80" s="20"/>
      <c r="BY80" s="20"/>
      <c r="BZ80" s="20"/>
      <c r="CA80" s="56"/>
      <c r="CC80" s="27"/>
    </row>
    <row r="81" spans="1:81" x14ac:dyDescent="0.2">
      <c r="A81" s="30" t="s">
        <v>72</v>
      </c>
      <c r="B81" s="61">
        <v>9.9339999999999993</v>
      </c>
      <c r="C81" s="57">
        <v>9.9049999999999994</v>
      </c>
      <c r="D81" s="51"/>
      <c r="E81" s="51"/>
      <c r="F81" s="23">
        <f t="shared" si="143"/>
        <v>2.0506096654409819E-2</v>
      </c>
      <c r="G81" s="23">
        <f t="shared" si="144"/>
        <v>9.9194999999999993</v>
      </c>
      <c r="H81" s="24">
        <f t="shared" si="145"/>
        <v>2.0672510362830607E-3</v>
      </c>
      <c r="I81" s="57">
        <v>1.446</v>
      </c>
      <c r="J81" s="57">
        <v>1.47</v>
      </c>
      <c r="K81" s="51"/>
      <c r="L81" s="51"/>
      <c r="M81" s="23">
        <f t="shared" si="119"/>
        <v>1.6970562748477157E-2</v>
      </c>
      <c r="N81" s="23">
        <f t="shared" si="120"/>
        <v>1.458</v>
      </c>
      <c r="O81" s="24">
        <f t="shared" si="121"/>
        <v>1.1639617797309435E-2</v>
      </c>
      <c r="P81" s="57">
        <v>1.7929999999999999</v>
      </c>
      <c r="Q81" s="57">
        <v>1.7010000000000001</v>
      </c>
      <c r="R81" s="51"/>
      <c r="S81" s="51"/>
      <c r="T81" s="23">
        <f t="shared" si="122"/>
        <v>6.5053823869162281E-2</v>
      </c>
      <c r="U81" s="23">
        <f t="shared" si="123"/>
        <v>1.7469999999999999</v>
      </c>
      <c r="V81" s="24">
        <f t="shared" si="124"/>
        <v>3.7237449266835879E-2</v>
      </c>
      <c r="W81" s="57"/>
      <c r="X81" s="57"/>
      <c r="Y81" s="51"/>
      <c r="Z81" s="51"/>
      <c r="AA81" s="23"/>
      <c r="AB81" s="23"/>
      <c r="AC81" s="24"/>
      <c r="AD81" s="57">
        <v>0.16500000000000001</v>
      </c>
      <c r="AE81" s="57">
        <v>0.14599999999999999</v>
      </c>
      <c r="AF81" s="51"/>
      <c r="AG81" s="51"/>
      <c r="AH81" s="23">
        <f t="shared" si="128"/>
        <v>1.3435028842544414E-2</v>
      </c>
      <c r="AI81" s="23">
        <f t="shared" si="129"/>
        <v>0.1555</v>
      </c>
      <c r="AJ81" s="24">
        <f t="shared" si="130"/>
        <v>8.6398899308967297E-2</v>
      </c>
      <c r="AK81" s="57">
        <v>0.10100000000000001</v>
      </c>
      <c r="AL81" s="57">
        <v>8.3000000000000004E-2</v>
      </c>
      <c r="AM81" s="51"/>
      <c r="AN81" s="51"/>
      <c r="AO81" s="23">
        <f t="shared" si="131"/>
        <v>1.2727922061357857E-2</v>
      </c>
      <c r="AP81" s="23">
        <f t="shared" si="132"/>
        <v>9.1999999999999998E-2</v>
      </c>
      <c r="AQ81" s="24">
        <f t="shared" si="133"/>
        <v>0.13834697892780279</v>
      </c>
      <c r="AR81" s="51"/>
      <c r="AS81" s="51"/>
      <c r="AT81" s="51"/>
      <c r="AU81" s="51"/>
      <c r="AV81" s="51"/>
      <c r="AW81" s="51"/>
      <c r="AX81" s="58"/>
      <c r="AZ81" s="61">
        <v>1.4630000000000001</v>
      </c>
      <c r="BA81" s="57">
        <v>1.472</v>
      </c>
      <c r="BB81" s="51"/>
      <c r="BC81" s="51"/>
      <c r="BD81" s="23">
        <f t="shared" si="134"/>
        <v>6.3639610306788549E-3</v>
      </c>
      <c r="BE81" s="23">
        <f t="shared" si="135"/>
        <v>1.4675</v>
      </c>
      <c r="BF81" s="24">
        <f t="shared" si="136"/>
        <v>4.3366003616210251E-3</v>
      </c>
      <c r="BG81" s="57">
        <v>3.5999999999999997E-2</v>
      </c>
      <c r="BH81" s="57">
        <v>0.02</v>
      </c>
      <c r="BI81" s="51"/>
      <c r="BJ81" s="51"/>
      <c r="BK81" s="23">
        <f t="shared" si="137"/>
        <v>1.1313708498984764E-2</v>
      </c>
      <c r="BL81" s="23">
        <f t="shared" si="138"/>
        <v>2.7999999999999997E-2</v>
      </c>
      <c r="BM81" s="24">
        <f t="shared" si="139"/>
        <v>0.40406101782088444</v>
      </c>
      <c r="BN81" s="57">
        <v>9.4E-2</v>
      </c>
      <c r="BO81" s="57">
        <v>0.09</v>
      </c>
      <c r="BP81" s="51"/>
      <c r="BQ81" s="51"/>
      <c r="BR81" s="23">
        <f t="shared" si="140"/>
        <v>2.8284271247461927E-3</v>
      </c>
      <c r="BS81" s="23">
        <f t="shared" si="141"/>
        <v>9.1999999999999998E-2</v>
      </c>
      <c r="BT81" s="24">
        <f t="shared" si="142"/>
        <v>3.0743773095067314E-2</v>
      </c>
      <c r="BU81" s="51"/>
      <c r="BV81" s="51"/>
      <c r="BW81" s="51"/>
      <c r="BX81" s="51"/>
      <c r="BY81" s="51"/>
      <c r="BZ81" s="51"/>
      <c r="CA81" s="58"/>
      <c r="CC81" s="28"/>
    </row>
    <row r="82" spans="1:81" x14ac:dyDescent="0.2">
      <c r="A82" s="20"/>
    </row>
    <row r="83" spans="1:81" x14ac:dyDescent="0.2">
      <c r="A83" s="36" t="s">
        <v>88</v>
      </c>
      <c r="B83" s="59">
        <v>11.186</v>
      </c>
      <c r="C83" s="53">
        <v>11.125999999999999</v>
      </c>
      <c r="D83" s="34"/>
      <c r="E83" s="34"/>
      <c r="F83" s="39">
        <f>STDEV(B83:E83)</f>
        <v>4.2426406871193201E-2</v>
      </c>
      <c r="G83" s="39">
        <f>AVERAGE(B83:E83)</f>
        <v>11.155999999999999</v>
      </c>
      <c r="H83" s="41">
        <f>F83/G83</f>
        <v>3.8030124481169959E-3</v>
      </c>
      <c r="I83" s="53">
        <v>1.6559999999999999</v>
      </c>
      <c r="J83" s="53">
        <v>1.7050000000000001</v>
      </c>
      <c r="K83" s="34"/>
      <c r="L83" s="34"/>
      <c r="M83" s="39">
        <f>STDEV(I83:L83)</f>
        <v>3.4648232278140935E-2</v>
      </c>
      <c r="N83" s="39">
        <f>AVERAGE(I83:L83)</f>
        <v>1.6804999999999999</v>
      </c>
      <c r="O83" s="41">
        <f>M83/N83</f>
        <v>2.0617811531175805E-2</v>
      </c>
      <c r="P83" s="53">
        <v>5.7069999999999999</v>
      </c>
      <c r="Q83" s="53">
        <v>5.702</v>
      </c>
      <c r="R83" s="34"/>
      <c r="S83" s="34"/>
      <c r="T83" s="39">
        <f>STDEV(P83:S83)</f>
        <v>3.5355339059326622E-3</v>
      </c>
      <c r="U83" s="39">
        <f>AVERAGE(P83:S83)</f>
        <v>5.7044999999999995</v>
      </c>
      <c r="V83" s="41">
        <f>T83/U83</f>
        <v>6.197798064567732E-4</v>
      </c>
      <c r="W83" s="53">
        <v>3.1E-2</v>
      </c>
      <c r="X83" s="53">
        <v>1.2E-2</v>
      </c>
      <c r="Y83" s="34"/>
      <c r="Z83" s="34"/>
      <c r="AA83" s="39">
        <f>STDEV(W83:Z83)</f>
        <v>1.3435028842544402E-2</v>
      </c>
      <c r="AB83" s="39">
        <f>AVERAGE(W83:Z83)</f>
        <v>2.1499999999999998E-2</v>
      </c>
      <c r="AC83" s="41">
        <f>AA83/AB83</f>
        <v>0.62488506244392572</v>
      </c>
      <c r="AD83" s="53">
        <v>0.22600000000000001</v>
      </c>
      <c r="AE83" s="53">
        <v>0.22500000000000001</v>
      </c>
      <c r="AF83" s="34"/>
      <c r="AG83" s="34"/>
      <c r="AH83" s="39">
        <f>STDEV(AD83:AG83)</f>
        <v>7.0710678118654816E-4</v>
      </c>
      <c r="AI83" s="39">
        <f>AVERAGE(AD83:AG83)</f>
        <v>0.22550000000000001</v>
      </c>
      <c r="AJ83" s="41">
        <f>AH83/AI83</f>
        <v>3.135728519674271E-3</v>
      </c>
      <c r="AK83" s="53">
        <v>0.122</v>
      </c>
      <c r="AL83" s="53">
        <v>0.115</v>
      </c>
      <c r="AM83" s="34"/>
      <c r="AN83" s="34"/>
      <c r="AO83" s="39">
        <f>STDEV(AK83:AN83)</f>
        <v>4.9497474683058273E-3</v>
      </c>
      <c r="AP83" s="39">
        <f>AVERAGE(AK83:AN83)</f>
        <v>0.11849999999999999</v>
      </c>
      <c r="AQ83" s="41">
        <f>AO83/AP83</f>
        <v>4.1770020829585044E-2</v>
      </c>
      <c r="AR83" s="34"/>
      <c r="AS83" s="34"/>
      <c r="AT83" s="34"/>
      <c r="AU83" s="34"/>
      <c r="AV83" s="34"/>
      <c r="AW83" s="34"/>
      <c r="AX83" s="62"/>
      <c r="AY83" s="52"/>
      <c r="AZ83" s="59">
        <v>1.494</v>
      </c>
      <c r="BA83" s="53">
        <v>1.492</v>
      </c>
      <c r="BB83" s="53"/>
      <c r="BC83" s="53"/>
      <c r="BD83" s="39">
        <f>STDEV(AZ83:BC83)</f>
        <v>1.4142135623730963E-3</v>
      </c>
      <c r="BE83" s="39">
        <f>AVERAGE(AZ83:BC83)</f>
        <v>1.4929999999999999</v>
      </c>
      <c r="BF83" s="41">
        <f>BD83/BE83</f>
        <v>9.4722944566181947E-4</v>
      </c>
      <c r="BG83" s="53">
        <v>0.216</v>
      </c>
      <c r="BH83" s="53">
        <v>0.249</v>
      </c>
      <c r="BI83" s="34"/>
      <c r="BJ83" s="34"/>
      <c r="BK83" s="39">
        <f>STDEV(BG83:BJ83)</f>
        <v>2.3334523779156069E-2</v>
      </c>
      <c r="BL83" s="39">
        <f>AVERAGE(BG83:BJ83)</f>
        <v>0.23249999999999998</v>
      </c>
      <c r="BM83" s="41">
        <f>BK83/BL83</f>
        <v>0.10036354313615514</v>
      </c>
      <c r="BN83" s="53">
        <v>0.123</v>
      </c>
      <c r="BO83" s="53">
        <v>0.124</v>
      </c>
      <c r="BP83" s="34"/>
      <c r="BQ83" s="34"/>
      <c r="BR83" s="39">
        <f>STDEV(BN83:BQ83)</f>
        <v>7.0710678118654816E-4</v>
      </c>
      <c r="BS83" s="39">
        <f>AVERAGE(BN83:BQ83)</f>
        <v>0.1235</v>
      </c>
      <c r="BT83" s="41">
        <f>BR83/BS83</f>
        <v>5.7255609812675969E-3</v>
      </c>
      <c r="BU83" s="34"/>
      <c r="BV83" s="34"/>
      <c r="BW83" s="34"/>
      <c r="BX83" s="34"/>
      <c r="BY83" s="34"/>
      <c r="BZ83" s="34"/>
      <c r="CA83" s="54"/>
      <c r="CC83" s="68"/>
    </row>
    <row r="84" spans="1:81" x14ac:dyDescent="0.2">
      <c r="A84" s="29" t="s">
        <v>89</v>
      </c>
      <c r="B84" s="60">
        <v>11.007999999999999</v>
      </c>
      <c r="C84" s="55">
        <v>10.997999999999999</v>
      </c>
      <c r="D84" s="20"/>
      <c r="E84" s="20"/>
      <c r="F84" s="13">
        <f>STDEV(B84:E84)</f>
        <v>7.0710678118653244E-3</v>
      </c>
      <c r="G84" s="13">
        <f>AVERAGE(B84:E84)</f>
        <v>11.003</v>
      </c>
      <c r="H84" s="19">
        <f>F84/G84</f>
        <v>6.426490786026833E-4</v>
      </c>
      <c r="I84" s="55">
        <v>1.343</v>
      </c>
      <c r="J84" s="55">
        <v>1.33</v>
      </c>
      <c r="K84" s="20"/>
      <c r="L84" s="20"/>
      <c r="M84" s="13">
        <f>STDEV(I84:L84)</f>
        <v>9.1923881554250471E-3</v>
      </c>
      <c r="N84" s="13">
        <f>AVERAGE(I84:L84)</f>
        <v>1.3365</v>
      </c>
      <c r="O84" s="19">
        <f>M84/N84</f>
        <v>6.8779559711373344E-3</v>
      </c>
      <c r="P84" s="55">
        <v>10.96</v>
      </c>
      <c r="Q84" s="55">
        <v>11.215</v>
      </c>
      <c r="R84" s="20"/>
      <c r="S84" s="20"/>
      <c r="T84" s="13">
        <f>STDEV(P84:S84)</f>
        <v>0.1803122292025689</v>
      </c>
      <c r="U84" s="13">
        <f>AVERAGE(P84:S84)</f>
        <v>11.0875</v>
      </c>
      <c r="V84" s="19">
        <f>T84/U84</f>
        <v>1.6262658778134736E-2</v>
      </c>
      <c r="W84" s="55"/>
      <c r="X84" s="55"/>
      <c r="Y84" s="55"/>
      <c r="Z84" s="55"/>
      <c r="AA84" s="13"/>
      <c r="AB84" s="13"/>
      <c r="AC84" s="19"/>
      <c r="AD84" s="55">
        <v>0.251</v>
      </c>
      <c r="AE84" s="55">
        <v>0.249</v>
      </c>
      <c r="AF84" s="20"/>
      <c r="AG84" s="20"/>
      <c r="AH84" s="13">
        <f>STDEV(AD84:AG84)</f>
        <v>1.4142135623730963E-3</v>
      </c>
      <c r="AI84" s="13">
        <f>AVERAGE(AD84:AG84)</f>
        <v>0.25</v>
      </c>
      <c r="AJ84" s="19">
        <f>AH84/AI84</f>
        <v>5.6568542494923853E-3</v>
      </c>
      <c r="AK84" s="55">
        <v>8.5000000000000006E-2</v>
      </c>
      <c r="AL84" s="55">
        <v>0.105</v>
      </c>
      <c r="AM84" s="20"/>
      <c r="AN84" s="20"/>
      <c r="AO84" s="13">
        <f>STDEV(AK84:AN84)</f>
        <v>1.4142135623730907E-2</v>
      </c>
      <c r="AP84" s="13">
        <f>AVERAGE(AK84:AN84)</f>
        <v>9.5000000000000001E-2</v>
      </c>
      <c r="AQ84" s="19">
        <f>AO84/AP84</f>
        <v>0.14886458551295692</v>
      </c>
      <c r="AR84" s="20"/>
      <c r="AS84" s="20"/>
      <c r="AT84" s="20"/>
      <c r="AU84" s="20"/>
      <c r="AV84" s="20"/>
      <c r="AW84" s="20"/>
      <c r="AX84" s="63"/>
      <c r="AY84" s="52"/>
      <c r="AZ84" s="60">
        <v>1.504</v>
      </c>
      <c r="BA84" s="55">
        <v>1.4950000000000001</v>
      </c>
      <c r="BB84" s="55"/>
      <c r="BC84" s="55"/>
      <c r="BD84" s="13">
        <f>STDEV(AZ84:BC84)</f>
        <v>6.3639610306788549E-3</v>
      </c>
      <c r="BE84" s="13">
        <f>AVERAGE(AZ84:BC84)</f>
        <v>1.4995000000000001</v>
      </c>
      <c r="BF84" s="19">
        <f>BD84/BE84</f>
        <v>4.2440553722433178E-3</v>
      </c>
      <c r="BG84" s="55">
        <v>0.20599999999999999</v>
      </c>
      <c r="BH84" s="55">
        <v>0.186</v>
      </c>
      <c r="BI84" s="20"/>
      <c r="BJ84" s="20"/>
      <c r="BK84" s="13">
        <f>STDEV(BG84:BJ84)</f>
        <v>1.4142135623730944E-2</v>
      </c>
      <c r="BL84" s="13">
        <f>AVERAGE(BG84:BJ84)</f>
        <v>0.19600000000000001</v>
      </c>
      <c r="BM84" s="19">
        <f>BK84/BL84</f>
        <v>7.2153753182300731E-2</v>
      </c>
      <c r="BN84" s="55">
        <v>0.122</v>
      </c>
      <c r="BO84" s="55">
        <v>0.121</v>
      </c>
      <c r="BP84" s="20"/>
      <c r="BQ84" s="20"/>
      <c r="BR84" s="13">
        <f>STDEV(BN84:BQ84)</f>
        <v>7.0710678118654816E-4</v>
      </c>
      <c r="BS84" s="13">
        <f>AVERAGE(BN84:BQ84)</f>
        <v>0.1215</v>
      </c>
      <c r="BT84" s="19">
        <f>BR84/BS84</f>
        <v>5.8198088986547176E-3</v>
      </c>
      <c r="BU84" s="20"/>
      <c r="BV84" s="20"/>
      <c r="BW84" s="20"/>
      <c r="BX84" s="20"/>
      <c r="BY84" s="20"/>
      <c r="BZ84" s="20"/>
      <c r="CA84" s="56"/>
      <c r="CC84" s="27"/>
    </row>
    <row r="85" spans="1:81" x14ac:dyDescent="0.2">
      <c r="A85" s="29" t="s">
        <v>90</v>
      </c>
      <c r="B85" s="60">
        <v>10.693</v>
      </c>
      <c r="C85" s="55">
        <v>10.696999999999999</v>
      </c>
      <c r="D85" s="20"/>
      <c r="E85" s="20"/>
      <c r="F85" s="13">
        <f>STDEV(B85:E85)</f>
        <v>2.8284271247458787E-3</v>
      </c>
      <c r="G85" s="13">
        <f>AVERAGE(B85:E85)</f>
        <v>10.695</v>
      </c>
      <c r="H85" s="19">
        <f>F85/G85</f>
        <v>2.6446256425861415E-4</v>
      </c>
      <c r="I85" s="55">
        <v>1.2250000000000001</v>
      </c>
      <c r="J85" s="55">
        <v>1.2330000000000001</v>
      </c>
      <c r="K85" s="20"/>
      <c r="L85" s="55"/>
      <c r="M85" s="13">
        <f>STDEV(I85:L85)</f>
        <v>5.6568542494923853E-3</v>
      </c>
      <c r="N85" s="13">
        <f>AVERAGE(I85:L85)</f>
        <v>1.2290000000000001</v>
      </c>
      <c r="O85" s="19">
        <f>M85/N85</f>
        <v>4.6028106179759028E-3</v>
      </c>
      <c r="P85" s="55">
        <v>6.9260000000000002</v>
      </c>
      <c r="Q85" s="55">
        <v>6.976</v>
      </c>
      <c r="R85" s="20"/>
      <c r="S85" s="20"/>
      <c r="T85" s="13">
        <f>STDEV(P85:S85)</f>
        <v>3.5355339059327251E-2</v>
      </c>
      <c r="U85" s="13">
        <f>AVERAGE(P85:S85)</f>
        <v>6.9510000000000005</v>
      </c>
      <c r="V85" s="19">
        <f>T85/U85</f>
        <v>5.0863672938177597E-3</v>
      </c>
      <c r="W85" s="55"/>
      <c r="X85" s="55"/>
      <c r="Y85" s="55"/>
      <c r="Z85" s="55"/>
      <c r="AA85" s="13"/>
      <c r="AB85" s="13"/>
      <c r="AC85" s="19"/>
      <c r="AD85" s="55">
        <v>0.22</v>
      </c>
      <c r="AE85" s="55">
        <v>0.21299999999999999</v>
      </c>
      <c r="AF85" s="20"/>
      <c r="AG85" s="20"/>
      <c r="AH85" s="13">
        <f>STDEV(AD85:AG85)</f>
        <v>4.9497474683058368E-3</v>
      </c>
      <c r="AI85" s="13">
        <f>AVERAGE(AD85:AG85)</f>
        <v>0.2165</v>
      </c>
      <c r="AJ85" s="19">
        <f>AH85/AI85</f>
        <v>2.2862574911343359E-2</v>
      </c>
      <c r="AK85" s="55">
        <v>0.10299999999999999</v>
      </c>
      <c r="AL85" s="55">
        <v>0.125</v>
      </c>
      <c r="AM85" s="20"/>
      <c r="AN85" s="20"/>
      <c r="AO85" s="13">
        <f>STDEV(AK85:AN85)</f>
        <v>1.5556349186104049E-2</v>
      </c>
      <c r="AP85" s="13">
        <f>AVERAGE(AK85:AN85)</f>
        <v>0.11399999999999999</v>
      </c>
      <c r="AQ85" s="19">
        <f>AO85/AP85</f>
        <v>0.13645920338687764</v>
      </c>
      <c r="AR85" s="20"/>
      <c r="AS85" s="20"/>
      <c r="AT85" s="20"/>
      <c r="AU85" s="20"/>
      <c r="AV85" s="20"/>
      <c r="AW85" s="20"/>
      <c r="AX85" s="63"/>
      <c r="AY85" s="52"/>
      <c r="AZ85" s="60">
        <v>1.4790000000000001</v>
      </c>
      <c r="BA85" s="55">
        <v>1.474</v>
      </c>
      <c r="BB85" s="55"/>
      <c r="BC85" s="55"/>
      <c r="BD85" s="13">
        <f>STDEV(AZ85:BC85)</f>
        <v>3.5355339059328192E-3</v>
      </c>
      <c r="BE85" s="13">
        <f>AVERAGE(AZ85:BC85)</f>
        <v>1.4765000000000001</v>
      </c>
      <c r="BF85" s="19">
        <f>BD85/BE85</f>
        <v>2.394537017225072E-3</v>
      </c>
      <c r="BG85" s="55">
        <v>0.112</v>
      </c>
      <c r="BH85" s="55">
        <v>0.105</v>
      </c>
      <c r="BI85" s="20"/>
      <c r="BJ85" s="20"/>
      <c r="BK85" s="13">
        <f>STDEV(BG85:BJ85)</f>
        <v>4.9497474683058368E-3</v>
      </c>
      <c r="BL85" s="13">
        <f>AVERAGE(BG85:BJ85)</f>
        <v>0.1085</v>
      </c>
      <c r="BM85" s="19">
        <f>BK85/BL85</f>
        <v>4.5619792334616008E-2</v>
      </c>
      <c r="BN85" s="55">
        <v>0.11600000000000001</v>
      </c>
      <c r="BO85" s="55">
        <v>0.115</v>
      </c>
      <c r="BP85" s="20"/>
      <c r="BQ85" s="20"/>
      <c r="BR85" s="13">
        <f>STDEV(BN85:BQ85)</f>
        <v>7.0710678118654816E-4</v>
      </c>
      <c r="BS85" s="13">
        <f>AVERAGE(BN85:BQ85)</f>
        <v>0.11550000000000001</v>
      </c>
      <c r="BT85" s="19">
        <f>BR85/BS85</f>
        <v>6.1221366336497674E-3</v>
      </c>
      <c r="BU85" s="20"/>
      <c r="BV85" s="20"/>
      <c r="BW85" s="20"/>
      <c r="BX85" s="20"/>
      <c r="BY85" s="20"/>
      <c r="BZ85" s="20"/>
      <c r="CA85" s="56"/>
      <c r="CC85" s="27"/>
    </row>
    <row r="86" spans="1:81" x14ac:dyDescent="0.2">
      <c r="A86" s="30" t="s">
        <v>91</v>
      </c>
      <c r="B86" s="61">
        <v>10.295999999999999</v>
      </c>
      <c r="C86" s="57">
        <v>10.273999999999999</v>
      </c>
      <c r="D86" s="51"/>
      <c r="E86" s="51"/>
      <c r="F86" s="23">
        <f>STDEV(B86:E86)</f>
        <v>1.5556349186104216E-2</v>
      </c>
      <c r="G86" s="23">
        <f>AVERAGE(B86:E86)</f>
        <v>10.285</v>
      </c>
      <c r="H86" s="24">
        <f>F86/G86</f>
        <v>1.5125278741958401E-3</v>
      </c>
      <c r="I86" s="57">
        <v>1.1759999999999999</v>
      </c>
      <c r="J86" s="57">
        <v>1.18</v>
      </c>
      <c r="K86" s="51"/>
      <c r="L86" s="51"/>
      <c r="M86" s="23">
        <f>STDEV(I86:L86)</f>
        <v>2.8284271247461927E-3</v>
      </c>
      <c r="N86" s="23">
        <f>AVERAGE(I86:L86)</f>
        <v>1.1779999999999999</v>
      </c>
      <c r="O86" s="24">
        <f>M86/N86</f>
        <v>2.4010417018218953E-3</v>
      </c>
      <c r="P86" s="57">
        <v>10.961</v>
      </c>
      <c r="Q86" s="57">
        <v>11.048999999999999</v>
      </c>
      <c r="R86" s="51"/>
      <c r="S86" s="51"/>
      <c r="T86" s="23">
        <f>STDEV(P86:S86)</f>
        <v>6.2225396744415608E-2</v>
      </c>
      <c r="U86" s="23">
        <f>AVERAGE(P86:S86)</f>
        <v>11.004999999999999</v>
      </c>
      <c r="V86" s="24">
        <f>T86/U86</f>
        <v>5.654284120346716E-3</v>
      </c>
      <c r="W86" s="57"/>
      <c r="X86" s="57"/>
      <c r="Y86" s="57"/>
      <c r="Z86" s="57"/>
      <c r="AA86" s="23"/>
      <c r="AB86" s="23"/>
      <c r="AC86" s="24"/>
      <c r="AD86" s="57">
        <v>0.21</v>
      </c>
      <c r="AE86" s="57">
        <v>0.21099999999999999</v>
      </c>
      <c r="AF86" s="51"/>
      <c r="AG86" s="51"/>
      <c r="AH86" s="23">
        <f>STDEV(AD86:AG86)</f>
        <v>7.0710678118654816E-4</v>
      </c>
      <c r="AI86" s="23">
        <f>AVERAGE(AD86:AG86)</f>
        <v>0.21049999999999999</v>
      </c>
      <c r="AJ86" s="24">
        <f>AH86/AI86</f>
        <v>3.3591771077745758E-3</v>
      </c>
      <c r="AK86" s="57">
        <v>0.108</v>
      </c>
      <c r="AL86" s="57">
        <v>8.1000000000000003E-2</v>
      </c>
      <c r="AM86" s="51"/>
      <c r="AN86" s="51"/>
      <c r="AO86" s="23">
        <f>STDEV(AK86:AN86)</f>
        <v>1.9091883092036698E-2</v>
      </c>
      <c r="AP86" s="23">
        <f>AVERAGE(AK86:AN86)</f>
        <v>9.4500000000000001E-2</v>
      </c>
      <c r="AQ86" s="24">
        <f>AO86/AP86</f>
        <v>0.20203050891044125</v>
      </c>
      <c r="AR86" s="51"/>
      <c r="AS86" s="51"/>
      <c r="AT86" s="51"/>
      <c r="AU86" s="51"/>
      <c r="AV86" s="51"/>
      <c r="AW86" s="51"/>
      <c r="AX86" s="64"/>
      <c r="AY86" s="52"/>
      <c r="AZ86" s="61">
        <v>1.478</v>
      </c>
      <c r="BA86" s="57">
        <v>1.4790000000000001</v>
      </c>
      <c r="BB86" s="51"/>
      <c r="BC86" s="51"/>
      <c r="BD86" s="23">
        <f>STDEV(AZ86:BC86)</f>
        <v>7.0710678118662666E-4</v>
      </c>
      <c r="BE86" s="23">
        <f>AVERAGE(AZ86:BC86)</f>
        <v>1.4784999999999999</v>
      </c>
      <c r="BF86" s="24">
        <f>BD86/BE86</f>
        <v>4.7825957469504679E-4</v>
      </c>
      <c r="BG86" s="57">
        <v>7.9000000000000001E-2</v>
      </c>
      <c r="BH86" s="57">
        <v>6.9000000000000006E-2</v>
      </c>
      <c r="BI86" s="51"/>
      <c r="BJ86" s="51"/>
      <c r="BK86" s="23">
        <f>STDEV(BG86:BJ86)</f>
        <v>7.0710678118654719E-3</v>
      </c>
      <c r="BL86" s="23">
        <f>AVERAGE(BG86:BJ86)</f>
        <v>7.400000000000001E-2</v>
      </c>
      <c r="BM86" s="24">
        <f>BK86/BL86</f>
        <v>9.5554970430614478E-2</v>
      </c>
      <c r="BN86" s="57">
        <v>0.112</v>
      </c>
      <c r="BO86" s="57">
        <v>0.113</v>
      </c>
      <c r="BP86" s="51"/>
      <c r="BQ86" s="51"/>
      <c r="BR86" s="23">
        <f>STDEV(BN86:BQ86)</f>
        <v>7.0710678118654816E-4</v>
      </c>
      <c r="BS86" s="23">
        <f>AVERAGE(BN86:BQ86)</f>
        <v>0.1125</v>
      </c>
      <c r="BT86" s="24">
        <f>BR86/BS86</f>
        <v>6.2853936105470949E-3</v>
      </c>
      <c r="BU86" s="51"/>
      <c r="BV86" s="51"/>
      <c r="BW86" s="51"/>
      <c r="BX86" s="51"/>
      <c r="BY86" s="51"/>
      <c r="BZ86" s="51"/>
      <c r="CA86" s="58"/>
      <c r="CC86" s="28"/>
    </row>
    <row r="87" spans="1:81" x14ac:dyDescent="0.2">
      <c r="A87" s="20"/>
      <c r="V87" s="52"/>
      <c r="W87" s="52"/>
      <c r="X87" s="52"/>
      <c r="Y87" s="52"/>
      <c r="Z87" s="52"/>
      <c r="AA87" s="52"/>
      <c r="AB87" s="52"/>
      <c r="AX87" s="52"/>
      <c r="AY87" s="52"/>
      <c r="AZ87" s="52"/>
      <c r="BA87" s="52"/>
      <c r="BC87" s="52"/>
      <c r="BD87" s="52"/>
      <c r="BF87" s="52"/>
      <c r="BG87" s="52"/>
      <c r="BH87" s="52"/>
      <c r="BI87" s="52"/>
    </row>
    <row r="88" spans="1:81" x14ac:dyDescent="0.2">
      <c r="A88" s="20"/>
      <c r="Y88" s="52"/>
      <c r="Z88" s="52"/>
      <c r="AA88" s="52"/>
      <c r="AB88" s="52"/>
      <c r="BC88" s="52"/>
      <c r="BD88" s="52"/>
      <c r="BF88" s="52"/>
      <c r="BG88" s="52"/>
      <c r="BH88" s="52"/>
      <c r="BI88" s="52"/>
    </row>
    <row r="89" spans="1:81" x14ac:dyDescent="0.2">
      <c r="Y89" s="52"/>
      <c r="Z89" s="52"/>
      <c r="AA89" s="52"/>
      <c r="AB89" s="52"/>
      <c r="AX89" s="52"/>
      <c r="AY89" s="52"/>
      <c r="AZ89" s="52"/>
      <c r="BA89" s="52"/>
      <c r="BC89" s="52"/>
      <c r="BD89" s="52"/>
      <c r="BF89" s="52"/>
      <c r="BG89" s="52"/>
      <c r="BH89" s="52"/>
      <c r="BI89" s="52"/>
    </row>
    <row r="90" spans="1:81" x14ac:dyDescent="0.2">
      <c r="AX90" s="52"/>
      <c r="AY90" s="52"/>
      <c r="AZ90" s="52"/>
      <c r="BA90" s="52"/>
      <c r="BC90" s="52"/>
      <c r="BD90" s="52"/>
      <c r="BF90" s="52"/>
      <c r="BG90" s="52"/>
      <c r="BH90" s="52"/>
      <c r="BI90" s="52"/>
    </row>
    <row r="91" spans="1:81" x14ac:dyDescent="0.2">
      <c r="AX91" s="52"/>
      <c r="AY91" s="52"/>
      <c r="AZ91" s="52"/>
      <c r="BA91" s="52"/>
      <c r="BF91" s="52"/>
      <c r="BG91" s="52"/>
      <c r="BH91" s="52"/>
    </row>
    <row r="92" spans="1:81" x14ac:dyDescent="0.2">
      <c r="AX92" s="52"/>
      <c r="AY92" s="52"/>
      <c r="AZ92" s="52"/>
      <c r="BA92" s="52"/>
      <c r="BD92" s="52"/>
      <c r="BF92" s="52"/>
      <c r="BG92" s="52"/>
      <c r="BH92" s="52"/>
      <c r="BI92" s="52"/>
    </row>
    <row r="93" spans="1:81" x14ac:dyDescent="0.2">
      <c r="BC93" s="20"/>
      <c r="BD93" s="20"/>
      <c r="BE93" s="55"/>
      <c r="BF93" s="55"/>
      <c r="BG93" s="55"/>
      <c r="BH93" s="55"/>
      <c r="BI93" s="52"/>
    </row>
    <row r="94" spans="1:81" x14ac:dyDescent="0.2">
      <c r="BC94" s="20"/>
      <c r="BD94" s="20"/>
      <c r="BE94" s="20"/>
      <c r="BF94" s="20"/>
      <c r="BG94" s="20"/>
      <c r="BH94" s="20"/>
      <c r="BI94" s="52"/>
    </row>
    <row r="95" spans="1:81" x14ac:dyDescent="0.2">
      <c r="BC95" s="20"/>
      <c r="BD95" s="55"/>
      <c r="BE95" s="55"/>
      <c r="BF95" s="55"/>
      <c r="BG95" s="55"/>
      <c r="BH95" s="55"/>
      <c r="BI95" s="52"/>
    </row>
    <row r="96" spans="1:81" x14ac:dyDescent="0.2">
      <c r="BC96" s="20"/>
      <c r="BD96" s="55"/>
      <c r="BE96" s="55"/>
      <c r="BF96" s="55"/>
      <c r="BG96" s="55"/>
      <c r="BH96" s="20"/>
    </row>
    <row r="97" spans="10:60" x14ac:dyDescent="0.2">
      <c r="BC97" s="20"/>
      <c r="BD97" s="55"/>
      <c r="BE97" s="55"/>
      <c r="BF97" s="55"/>
      <c r="BG97" s="55"/>
      <c r="BH97" s="20"/>
    </row>
    <row r="98" spans="10:60" x14ac:dyDescent="0.2">
      <c r="BC98" s="20"/>
      <c r="BD98" s="55"/>
      <c r="BE98" s="55"/>
      <c r="BF98" s="55"/>
      <c r="BG98" s="55"/>
      <c r="BH98" s="20"/>
    </row>
    <row r="99" spans="10:60" x14ac:dyDescent="0.2">
      <c r="BC99" s="20"/>
      <c r="BD99" s="55"/>
      <c r="BE99" s="55"/>
      <c r="BF99" s="55"/>
      <c r="BG99" s="55"/>
      <c r="BH99" s="20"/>
    </row>
    <row r="100" spans="10:60" x14ac:dyDescent="0.2">
      <c r="J100" s="52"/>
      <c r="Y100" s="52"/>
      <c r="AA100" s="52"/>
      <c r="AB100" s="52"/>
      <c r="BC100" s="20"/>
      <c r="BD100" s="20"/>
      <c r="BE100" s="20"/>
      <c r="BF100" s="20"/>
      <c r="BG100" s="20"/>
      <c r="BH100" s="20"/>
    </row>
    <row r="101" spans="10:60" x14ac:dyDescent="0.2">
      <c r="J101" s="52"/>
      <c r="Y101" s="52"/>
      <c r="AA101" s="52"/>
      <c r="AB101" s="52"/>
      <c r="BC101" s="20"/>
      <c r="BD101" s="55"/>
      <c r="BE101" s="55"/>
      <c r="BF101" s="55"/>
      <c r="BG101" s="55"/>
      <c r="BH101" s="20"/>
    </row>
    <row r="102" spans="10:60" x14ac:dyDescent="0.2">
      <c r="J102" s="52"/>
      <c r="U102" s="52"/>
      <c r="V102" s="52"/>
      <c r="W102" s="52"/>
      <c r="X102" s="52"/>
      <c r="Y102" s="52"/>
      <c r="AA102" s="52"/>
      <c r="AB102" s="52"/>
      <c r="BC102" s="20"/>
      <c r="BD102" s="55"/>
      <c r="BE102" s="55"/>
      <c r="BF102" s="55"/>
      <c r="BG102" s="55"/>
      <c r="BH102" s="20"/>
    </row>
    <row r="103" spans="10:60" x14ac:dyDescent="0.2">
      <c r="J103" s="52"/>
      <c r="Y103" s="52"/>
      <c r="AA103" s="52"/>
      <c r="AB103" s="52"/>
      <c r="BC103" s="20"/>
      <c r="BD103" s="55"/>
      <c r="BE103" s="55"/>
      <c r="BF103" s="55"/>
      <c r="BG103" s="55"/>
      <c r="BH103" s="20"/>
    </row>
    <row r="104" spans="10:60" x14ac:dyDescent="0.2">
      <c r="J104" s="52"/>
      <c r="U104" s="52"/>
      <c r="V104" s="52"/>
      <c r="W104" s="52"/>
      <c r="X104" s="52"/>
      <c r="BC104" s="20"/>
      <c r="BD104" s="55"/>
      <c r="BE104" s="55"/>
      <c r="BF104" s="55"/>
      <c r="BG104" s="55"/>
      <c r="BH104" s="20"/>
    </row>
    <row r="105" spans="10:60" x14ac:dyDescent="0.2">
      <c r="BC105" s="20"/>
      <c r="BD105" s="55"/>
      <c r="BE105" s="55"/>
      <c r="BF105" s="55"/>
      <c r="BG105" s="55"/>
      <c r="BH105" s="20"/>
    </row>
    <row r="106" spans="10:60" x14ac:dyDescent="0.2">
      <c r="BC106" s="20"/>
      <c r="BD106" s="55"/>
      <c r="BE106" s="55"/>
      <c r="BF106" s="55"/>
      <c r="BG106" s="55"/>
      <c r="BH106" s="20"/>
    </row>
  </sheetData>
  <mergeCells count="2">
    <mergeCell ref="AD2:AE2"/>
    <mergeCell ref="BU2:BV2"/>
  </mergeCells>
  <phoneticPr fontId="0" type="noConversion"/>
  <conditionalFormatting sqref="H3:H10">
    <cfRule type="dataBar" priority="1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{53327E37-3E25-47D5-B976-DB287CB4E2A3}</x14:id>
        </ext>
      </extLst>
    </cfRule>
  </conditionalFormatting>
  <conditionalFormatting sqref="O5:O8 V4:V8 AC3:AC8">
    <cfRule type="dataBar" priority="1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{7BAF5EAA-BAA2-4BE1-8207-661D50AB1CDF}</x14:id>
        </ext>
      </extLst>
    </cfRule>
  </conditionalFormatting>
  <conditionalFormatting sqref="AJ5:AJ8 AQ5:AQ8 AX5:AX8">
    <cfRule type="dataBar" priority="10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{E84900B6-FC45-498A-A7D0-8F8A3D2561CA}</x14:id>
        </ext>
      </extLst>
    </cfRule>
  </conditionalFormatting>
  <conditionalFormatting sqref="BF5:BF10">
    <cfRule type="dataBar" priority="10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{05659EB0-CEEA-44E7-BC4D-F7F22C09380D}</x14:id>
        </ext>
      </extLst>
    </cfRule>
  </conditionalFormatting>
  <conditionalFormatting sqref="BM3:BM8">
    <cfRule type="dataBar" priority="10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{08513462-5555-4633-8F8B-D8A79E014A78}</x14:id>
        </ext>
      </extLst>
    </cfRule>
  </conditionalFormatting>
  <conditionalFormatting sqref="BT5:BT8">
    <cfRule type="dataBar" priority="10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{58D309E7-A3EC-4443-9C45-E27C290EEA1F}</x14:id>
        </ext>
      </extLst>
    </cfRule>
  </conditionalFormatting>
  <conditionalFormatting sqref="CA5:CA8">
    <cfRule type="dataBar" priority="10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{D103802C-15DD-43E3-BA9A-D9BECD0F378F}</x14:id>
        </ext>
      </extLst>
    </cfRule>
  </conditionalFormatting>
  <conditionalFormatting sqref="AC9:AC10">
    <cfRule type="dataBar" priority="9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{90DDD157-6B68-402E-87FC-1B65A7E0B468}</x14:id>
        </ext>
      </extLst>
    </cfRule>
  </conditionalFormatting>
  <conditionalFormatting sqref="O9:O10">
    <cfRule type="dataBar" priority="10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{64AA9B07-29E0-4E1D-8173-998F04F0CEE1}</x14:id>
        </ext>
      </extLst>
    </cfRule>
  </conditionalFormatting>
  <conditionalFormatting sqref="V9:V10">
    <cfRule type="dataBar" priority="9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{2D479F14-ECD3-4421-8CE1-C19E6C093FD2}</x14:id>
        </ext>
      </extLst>
    </cfRule>
  </conditionalFormatting>
  <conditionalFormatting sqref="AJ9:AJ10">
    <cfRule type="dataBar" priority="9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{C76EC86E-29E5-4B32-8156-D4DCF58B24C9}</x14:id>
        </ext>
      </extLst>
    </cfRule>
  </conditionalFormatting>
  <conditionalFormatting sqref="AQ9:AQ10">
    <cfRule type="dataBar" priority="9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{71D3D44B-AEE9-47C1-AE14-F1901B0D2683}</x14:id>
        </ext>
      </extLst>
    </cfRule>
  </conditionalFormatting>
  <conditionalFormatting sqref="AX9:AX10">
    <cfRule type="dataBar" priority="9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{FF51491B-702B-46FA-946A-EBA444225687}</x14:id>
        </ext>
      </extLst>
    </cfRule>
  </conditionalFormatting>
  <conditionalFormatting sqref="BM9:BM10">
    <cfRule type="dataBar" priority="9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{4C20E454-A0FD-472C-A80E-F4AE20E1A537}</x14:id>
        </ext>
      </extLst>
    </cfRule>
  </conditionalFormatting>
  <conditionalFormatting sqref="BT9:BT10">
    <cfRule type="dataBar" priority="9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{19C09EC2-6F16-42C7-8482-913FA7DD06B1}</x14:id>
        </ext>
      </extLst>
    </cfRule>
  </conditionalFormatting>
  <conditionalFormatting sqref="CA9:CA10">
    <cfRule type="dataBar" priority="9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{218C521A-3B64-4506-A195-ED517F38BD96}</x14:id>
        </ext>
      </extLst>
    </cfRule>
  </conditionalFormatting>
  <conditionalFormatting sqref="H11:H21 H23:H25">
    <cfRule type="dataBar" priority="9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{AAD047CD-72EA-4FD6-9739-7C53C59D093F}</x14:id>
        </ext>
      </extLst>
    </cfRule>
  </conditionalFormatting>
  <conditionalFormatting sqref="O11:O21 O23:O25">
    <cfRule type="dataBar" priority="9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{1825503B-9DF0-441C-BC32-DD635BFC26C0}</x14:id>
        </ext>
      </extLst>
    </cfRule>
  </conditionalFormatting>
  <conditionalFormatting sqref="V11:V21 V23:V25">
    <cfRule type="dataBar" priority="8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{77FF4811-4E06-4CAA-9C5E-14863EFA3B68}</x14:id>
        </ext>
      </extLst>
    </cfRule>
  </conditionalFormatting>
  <conditionalFormatting sqref="AC11:AC21 AC23:AC25">
    <cfRule type="dataBar" priority="8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{B34945EB-42C9-4BD8-B361-B41081C48992}</x14:id>
        </ext>
      </extLst>
    </cfRule>
  </conditionalFormatting>
  <conditionalFormatting sqref="AJ11:AJ21 AJ23:AJ25">
    <cfRule type="dataBar" priority="8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{845179F6-E02C-4621-B302-8B1260519B38}</x14:id>
        </ext>
      </extLst>
    </cfRule>
  </conditionalFormatting>
  <conditionalFormatting sqref="AQ11:AQ21 AQ23:AQ25">
    <cfRule type="dataBar" priority="8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{05FD780F-3D42-4031-B7FD-AF076CDD730A}</x14:id>
        </ext>
      </extLst>
    </cfRule>
  </conditionalFormatting>
  <conditionalFormatting sqref="AX11:AX21 AX23:AX25">
    <cfRule type="dataBar" priority="8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{44E9A095-CCF0-4CE3-A8FA-2E6A02FB55F1}</x14:id>
        </ext>
      </extLst>
    </cfRule>
  </conditionalFormatting>
  <conditionalFormatting sqref="BF11:BF21 BF23:BF25">
    <cfRule type="dataBar" priority="8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{5A76EB3A-C842-4343-BD08-A4598A706ED4}</x14:id>
        </ext>
      </extLst>
    </cfRule>
  </conditionalFormatting>
  <conditionalFormatting sqref="BM11:BM21 BM23:BM25">
    <cfRule type="dataBar" priority="8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{656AEA40-7AB5-40AA-8807-1A2033E79D89}</x14:id>
        </ext>
      </extLst>
    </cfRule>
  </conditionalFormatting>
  <conditionalFormatting sqref="BT11:BT21 BT23:BT25">
    <cfRule type="dataBar" priority="8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{8361A4BE-C2DF-4563-ABAD-061B910BF229}</x14:id>
        </ext>
      </extLst>
    </cfRule>
  </conditionalFormatting>
  <conditionalFormatting sqref="CA11:CA21 CA23:CA25">
    <cfRule type="dataBar" priority="8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{DCBEC477-54E6-461F-8C28-D86937C7E54D}</x14:id>
        </ext>
      </extLst>
    </cfRule>
  </conditionalFormatting>
  <conditionalFormatting sqref="H22">
    <cfRule type="dataBar" priority="8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{8E6E0076-EF23-4CCF-905B-DE19D999D355}</x14:id>
        </ext>
      </extLst>
    </cfRule>
  </conditionalFormatting>
  <conditionalFormatting sqref="V22">
    <cfRule type="dataBar" priority="7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{CC8602A9-8FB9-4030-8E54-0708C30026C5}</x14:id>
        </ext>
      </extLst>
    </cfRule>
  </conditionalFormatting>
  <conditionalFormatting sqref="AJ22">
    <cfRule type="dataBar" priority="7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{4313AFD8-ACC1-4E4A-8503-773BE2F82B22}</x14:id>
        </ext>
      </extLst>
    </cfRule>
  </conditionalFormatting>
  <conditionalFormatting sqref="BM22">
    <cfRule type="dataBar" priority="7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{027BD322-BA8D-4EAC-8B28-A6D71F8345F8}</x14:id>
        </ext>
      </extLst>
    </cfRule>
  </conditionalFormatting>
  <conditionalFormatting sqref="BT22">
    <cfRule type="dataBar" priority="7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{6CD04FF7-C2C9-4360-8EE8-BCB5CA3C52CB}</x14:id>
        </ext>
      </extLst>
    </cfRule>
  </conditionalFormatting>
  <conditionalFormatting sqref="CA22">
    <cfRule type="dataBar" priority="7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{F0FB49EC-B38A-494D-93C1-C6AD38A54D93}</x14:id>
        </ext>
      </extLst>
    </cfRule>
  </conditionalFormatting>
  <conditionalFormatting sqref="O22">
    <cfRule type="dataBar" priority="7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{43A4DD3C-8FE2-4B64-9635-55C1C64917DB}</x14:id>
        </ext>
      </extLst>
    </cfRule>
  </conditionalFormatting>
  <conditionalFormatting sqref="AQ22">
    <cfRule type="dataBar" priority="7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{6509ECD4-E61A-46D6-960B-9C9E039627B2}</x14:id>
        </ext>
      </extLst>
    </cfRule>
  </conditionalFormatting>
  <conditionalFormatting sqref="AC22">
    <cfRule type="dataBar" priority="7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{8C14C304-DC3B-4ADC-B493-0723E82C29CE}</x14:id>
        </ext>
      </extLst>
    </cfRule>
  </conditionalFormatting>
  <conditionalFormatting sqref="AX22">
    <cfRule type="dataBar" priority="7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{B597D39E-AE00-4DC3-9775-F08E970E8797}</x14:id>
        </ext>
      </extLst>
    </cfRule>
  </conditionalFormatting>
  <conditionalFormatting sqref="BF22">
    <cfRule type="dataBar" priority="7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{62E080E6-539A-4060-89CD-4766B1915179}</x14:id>
        </ext>
      </extLst>
    </cfRule>
  </conditionalFormatting>
  <conditionalFormatting sqref="H27:H40">
    <cfRule type="dataBar" priority="6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{072324D7-C0DD-425D-96F7-01B1DA841833}</x14:id>
        </ext>
      </extLst>
    </cfRule>
  </conditionalFormatting>
  <conditionalFormatting sqref="H42:H45">
    <cfRule type="dataBar" priority="6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{46A158E9-CBA9-4B28-82A9-EA0FF10CE190}</x14:id>
        </ext>
      </extLst>
    </cfRule>
  </conditionalFormatting>
  <conditionalFormatting sqref="O27:O40">
    <cfRule type="dataBar" priority="6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{92338CE1-D081-4078-BEEE-30E451C2F11E}</x14:id>
        </ext>
      </extLst>
    </cfRule>
  </conditionalFormatting>
  <conditionalFormatting sqref="O42:O45">
    <cfRule type="dataBar" priority="6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{C21AACC2-80B6-43E4-A965-3B579D551274}</x14:id>
        </ext>
      </extLst>
    </cfRule>
  </conditionalFormatting>
  <conditionalFormatting sqref="V27:V40">
    <cfRule type="dataBar" priority="6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{C6976CB8-A33E-4242-9CDC-789E3A70C70D}</x14:id>
        </ext>
      </extLst>
    </cfRule>
  </conditionalFormatting>
  <conditionalFormatting sqref="V42:V45">
    <cfRule type="dataBar" priority="6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{120F015E-394B-411C-895D-AC41A4D19C41}</x14:id>
        </ext>
      </extLst>
    </cfRule>
  </conditionalFormatting>
  <conditionalFormatting sqref="AC27:AC40">
    <cfRule type="dataBar" priority="5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{E715CCFD-9D1F-46AB-AE5D-689FDE8A8331}</x14:id>
        </ext>
      </extLst>
    </cfRule>
  </conditionalFormatting>
  <conditionalFormatting sqref="AC42:AC45">
    <cfRule type="dataBar" priority="5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{A74150B0-5932-48C3-9638-94E6B4159420}</x14:id>
        </ext>
      </extLst>
    </cfRule>
  </conditionalFormatting>
  <conditionalFormatting sqref="AQ27:AQ40">
    <cfRule type="dataBar" priority="5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{529A0E43-6ADC-4205-8838-3644F6D0C835}</x14:id>
        </ext>
      </extLst>
    </cfRule>
  </conditionalFormatting>
  <conditionalFormatting sqref="AQ42:AQ45">
    <cfRule type="dataBar" priority="5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{38C7663B-FC39-4673-B866-761619DD4042}</x14:id>
        </ext>
      </extLst>
    </cfRule>
  </conditionalFormatting>
  <conditionalFormatting sqref="AX27:AX40">
    <cfRule type="dataBar" priority="5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{76F9D29F-07ED-4CB9-A171-5D3FE8CF03A2}</x14:id>
        </ext>
      </extLst>
    </cfRule>
  </conditionalFormatting>
  <conditionalFormatting sqref="AX42:AX45">
    <cfRule type="dataBar" priority="5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{AB8145A3-9503-4879-8B14-EAB79ED4FB12}</x14:id>
        </ext>
      </extLst>
    </cfRule>
  </conditionalFormatting>
  <conditionalFormatting sqref="BF27:BF40">
    <cfRule type="dataBar" priority="5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{E163DE97-DC41-406B-865B-70D5256D8CCC}</x14:id>
        </ext>
      </extLst>
    </cfRule>
  </conditionalFormatting>
  <conditionalFormatting sqref="BF42:BF45">
    <cfRule type="dataBar" priority="5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{B82A3058-75E1-465A-B212-08124391B5F7}</x14:id>
        </ext>
      </extLst>
    </cfRule>
  </conditionalFormatting>
  <conditionalFormatting sqref="BM27:BM40">
    <cfRule type="dataBar" priority="5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{87C4F2A3-B667-4C49-B26D-92E8D2F1E924}</x14:id>
        </ext>
      </extLst>
    </cfRule>
  </conditionalFormatting>
  <conditionalFormatting sqref="BM42:BM45">
    <cfRule type="dataBar" priority="5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{4449BF66-C532-4E5E-AFFE-3E133C35107B}</x14:id>
        </ext>
      </extLst>
    </cfRule>
  </conditionalFormatting>
  <conditionalFormatting sqref="BT27:BT40">
    <cfRule type="dataBar" priority="4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{04453522-4B1B-42D7-AF03-AB62C1943C1B}</x14:id>
        </ext>
      </extLst>
    </cfRule>
  </conditionalFormatting>
  <conditionalFormatting sqref="BT42:BT45">
    <cfRule type="dataBar" priority="4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{0C2939CA-B1A6-4422-83E6-68F97BD31AF2}</x14:id>
        </ext>
      </extLst>
    </cfRule>
  </conditionalFormatting>
  <conditionalFormatting sqref="CA27:CA40">
    <cfRule type="dataBar" priority="4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{612958A3-F649-4E66-B18F-06C47D4451D0}</x14:id>
        </ext>
      </extLst>
    </cfRule>
  </conditionalFormatting>
  <conditionalFormatting sqref="CA42:CA45">
    <cfRule type="dataBar" priority="4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{D7882CFC-942D-4D47-8E58-8423A8EC9B62}</x14:id>
        </ext>
      </extLst>
    </cfRule>
  </conditionalFormatting>
  <conditionalFormatting sqref="H60:H66">
    <cfRule type="dataBar" priority="4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{F814AE1C-7A69-4328-9A3F-08D58B6BF7C4}</x14:id>
        </ext>
      </extLst>
    </cfRule>
  </conditionalFormatting>
  <conditionalFormatting sqref="O60:O66">
    <cfRule type="dataBar" priority="4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{1C75A3C0-78E3-43EC-894F-C6017359E5BF}</x14:id>
        </ext>
      </extLst>
    </cfRule>
  </conditionalFormatting>
  <conditionalFormatting sqref="V60:V66">
    <cfRule type="dataBar" priority="4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{13444ADA-3A2F-4789-B4A3-61DADEDAA09E}</x14:id>
        </ext>
      </extLst>
    </cfRule>
  </conditionalFormatting>
  <conditionalFormatting sqref="AC60:AC66">
    <cfRule type="dataBar" priority="4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{73B10E0F-F563-440C-A25E-C994C8C54368}</x14:id>
        </ext>
      </extLst>
    </cfRule>
  </conditionalFormatting>
  <conditionalFormatting sqref="AJ60:AJ66">
    <cfRule type="dataBar" priority="4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{844DEC34-796E-40E5-8305-F3CD389F7DCF}</x14:id>
        </ext>
      </extLst>
    </cfRule>
  </conditionalFormatting>
  <conditionalFormatting sqref="AQ60:AQ66">
    <cfRule type="dataBar" priority="4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{06570557-4B3C-4C28-8C53-8D817AE1B6F0}</x14:id>
        </ext>
      </extLst>
    </cfRule>
  </conditionalFormatting>
  <conditionalFormatting sqref="BF60:BF66">
    <cfRule type="dataBar" priority="3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{A69B6B15-0A61-4A24-B150-3643C674BAEE}</x14:id>
        </ext>
      </extLst>
    </cfRule>
  </conditionalFormatting>
  <conditionalFormatting sqref="BM60:BM66">
    <cfRule type="dataBar" priority="3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{EC63DBB4-3EA2-4E14-8FEA-8CA74F4CBD79}</x14:id>
        </ext>
      </extLst>
    </cfRule>
  </conditionalFormatting>
  <conditionalFormatting sqref="BT60:BT66">
    <cfRule type="dataBar" priority="3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{3CF1B487-993E-43D3-9427-3E6EA06B4D12}</x14:id>
        </ext>
      </extLst>
    </cfRule>
  </conditionalFormatting>
  <conditionalFormatting sqref="H68:H81">
    <cfRule type="dataBar" priority="3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{AB630749-6D4D-45C9-A6E4-743E1B031A07}</x14:id>
        </ext>
      </extLst>
    </cfRule>
  </conditionalFormatting>
  <conditionalFormatting sqref="O68:O81">
    <cfRule type="dataBar" priority="3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{5FB7D0AB-5491-460B-AC4A-C4F65B54C5B9}</x14:id>
        </ext>
      </extLst>
    </cfRule>
  </conditionalFormatting>
  <conditionalFormatting sqref="V68:V81">
    <cfRule type="dataBar" priority="3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{3A57D840-C8C7-4257-8154-EF1CFE2666CD}</x14:id>
        </ext>
      </extLst>
    </cfRule>
  </conditionalFormatting>
  <conditionalFormatting sqref="AC68:AC81">
    <cfRule type="dataBar" priority="3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{C3EF9293-0B20-4C39-BC09-BCBD06037906}</x14:id>
        </ext>
      </extLst>
    </cfRule>
  </conditionalFormatting>
  <conditionalFormatting sqref="AJ68:AJ81">
    <cfRule type="dataBar" priority="3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{EEF8D119-CB0F-4C49-83B0-E163114113E7}</x14:id>
        </ext>
      </extLst>
    </cfRule>
  </conditionalFormatting>
  <conditionalFormatting sqref="AQ68:AQ81">
    <cfRule type="dataBar" priority="3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{E85C0A63-729C-4F37-87DE-72B91E3AD2A1}</x14:id>
        </ext>
      </extLst>
    </cfRule>
  </conditionalFormatting>
  <conditionalFormatting sqref="H47:H57">
    <cfRule type="dataBar" priority="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{0CBEFBA6-7324-46EE-8D9E-5AB66EE6E94F}</x14:id>
        </ext>
      </extLst>
    </cfRule>
  </conditionalFormatting>
  <conditionalFormatting sqref="O47:O57">
    <cfRule type="dataBar" priority="2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{31AD0B09-09DB-420C-B3AC-B26AB71E80A4}</x14:id>
        </ext>
      </extLst>
    </cfRule>
  </conditionalFormatting>
  <conditionalFormatting sqref="V47:V57">
    <cfRule type="dataBar" priority="2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{32245FFF-3564-4602-B5AA-9ED940CE4359}</x14:id>
        </ext>
      </extLst>
    </cfRule>
  </conditionalFormatting>
  <conditionalFormatting sqref="AC47:AC57">
    <cfRule type="dataBar" priority="2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{3151AB89-B6E9-4547-9258-3AD0A7668227}</x14:id>
        </ext>
      </extLst>
    </cfRule>
  </conditionalFormatting>
  <conditionalFormatting sqref="AJ47:AJ57">
    <cfRule type="dataBar" priority="2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{ED39D397-944D-41DA-9E8A-088DCA41533C}</x14:id>
        </ext>
      </extLst>
    </cfRule>
  </conditionalFormatting>
  <conditionalFormatting sqref="BF47:BF57">
    <cfRule type="dataBar" priority="2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{AAF90F16-CAF4-4834-917B-FE7033428BEB}</x14:id>
        </ext>
      </extLst>
    </cfRule>
  </conditionalFormatting>
  <conditionalFormatting sqref="BM47:BM57">
    <cfRule type="dataBar" priority="2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{44AA3863-740B-4C53-99F8-8E82F289FD3B}</x14:id>
        </ext>
      </extLst>
    </cfRule>
  </conditionalFormatting>
  <conditionalFormatting sqref="BT47:BT57">
    <cfRule type="dataBar" priority="2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{28D5AD42-730C-4C26-A60C-1AE7AF169A8B}</x14:id>
        </ext>
      </extLst>
    </cfRule>
  </conditionalFormatting>
  <conditionalFormatting sqref="BF68:BF81">
    <cfRule type="dataBar" priority="2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{2C5D6A4F-DEB8-4219-8A5F-EF40296FABD2}</x14:id>
        </ext>
      </extLst>
    </cfRule>
  </conditionalFormatting>
  <conditionalFormatting sqref="BM68:BM81">
    <cfRule type="dataBar" priority="2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{D19A301D-9BC6-4864-AFF8-19454F19498E}</x14:id>
        </ext>
      </extLst>
    </cfRule>
  </conditionalFormatting>
  <conditionalFormatting sqref="BT68:BT81">
    <cfRule type="dataBar" priority="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{C0D96BF5-6310-4F04-B996-E5F0FDBF2825}</x14:id>
        </ext>
      </extLst>
    </cfRule>
  </conditionalFormatting>
  <conditionalFormatting sqref="H83:H86">
    <cfRule type="dataBar" priority="1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{FCD2A2BB-EC3E-4D62-9307-9D0495A4286B}</x14:id>
        </ext>
      </extLst>
    </cfRule>
  </conditionalFormatting>
  <conditionalFormatting sqref="O83:O86">
    <cfRule type="dataBar" priority="1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{0D9B2C3D-4765-47F3-BBAE-7E42740100E2}</x14:id>
        </ext>
      </extLst>
    </cfRule>
  </conditionalFormatting>
  <conditionalFormatting sqref="V83:V86">
    <cfRule type="dataBar" priority="1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{736FA6D1-1A5A-4AAA-9222-8194BF6B0929}</x14:id>
        </ext>
      </extLst>
    </cfRule>
  </conditionalFormatting>
  <conditionalFormatting sqref="AC83:AC86">
    <cfRule type="dataBar" priority="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{EBF49EEB-7B7D-4558-BFF3-3D63B2AC6CCC}</x14:id>
        </ext>
      </extLst>
    </cfRule>
  </conditionalFormatting>
  <conditionalFormatting sqref="AJ83:AJ86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{20681C32-0B11-4AC3-B65E-856926B8CE45}</x14:id>
        </ext>
      </extLst>
    </cfRule>
  </conditionalFormatting>
  <conditionalFormatting sqref="AQ83:AQ86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{B89CA3AF-65F3-44EF-BB81-6AF31FF7C327}</x14:id>
        </ext>
      </extLst>
    </cfRule>
  </conditionalFormatting>
  <conditionalFormatting sqref="BF83:BF86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{2FD96923-AE97-414E-B6E4-DAB615E5EA35}</x14:id>
        </ext>
      </extLst>
    </cfRule>
  </conditionalFormatting>
  <conditionalFormatting sqref="BM83:BM86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{9A04602F-ED3E-4FD4-A908-B6C2CC035822}</x14:id>
        </ext>
      </extLst>
    </cfRule>
  </conditionalFormatting>
  <conditionalFormatting sqref="BT83:BT86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{10C3688F-1E04-4498-A78B-372CF4C8EDA7}</x14:id>
        </ext>
      </extLst>
    </cfRule>
  </conditionalFormatting>
  <conditionalFormatting sqref="H58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{AF1B7B42-DD08-4DF2-8AE6-2474F49399E2}</x14:id>
        </ext>
      </extLst>
    </cfRule>
  </conditionalFormatting>
  <conditionalFormatting sqref="O58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{CD65560A-3570-4D7F-B11F-9D7642608A85}</x14:id>
        </ext>
      </extLst>
    </cfRule>
  </conditionalFormatting>
  <conditionalFormatting sqref="V58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{33DB4FA9-9FB2-4BEA-997F-B1FFEFC8D9B0}</x14:id>
        </ext>
      </extLst>
    </cfRule>
  </conditionalFormatting>
  <conditionalFormatting sqref="AC58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{A0B8CA4A-FB77-4B95-A41B-FBC1E2BE7EAE}</x14:id>
        </ext>
      </extLst>
    </cfRule>
  </conditionalFormatting>
  <conditionalFormatting sqref="AJ58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{95AED134-0D13-4FBB-A2F6-64BDE0364EA0}</x14:id>
        </ext>
      </extLst>
    </cfRule>
  </conditionalFormatting>
  <conditionalFormatting sqref="AQ58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{D38E06C9-F57F-47D3-B4DB-4243E2DD0740}</x14:id>
        </ext>
      </extLst>
    </cfRule>
  </conditionalFormatting>
  <conditionalFormatting sqref="BF58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{4BC3E02A-3484-4B39-BD55-8FD31DE941CD}</x14:id>
        </ext>
      </extLst>
    </cfRule>
  </conditionalFormatting>
  <conditionalFormatting sqref="BM58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{C7E89A41-B70E-4EF0-8745-AA85F0F88068}</x14:id>
        </ext>
      </extLst>
    </cfRule>
  </conditionalFormatting>
  <conditionalFormatting sqref="BT5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{141204CB-8446-456C-A9D8-E1E05F86D386}</x14:id>
        </ext>
      </extLst>
    </cfRule>
  </conditionalFormatting>
  <conditionalFormatting sqref="AX5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{688A0DD4-0B5C-4FF0-8FED-556A54E3B5D8}</x14:id>
        </ext>
      </extLst>
    </cfRule>
  </conditionalFormatting>
  <pageMargins left="0.75" right="0.75" top="1" bottom="1" header="0.5" footer="0.5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3327E37-3E25-47D5-B976-DB287CB4E2A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H3:H10</xm:sqref>
        </x14:conditionalFormatting>
        <x14:conditionalFormatting xmlns:xm="http://schemas.microsoft.com/office/excel/2006/main">
          <x14:cfRule type="dataBar" id="{7BAF5EAA-BAA2-4BE1-8207-661D50AB1CD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O5:O8 V4:V8 AC3:AC8</xm:sqref>
        </x14:conditionalFormatting>
        <x14:conditionalFormatting xmlns:xm="http://schemas.microsoft.com/office/excel/2006/main">
          <x14:cfRule type="dataBar" id="{E84900B6-FC45-498A-A7D0-8F8A3D2561C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AJ5:AJ8 AQ5:AQ8 AX5:AX8</xm:sqref>
        </x14:conditionalFormatting>
        <x14:conditionalFormatting xmlns:xm="http://schemas.microsoft.com/office/excel/2006/main">
          <x14:cfRule type="dataBar" id="{05659EB0-CEEA-44E7-BC4D-F7F22C09380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BF5:BF10</xm:sqref>
        </x14:conditionalFormatting>
        <x14:conditionalFormatting xmlns:xm="http://schemas.microsoft.com/office/excel/2006/main">
          <x14:cfRule type="dataBar" id="{08513462-5555-4633-8F8B-D8A79E014A7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BM3:BM8</xm:sqref>
        </x14:conditionalFormatting>
        <x14:conditionalFormatting xmlns:xm="http://schemas.microsoft.com/office/excel/2006/main">
          <x14:cfRule type="dataBar" id="{58D309E7-A3EC-4443-9C45-E27C290EEA1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BT5:BT8</xm:sqref>
        </x14:conditionalFormatting>
        <x14:conditionalFormatting xmlns:xm="http://schemas.microsoft.com/office/excel/2006/main">
          <x14:cfRule type="dataBar" id="{D103802C-15DD-43E3-BA9A-D9BECD0F378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CA5:CA8</xm:sqref>
        </x14:conditionalFormatting>
        <x14:conditionalFormatting xmlns:xm="http://schemas.microsoft.com/office/excel/2006/main">
          <x14:cfRule type="dataBar" id="{90DDD157-6B68-402E-87FC-1B65A7E0B46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AC9:AC10</xm:sqref>
        </x14:conditionalFormatting>
        <x14:conditionalFormatting xmlns:xm="http://schemas.microsoft.com/office/excel/2006/main">
          <x14:cfRule type="dataBar" id="{64AA9B07-29E0-4E1D-8173-998F04F0CEE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O9:O10</xm:sqref>
        </x14:conditionalFormatting>
        <x14:conditionalFormatting xmlns:xm="http://schemas.microsoft.com/office/excel/2006/main">
          <x14:cfRule type="dataBar" id="{2D479F14-ECD3-4421-8CE1-C19E6C093FD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V9:V10</xm:sqref>
        </x14:conditionalFormatting>
        <x14:conditionalFormatting xmlns:xm="http://schemas.microsoft.com/office/excel/2006/main">
          <x14:cfRule type="dataBar" id="{C76EC86E-29E5-4B32-8156-D4DCF58B24C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AJ9:AJ10</xm:sqref>
        </x14:conditionalFormatting>
        <x14:conditionalFormatting xmlns:xm="http://schemas.microsoft.com/office/excel/2006/main">
          <x14:cfRule type="dataBar" id="{71D3D44B-AEE9-47C1-AE14-F1901B0D268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AQ9:AQ10</xm:sqref>
        </x14:conditionalFormatting>
        <x14:conditionalFormatting xmlns:xm="http://schemas.microsoft.com/office/excel/2006/main">
          <x14:cfRule type="dataBar" id="{FF51491B-702B-46FA-946A-EBA44422568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AX9:AX10</xm:sqref>
        </x14:conditionalFormatting>
        <x14:conditionalFormatting xmlns:xm="http://schemas.microsoft.com/office/excel/2006/main">
          <x14:cfRule type="dataBar" id="{4C20E454-A0FD-472C-A80E-F4AE20E1A53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BM9:BM10</xm:sqref>
        </x14:conditionalFormatting>
        <x14:conditionalFormatting xmlns:xm="http://schemas.microsoft.com/office/excel/2006/main">
          <x14:cfRule type="dataBar" id="{19C09EC2-6F16-42C7-8482-913FA7DD06B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BT9:BT10</xm:sqref>
        </x14:conditionalFormatting>
        <x14:conditionalFormatting xmlns:xm="http://schemas.microsoft.com/office/excel/2006/main">
          <x14:cfRule type="dataBar" id="{218C521A-3B64-4506-A195-ED517F38BD9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CA9:CA10</xm:sqref>
        </x14:conditionalFormatting>
        <x14:conditionalFormatting xmlns:xm="http://schemas.microsoft.com/office/excel/2006/main">
          <x14:cfRule type="dataBar" id="{AAD047CD-72EA-4FD6-9739-7C53C59D093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H11:H21 H23:H25</xm:sqref>
        </x14:conditionalFormatting>
        <x14:conditionalFormatting xmlns:xm="http://schemas.microsoft.com/office/excel/2006/main">
          <x14:cfRule type="dataBar" id="{1825503B-9DF0-441C-BC32-DD635BFC26C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O11:O21 O23:O25</xm:sqref>
        </x14:conditionalFormatting>
        <x14:conditionalFormatting xmlns:xm="http://schemas.microsoft.com/office/excel/2006/main">
          <x14:cfRule type="dataBar" id="{77FF4811-4E06-4CAA-9C5E-14863EFA3B6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V11:V21 V23:V25</xm:sqref>
        </x14:conditionalFormatting>
        <x14:conditionalFormatting xmlns:xm="http://schemas.microsoft.com/office/excel/2006/main">
          <x14:cfRule type="dataBar" id="{B34945EB-42C9-4BD8-B361-B41081C4899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AC11:AC21 AC23:AC25</xm:sqref>
        </x14:conditionalFormatting>
        <x14:conditionalFormatting xmlns:xm="http://schemas.microsoft.com/office/excel/2006/main">
          <x14:cfRule type="dataBar" id="{845179F6-E02C-4621-B302-8B1260519B3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AJ11:AJ21 AJ23:AJ25</xm:sqref>
        </x14:conditionalFormatting>
        <x14:conditionalFormatting xmlns:xm="http://schemas.microsoft.com/office/excel/2006/main">
          <x14:cfRule type="dataBar" id="{05FD780F-3D42-4031-B7FD-AF076CDD730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AQ11:AQ21 AQ23:AQ25</xm:sqref>
        </x14:conditionalFormatting>
        <x14:conditionalFormatting xmlns:xm="http://schemas.microsoft.com/office/excel/2006/main">
          <x14:cfRule type="dataBar" id="{44E9A095-CCF0-4CE3-A8FA-2E6A02FB55F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AX11:AX21 AX23:AX25</xm:sqref>
        </x14:conditionalFormatting>
        <x14:conditionalFormatting xmlns:xm="http://schemas.microsoft.com/office/excel/2006/main">
          <x14:cfRule type="dataBar" id="{5A76EB3A-C842-4343-BD08-A4598A706ED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BF11:BF21 BF23:BF25</xm:sqref>
        </x14:conditionalFormatting>
        <x14:conditionalFormatting xmlns:xm="http://schemas.microsoft.com/office/excel/2006/main">
          <x14:cfRule type="dataBar" id="{656AEA40-7AB5-40AA-8807-1A2033E79D8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BM11:BM21 BM23:BM25</xm:sqref>
        </x14:conditionalFormatting>
        <x14:conditionalFormatting xmlns:xm="http://schemas.microsoft.com/office/excel/2006/main">
          <x14:cfRule type="dataBar" id="{8361A4BE-C2DF-4563-ABAD-061B910BF22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BT11:BT21 BT23:BT25</xm:sqref>
        </x14:conditionalFormatting>
        <x14:conditionalFormatting xmlns:xm="http://schemas.microsoft.com/office/excel/2006/main">
          <x14:cfRule type="dataBar" id="{DCBEC477-54E6-461F-8C28-D86937C7E54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CA11:CA21 CA23:CA25</xm:sqref>
        </x14:conditionalFormatting>
        <x14:conditionalFormatting xmlns:xm="http://schemas.microsoft.com/office/excel/2006/main">
          <x14:cfRule type="dataBar" id="{8E6E0076-EF23-4CCF-905B-DE19D999D35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H22</xm:sqref>
        </x14:conditionalFormatting>
        <x14:conditionalFormatting xmlns:xm="http://schemas.microsoft.com/office/excel/2006/main">
          <x14:cfRule type="dataBar" id="{CC8602A9-8FB9-4030-8E54-0708C30026C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V22</xm:sqref>
        </x14:conditionalFormatting>
        <x14:conditionalFormatting xmlns:xm="http://schemas.microsoft.com/office/excel/2006/main">
          <x14:cfRule type="dataBar" id="{4313AFD8-ACC1-4E4A-8503-773BE2F82B2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AJ22</xm:sqref>
        </x14:conditionalFormatting>
        <x14:conditionalFormatting xmlns:xm="http://schemas.microsoft.com/office/excel/2006/main">
          <x14:cfRule type="dataBar" id="{027BD322-BA8D-4EAC-8B28-A6D71F8345F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BM22</xm:sqref>
        </x14:conditionalFormatting>
        <x14:conditionalFormatting xmlns:xm="http://schemas.microsoft.com/office/excel/2006/main">
          <x14:cfRule type="dataBar" id="{6CD04FF7-C2C9-4360-8EE8-BCB5CA3C52C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BT22</xm:sqref>
        </x14:conditionalFormatting>
        <x14:conditionalFormatting xmlns:xm="http://schemas.microsoft.com/office/excel/2006/main">
          <x14:cfRule type="dataBar" id="{F0FB49EC-B38A-494D-93C1-C6AD38A54D9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CA22</xm:sqref>
        </x14:conditionalFormatting>
        <x14:conditionalFormatting xmlns:xm="http://schemas.microsoft.com/office/excel/2006/main">
          <x14:cfRule type="dataBar" id="{43A4DD3C-8FE2-4B64-9635-55C1C64917D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O22</xm:sqref>
        </x14:conditionalFormatting>
        <x14:conditionalFormatting xmlns:xm="http://schemas.microsoft.com/office/excel/2006/main">
          <x14:cfRule type="dataBar" id="{6509ECD4-E61A-46D6-960B-9C9E039627B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AQ22</xm:sqref>
        </x14:conditionalFormatting>
        <x14:conditionalFormatting xmlns:xm="http://schemas.microsoft.com/office/excel/2006/main">
          <x14:cfRule type="dataBar" id="{8C14C304-DC3B-4ADC-B493-0723E82C29C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AC22</xm:sqref>
        </x14:conditionalFormatting>
        <x14:conditionalFormatting xmlns:xm="http://schemas.microsoft.com/office/excel/2006/main">
          <x14:cfRule type="dataBar" id="{B597D39E-AE00-4DC3-9775-F08E970E879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AX22</xm:sqref>
        </x14:conditionalFormatting>
        <x14:conditionalFormatting xmlns:xm="http://schemas.microsoft.com/office/excel/2006/main">
          <x14:cfRule type="dataBar" id="{62E080E6-539A-4060-89CD-4766B191517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BF22</xm:sqref>
        </x14:conditionalFormatting>
        <x14:conditionalFormatting xmlns:xm="http://schemas.microsoft.com/office/excel/2006/main">
          <x14:cfRule type="dataBar" id="{072324D7-C0DD-425D-96F7-01B1DA84183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H27:H40</xm:sqref>
        </x14:conditionalFormatting>
        <x14:conditionalFormatting xmlns:xm="http://schemas.microsoft.com/office/excel/2006/main">
          <x14:cfRule type="dataBar" id="{46A158E9-CBA9-4B28-82A9-EA0FF10CE1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H42:H45</xm:sqref>
        </x14:conditionalFormatting>
        <x14:conditionalFormatting xmlns:xm="http://schemas.microsoft.com/office/excel/2006/main">
          <x14:cfRule type="dataBar" id="{92338CE1-D081-4078-BEEE-30E451C2F11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O27:O40</xm:sqref>
        </x14:conditionalFormatting>
        <x14:conditionalFormatting xmlns:xm="http://schemas.microsoft.com/office/excel/2006/main">
          <x14:cfRule type="dataBar" id="{C21AACC2-80B6-43E4-A965-3B579D55127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O42:O45</xm:sqref>
        </x14:conditionalFormatting>
        <x14:conditionalFormatting xmlns:xm="http://schemas.microsoft.com/office/excel/2006/main">
          <x14:cfRule type="dataBar" id="{C6976CB8-A33E-4242-9CDC-789E3A70C70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V27:V40</xm:sqref>
        </x14:conditionalFormatting>
        <x14:conditionalFormatting xmlns:xm="http://schemas.microsoft.com/office/excel/2006/main">
          <x14:cfRule type="dataBar" id="{120F015E-394B-411C-895D-AC41A4D19C4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V42:V45</xm:sqref>
        </x14:conditionalFormatting>
        <x14:conditionalFormatting xmlns:xm="http://schemas.microsoft.com/office/excel/2006/main">
          <x14:cfRule type="dataBar" id="{E715CCFD-9D1F-46AB-AE5D-689FDE8A833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AC27:AC40</xm:sqref>
        </x14:conditionalFormatting>
        <x14:conditionalFormatting xmlns:xm="http://schemas.microsoft.com/office/excel/2006/main">
          <x14:cfRule type="dataBar" id="{A74150B0-5932-48C3-9638-94E6B415942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AC42:AC45</xm:sqref>
        </x14:conditionalFormatting>
        <x14:conditionalFormatting xmlns:xm="http://schemas.microsoft.com/office/excel/2006/main">
          <x14:cfRule type="dataBar" id="{529A0E43-6ADC-4205-8838-3644F6D0C83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AQ27:AQ40</xm:sqref>
        </x14:conditionalFormatting>
        <x14:conditionalFormatting xmlns:xm="http://schemas.microsoft.com/office/excel/2006/main">
          <x14:cfRule type="dataBar" id="{38C7663B-FC39-4673-B866-761619DD404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AQ42:AQ45</xm:sqref>
        </x14:conditionalFormatting>
        <x14:conditionalFormatting xmlns:xm="http://schemas.microsoft.com/office/excel/2006/main">
          <x14:cfRule type="dataBar" id="{76F9D29F-07ED-4CB9-A171-5D3FE8CF03A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AX27:AX40</xm:sqref>
        </x14:conditionalFormatting>
        <x14:conditionalFormatting xmlns:xm="http://schemas.microsoft.com/office/excel/2006/main">
          <x14:cfRule type="dataBar" id="{AB8145A3-9503-4879-8B14-EAB79ED4FB1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AX42:AX45</xm:sqref>
        </x14:conditionalFormatting>
        <x14:conditionalFormatting xmlns:xm="http://schemas.microsoft.com/office/excel/2006/main">
          <x14:cfRule type="dataBar" id="{E163DE97-DC41-406B-865B-70D5256D8CC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BF27:BF40</xm:sqref>
        </x14:conditionalFormatting>
        <x14:conditionalFormatting xmlns:xm="http://schemas.microsoft.com/office/excel/2006/main">
          <x14:cfRule type="dataBar" id="{B82A3058-75E1-465A-B212-08124391B5F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BF42:BF45</xm:sqref>
        </x14:conditionalFormatting>
        <x14:conditionalFormatting xmlns:xm="http://schemas.microsoft.com/office/excel/2006/main">
          <x14:cfRule type="dataBar" id="{87C4F2A3-B667-4C49-B26D-92E8D2F1E92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BM27:BM40</xm:sqref>
        </x14:conditionalFormatting>
        <x14:conditionalFormatting xmlns:xm="http://schemas.microsoft.com/office/excel/2006/main">
          <x14:cfRule type="dataBar" id="{4449BF66-C532-4E5E-AFFE-3E133C35107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BM42:BM45</xm:sqref>
        </x14:conditionalFormatting>
        <x14:conditionalFormatting xmlns:xm="http://schemas.microsoft.com/office/excel/2006/main">
          <x14:cfRule type="dataBar" id="{04453522-4B1B-42D7-AF03-AB62C1943C1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BT27:BT40</xm:sqref>
        </x14:conditionalFormatting>
        <x14:conditionalFormatting xmlns:xm="http://schemas.microsoft.com/office/excel/2006/main">
          <x14:cfRule type="dataBar" id="{0C2939CA-B1A6-4422-83E6-68F97BD31AF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BT42:BT45</xm:sqref>
        </x14:conditionalFormatting>
        <x14:conditionalFormatting xmlns:xm="http://schemas.microsoft.com/office/excel/2006/main">
          <x14:cfRule type="dataBar" id="{612958A3-F649-4E66-B18F-06C47D4451D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CA27:CA40</xm:sqref>
        </x14:conditionalFormatting>
        <x14:conditionalFormatting xmlns:xm="http://schemas.microsoft.com/office/excel/2006/main">
          <x14:cfRule type="dataBar" id="{D7882CFC-942D-4D47-8E58-8423A8EC9B6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CA42:CA45</xm:sqref>
        </x14:conditionalFormatting>
        <x14:conditionalFormatting xmlns:xm="http://schemas.microsoft.com/office/excel/2006/main">
          <x14:cfRule type="dataBar" id="{F814AE1C-7A69-4328-9A3F-08D58B6BF7C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H60:H66</xm:sqref>
        </x14:conditionalFormatting>
        <x14:conditionalFormatting xmlns:xm="http://schemas.microsoft.com/office/excel/2006/main">
          <x14:cfRule type="dataBar" id="{1C75A3C0-78E3-43EC-894F-C6017359E5B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O60:O66</xm:sqref>
        </x14:conditionalFormatting>
        <x14:conditionalFormatting xmlns:xm="http://schemas.microsoft.com/office/excel/2006/main">
          <x14:cfRule type="dataBar" id="{13444ADA-3A2F-4789-B4A3-61DADEDAA09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V60:V66</xm:sqref>
        </x14:conditionalFormatting>
        <x14:conditionalFormatting xmlns:xm="http://schemas.microsoft.com/office/excel/2006/main">
          <x14:cfRule type="dataBar" id="{73B10E0F-F563-440C-A25E-C994C8C5436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AC60:AC66</xm:sqref>
        </x14:conditionalFormatting>
        <x14:conditionalFormatting xmlns:xm="http://schemas.microsoft.com/office/excel/2006/main">
          <x14:cfRule type="dataBar" id="{844DEC34-796E-40E5-8305-F3CD389F7DC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AJ60:AJ66</xm:sqref>
        </x14:conditionalFormatting>
        <x14:conditionalFormatting xmlns:xm="http://schemas.microsoft.com/office/excel/2006/main">
          <x14:cfRule type="dataBar" id="{06570557-4B3C-4C28-8C53-8D817AE1B6F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AQ60:AQ66</xm:sqref>
        </x14:conditionalFormatting>
        <x14:conditionalFormatting xmlns:xm="http://schemas.microsoft.com/office/excel/2006/main">
          <x14:cfRule type="dataBar" id="{A69B6B15-0A61-4A24-B150-3643C674BAE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BF60:BF66</xm:sqref>
        </x14:conditionalFormatting>
        <x14:conditionalFormatting xmlns:xm="http://schemas.microsoft.com/office/excel/2006/main">
          <x14:cfRule type="dataBar" id="{EC63DBB4-3EA2-4E14-8FEA-8CA74F4CBD7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BM60:BM66</xm:sqref>
        </x14:conditionalFormatting>
        <x14:conditionalFormatting xmlns:xm="http://schemas.microsoft.com/office/excel/2006/main">
          <x14:cfRule type="dataBar" id="{3CF1B487-993E-43D3-9427-3E6EA06B4D1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BT60:BT66</xm:sqref>
        </x14:conditionalFormatting>
        <x14:conditionalFormatting xmlns:xm="http://schemas.microsoft.com/office/excel/2006/main">
          <x14:cfRule type="dataBar" id="{AB630749-6D4D-45C9-A6E4-743E1B031A0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H68:H81</xm:sqref>
        </x14:conditionalFormatting>
        <x14:conditionalFormatting xmlns:xm="http://schemas.microsoft.com/office/excel/2006/main">
          <x14:cfRule type="dataBar" id="{5FB7D0AB-5491-460B-AC4A-C4F65B54C5B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O68:O81</xm:sqref>
        </x14:conditionalFormatting>
        <x14:conditionalFormatting xmlns:xm="http://schemas.microsoft.com/office/excel/2006/main">
          <x14:cfRule type="dataBar" id="{3A57D840-C8C7-4257-8154-EF1CFE2666C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V68:V81</xm:sqref>
        </x14:conditionalFormatting>
        <x14:conditionalFormatting xmlns:xm="http://schemas.microsoft.com/office/excel/2006/main">
          <x14:cfRule type="dataBar" id="{C3EF9293-0B20-4C39-BC09-BCBD0603790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AC68:AC81</xm:sqref>
        </x14:conditionalFormatting>
        <x14:conditionalFormatting xmlns:xm="http://schemas.microsoft.com/office/excel/2006/main">
          <x14:cfRule type="dataBar" id="{EEF8D119-CB0F-4C49-83B0-E163114113E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AJ68:AJ81</xm:sqref>
        </x14:conditionalFormatting>
        <x14:conditionalFormatting xmlns:xm="http://schemas.microsoft.com/office/excel/2006/main">
          <x14:cfRule type="dataBar" id="{E85C0A63-729C-4F37-87DE-72B91E3AD2A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AQ68:AQ81</xm:sqref>
        </x14:conditionalFormatting>
        <x14:conditionalFormatting xmlns:xm="http://schemas.microsoft.com/office/excel/2006/main">
          <x14:cfRule type="dataBar" id="{0CBEFBA6-7324-46EE-8D9E-5AB66EE6E94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H47:H57</xm:sqref>
        </x14:conditionalFormatting>
        <x14:conditionalFormatting xmlns:xm="http://schemas.microsoft.com/office/excel/2006/main">
          <x14:cfRule type="dataBar" id="{31AD0B09-09DB-420C-B3AC-B26AB71E80A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O47:O57</xm:sqref>
        </x14:conditionalFormatting>
        <x14:conditionalFormatting xmlns:xm="http://schemas.microsoft.com/office/excel/2006/main">
          <x14:cfRule type="dataBar" id="{32245FFF-3564-4602-B5AA-9ED940CE435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V47:V57</xm:sqref>
        </x14:conditionalFormatting>
        <x14:conditionalFormatting xmlns:xm="http://schemas.microsoft.com/office/excel/2006/main">
          <x14:cfRule type="dataBar" id="{3151AB89-B6E9-4547-9258-3AD0A766822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AC47:AC57</xm:sqref>
        </x14:conditionalFormatting>
        <x14:conditionalFormatting xmlns:xm="http://schemas.microsoft.com/office/excel/2006/main">
          <x14:cfRule type="dataBar" id="{ED39D397-944D-41DA-9E8A-088DCA41533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AJ47:AJ57</xm:sqref>
        </x14:conditionalFormatting>
        <x14:conditionalFormatting xmlns:xm="http://schemas.microsoft.com/office/excel/2006/main">
          <x14:cfRule type="dataBar" id="{AAF90F16-CAF4-4834-917B-FE7033428BE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BF47:BF57</xm:sqref>
        </x14:conditionalFormatting>
        <x14:conditionalFormatting xmlns:xm="http://schemas.microsoft.com/office/excel/2006/main">
          <x14:cfRule type="dataBar" id="{44AA3863-740B-4C53-99F8-8E82F289FD3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BM47:BM57</xm:sqref>
        </x14:conditionalFormatting>
        <x14:conditionalFormatting xmlns:xm="http://schemas.microsoft.com/office/excel/2006/main">
          <x14:cfRule type="dataBar" id="{28D5AD42-730C-4C26-A60C-1AE7AF169A8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BT47:BT57</xm:sqref>
        </x14:conditionalFormatting>
        <x14:conditionalFormatting xmlns:xm="http://schemas.microsoft.com/office/excel/2006/main">
          <x14:cfRule type="dataBar" id="{2C5D6A4F-DEB8-4219-8A5F-EF40296FABD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BF68:BF81</xm:sqref>
        </x14:conditionalFormatting>
        <x14:conditionalFormatting xmlns:xm="http://schemas.microsoft.com/office/excel/2006/main">
          <x14:cfRule type="dataBar" id="{D19A301D-9BC6-4864-AFF8-19454F19498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BM68:BM81</xm:sqref>
        </x14:conditionalFormatting>
        <x14:conditionalFormatting xmlns:xm="http://schemas.microsoft.com/office/excel/2006/main">
          <x14:cfRule type="dataBar" id="{C0D96BF5-6310-4F04-B996-E5F0FDBF282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BT68:BT81</xm:sqref>
        </x14:conditionalFormatting>
        <x14:conditionalFormatting xmlns:xm="http://schemas.microsoft.com/office/excel/2006/main">
          <x14:cfRule type="dataBar" id="{FCD2A2BB-EC3E-4D62-9307-9D0495A4286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H83:H86</xm:sqref>
        </x14:conditionalFormatting>
        <x14:conditionalFormatting xmlns:xm="http://schemas.microsoft.com/office/excel/2006/main">
          <x14:cfRule type="dataBar" id="{0D9B2C3D-4765-47F3-BBAE-7E42740100E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O83:O86</xm:sqref>
        </x14:conditionalFormatting>
        <x14:conditionalFormatting xmlns:xm="http://schemas.microsoft.com/office/excel/2006/main">
          <x14:cfRule type="dataBar" id="{736FA6D1-1A5A-4AAA-9222-8194BF6B092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V83:V86</xm:sqref>
        </x14:conditionalFormatting>
        <x14:conditionalFormatting xmlns:xm="http://schemas.microsoft.com/office/excel/2006/main">
          <x14:cfRule type="dataBar" id="{EBF49EEB-7B7D-4558-BFF3-3D63B2AC6CC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AC83:AC86</xm:sqref>
        </x14:conditionalFormatting>
        <x14:conditionalFormatting xmlns:xm="http://schemas.microsoft.com/office/excel/2006/main">
          <x14:cfRule type="dataBar" id="{20681C32-0B11-4AC3-B65E-856926B8CE4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AJ83:AJ86</xm:sqref>
        </x14:conditionalFormatting>
        <x14:conditionalFormatting xmlns:xm="http://schemas.microsoft.com/office/excel/2006/main">
          <x14:cfRule type="dataBar" id="{B89CA3AF-65F3-44EF-BB81-6AF31FF7C32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AQ83:AQ86</xm:sqref>
        </x14:conditionalFormatting>
        <x14:conditionalFormatting xmlns:xm="http://schemas.microsoft.com/office/excel/2006/main">
          <x14:cfRule type="dataBar" id="{2FD96923-AE97-414E-B6E4-DAB615E5EA3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BF83:BF86</xm:sqref>
        </x14:conditionalFormatting>
        <x14:conditionalFormatting xmlns:xm="http://schemas.microsoft.com/office/excel/2006/main">
          <x14:cfRule type="dataBar" id="{9A04602F-ED3E-4FD4-A908-B6C2CC03582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BM83:BM86</xm:sqref>
        </x14:conditionalFormatting>
        <x14:conditionalFormatting xmlns:xm="http://schemas.microsoft.com/office/excel/2006/main">
          <x14:cfRule type="dataBar" id="{10C3688F-1E04-4498-A78B-372CF4C8EDA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BT83:BT86</xm:sqref>
        </x14:conditionalFormatting>
        <x14:conditionalFormatting xmlns:xm="http://schemas.microsoft.com/office/excel/2006/main">
          <x14:cfRule type="dataBar" id="{AF1B7B42-DD08-4DF2-8AE6-2474F49399E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H58</xm:sqref>
        </x14:conditionalFormatting>
        <x14:conditionalFormatting xmlns:xm="http://schemas.microsoft.com/office/excel/2006/main">
          <x14:cfRule type="dataBar" id="{CD65560A-3570-4D7F-B11F-9D7642608A8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O58</xm:sqref>
        </x14:conditionalFormatting>
        <x14:conditionalFormatting xmlns:xm="http://schemas.microsoft.com/office/excel/2006/main">
          <x14:cfRule type="dataBar" id="{33DB4FA9-9FB2-4BEA-997F-B1FFEFC8D9B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V58</xm:sqref>
        </x14:conditionalFormatting>
        <x14:conditionalFormatting xmlns:xm="http://schemas.microsoft.com/office/excel/2006/main">
          <x14:cfRule type="dataBar" id="{A0B8CA4A-FB77-4B95-A41B-FBC1E2BE7EA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AC58</xm:sqref>
        </x14:conditionalFormatting>
        <x14:conditionalFormatting xmlns:xm="http://schemas.microsoft.com/office/excel/2006/main">
          <x14:cfRule type="dataBar" id="{95AED134-0D13-4FBB-A2F6-64BDE0364EA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AJ58</xm:sqref>
        </x14:conditionalFormatting>
        <x14:conditionalFormatting xmlns:xm="http://schemas.microsoft.com/office/excel/2006/main">
          <x14:cfRule type="dataBar" id="{D38E06C9-F57F-47D3-B4DB-4243E2DD074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AQ58</xm:sqref>
        </x14:conditionalFormatting>
        <x14:conditionalFormatting xmlns:xm="http://schemas.microsoft.com/office/excel/2006/main">
          <x14:cfRule type="dataBar" id="{4BC3E02A-3484-4B39-BD55-8FD31DE941C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BF58</xm:sqref>
        </x14:conditionalFormatting>
        <x14:conditionalFormatting xmlns:xm="http://schemas.microsoft.com/office/excel/2006/main">
          <x14:cfRule type="dataBar" id="{C7E89A41-B70E-4EF0-8745-AA85F0F8806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BM58</xm:sqref>
        </x14:conditionalFormatting>
        <x14:conditionalFormatting xmlns:xm="http://schemas.microsoft.com/office/excel/2006/main">
          <x14:cfRule type="dataBar" id="{141204CB-8446-456C-A9D8-E1E05F86D38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BT58</xm:sqref>
        </x14:conditionalFormatting>
        <x14:conditionalFormatting xmlns:xm="http://schemas.microsoft.com/office/excel/2006/main">
          <x14:cfRule type="dataBar" id="{688A0DD4-0B5C-4FF0-8FED-556A54E3B5D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AX58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zoomScale="85" zoomScaleNormal="85" workbookViewId="0">
      <selection activeCell="O1" sqref="O1"/>
    </sheetView>
  </sheetViews>
  <sheetFormatPr defaultRowHeight="12.75" x14ac:dyDescent="0.2"/>
  <cols>
    <col min="1" max="1" width="13.5703125" bestFit="1" customWidth="1"/>
  </cols>
  <sheetData>
    <row r="1" spans="1:16" ht="15" x14ac:dyDescent="0.25">
      <c r="B1" s="69"/>
      <c r="C1" s="126" t="s">
        <v>93</v>
      </c>
      <c r="D1" s="126"/>
      <c r="E1" s="126"/>
      <c r="F1" s="126"/>
      <c r="G1" s="126"/>
      <c r="H1" s="127" t="s">
        <v>94</v>
      </c>
      <c r="I1" s="127"/>
      <c r="J1" s="127"/>
      <c r="K1" s="127"/>
      <c r="L1" s="128" t="s">
        <v>95</v>
      </c>
      <c r="M1" s="128"/>
      <c r="N1" s="128"/>
      <c r="O1" s="69"/>
      <c r="P1" s="69"/>
    </row>
    <row r="2" spans="1:16" ht="18" x14ac:dyDescent="0.35">
      <c r="A2" s="25" t="s">
        <v>11</v>
      </c>
      <c r="B2" s="112" t="s">
        <v>96</v>
      </c>
      <c r="C2" s="71" t="s">
        <v>97</v>
      </c>
      <c r="D2" s="71" t="s">
        <v>98</v>
      </c>
      <c r="E2" s="72" t="s">
        <v>99</v>
      </c>
      <c r="F2" s="72" t="s">
        <v>100</v>
      </c>
      <c r="G2" s="72" t="s">
        <v>101</v>
      </c>
      <c r="H2" s="73" t="s">
        <v>102</v>
      </c>
      <c r="I2" s="74" t="s">
        <v>103</v>
      </c>
      <c r="J2" s="74" t="s">
        <v>104</v>
      </c>
      <c r="K2" s="74" t="s">
        <v>105</v>
      </c>
      <c r="L2" s="75" t="s">
        <v>106</v>
      </c>
      <c r="M2" s="76" t="s">
        <v>107</v>
      </c>
      <c r="N2" s="75" t="s">
        <v>108</v>
      </c>
      <c r="O2" s="77" t="s">
        <v>92</v>
      </c>
      <c r="P2" s="78" t="s">
        <v>109</v>
      </c>
    </row>
    <row r="3" spans="1:16" x14ac:dyDescent="0.2">
      <c r="A3" s="33" t="s">
        <v>6</v>
      </c>
      <c r="B3" s="34">
        <v>10</v>
      </c>
      <c r="C3" s="103">
        <v>22</v>
      </c>
      <c r="D3" s="103">
        <v>22</v>
      </c>
      <c r="E3" s="106">
        <v>22</v>
      </c>
      <c r="F3" s="107">
        <v>22</v>
      </c>
      <c r="G3" s="106">
        <v>22</v>
      </c>
      <c r="H3" s="88">
        <v>0.1</v>
      </c>
      <c r="I3" s="79">
        <v>0.1</v>
      </c>
      <c r="J3" s="80">
        <v>0.1</v>
      </c>
      <c r="K3" s="80">
        <v>0.1</v>
      </c>
      <c r="L3" s="91">
        <v>0</v>
      </c>
      <c r="M3" s="94">
        <v>300</v>
      </c>
      <c r="N3" s="91">
        <v>0</v>
      </c>
      <c r="O3" s="97">
        <v>3.63</v>
      </c>
      <c r="P3" s="100">
        <f t="shared" ref="P3:P21" si="0">LOG(EXP((F3-100)/14.75)*M3)</f>
        <v>0.18051314702789001</v>
      </c>
    </row>
    <row r="4" spans="1:16" x14ac:dyDescent="0.2">
      <c r="A4" s="27" t="s">
        <v>7</v>
      </c>
      <c r="B4" s="20">
        <v>10</v>
      </c>
      <c r="C4" s="104">
        <v>180</v>
      </c>
      <c r="D4" s="104">
        <v>250</v>
      </c>
      <c r="E4" s="108">
        <v>23</v>
      </c>
      <c r="F4" s="109">
        <v>180</v>
      </c>
      <c r="G4" s="108">
        <v>21</v>
      </c>
      <c r="H4" s="89">
        <v>0.1</v>
      </c>
      <c r="I4" s="81">
        <v>0.1</v>
      </c>
      <c r="J4" s="82">
        <f>AVERAGE(0.972,0.974,0.959)</f>
        <v>0.96833333333333327</v>
      </c>
      <c r="K4" s="82">
        <v>0.14199999999999999</v>
      </c>
      <c r="L4" s="92">
        <v>65</v>
      </c>
      <c r="M4" s="95">
        <v>120</v>
      </c>
      <c r="N4" s="92">
        <v>90</v>
      </c>
      <c r="O4" s="98">
        <v>3.44</v>
      </c>
      <c r="P4" s="101">
        <f t="shared" si="0"/>
        <v>4.4346767411161094</v>
      </c>
    </row>
    <row r="5" spans="1:16" x14ac:dyDescent="0.2">
      <c r="A5" s="27" t="s">
        <v>3</v>
      </c>
      <c r="B5" s="20">
        <v>10</v>
      </c>
      <c r="C5" s="104">
        <v>180</v>
      </c>
      <c r="D5" s="104">
        <v>250</v>
      </c>
      <c r="E5" s="108">
        <v>20.7</v>
      </c>
      <c r="F5" s="109">
        <v>180</v>
      </c>
      <c r="G5" s="108">
        <v>24.5</v>
      </c>
      <c r="H5" s="89">
        <v>0.1</v>
      </c>
      <c r="I5" s="81">
        <v>0.1</v>
      </c>
      <c r="J5" s="82">
        <f>AVERAGE(0.968,0.965,0.946)</f>
        <v>0.95966666666666656</v>
      </c>
      <c r="K5" s="82">
        <v>0.124</v>
      </c>
      <c r="L5" s="92">
        <v>59</v>
      </c>
      <c r="M5" s="95">
        <v>120</v>
      </c>
      <c r="N5" s="92">
        <f>420-179</f>
        <v>241</v>
      </c>
      <c r="O5" s="98">
        <v>3.41</v>
      </c>
      <c r="P5" s="101">
        <f t="shared" si="0"/>
        <v>4.4346767411161094</v>
      </c>
    </row>
    <row r="6" spans="1:16" x14ac:dyDescent="0.2">
      <c r="A6" s="27" t="s">
        <v>4</v>
      </c>
      <c r="B6" s="20">
        <v>10</v>
      </c>
      <c r="C6" s="104">
        <v>180</v>
      </c>
      <c r="D6" s="104">
        <v>250</v>
      </c>
      <c r="E6" s="108">
        <v>21.3</v>
      </c>
      <c r="F6" s="109">
        <v>180</v>
      </c>
      <c r="G6" s="108">
        <v>24.7</v>
      </c>
      <c r="H6" s="89">
        <v>0.1</v>
      </c>
      <c r="I6" s="81">
        <v>0.1</v>
      </c>
      <c r="J6" s="82">
        <f>AVERAGE(0.967,0.979)</f>
        <v>0.97299999999999998</v>
      </c>
      <c r="K6" s="82">
        <v>0.157</v>
      </c>
      <c r="L6" s="92">
        <v>62</v>
      </c>
      <c r="M6" s="95">
        <v>120</v>
      </c>
      <c r="N6" s="92">
        <f>206-182</f>
        <v>24</v>
      </c>
      <c r="O6" s="98">
        <v>3.49</v>
      </c>
      <c r="P6" s="101">
        <f t="shared" si="0"/>
        <v>4.4346767411161094</v>
      </c>
    </row>
    <row r="7" spans="1:16" x14ac:dyDescent="0.2">
      <c r="A7" s="28" t="s">
        <v>10</v>
      </c>
      <c r="B7" s="51">
        <v>10</v>
      </c>
      <c r="C7" s="105">
        <v>180</v>
      </c>
      <c r="D7" s="105">
        <v>250</v>
      </c>
      <c r="E7" s="110">
        <v>21.2</v>
      </c>
      <c r="F7" s="111">
        <v>180</v>
      </c>
      <c r="G7" s="110">
        <v>22.2</v>
      </c>
      <c r="H7" s="90">
        <v>0.1</v>
      </c>
      <c r="I7" s="83">
        <v>0.1</v>
      </c>
      <c r="J7" s="84">
        <f>AVERAGE(0.988,0.941)</f>
        <v>0.96449999999999991</v>
      </c>
      <c r="K7" s="84">
        <v>0.13</v>
      </c>
      <c r="L7" s="93">
        <v>62</v>
      </c>
      <c r="M7" s="96">
        <v>120</v>
      </c>
      <c r="N7" s="93">
        <v>120</v>
      </c>
      <c r="O7" s="99">
        <v>3.45</v>
      </c>
      <c r="P7" s="102">
        <f t="shared" si="0"/>
        <v>4.4346767411161094</v>
      </c>
    </row>
    <row r="8" spans="1:16" x14ac:dyDescent="0.2">
      <c r="A8" s="33" t="s">
        <v>22</v>
      </c>
      <c r="B8" s="34">
        <v>10</v>
      </c>
      <c r="C8" s="103">
        <v>180</v>
      </c>
      <c r="D8" s="103">
        <v>200</v>
      </c>
      <c r="E8" s="106">
        <v>21.9</v>
      </c>
      <c r="F8" s="107">
        <v>180</v>
      </c>
      <c r="G8" s="106">
        <v>24.1</v>
      </c>
      <c r="H8" s="88">
        <v>0.1</v>
      </c>
      <c r="I8" s="79">
        <v>0.1</v>
      </c>
      <c r="J8" s="80">
        <f>AVERAGE(0.964,0.977)</f>
        <v>0.97049999999999992</v>
      </c>
      <c r="K8" s="80">
        <v>1.22</v>
      </c>
      <c r="L8" s="91">
        <v>98</v>
      </c>
      <c r="M8" s="94">
        <v>120</v>
      </c>
      <c r="N8" s="91">
        <v>110</v>
      </c>
      <c r="O8" s="97">
        <v>3.57</v>
      </c>
      <c r="P8" s="100">
        <f t="shared" si="0"/>
        <v>4.4346767411161094</v>
      </c>
    </row>
    <row r="9" spans="1:16" x14ac:dyDescent="0.2">
      <c r="A9" s="35" t="s">
        <v>23</v>
      </c>
      <c r="B9" s="51">
        <v>10</v>
      </c>
      <c r="C9" s="105">
        <v>180</v>
      </c>
      <c r="D9" s="105">
        <v>200</v>
      </c>
      <c r="E9" s="110">
        <v>22.4</v>
      </c>
      <c r="F9" s="111">
        <v>180</v>
      </c>
      <c r="G9" s="110">
        <v>22.6</v>
      </c>
      <c r="H9" s="90">
        <v>0.1</v>
      </c>
      <c r="I9" s="83">
        <v>0.1</v>
      </c>
      <c r="J9" s="84">
        <f>AVERAGE(0.963,0.937,0.941)</f>
        <v>0.94699999999999995</v>
      </c>
      <c r="K9" s="84">
        <v>0.1</v>
      </c>
      <c r="L9" s="93">
        <v>113</v>
      </c>
      <c r="M9" s="96">
        <v>107</v>
      </c>
      <c r="N9" s="93">
        <v>100</v>
      </c>
      <c r="O9" s="99">
        <v>3.67</v>
      </c>
      <c r="P9" s="102">
        <f t="shared" si="0"/>
        <v>4.384879272753694</v>
      </c>
    </row>
    <row r="10" spans="1:16" x14ac:dyDescent="0.2">
      <c r="A10" s="33" t="s">
        <v>24</v>
      </c>
      <c r="B10" s="34">
        <v>10</v>
      </c>
      <c r="C10" s="103">
        <v>180</v>
      </c>
      <c r="D10" s="103">
        <v>250</v>
      </c>
      <c r="E10" s="106">
        <v>21.4</v>
      </c>
      <c r="F10" s="107">
        <v>180</v>
      </c>
      <c r="G10" s="106">
        <v>19.600000000000001</v>
      </c>
      <c r="H10" s="88">
        <v>0.1</v>
      </c>
      <c r="I10" s="79">
        <v>0.1</v>
      </c>
      <c r="J10" s="80">
        <v>0.97150000000000003</v>
      </c>
      <c r="K10" s="80">
        <v>0.122</v>
      </c>
      <c r="L10" s="91">
        <v>59</v>
      </c>
      <c r="M10" s="94">
        <v>15</v>
      </c>
      <c r="N10" s="91">
        <f>144-64</f>
        <v>80</v>
      </c>
      <c r="O10" s="97"/>
      <c r="P10" s="100">
        <f t="shared" si="0"/>
        <v>3.5315867541241657</v>
      </c>
    </row>
    <row r="11" spans="1:16" x14ac:dyDescent="0.2">
      <c r="A11" s="26" t="s">
        <v>25</v>
      </c>
      <c r="B11" s="20">
        <v>10</v>
      </c>
      <c r="C11" s="104">
        <v>180</v>
      </c>
      <c r="D11" s="104">
        <v>250</v>
      </c>
      <c r="E11" s="108">
        <v>17.8</v>
      </c>
      <c r="F11" s="109">
        <v>180</v>
      </c>
      <c r="G11" s="108">
        <v>21.5</v>
      </c>
      <c r="H11" s="89">
        <v>0.1</v>
      </c>
      <c r="I11" s="81">
        <v>0.1</v>
      </c>
      <c r="J11" s="82">
        <f>AVERAGE(0.966,0.98)</f>
        <v>0.97299999999999998</v>
      </c>
      <c r="K11" s="82">
        <v>0.15</v>
      </c>
      <c r="L11" s="92">
        <v>64</v>
      </c>
      <c r="M11" s="95">
        <v>30</v>
      </c>
      <c r="N11" s="92">
        <f>115-94</f>
        <v>21</v>
      </c>
      <c r="O11" s="98">
        <v>4.04</v>
      </c>
      <c r="P11" s="101">
        <f t="shared" si="0"/>
        <v>3.8326167497881469</v>
      </c>
    </row>
    <row r="12" spans="1:16" x14ac:dyDescent="0.2">
      <c r="A12" s="26" t="s">
        <v>26</v>
      </c>
      <c r="B12" s="20">
        <v>10</v>
      </c>
      <c r="C12" s="104">
        <v>180</v>
      </c>
      <c r="D12" s="104">
        <v>250</v>
      </c>
      <c r="E12" s="108">
        <v>17.899999999999999</v>
      </c>
      <c r="F12" s="109">
        <v>180</v>
      </c>
      <c r="G12" s="108">
        <v>16.7</v>
      </c>
      <c r="H12" s="89">
        <v>0.1</v>
      </c>
      <c r="I12" s="81">
        <v>0.1</v>
      </c>
      <c r="J12" s="82">
        <v>0.97799999999999998</v>
      </c>
      <c r="K12" s="82">
        <v>0.122</v>
      </c>
      <c r="L12" s="92">
        <v>58</v>
      </c>
      <c r="M12" s="95">
        <v>5</v>
      </c>
      <c r="N12" s="92">
        <f>115-63</f>
        <v>52</v>
      </c>
      <c r="O12" s="98">
        <v>4.28</v>
      </c>
      <c r="P12" s="101">
        <f t="shared" si="0"/>
        <v>3.0544654994045031</v>
      </c>
    </row>
    <row r="13" spans="1:16" x14ac:dyDescent="0.2">
      <c r="A13" s="26" t="s">
        <v>27</v>
      </c>
      <c r="B13" s="20">
        <v>10</v>
      </c>
      <c r="C13" s="104">
        <v>180</v>
      </c>
      <c r="D13" s="104">
        <v>250</v>
      </c>
      <c r="E13" s="108">
        <v>16.8</v>
      </c>
      <c r="F13" s="109">
        <v>180</v>
      </c>
      <c r="G13" s="108">
        <v>19.399999999999999</v>
      </c>
      <c r="H13" s="89">
        <v>0.1</v>
      </c>
      <c r="I13" s="81">
        <v>0.1</v>
      </c>
      <c r="J13" s="82">
        <v>0.97399999999999998</v>
      </c>
      <c r="K13" s="82">
        <v>0.126</v>
      </c>
      <c r="L13" s="92">
        <v>67</v>
      </c>
      <c r="M13" s="95">
        <v>10</v>
      </c>
      <c r="N13" s="92">
        <f>148-77</f>
        <v>71</v>
      </c>
      <c r="O13" s="98">
        <v>4.4000000000000004</v>
      </c>
      <c r="P13" s="101">
        <f t="shared" si="0"/>
        <v>3.3554954950684843</v>
      </c>
    </row>
    <row r="14" spans="1:16" x14ac:dyDescent="0.2">
      <c r="A14" s="26" t="s">
        <v>28</v>
      </c>
      <c r="B14" s="20">
        <v>10</v>
      </c>
      <c r="C14" s="104">
        <v>180</v>
      </c>
      <c r="D14" s="104">
        <v>250</v>
      </c>
      <c r="E14" s="108">
        <v>15.7</v>
      </c>
      <c r="F14" s="109">
        <v>180</v>
      </c>
      <c r="G14" s="108">
        <v>22</v>
      </c>
      <c r="H14" s="89">
        <v>0.1</v>
      </c>
      <c r="I14" s="81">
        <v>0.1</v>
      </c>
      <c r="J14" s="82">
        <v>0.97399999999999998</v>
      </c>
      <c r="K14" s="82">
        <v>0.1</v>
      </c>
      <c r="L14" s="92">
        <v>81</v>
      </c>
      <c r="M14" s="95">
        <v>30</v>
      </c>
      <c r="N14" s="92">
        <f>180-111</f>
        <v>69</v>
      </c>
      <c r="O14" s="98">
        <v>3.51</v>
      </c>
      <c r="P14" s="101">
        <f t="shared" si="0"/>
        <v>3.8326167497881469</v>
      </c>
    </row>
    <row r="15" spans="1:16" x14ac:dyDescent="0.2">
      <c r="A15" s="26" t="s">
        <v>29</v>
      </c>
      <c r="B15" s="20">
        <v>10</v>
      </c>
      <c r="C15" s="104">
        <v>180</v>
      </c>
      <c r="D15" s="104">
        <v>250</v>
      </c>
      <c r="E15" s="108">
        <v>17.8</v>
      </c>
      <c r="F15" s="109">
        <v>180</v>
      </c>
      <c r="G15" s="108">
        <v>14</v>
      </c>
      <c r="H15" s="89">
        <v>0.1</v>
      </c>
      <c r="I15" s="81">
        <v>0.1</v>
      </c>
      <c r="J15" s="82">
        <v>0.97199999999999998</v>
      </c>
      <c r="K15" s="82">
        <v>0.126</v>
      </c>
      <c r="L15" s="92">
        <v>51</v>
      </c>
      <c r="M15" s="95">
        <v>5</v>
      </c>
      <c r="N15" s="92">
        <f>95-56</f>
        <v>39</v>
      </c>
      <c r="O15" s="98">
        <v>3.5</v>
      </c>
      <c r="P15" s="101">
        <f t="shared" si="0"/>
        <v>3.0544654994045031</v>
      </c>
    </row>
    <row r="16" spans="1:16" x14ac:dyDescent="0.2">
      <c r="A16" s="26" t="s">
        <v>30</v>
      </c>
      <c r="B16" s="20">
        <v>10</v>
      </c>
      <c r="C16" s="104">
        <v>180</v>
      </c>
      <c r="D16" s="104">
        <v>250</v>
      </c>
      <c r="E16" s="108">
        <v>16.100000000000001</v>
      </c>
      <c r="F16" s="109">
        <v>180</v>
      </c>
      <c r="G16" s="108">
        <v>17.2</v>
      </c>
      <c r="H16" s="89">
        <v>0.1</v>
      </c>
      <c r="I16" s="81">
        <v>0.1</v>
      </c>
      <c r="J16" s="82">
        <v>0.98</v>
      </c>
      <c r="K16" s="82">
        <v>0.1</v>
      </c>
      <c r="L16" s="92">
        <v>62</v>
      </c>
      <c r="M16" s="95">
        <v>15</v>
      </c>
      <c r="N16" s="92">
        <f>225-77</f>
        <v>148</v>
      </c>
      <c r="O16" s="98">
        <v>3.63</v>
      </c>
      <c r="P16" s="101">
        <f t="shared" si="0"/>
        <v>3.5315867541241657</v>
      </c>
    </row>
    <row r="17" spans="1:16" x14ac:dyDescent="0.2">
      <c r="A17" s="26" t="s">
        <v>31</v>
      </c>
      <c r="B17" s="20">
        <v>10</v>
      </c>
      <c r="C17" s="104">
        <v>180</v>
      </c>
      <c r="D17" s="104">
        <v>250</v>
      </c>
      <c r="E17" s="108">
        <v>15.8</v>
      </c>
      <c r="F17" s="109">
        <v>180</v>
      </c>
      <c r="G17" s="108">
        <v>20.7</v>
      </c>
      <c r="H17" s="89">
        <v>0.1</v>
      </c>
      <c r="I17" s="81">
        <v>0.1</v>
      </c>
      <c r="J17" s="82">
        <v>0.96899999999999997</v>
      </c>
      <c r="K17" s="82">
        <v>0.124</v>
      </c>
      <c r="L17" s="92">
        <v>66</v>
      </c>
      <c r="M17" s="95">
        <v>10</v>
      </c>
      <c r="N17" s="92">
        <v>99</v>
      </c>
      <c r="O17" s="98">
        <v>3.57</v>
      </c>
      <c r="P17" s="101">
        <f t="shared" si="0"/>
        <v>3.3554954950684843</v>
      </c>
    </row>
    <row r="18" spans="1:16" x14ac:dyDescent="0.2">
      <c r="A18" s="26" t="s">
        <v>32</v>
      </c>
      <c r="B18" s="20">
        <v>10</v>
      </c>
      <c r="C18" s="104">
        <v>180</v>
      </c>
      <c r="D18" s="104">
        <v>250</v>
      </c>
      <c r="E18" s="108">
        <v>18.3</v>
      </c>
      <c r="F18" s="109">
        <v>180</v>
      </c>
      <c r="G18" s="108">
        <v>20</v>
      </c>
      <c r="H18" s="89">
        <v>0.1</v>
      </c>
      <c r="I18" s="81">
        <v>0.1</v>
      </c>
      <c r="J18" s="82">
        <f>AVERAGE(0.999,0.988,0.973)</f>
        <v>0.98666666666666669</v>
      </c>
      <c r="K18" s="82">
        <v>0.13100000000000001</v>
      </c>
      <c r="L18" s="92">
        <v>40</v>
      </c>
      <c r="M18" s="95">
        <v>40</v>
      </c>
      <c r="N18" s="92">
        <f>155-80</f>
        <v>75</v>
      </c>
      <c r="O18" s="98">
        <v>3.74</v>
      </c>
      <c r="P18" s="101">
        <f t="shared" si="0"/>
        <v>3.9575554863964468</v>
      </c>
    </row>
    <row r="19" spans="1:16" x14ac:dyDescent="0.2">
      <c r="A19" s="26" t="s">
        <v>33</v>
      </c>
      <c r="B19" s="20">
        <v>10</v>
      </c>
      <c r="C19" s="104">
        <v>180</v>
      </c>
      <c r="D19" s="104">
        <v>250</v>
      </c>
      <c r="E19" s="108">
        <v>20.7</v>
      </c>
      <c r="F19" s="109">
        <v>180</v>
      </c>
      <c r="G19" s="108">
        <v>23.1</v>
      </c>
      <c r="H19" s="89">
        <v>0.1</v>
      </c>
      <c r="I19" s="81">
        <v>0.1</v>
      </c>
      <c r="J19" s="82">
        <f>AVERAGE(0.967,0.987,0.968,0.939)</f>
        <v>0.96524999999999994</v>
      </c>
      <c r="K19" s="82">
        <v>0.127</v>
      </c>
      <c r="L19" s="92">
        <v>41</v>
      </c>
      <c r="M19" s="95">
        <v>30</v>
      </c>
      <c r="N19" s="92">
        <f>160-72</f>
        <v>88</v>
      </c>
      <c r="O19" s="98">
        <v>3.73</v>
      </c>
      <c r="P19" s="101">
        <f t="shared" si="0"/>
        <v>3.8326167497881469</v>
      </c>
    </row>
    <row r="20" spans="1:16" x14ac:dyDescent="0.2">
      <c r="A20" s="35" t="s">
        <v>34</v>
      </c>
      <c r="B20" s="51">
        <v>10</v>
      </c>
      <c r="C20" s="105">
        <v>180</v>
      </c>
      <c r="D20" s="105">
        <v>250</v>
      </c>
      <c r="E20" s="110">
        <v>19.899999999999999</v>
      </c>
      <c r="F20" s="111">
        <v>180</v>
      </c>
      <c r="G20" s="110">
        <v>24</v>
      </c>
      <c r="H20" s="90">
        <v>0.1</v>
      </c>
      <c r="I20" s="83">
        <v>0.1</v>
      </c>
      <c r="J20" s="84">
        <f>AVERAGE(0.966,0.984,0.942)</f>
        <v>0.96399999999999997</v>
      </c>
      <c r="K20" s="84">
        <v>0.13</v>
      </c>
      <c r="L20" s="93">
        <v>68</v>
      </c>
      <c r="M20" s="96">
        <v>30</v>
      </c>
      <c r="N20" s="93">
        <f>300-98</f>
        <v>202</v>
      </c>
      <c r="O20" s="99">
        <v>3.78</v>
      </c>
      <c r="P20" s="102">
        <f t="shared" si="0"/>
        <v>3.8326167497881469</v>
      </c>
    </row>
    <row r="21" spans="1:16" x14ac:dyDescent="0.2">
      <c r="A21" s="35" t="s">
        <v>37</v>
      </c>
      <c r="B21" s="51">
        <v>10</v>
      </c>
      <c r="C21" s="105">
        <v>180</v>
      </c>
      <c r="D21" s="105">
        <v>250</v>
      </c>
      <c r="E21" s="110">
        <v>18.100000000000001</v>
      </c>
      <c r="F21" s="111">
        <v>180</v>
      </c>
      <c r="G21" s="110">
        <v>13.3</v>
      </c>
      <c r="H21" s="90">
        <v>0.1</v>
      </c>
      <c r="I21" s="83">
        <v>0.1</v>
      </c>
      <c r="J21" s="84">
        <f>AVERAGE(0.975,0.941)</f>
        <v>0.95799999999999996</v>
      </c>
      <c r="K21" s="84">
        <v>0.14399999999999999</v>
      </c>
      <c r="L21" s="93">
        <v>56</v>
      </c>
      <c r="M21" s="96">
        <v>120</v>
      </c>
      <c r="N21" s="93">
        <f>230-176</f>
        <v>54</v>
      </c>
      <c r="O21" s="99">
        <v>3.67</v>
      </c>
      <c r="P21" s="102">
        <f t="shared" si="0"/>
        <v>4.4346767411161094</v>
      </c>
    </row>
    <row r="22" spans="1:16" x14ac:dyDescent="0.2">
      <c r="A22" s="113"/>
      <c r="B22" s="113"/>
      <c r="C22" s="113"/>
      <c r="D22" s="113"/>
      <c r="E22" s="113"/>
      <c r="F22" s="113"/>
      <c r="G22" s="115"/>
      <c r="H22" s="113"/>
      <c r="I22" s="113"/>
      <c r="J22" s="114"/>
      <c r="K22" s="113"/>
      <c r="L22" s="113"/>
      <c r="M22" s="113"/>
      <c r="N22" s="113"/>
      <c r="O22" s="113"/>
      <c r="P22" s="113"/>
    </row>
    <row r="23" spans="1:16" x14ac:dyDescent="0.2">
      <c r="A23" s="68" t="s">
        <v>38</v>
      </c>
      <c r="B23" s="34">
        <v>10</v>
      </c>
      <c r="C23" s="103">
        <v>180</v>
      </c>
      <c r="D23" s="103">
        <v>250</v>
      </c>
      <c r="E23" s="106">
        <v>21.8</v>
      </c>
      <c r="F23" s="107">
        <v>180</v>
      </c>
      <c r="G23" s="106">
        <v>19</v>
      </c>
      <c r="H23" s="88">
        <v>0.1</v>
      </c>
      <c r="I23" s="85">
        <v>0.1</v>
      </c>
      <c r="J23" s="80">
        <f>AVERAGE(0.967,0.971,0.975)</f>
        <v>0.97099999999999997</v>
      </c>
      <c r="K23" s="80">
        <v>0.151</v>
      </c>
      <c r="L23" s="91">
        <v>74</v>
      </c>
      <c r="M23" s="94">
        <v>120</v>
      </c>
      <c r="N23" s="91">
        <f>240-194</f>
        <v>46</v>
      </c>
      <c r="O23" s="97">
        <v>3.62</v>
      </c>
      <c r="P23" s="100">
        <f>LOG(EXP((F23-100)/14.75)*M23)</f>
        <v>4.4346767411161094</v>
      </c>
    </row>
    <row r="24" spans="1:16" x14ac:dyDescent="0.2">
      <c r="A24" s="27" t="s">
        <v>39</v>
      </c>
      <c r="B24" s="20">
        <v>10</v>
      </c>
      <c r="C24" s="104">
        <v>180</v>
      </c>
      <c r="D24" s="104">
        <v>250</v>
      </c>
      <c r="E24" s="108">
        <v>21.6</v>
      </c>
      <c r="F24" s="109">
        <v>180</v>
      </c>
      <c r="G24" s="108">
        <v>19.3</v>
      </c>
      <c r="H24" s="89">
        <v>0.1</v>
      </c>
      <c r="I24" s="86">
        <v>0.1</v>
      </c>
      <c r="J24" s="82">
        <f>AVERAGE(0.983,0.991,0.962)</f>
        <v>0.97866666666666668</v>
      </c>
      <c r="K24" s="82">
        <v>0.14399999999999999</v>
      </c>
      <c r="L24" s="92">
        <v>46</v>
      </c>
      <c r="M24" s="95">
        <v>120</v>
      </c>
      <c r="N24" s="92">
        <f>230-160</f>
        <v>70</v>
      </c>
      <c r="O24" s="98">
        <v>3.57</v>
      </c>
      <c r="P24" s="101">
        <f t="shared" ref="P24:P36" si="1">LOG(EXP((F24-100)/14.75)*M24)</f>
        <v>4.4346767411161094</v>
      </c>
    </row>
    <row r="25" spans="1:16" x14ac:dyDescent="0.2">
      <c r="A25" s="27" t="s">
        <v>40</v>
      </c>
      <c r="B25" s="20">
        <v>10</v>
      </c>
      <c r="C25" s="104">
        <v>180</v>
      </c>
      <c r="D25" s="104">
        <v>250</v>
      </c>
      <c r="E25" s="108">
        <v>23.1</v>
      </c>
      <c r="F25" s="109">
        <v>180</v>
      </c>
      <c r="G25" s="108">
        <v>12.6</v>
      </c>
      <c r="H25" s="89">
        <v>0.1</v>
      </c>
      <c r="I25" s="86">
        <v>0.1</v>
      </c>
      <c r="J25" s="82">
        <f>AVERAGE(0.97,0.943)</f>
        <v>0.95649999999999991</v>
      </c>
      <c r="K25" s="82">
        <v>0.13800000000000001</v>
      </c>
      <c r="L25" s="92">
        <v>59</v>
      </c>
      <c r="M25" s="95">
        <v>120</v>
      </c>
      <c r="N25" s="92">
        <f>225-179</f>
        <v>46</v>
      </c>
      <c r="O25" s="98">
        <v>3.55</v>
      </c>
      <c r="P25" s="101">
        <f t="shared" si="1"/>
        <v>4.4346767411161094</v>
      </c>
    </row>
    <row r="26" spans="1:16" x14ac:dyDescent="0.2">
      <c r="A26" s="27" t="s">
        <v>41</v>
      </c>
      <c r="B26" s="20">
        <v>10</v>
      </c>
      <c r="C26" s="104">
        <v>180</v>
      </c>
      <c r="D26" s="104">
        <v>250</v>
      </c>
      <c r="E26" s="108">
        <v>21.6</v>
      </c>
      <c r="F26" s="109">
        <v>180</v>
      </c>
      <c r="G26" s="108">
        <v>25.4</v>
      </c>
      <c r="H26" s="89">
        <v>0.1</v>
      </c>
      <c r="I26" s="86">
        <v>0.1</v>
      </c>
      <c r="J26" s="82">
        <v>0.96899999999999997</v>
      </c>
      <c r="K26" s="82">
        <v>0.13900000000000001</v>
      </c>
      <c r="L26" s="92">
        <v>108</v>
      </c>
      <c r="M26" s="95">
        <v>120</v>
      </c>
      <c r="N26" s="92">
        <f>308-228</f>
        <v>80</v>
      </c>
      <c r="O26" s="98">
        <v>3.55</v>
      </c>
      <c r="P26" s="101">
        <f t="shared" si="1"/>
        <v>4.4346767411161094</v>
      </c>
    </row>
    <row r="27" spans="1:16" x14ac:dyDescent="0.2">
      <c r="A27" s="27" t="s">
        <v>42</v>
      </c>
      <c r="B27" s="20">
        <v>10</v>
      </c>
      <c r="C27" s="104">
        <v>180</v>
      </c>
      <c r="D27" s="104">
        <v>250</v>
      </c>
      <c r="E27" s="108">
        <v>23.1</v>
      </c>
      <c r="F27" s="109">
        <v>180</v>
      </c>
      <c r="G27" s="108">
        <v>20.3</v>
      </c>
      <c r="H27" s="89">
        <v>0.1</v>
      </c>
      <c r="I27" s="86">
        <v>0.1</v>
      </c>
      <c r="J27" s="82">
        <v>0.96699999999999997</v>
      </c>
      <c r="K27" s="82">
        <v>0.14799999999999999</v>
      </c>
      <c r="L27" s="92">
        <v>74</v>
      </c>
      <c r="M27" s="95">
        <v>120</v>
      </c>
      <c r="N27" s="92">
        <f>248-194</f>
        <v>54</v>
      </c>
      <c r="O27" s="98">
        <v>3.71</v>
      </c>
      <c r="P27" s="101">
        <f t="shared" si="1"/>
        <v>4.4346767411161094</v>
      </c>
    </row>
    <row r="28" spans="1:16" x14ac:dyDescent="0.2">
      <c r="A28" s="27" t="s">
        <v>43</v>
      </c>
      <c r="B28" s="20">
        <v>10</v>
      </c>
      <c r="C28" s="104">
        <v>180</v>
      </c>
      <c r="D28" s="104">
        <v>250</v>
      </c>
      <c r="E28" s="108">
        <v>21.9</v>
      </c>
      <c r="F28" s="109">
        <v>180</v>
      </c>
      <c r="G28" s="108">
        <v>23.2</v>
      </c>
      <c r="H28" s="89">
        <v>0.1</v>
      </c>
      <c r="I28" s="86">
        <v>0.1</v>
      </c>
      <c r="J28" s="82">
        <f>AVERAGE(0.968,0.939)</f>
        <v>0.95350000000000001</v>
      </c>
      <c r="K28" s="82">
        <v>0.14499999999999999</v>
      </c>
      <c r="L28" s="92">
        <v>85</v>
      </c>
      <c r="M28" s="95">
        <v>120</v>
      </c>
      <c r="N28" s="92">
        <f>235-205</f>
        <v>30</v>
      </c>
      <c r="O28" s="98">
        <v>3.51</v>
      </c>
      <c r="P28" s="101">
        <f t="shared" si="1"/>
        <v>4.4346767411161094</v>
      </c>
    </row>
    <row r="29" spans="1:16" x14ac:dyDescent="0.2">
      <c r="A29" s="27" t="s">
        <v>44</v>
      </c>
      <c r="B29" s="20">
        <v>10</v>
      </c>
      <c r="C29" s="104">
        <v>180</v>
      </c>
      <c r="D29" s="104">
        <v>250</v>
      </c>
      <c r="E29" s="108">
        <v>24.7</v>
      </c>
      <c r="F29" s="109">
        <v>180</v>
      </c>
      <c r="G29" s="108">
        <v>24.3</v>
      </c>
      <c r="H29" s="89">
        <v>0.1</v>
      </c>
      <c r="I29" s="86">
        <v>0.1</v>
      </c>
      <c r="J29" s="82">
        <f>AVERAGE(0.968,0.946)</f>
        <v>0.95699999999999996</v>
      </c>
      <c r="K29" s="82">
        <v>0.184</v>
      </c>
      <c r="L29" s="92">
        <v>74</v>
      </c>
      <c r="M29" s="95">
        <v>120</v>
      </c>
      <c r="N29" s="92">
        <f>234-194</f>
        <v>40</v>
      </c>
      <c r="O29" s="98">
        <v>3.61</v>
      </c>
      <c r="P29" s="101">
        <f t="shared" si="1"/>
        <v>4.4346767411161094</v>
      </c>
    </row>
    <row r="30" spans="1:16" x14ac:dyDescent="0.2">
      <c r="A30" s="27" t="s">
        <v>45</v>
      </c>
      <c r="B30" s="20">
        <v>10</v>
      </c>
      <c r="C30" s="104">
        <v>180</v>
      </c>
      <c r="D30" s="104">
        <v>250</v>
      </c>
      <c r="E30" s="108">
        <v>21.6</v>
      </c>
      <c r="F30" s="109">
        <v>180</v>
      </c>
      <c r="G30" s="108">
        <v>20.100000000000001</v>
      </c>
      <c r="H30" s="89">
        <v>0.1</v>
      </c>
      <c r="I30" s="86">
        <v>0.1</v>
      </c>
      <c r="J30" s="82">
        <v>0.96199999999999997</v>
      </c>
      <c r="K30" s="82">
        <v>0.14699999999999999</v>
      </c>
      <c r="L30" s="92">
        <v>65</v>
      </c>
      <c r="M30" s="95">
        <v>120</v>
      </c>
      <c r="N30" s="92">
        <f>210-185</f>
        <v>25</v>
      </c>
      <c r="O30" s="98">
        <v>3.47</v>
      </c>
      <c r="P30" s="101">
        <f t="shared" si="1"/>
        <v>4.4346767411161094</v>
      </c>
    </row>
    <row r="31" spans="1:16" x14ac:dyDescent="0.2">
      <c r="A31" s="27" t="s">
        <v>46</v>
      </c>
      <c r="B31" s="20">
        <v>10</v>
      </c>
      <c r="C31" s="104">
        <v>180</v>
      </c>
      <c r="D31" s="104">
        <v>250</v>
      </c>
      <c r="E31" s="108">
        <v>20.399999999999999</v>
      </c>
      <c r="F31" s="109">
        <v>180</v>
      </c>
      <c r="G31" s="108">
        <v>15.9</v>
      </c>
      <c r="H31" s="89">
        <v>0.1</v>
      </c>
      <c r="I31" s="86">
        <v>0.1</v>
      </c>
      <c r="J31" s="82">
        <v>0.95799999999999996</v>
      </c>
      <c r="K31" s="82">
        <v>0.151</v>
      </c>
      <c r="L31" s="92">
        <v>67</v>
      </c>
      <c r="M31" s="95">
        <v>120</v>
      </c>
      <c r="N31" s="92">
        <f>227-187</f>
        <v>40</v>
      </c>
      <c r="O31" s="98">
        <v>3.43</v>
      </c>
      <c r="P31" s="101">
        <f t="shared" si="1"/>
        <v>4.4346767411161094</v>
      </c>
    </row>
    <row r="32" spans="1:16" x14ac:dyDescent="0.2">
      <c r="A32" s="27" t="s">
        <v>47</v>
      </c>
      <c r="B32" s="20">
        <v>10</v>
      </c>
      <c r="C32" s="104">
        <v>180</v>
      </c>
      <c r="D32" s="104">
        <v>250</v>
      </c>
      <c r="E32" s="108">
        <v>19.8</v>
      </c>
      <c r="F32" s="109">
        <v>180</v>
      </c>
      <c r="G32" s="108">
        <v>19.399999999999999</v>
      </c>
      <c r="H32" s="89">
        <v>0.1</v>
      </c>
      <c r="I32" s="86">
        <v>0.1</v>
      </c>
      <c r="J32" s="82">
        <v>0.96599999999999997</v>
      </c>
      <c r="K32" s="82">
        <v>0.16200000000000001</v>
      </c>
      <c r="L32" s="92">
        <v>96</v>
      </c>
      <c r="M32" s="95">
        <v>120</v>
      </c>
      <c r="N32" s="92">
        <f>246-216</f>
        <v>30</v>
      </c>
      <c r="O32" s="98">
        <f>3.4</f>
        <v>3.4</v>
      </c>
      <c r="P32" s="101">
        <f t="shared" si="1"/>
        <v>4.4346767411161094</v>
      </c>
    </row>
    <row r="33" spans="1:16" x14ac:dyDescent="0.2">
      <c r="A33" s="27" t="s">
        <v>48</v>
      </c>
      <c r="B33" s="20">
        <v>10</v>
      </c>
      <c r="C33" s="104">
        <v>180</v>
      </c>
      <c r="D33" s="104">
        <v>250</v>
      </c>
      <c r="E33" s="108">
        <v>19.899999999999999</v>
      </c>
      <c r="F33" s="109">
        <v>180</v>
      </c>
      <c r="G33" s="108">
        <v>28.2</v>
      </c>
      <c r="H33" s="89">
        <v>0.1</v>
      </c>
      <c r="I33" s="86">
        <v>0.1</v>
      </c>
      <c r="J33" s="82">
        <v>0.96399999999999997</v>
      </c>
      <c r="K33" s="82">
        <v>0.14699999999999999</v>
      </c>
      <c r="L33" s="92">
        <v>105</v>
      </c>
      <c r="M33" s="95">
        <v>120</v>
      </c>
      <c r="N33" s="92">
        <f>300-225</f>
        <v>75</v>
      </c>
      <c r="O33" s="98">
        <v>3.54</v>
      </c>
      <c r="P33" s="101">
        <f t="shared" si="1"/>
        <v>4.4346767411161094</v>
      </c>
    </row>
    <row r="34" spans="1:16" x14ac:dyDescent="0.2">
      <c r="A34" s="27" t="s">
        <v>49</v>
      </c>
      <c r="B34" s="20">
        <v>10</v>
      </c>
      <c r="C34" s="104">
        <v>180</v>
      </c>
      <c r="D34" s="104">
        <v>250</v>
      </c>
      <c r="E34" s="108">
        <v>23.1</v>
      </c>
      <c r="F34" s="109">
        <v>180</v>
      </c>
      <c r="G34" s="108">
        <v>17.600000000000001</v>
      </c>
      <c r="H34" s="89">
        <v>0.1</v>
      </c>
      <c r="I34" s="86">
        <v>0.1</v>
      </c>
      <c r="J34" s="82">
        <v>0.96799999999999997</v>
      </c>
      <c r="K34" s="82">
        <v>0.183</v>
      </c>
      <c r="L34" s="92">
        <v>71</v>
      </c>
      <c r="M34" s="95">
        <v>120</v>
      </c>
      <c r="N34" s="92">
        <f>226-191</f>
        <v>35</v>
      </c>
      <c r="O34" s="98">
        <v>3.49</v>
      </c>
      <c r="P34" s="101">
        <f t="shared" si="1"/>
        <v>4.4346767411161094</v>
      </c>
    </row>
    <row r="35" spans="1:16" x14ac:dyDescent="0.2">
      <c r="A35" s="27" t="s">
        <v>50</v>
      </c>
      <c r="B35" s="20">
        <v>10</v>
      </c>
      <c r="C35" s="104">
        <v>180</v>
      </c>
      <c r="D35" s="104">
        <v>250</v>
      </c>
      <c r="E35" s="108">
        <v>19.8</v>
      </c>
      <c r="F35" s="109">
        <v>180</v>
      </c>
      <c r="G35" s="108">
        <v>17</v>
      </c>
      <c r="H35" s="89">
        <v>0.1</v>
      </c>
      <c r="I35" s="86">
        <v>0.1</v>
      </c>
      <c r="J35" s="82">
        <f>AVERAGE(0.962,0.988)</f>
        <v>0.97499999999999998</v>
      </c>
      <c r="K35" s="82">
        <v>0.17100000000000001</v>
      </c>
      <c r="L35" s="92">
        <v>71</v>
      </c>
      <c r="M35" s="95">
        <v>120</v>
      </c>
      <c r="N35" s="92">
        <f>221-191</f>
        <v>30</v>
      </c>
      <c r="O35" s="98">
        <v>3.51</v>
      </c>
      <c r="P35" s="101">
        <f t="shared" si="1"/>
        <v>4.4346767411161094</v>
      </c>
    </row>
    <row r="36" spans="1:16" x14ac:dyDescent="0.2">
      <c r="A36" s="27" t="s">
        <v>51</v>
      </c>
      <c r="B36" s="20">
        <v>10</v>
      </c>
      <c r="C36" s="104">
        <v>180</v>
      </c>
      <c r="D36" s="104">
        <v>250</v>
      </c>
      <c r="E36" s="108">
        <v>21.2</v>
      </c>
      <c r="F36" s="109">
        <v>180</v>
      </c>
      <c r="G36" s="108">
        <v>22.1</v>
      </c>
      <c r="H36" s="89">
        <v>0.1</v>
      </c>
      <c r="I36" s="86">
        <v>0.1</v>
      </c>
      <c r="J36" s="82">
        <v>0.95699999999999996</v>
      </c>
      <c r="K36" s="82">
        <v>0.17399999999999999</v>
      </c>
      <c r="L36" s="92">
        <v>79</v>
      </c>
      <c r="M36" s="95">
        <v>120</v>
      </c>
      <c r="N36" s="92">
        <f>245-199</f>
        <v>46</v>
      </c>
      <c r="O36" s="98">
        <v>3.5</v>
      </c>
      <c r="P36" s="101">
        <f t="shared" si="1"/>
        <v>4.4346767411161094</v>
      </c>
    </row>
    <row r="37" spans="1:16" x14ac:dyDescent="0.2">
      <c r="A37" s="28" t="s">
        <v>55</v>
      </c>
      <c r="B37" s="51">
        <v>10</v>
      </c>
      <c r="C37" s="105">
        <v>180</v>
      </c>
      <c r="D37" s="105">
        <v>250</v>
      </c>
      <c r="E37" s="110">
        <v>20.5</v>
      </c>
      <c r="F37" s="111">
        <v>180</v>
      </c>
      <c r="G37" s="110">
        <v>7.6</v>
      </c>
      <c r="H37" s="90">
        <v>0.1</v>
      </c>
      <c r="I37" s="87">
        <v>0.1</v>
      </c>
      <c r="J37" s="84">
        <v>0.96499999999999997</v>
      </c>
      <c r="K37" s="84">
        <v>0.159</v>
      </c>
      <c r="L37" s="93">
        <v>103</v>
      </c>
      <c r="M37" s="96">
        <v>120</v>
      </c>
      <c r="N37" s="93">
        <f>300-223</f>
        <v>77</v>
      </c>
      <c r="O37" s="99">
        <v>3.5</v>
      </c>
      <c r="P37" s="102">
        <f>LOG(EXP((F37-100)/14.75)*M37)</f>
        <v>4.4346767411161094</v>
      </c>
    </row>
    <row r="79" spans="1:1" x14ac:dyDescent="0.2">
      <c r="A79" s="20"/>
    </row>
  </sheetData>
  <mergeCells count="3">
    <mergeCell ref="C1:G1"/>
    <mergeCell ref="H1:K1"/>
    <mergeCell ref="L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Conditions</vt:lpstr>
    </vt:vector>
  </TitlesOfParts>
  <Company>Technische Universiteit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localadmin</dc:creator>
  <cp:lastModifiedBy>Jose Maria Jimenez Gutierrez</cp:lastModifiedBy>
  <dcterms:created xsi:type="dcterms:W3CDTF">2019-09-20T13:35:16Z</dcterms:created>
  <dcterms:modified xsi:type="dcterms:W3CDTF">2022-09-23T12:01:06Z</dcterms:modified>
</cp:coreProperties>
</file>